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21-fs2\dfei\Budg\2018\Рішення\Внесення змін\серпень\МВК\Доопрацьовано\"/>
    </mc:Choice>
  </mc:AlternateContent>
  <bookViews>
    <workbookView xWindow="0" yWindow="0" windowWidth="19200" windowHeight="11460" tabRatio="207"/>
  </bookViews>
  <sheets>
    <sheet name="дод 3" sheetId="1" r:id="rId1"/>
    <sheet name="дод. 4" sheetId="3" r:id="rId2"/>
  </sheets>
  <definedNames>
    <definedName name="_xlnm.Print_Titles" localSheetId="0">'дод 3'!$7:$10</definedName>
    <definedName name="_xlnm.Print_Titles" localSheetId="1">'дод. 4'!$7:$10</definedName>
    <definedName name="_xlnm.Print_Area" localSheetId="0">'дод 3'!$A$1:$Q$373</definedName>
    <definedName name="_xlnm.Print_Area" localSheetId="1">'дод. 4'!$A$1:$P$278</definedName>
  </definedNames>
  <calcPr calcId="162913"/>
</workbook>
</file>

<file path=xl/calcChain.xml><?xml version="1.0" encoding="utf-8"?>
<calcChain xmlns="http://schemas.openxmlformats.org/spreadsheetml/2006/main">
  <c r="D287" i="3" l="1"/>
  <c r="D290" i="3" s="1"/>
  <c r="G12" i="1" l="1"/>
  <c r="G61" i="1"/>
  <c r="F69" i="1" l="1"/>
  <c r="F65" i="1"/>
  <c r="E327" i="1"/>
  <c r="H323" i="1"/>
  <c r="F323" i="1"/>
  <c r="F310" i="1"/>
  <c r="F309" i="1"/>
  <c r="H306" i="1"/>
  <c r="F306" i="1"/>
  <c r="H299" i="1"/>
  <c r="F299" i="1"/>
  <c r="N282" i="1"/>
  <c r="O282" i="1"/>
  <c r="N279" i="1"/>
  <c r="O279" i="1"/>
  <c r="O277" i="1"/>
  <c r="N277" i="1"/>
  <c r="N273" i="1"/>
  <c r="O273" i="1"/>
  <c r="F273" i="1"/>
  <c r="N263" i="1"/>
  <c r="N257" i="1"/>
  <c r="O257" i="1"/>
  <c r="O252" i="1"/>
  <c r="N252" i="1"/>
  <c r="N251" i="1"/>
  <c r="O251" i="1"/>
  <c r="O244" i="1"/>
  <c r="N244" i="1"/>
  <c r="F240" i="1"/>
  <c r="H244" i="1"/>
  <c r="F244" i="1"/>
  <c r="I239" i="1"/>
  <c r="H235" i="1"/>
  <c r="F235" i="1"/>
  <c r="F226" i="1"/>
  <c r="O225" i="1"/>
  <c r="N225" i="1"/>
  <c r="H223" i="1"/>
  <c r="F223" i="1"/>
  <c r="H222" i="1"/>
  <c r="F222" i="1"/>
  <c r="O221" i="1"/>
  <c r="N221" i="1"/>
  <c r="H212" i="1"/>
  <c r="F212" i="1"/>
  <c r="F209" i="1"/>
  <c r="O205" i="1"/>
  <c r="N205" i="1"/>
  <c r="F183" i="1"/>
  <c r="F151" i="1"/>
  <c r="F149" i="1"/>
  <c r="F147" i="1"/>
  <c r="F150" i="1"/>
  <c r="F206" i="1"/>
  <c r="F133" i="1"/>
  <c r="J232" i="3"/>
  <c r="F94" i="1"/>
  <c r="G94" i="1"/>
  <c r="I94" i="1"/>
  <c r="J94" i="1"/>
  <c r="K94" i="1"/>
  <c r="L94" i="1"/>
  <c r="M94" i="1"/>
  <c r="N94" i="1"/>
  <c r="O94" i="1"/>
  <c r="P94" i="1"/>
  <c r="E94" i="1"/>
  <c r="P127" i="1"/>
  <c r="J128" i="1"/>
  <c r="P128" i="1" s="1"/>
  <c r="J127" i="1"/>
  <c r="E128" i="1"/>
  <c r="E127" i="1"/>
  <c r="F107" i="1"/>
  <c r="F103" i="1"/>
  <c r="F99" i="1"/>
  <c r="F97" i="1"/>
  <c r="H96" i="1"/>
  <c r="F96" i="1"/>
  <c r="F85" i="1"/>
  <c r="G85" i="1"/>
  <c r="H85" i="1"/>
  <c r="H74" i="1"/>
  <c r="F74" i="1"/>
  <c r="N77" i="1"/>
  <c r="O77" i="1"/>
  <c r="O71" i="1"/>
  <c r="N71" i="1"/>
  <c r="F71" i="1"/>
  <c r="H71" i="1"/>
  <c r="H69" i="1"/>
  <c r="G69" i="1"/>
  <c r="G67" i="1"/>
  <c r="F67" i="1"/>
  <c r="N65" i="1"/>
  <c r="O65" i="1"/>
  <c r="H65" i="1"/>
  <c r="G65" i="1"/>
  <c r="F64" i="1"/>
  <c r="N64" i="1"/>
  <c r="O64" i="1"/>
  <c r="H64" i="1"/>
  <c r="F57" i="1" l="1"/>
  <c r="F55" i="1"/>
  <c r="H55" i="1"/>
  <c r="N48" i="1"/>
  <c r="O48" i="1"/>
  <c r="O45" i="1"/>
  <c r="N45" i="1"/>
  <c r="F45" i="1"/>
  <c r="N43" i="1"/>
  <c r="O43" i="1"/>
  <c r="I42" i="1"/>
  <c r="I40" i="1"/>
  <c r="F38" i="1"/>
  <c r="H36" i="1"/>
  <c r="F37" i="1"/>
  <c r="H37" i="1"/>
  <c r="F34" i="1"/>
  <c r="H34" i="1"/>
  <c r="F32" i="1"/>
  <c r="F28" i="1"/>
  <c r="H28" i="1"/>
  <c r="F26" i="1"/>
  <c r="H26" i="1"/>
  <c r="O13" i="1"/>
  <c r="N13" i="1"/>
  <c r="H13" i="1"/>
  <c r="F13" i="1"/>
  <c r="F101" i="1" l="1"/>
  <c r="G72" i="1" l="1"/>
  <c r="F72" i="1"/>
  <c r="E220" i="1" l="1"/>
  <c r="F228" i="1"/>
  <c r="G228" i="1"/>
  <c r="H228" i="1"/>
  <c r="I228" i="1"/>
  <c r="K228" i="1"/>
  <c r="L228" i="1"/>
  <c r="M228" i="1"/>
  <c r="N228" i="1"/>
  <c r="O228" i="1"/>
  <c r="E228" i="1"/>
  <c r="F245" i="1" l="1"/>
  <c r="F77" i="1"/>
  <c r="F14" i="1"/>
  <c r="O201" i="1"/>
  <c r="N201" i="1"/>
  <c r="N200" i="1"/>
  <c r="O200" i="1"/>
  <c r="F110" i="1"/>
  <c r="F109" i="1"/>
  <c r="F108" i="1"/>
  <c r="O287" i="1" l="1"/>
  <c r="N287" i="1"/>
  <c r="J287" i="1" s="1"/>
  <c r="O286" i="1"/>
  <c r="N286" i="1"/>
  <c r="O258" i="1"/>
  <c r="N258" i="1"/>
  <c r="J258" i="1" s="1"/>
  <c r="J257" i="1"/>
  <c r="J197" i="3"/>
  <c r="J194" i="3" s="1"/>
  <c r="J184" i="3" s="1"/>
  <c r="K197" i="3"/>
  <c r="K194" i="3" s="1"/>
  <c r="K184" i="3" s="1"/>
  <c r="L197" i="3"/>
  <c r="L194" i="3" s="1"/>
  <c r="L184" i="3" s="1"/>
  <c r="J230" i="1"/>
  <c r="K220" i="1"/>
  <c r="L220" i="1"/>
  <c r="M220" i="1"/>
  <c r="N220" i="1"/>
  <c r="O220" i="1"/>
  <c r="I220" i="1"/>
  <c r="F220" i="1"/>
  <c r="G220" i="1"/>
  <c r="H220" i="1"/>
  <c r="O229" i="1"/>
  <c r="O227" i="1" s="1"/>
  <c r="N229" i="1"/>
  <c r="O126" i="1"/>
  <c r="N126" i="1"/>
  <c r="O125" i="1"/>
  <c r="O123" i="1" s="1"/>
  <c r="N125" i="1"/>
  <c r="O89" i="1"/>
  <c r="N197" i="3" s="1"/>
  <c r="N194" i="3" s="1"/>
  <c r="N184" i="3" s="1"/>
  <c r="N89" i="1"/>
  <c r="O88" i="1"/>
  <c r="O86" i="1" s="1"/>
  <c r="N88" i="1"/>
  <c r="F268" i="1"/>
  <c r="E32" i="1"/>
  <c r="J282" i="1"/>
  <c r="O238" i="1"/>
  <c r="N238" i="1"/>
  <c r="O34" i="1"/>
  <c r="N34" i="1"/>
  <c r="I243" i="1"/>
  <c r="F35" i="1"/>
  <c r="F33" i="1" s="1"/>
  <c r="J244" i="1"/>
  <c r="G319" i="1"/>
  <c r="F319" i="1"/>
  <c r="O283" i="1"/>
  <c r="N283" i="1"/>
  <c r="J283" i="1" s="1"/>
  <c r="I191" i="3" s="1"/>
  <c r="O281" i="1"/>
  <c r="N281" i="1"/>
  <c r="M189" i="3" s="1"/>
  <c r="O280" i="1"/>
  <c r="N280" i="1"/>
  <c r="J277" i="1"/>
  <c r="P277" i="1" s="1"/>
  <c r="N253" i="1"/>
  <c r="O253" i="1"/>
  <c r="N191" i="3" s="1"/>
  <c r="J252" i="1"/>
  <c r="F239" i="1"/>
  <c r="N185" i="3"/>
  <c r="N91" i="1"/>
  <c r="J91" i="1" s="1"/>
  <c r="K91" i="1"/>
  <c r="F121" i="1"/>
  <c r="E59" i="3" s="1"/>
  <c r="J71" i="1"/>
  <c r="I23" i="3" s="1"/>
  <c r="O69" i="1"/>
  <c r="N69" i="1"/>
  <c r="F81" i="1"/>
  <c r="E213" i="3"/>
  <c r="E212" i="3" s="1"/>
  <c r="O37" i="1"/>
  <c r="N37" i="1"/>
  <c r="M157" i="3" s="1"/>
  <c r="G73" i="1"/>
  <c r="F73" i="1"/>
  <c r="E73" i="1" s="1"/>
  <c r="D26" i="3" s="1"/>
  <c r="G66" i="1"/>
  <c r="F18" i="3" s="1"/>
  <c r="F66" i="1"/>
  <c r="N168" i="3"/>
  <c r="O59" i="1"/>
  <c r="N59" i="1"/>
  <c r="O19" i="1"/>
  <c r="N19" i="1"/>
  <c r="F59" i="1"/>
  <c r="O75" i="1"/>
  <c r="O61" i="1" s="1"/>
  <c r="O60" i="1" s="1"/>
  <c r="E174" i="3"/>
  <c r="F174" i="3"/>
  <c r="G174" i="3"/>
  <c r="H174" i="3"/>
  <c r="J174" i="3"/>
  <c r="K174" i="3"/>
  <c r="L174" i="3"/>
  <c r="D174" i="3"/>
  <c r="N176" i="3"/>
  <c r="M176" i="3"/>
  <c r="I176" i="3"/>
  <c r="O217" i="1"/>
  <c r="N177" i="3" s="1"/>
  <c r="N174" i="3" s="1"/>
  <c r="N217" i="1"/>
  <c r="M177" i="3" s="1"/>
  <c r="M174" i="3" s="1"/>
  <c r="J216" i="1"/>
  <c r="E216" i="1"/>
  <c r="E215" i="1" s="1"/>
  <c r="F215" i="1"/>
  <c r="G215" i="1"/>
  <c r="H215" i="1"/>
  <c r="I215" i="1"/>
  <c r="K215" i="1"/>
  <c r="L215" i="1"/>
  <c r="M215" i="1"/>
  <c r="N215" i="1"/>
  <c r="O215" i="1"/>
  <c r="F178" i="1"/>
  <c r="F177" i="1"/>
  <c r="E177" i="1" s="1"/>
  <c r="N137" i="3"/>
  <c r="M137" i="3"/>
  <c r="N136" i="3"/>
  <c r="M136" i="3"/>
  <c r="N135" i="3"/>
  <c r="M135" i="3"/>
  <c r="N134" i="3"/>
  <c r="M134" i="3"/>
  <c r="N194" i="1"/>
  <c r="N195" i="1" s="1"/>
  <c r="J195" i="1" s="1"/>
  <c r="P195" i="1" s="1"/>
  <c r="J199" i="1"/>
  <c r="I135" i="3" s="1"/>
  <c r="J200" i="1"/>
  <c r="I136" i="3" s="1"/>
  <c r="J201" i="1"/>
  <c r="I137" i="3" s="1"/>
  <c r="E200" i="1"/>
  <c r="E198" i="1"/>
  <c r="E196" i="1"/>
  <c r="D132" i="3" s="1"/>
  <c r="D130" i="3" s="1"/>
  <c r="J198" i="1"/>
  <c r="I134" i="3" s="1"/>
  <c r="P198" i="1"/>
  <c r="O134" i="3" s="1"/>
  <c r="D199" i="1"/>
  <c r="O197" i="1"/>
  <c r="N133" i="3" s="1"/>
  <c r="N197" i="1"/>
  <c r="M133" i="3" s="1"/>
  <c r="O196" i="1"/>
  <c r="N196" i="1"/>
  <c r="M132" i="3"/>
  <c r="F300" i="1"/>
  <c r="E300" i="1" s="1"/>
  <c r="P300" i="1" s="1"/>
  <c r="J244" i="3"/>
  <c r="J172" i="3"/>
  <c r="J170" i="3" s="1"/>
  <c r="J160" i="3" s="1"/>
  <c r="J66" i="3"/>
  <c r="J68" i="3"/>
  <c r="J72" i="3"/>
  <c r="J74" i="3"/>
  <c r="J84" i="3"/>
  <c r="J86" i="3"/>
  <c r="J88" i="3"/>
  <c r="J90" i="3"/>
  <c r="J92" i="3"/>
  <c r="J94" i="3"/>
  <c r="J96" i="3"/>
  <c r="J101" i="3"/>
  <c r="J103" i="3"/>
  <c r="J105" i="3"/>
  <c r="J107" i="3"/>
  <c r="J109" i="3"/>
  <c r="J133" i="3"/>
  <c r="J131" i="3" s="1"/>
  <c r="J139" i="3"/>
  <c r="J36" i="3"/>
  <c r="J38" i="3"/>
  <c r="J40" i="3"/>
  <c r="J42" i="3"/>
  <c r="J46" i="3"/>
  <c r="J48" i="3"/>
  <c r="J58" i="3"/>
  <c r="J60" i="3"/>
  <c r="J51" i="3"/>
  <c r="J54" i="3"/>
  <c r="J18" i="3"/>
  <c r="J20" i="3"/>
  <c r="J22" i="3"/>
  <c r="J26" i="3"/>
  <c r="J31" i="3"/>
  <c r="J29" i="3" s="1"/>
  <c r="K293" i="1"/>
  <c r="K291" i="1" s="1"/>
  <c r="K172" i="3"/>
  <c r="K170" i="3" s="1"/>
  <c r="K160" i="3" s="1"/>
  <c r="K66" i="3"/>
  <c r="K68" i="3"/>
  <c r="K72" i="3"/>
  <c r="K74" i="3"/>
  <c r="K84" i="3"/>
  <c r="K86" i="3"/>
  <c r="K88" i="3"/>
  <c r="K90" i="3"/>
  <c r="K92" i="3"/>
  <c r="K94" i="3"/>
  <c r="K96" i="3"/>
  <c r="K101" i="3"/>
  <c r="K103" i="3"/>
  <c r="K105" i="3"/>
  <c r="K107" i="3"/>
  <c r="K109" i="3"/>
  <c r="K133" i="3"/>
  <c r="K131" i="3" s="1"/>
  <c r="K139" i="3"/>
  <c r="K36" i="3"/>
  <c r="K38" i="3"/>
  <c r="K40" i="3"/>
  <c r="K42" i="3"/>
  <c r="K46" i="3"/>
  <c r="K48" i="3"/>
  <c r="K58" i="3"/>
  <c r="K60" i="3"/>
  <c r="K51" i="3"/>
  <c r="K54" i="3"/>
  <c r="K18" i="3"/>
  <c r="K20" i="3"/>
  <c r="K22" i="3"/>
  <c r="K26" i="3"/>
  <c r="K31" i="3"/>
  <c r="K29" i="3" s="1"/>
  <c r="K211" i="3"/>
  <c r="K209" i="3" s="1"/>
  <c r="K199" i="3" s="1"/>
  <c r="K238" i="3"/>
  <c r="L172" i="3"/>
  <c r="L170" i="3" s="1"/>
  <c r="L66" i="3"/>
  <c r="L68" i="3"/>
  <c r="L72" i="3"/>
  <c r="L74" i="3"/>
  <c r="L84" i="3"/>
  <c r="L86" i="3"/>
  <c r="L88" i="3"/>
  <c r="L90" i="3"/>
  <c r="L92" i="3"/>
  <c r="L94" i="3"/>
  <c r="L96" i="3"/>
  <c r="L101" i="3"/>
  <c r="L103" i="3"/>
  <c r="L105" i="3"/>
  <c r="L107" i="3"/>
  <c r="L109" i="3"/>
  <c r="L133" i="3"/>
  <c r="L131" i="3" s="1"/>
  <c r="L139" i="3"/>
  <c r="L36" i="3"/>
  <c r="L38" i="3"/>
  <c r="L40" i="3"/>
  <c r="L42" i="3"/>
  <c r="L46" i="3"/>
  <c r="L48" i="3"/>
  <c r="L58" i="3"/>
  <c r="L60" i="3"/>
  <c r="L51" i="3"/>
  <c r="L54" i="3"/>
  <c r="L18" i="3"/>
  <c r="L20" i="3"/>
  <c r="L22" i="3"/>
  <c r="L26" i="3"/>
  <c r="L31" i="3"/>
  <c r="L29" i="3" s="1"/>
  <c r="L211" i="3"/>
  <c r="L209" i="3" s="1"/>
  <c r="L199" i="3" s="1"/>
  <c r="L238" i="3"/>
  <c r="M172" i="3"/>
  <c r="M170" i="3" s="1"/>
  <c r="M66" i="3"/>
  <c r="M68" i="3"/>
  <c r="M72" i="3"/>
  <c r="M74" i="3"/>
  <c r="M70" i="3" s="1"/>
  <c r="M84" i="3"/>
  <c r="M86" i="3"/>
  <c r="M88" i="3"/>
  <c r="M90" i="3"/>
  <c r="M92" i="3"/>
  <c r="M94" i="3"/>
  <c r="M96" i="3"/>
  <c r="M101" i="3"/>
  <c r="M103" i="3"/>
  <c r="M105" i="3"/>
  <c r="M107" i="3"/>
  <c r="M109" i="3"/>
  <c r="M139" i="3"/>
  <c r="M36" i="3"/>
  <c r="M38" i="3"/>
  <c r="M40" i="3"/>
  <c r="M42" i="3"/>
  <c r="M46" i="3"/>
  <c r="M48" i="3"/>
  <c r="M58" i="3"/>
  <c r="M60" i="3"/>
  <c r="M51" i="3"/>
  <c r="M54" i="3"/>
  <c r="N66" i="1"/>
  <c r="M20" i="3"/>
  <c r="M22" i="3"/>
  <c r="N73" i="1"/>
  <c r="J73" i="1" s="1"/>
  <c r="I26" i="3" s="1"/>
  <c r="M31" i="3"/>
  <c r="M29" i="3" s="1"/>
  <c r="M211" i="3"/>
  <c r="M209" i="3" s="1"/>
  <c r="M199" i="3" s="1"/>
  <c r="M238" i="3"/>
  <c r="N172" i="3"/>
  <c r="N170" i="3" s="1"/>
  <c r="N66" i="3"/>
  <c r="N68" i="3"/>
  <c r="N72" i="3"/>
  <c r="N74" i="3"/>
  <c r="N84" i="3"/>
  <c r="N86" i="3"/>
  <c r="N88" i="3"/>
  <c r="N90" i="3"/>
  <c r="N92" i="3"/>
  <c r="N94" i="3"/>
  <c r="N96" i="3"/>
  <c r="N101" i="3"/>
  <c r="N103" i="3"/>
  <c r="N105" i="3"/>
  <c r="N107" i="3"/>
  <c r="N109" i="3"/>
  <c r="N139" i="3"/>
  <c r="N36" i="3"/>
  <c r="N38" i="3"/>
  <c r="N40" i="3"/>
  <c r="N42" i="3"/>
  <c r="N46" i="3"/>
  <c r="N48" i="3"/>
  <c r="N58" i="3"/>
  <c r="N60" i="3"/>
  <c r="N51" i="3"/>
  <c r="N54" i="3"/>
  <c r="O66" i="1"/>
  <c r="N18" i="3"/>
  <c r="N20" i="3"/>
  <c r="N22" i="3"/>
  <c r="O73" i="1"/>
  <c r="N26" i="3" s="1"/>
  <c r="N31" i="3"/>
  <c r="N29" i="3" s="1"/>
  <c r="N211" i="3"/>
  <c r="N209" i="3" s="1"/>
  <c r="N199" i="3" s="1"/>
  <c r="N238" i="3"/>
  <c r="J249" i="1"/>
  <c r="E137" i="1"/>
  <c r="J137" i="1"/>
  <c r="P137" i="1" s="1"/>
  <c r="O66" i="3" s="1"/>
  <c r="E139" i="1"/>
  <c r="J139" i="1"/>
  <c r="P139" i="1" s="1"/>
  <c r="O68" i="3" s="1"/>
  <c r="E143" i="1"/>
  <c r="J143" i="1"/>
  <c r="E145" i="1"/>
  <c r="J145" i="1"/>
  <c r="E155" i="1"/>
  <c r="J155" i="1"/>
  <c r="E157" i="1"/>
  <c r="J157" i="1"/>
  <c r="E159" i="1"/>
  <c r="D88" i="3" s="1"/>
  <c r="J159" i="1"/>
  <c r="E161" i="1"/>
  <c r="D90" i="3" s="1"/>
  <c r="J161" i="1"/>
  <c r="I90" i="3" s="1"/>
  <c r="E163" i="1"/>
  <c r="D92" i="3" s="1"/>
  <c r="J163" i="1"/>
  <c r="I92" i="3" s="1"/>
  <c r="E165" i="1"/>
  <c r="D94" i="3" s="1"/>
  <c r="J165" i="1"/>
  <c r="E167" i="1"/>
  <c r="D96" i="3" s="1"/>
  <c r="J167" i="1"/>
  <c r="I96" i="3" s="1"/>
  <c r="E172" i="1"/>
  <c r="J172" i="1"/>
  <c r="P172" i="1" s="1"/>
  <c r="E174" i="1"/>
  <c r="D103" i="3" s="1"/>
  <c r="J174" i="1"/>
  <c r="I103" i="3" s="1"/>
  <c r="E176" i="1"/>
  <c r="D105" i="3" s="1"/>
  <c r="J176" i="1"/>
  <c r="E178" i="1"/>
  <c r="D107" i="3" s="1"/>
  <c r="J178" i="1"/>
  <c r="E180" i="1"/>
  <c r="D109" i="3"/>
  <c r="J180" i="1"/>
  <c r="E197" i="1"/>
  <c r="J197" i="1"/>
  <c r="F203" i="1"/>
  <c r="E203" i="1" s="1"/>
  <c r="J203" i="1"/>
  <c r="P203" i="1" s="1"/>
  <c r="F98" i="1"/>
  <c r="E98" i="1" s="1"/>
  <c r="J98" i="1"/>
  <c r="F100" i="1"/>
  <c r="E100" i="1" s="1"/>
  <c r="D38" i="3" s="1"/>
  <c r="J100" i="1"/>
  <c r="E102" i="1"/>
  <c r="D40" i="3" s="1"/>
  <c r="J102" i="1"/>
  <c r="I40" i="3" s="1"/>
  <c r="F104" i="1"/>
  <c r="J104" i="1"/>
  <c r="I42" i="3" s="1"/>
  <c r="E108" i="1"/>
  <c r="J108" i="1"/>
  <c r="J106" i="1" s="1"/>
  <c r="E110" i="1"/>
  <c r="J110" i="1"/>
  <c r="E120" i="1"/>
  <c r="J120" i="1"/>
  <c r="P120" i="1" s="1"/>
  <c r="O58" i="3" s="1"/>
  <c r="F122" i="1"/>
  <c r="E122" i="1" s="1"/>
  <c r="J122" i="1"/>
  <c r="I60" i="3" s="1"/>
  <c r="E113" i="1"/>
  <c r="J113" i="1"/>
  <c r="E116" i="1"/>
  <c r="J116" i="1"/>
  <c r="I54" i="3" s="1"/>
  <c r="E68" i="1"/>
  <c r="D20" i="3" s="1"/>
  <c r="J68" i="1"/>
  <c r="I20" i="3" s="1"/>
  <c r="F70" i="1"/>
  <c r="J70" i="1"/>
  <c r="I22" i="3" s="1"/>
  <c r="E78" i="1"/>
  <c r="D31" i="3" s="1"/>
  <c r="D29" i="3" s="1"/>
  <c r="J78" i="1"/>
  <c r="P78" i="1"/>
  <c r="O31" i="3" s="1"/>
  <c r="O29" i="3" s="1"/>
  <c r="E89" i="1"/>
  <c r="J89" i="1"/>
  <c r="J87" i="1" s="1"/>
  <c r="E126" i="1"/>
  <c r="J126" i="1"/>
  <c r="P126" i="1" s="1"/>
  <c r="P124" i="1" s="1"/>
  <c r="E258" i="1"/>
  <c r="D197" i="3" s="1"/>
  <c r="D194" i="3" s="1"/>
  <c r="D184" i="3" s="1"/>
  <c r="E287" i="1"/>
  <c r="E293" i="1"/>
  <c r="D211" i="3" s="1"/>
  <c r="D209" i="3" s="1"/>
  <c r="D199" i="3" s="1"/>
  <c r="I68" i="3"/>
  <c r="I74" i="3"/>
  <c r="I31" i="3"/>
  <c r="I29" i="3" s="1"/>
  <c r="F172" i="3"/>
  <c r="F170" i="3" s="1"/>
  <c r="F160" i="3" s="1"/>
  <c r="F66" i="3"/>
  <c r="F68" i="3"/>
  <c r="F64" i="3" s="1"/>
  <c r="F72" i="3"/>
  <c r="F74" i="3"/>
  <c r="F84" i="3"/>
  <c r="F86" i="3"/>
  <c r="F88" i="3"/>
  <c r="F90" i="3"/>
  <c r="F92" i="3"/>
  <c r="F94" i="3"/>
  <c r="F96" i="3"/>
  <c r="F101" i="3"/>
  <c r="F103" i="3"/>
  <c r="F105" i="3"/>
  <c r="F107" i="3"/>
  <c r="F109" i="3"/>
  <c r="F133" i="3"/>
  <c r="F131" i="3" s="1"/>
  <c r="F139" i="3"/>
  <c r="F36" i="3"/>
  <c r="F38" i="3"/>
  <c r="F40" i="3"/>
  <c r="F42" i="3"/>
  <c r="F46" i="3"/>
  <c r="F48" i="3"/>
  <c r="F44" i="3" s="1"/>
  <c r="F58" i="3"/>
  <c r="F60" i="3"/>
  <c r="F51" i="3"/>
  <c r="F54" i="3"/>
  <c r="F50" i="3" s="1"/>
  <c r="F20" i="3"/>
  <c r="F22" i="3"/>
  <c r="F26" i="3"/>
  <c r="F31" i="3"/>
  <c r="F29" i="3" s="1"/>
  <c r="F238" i="3"/>
  <c r="J76" i="1"/>
  <c r="J114" i="1"/>
  <c r="K118" i="1"/>
  <c r="N118" i="1"/>
  <c r="J118" i="1"/>
  <c r="K195" i="1"/>
  <c r="J329" i="1"/>
  <c r="J328" i="1"/>
  <c r="I240" i="3"/>
  <c r="I239" i="3" s="1"/>
  <c r="J243" i="3"/>
  <c r="J241" i="3" s="1"/>
  <c r="J264" i="1"/>
  <c r="J209" i="1"/>
  <c r="N331" i="1"/>
  <c r="J58" i="1"/>
  <c r="J129" i="1"/>
  <c r="J92" i="1"/>
  <c r="J316" i="1"/>
  <c r="J53" i="1"/>
  <c r="J208" i="1"/>
  <c r="K54" i="1"/>
  <c r="J54" i="1" s="1"/>
  <c r="I227" i="3" s="1"/>
  <c r="J55" i="1"/>
  <c r="I229" i="3" s="1"/>
  <c r="I228" i="3" s="1"/>
  <c r="J262" i="1"/>
  <c r="I231" i="3" s="1"/>
  <c r="J325" i="1"/>
  <c r="K56" i="1"/>
  <c r="J56" i="1"/>
  <c r="K263" i="1"/>
  <c r="J263" i="1"/>
  <c r="I232" i="3" s="1"/>
  <c r="J57" i="1"/>
  <c r="I234" i="3" s="1"/>
  <c r="I233" i="3" s="1"/>
  <c r="J326" i="1"/>
  <c r="I235" i="3" s="1"/>
  <c r="J327" i="1"/>
  <c r="I236" i="3" s="1"/>
  <c r="J310" i="1"/>
  <c r="J250" i="1"/>
  <c r="J281" i="1"/>
  <c r="I189" i="3" s="1"/>
  <c r="J125" i="1"/>
  <c r="J123" i="1" s="1"/>
  <c r="J286" i="1"/>
  <c r="J284" i="1" s="1"/>
  <c r="J229" i="1"/>
  <c r="J227" i="1" s="1"/>
  <c r="J256" i="1"/>
  <c r="I195" i="3" s="1"/>
  <c r="J301" i="1"/>
  <c r="I192" i="3" s="1"/>
  <c r="J40" i="1"/>
  <c r="I201" i="3" s="1"/>
  <c r="I200" i="3" s="1"/>
  <c r="J42" i="1"/>
  <c r="I203" i="3"/>
  <c r="J43" i="1"/>
  <c r="I204" i="3" s="1"/>
  <c r="J44" i="1"/>
  <c r="I207" i="3" s="1"/>
  <c r="J289" i="1"/>
  <c r="I206" i="3" s="1"/>
  <c r="I205" i="3" s="1"/>
  <c r="K292" i="1"/>
  <c r="J210" i="3"/>
  <c r="J208" i="3" s="1"/>
  <c r="M210" i="3"/>
  <c r="M208" i="3" s="1"/>
  <c r="J45" i="1"/>
  <c r="I213" i="3" s="1"/>
  <c r="I212" i="3" s="1"/>
  <c r="J46" i="1"/>
  <c r="P46" i="1" s="1"/>
  <c r="J311" i="1"/>
  <c r="N90" i="1"/>
  <c r="J90" i="1" s="1"/>
  <c r="N127" i="1"/>
  <c r="I216" i="3" s="1"/>
  <c r="J207" i="1"/>
  <c r="J231" i="1"/>
  <c r="N259" i="1"/>
  <c r="J259" i="1" s="1"/>
  <c r="N294" i="1"/>
  <c r="J294" i="1" s="1"/>
  <c r="J47" i="1"/>
  <c r="J324" i="1"/>
  <c r="J48" i="1"/>
  <c r="I219" i="3" s="1"/>
  <c r="J49" i="1"/>
  <c r="I220" i="3" s="1"/>
  <c r="K51" i="1"/>
  <c r="J51" i="1" s="1"/>
  <c r="K303" i="1"/>
  <c r="J303" i="1" s="1"/>
  <c r="K261" i="1"/>
  <c r="N261" i="1"/>
  <c r="J296" i="1"/>
  <c r="J52" i="1"/>
  <c r="J315" i="1"/>
  <c r="N312" i="1"/>
  <c r="J313" i="1"/>
  <c r="I218" i="3" s="1"/>
  <c r="N239" i="1"/>
  <c r="J242" i="1"/>
  <c r="I166" i="3"/>
  <c r="N240" i="1"/>
  <c r="J240" i="1"/>
  <c r="I164" i="3" s="1"/>
  <c r="J241" i="1"/>
  <c r="I165" i="3" s="1"/>
  <c r="J243" i="1"/>
  <c r="I167" i="3" s="1"/>
  <c r="J273" i="1"/>
  <c r="N276" i="1"/>
  <c r="N275" i="1"/>
  <c r="J245" i="1"/>
  <c r="J268" i="1"/>
  <c r="J300" i="1"/>
  <c r="J248" i="1"/>
  <c r="I171" i="3"/>
  <c r="I169" i="3" s="1"/>
  <c r="J31" i="1"/>
  <c r="I151" i="3" s="1"/>
  <c r="J32" i="1"/>
  <c r="I152" i="3" s="1"/>
  <c r="J85" i="1"/>
  <c r="J35" i="1"/>
  <c r="I155" i="3" s="1"/>
  <c r="K37" i="1"/>
  <c r="J38" i="1"/>
  <c r="I158" i="3" s="1"/>
  <c r="K223" i="1"/>
  <c r="J144" i="3" s="1"/>
  <c r="N223" i="1"/>
  <c r="J223" i="1"/>
  <c r="I144" i="3" s="1"/>
  <c r="N28" i="1"/>
  <c r="J29" i="1"/>
  <c r="J225" i="1"/>
  <c r="P225" i="1" s="1"/>
  <c r="J226" i="1"/>
  <c r="J26" i="1"/>
  <c r="I145" i="3" s="1"/>
  <c r="J147" i="1"/>
  <c r="I76" i="3" s="1"/>
  <c r="J148" i="1"/>
  <c r="I77" i="3" s="1"/>
  <c r="J149" i="1"/>
  <c r="J16" i="1"/>
  <c r="J151" i="1"/>
  <c r="J17" i="1"/>
  <c r="J150" i="1"/>
  <c r="I79" i="3" s="1"/>
  <c r="J168" i="1"/>
  <c r="I97" i="3" s="1"/>
  <c r="J183" i="1"/>
  <c r="I112" i="3" s="1"/>
  <c r="I111" i="3" s="1"/>
  <c r="J214" i="1"/>
  <c r="I114" i="3"/>
  <c r="I113" i="3" s="1"/>
  <c r="J21" i="1"/>
  <c r="I118" i="3" s="1"/>
  <c r="I117" i="3" s="1"/>
  <c r="J22" i="1"/>
  <c r="J81" i="1"/>
  <c r="J184" i="1"/>
  <c r="I120" i="3" s="1"/>
  <c r="J188" i="1"/>
  <c r="I124" i="3" s="1"/>
  <c r="J190" i="1"/>
  <c r="I126" i="3" s="1"/>
  <c r="J191" i="1"/>
  <c r="I127" i="3" s="1"/>
  <c r="J192" i="1"/>
  <c r="I128" i="3" s="1"/>
  <c r="J193" i="1"/>
  <c r="J236" i="1"/>
  <c r="I129" i="3"/>
  <c r="J205" i="1"/>
  <c r="I141" i="3"/>
  <c r="N206" i="1"/>
  <c r="J83" i="1"/>
  <c r="J82" i="1" s="1"/>
  <c r="J181" i="1"/>
  <c r="I110" i="3"/>
  <c r="J186" i="1"/>
  <c r="I122" i="3"/>
  <c r="J187" i="1"/>
  <c r="I123" i="3"/>
  <c r="J136" i="1"/>
  <c r="I65" i="3"/>
  <c r="J138" i="1"/>
  <c r="I67" i="3"/>
  <c r="J142" i="1"/>
  <c r="I71" i="3"/>
  <c r="J144" i="1"/>
  <c r="I73" i="3"/>
  <c r="J154" i="1"/>
  <c r="I83" i="3"/>
  <c r="J156" i="1"/>
  <c r="I85" i="3"/>
  <c r="J158" i="1"/>
  <c r="I87" i="3"/>
  <c r="J160" i="1"/>
  <c r="I89" i="3"/>
  <c r="J162" i="1"/>
  <c r="I91" i="3"/>
  <c r="J164" i="1"/>
  <c r="I93" i="3"/>
  <c r="J166" i="1"/>
  <c r="I95" i="3"/>
  <c r="J171" i="1"/>
  <c r="I100" i="3"/>
  <c r="J173" i="1"/>
  <c r="I102" i="3"/>
  <c r="J175" i="1"/>
  <c r="J177" i="1"/>
  <c r="I106" i="3" s="1"/>
  <c r="J179" i="1"/>
  <c r="J202" i="1"/>
  <c r="I138" i="3" s="1"/>
  <c r="J196" i="1"/>
  <c r="I132" i="3" s="1"/>
  <c r="K97" i="1"/>
  <c r="N97" i="1"/>
  <c r="N99" i="1"/>
  <c r="J99" i="1" s="1"/>
  <c r="I37" i="3" s="1"/>
  <c r="J101" i="1"/>
  <c r="I39" i="3" s="1"/>
  <c r="J103" i="1"/>
  <c r="I41" i="3" s="1"/>
  <c r="J107" i="1"/>
  <c r="I45" i="3" s="1"/>
  <c r="N109" i="1"/>
  <c r="J109" i="1" s="1"/>
  <c r="I47" i="3"/>
  <c r="J115" i="1"/>
  <c r="I53" i="3"/>
  <c r="J119" i="1"/>
  <c r="I57" i="3"/>
  <c r="J121" i="1"/>
  <c r="I59" i="3"/>
  <c r="K64" i="1"/>
  <c r="J16" i="3"/>
  <c r="J64" i="1"/>
  <c r="I16" i="3" s="1"/>
  <c r="K65" i="1"/>
  <c r="J17" i="3"/>
  <c r="J67" i="1"/>
  <c r="I19" i="3" s="1"/>
  <c r="K222" i="1"/>
  <c r="J24" i="3" s="1"/>
  <c r="N222" i="1"/>
  <c r="J222" i="1"/>
  <c r="N72" i="1"/>
  <c r="J72" i="1"/>
  <c r="I25" i="3" s="1"/>
  <c r="J74" i="1"/>
  <c r="I27" i="3" s="1"/>
  <c r="J77" i="1"/>
  <c r="J79" i="1"/>
  <c r="I32" i="3" s="1"/>
  <c r="J13" i="1"/>
  <c r="J63" i="1"/>
  <c r="N96" i="1"/>
  <c r="J96" i="1" s="1"/>
  <c r="N133" i="1"/>
  <c r="N212" i="1"/>
  <c r="J221" i="1"/>
  <c r="N235" i="1"/>
  <c r="J235" i="1"/>
  <c r="N267" i="1"/>
  <c r="J267" i="1"/>
  <c r="K272" i="1"/>
  <c r="N272" i="1"/>
  <c r="J272" i="1" s="1"/>
  <c r="N299" i="1"/>
  <c r="J299" i="1" s="1"/>
  <c r="J306" i="1"/>
  <c r="J305" i="1" s="1"/>
  <c r="J304" i="1" s="1"/>
  <c r="N309" i="1"/>
  <c r="J309" i="1" s="1"/>
  <c r="J319" i="1"/>
  <c r="N323" i="1"/>
  <c r="J14" i="1"/>
  <c r="I13" i="3" s="1"/>
  <c r="J240" i="3"/>
  <c r="J239" i="3" s="1"/>
  <c r="J246" i="3"/>
  <c r="J245" i="3" s="1"/>
  <c r="J248" i="3"/>
  <c r="J247" i="3" s="1"/>
  <c r="J226" i="3"/>
  <c r="J227" i="3"/>
  <c r="J229" i="3"/>
  <c r="J228" i="3" s="1"/>
  <c r="J231" i="3"/>
  <c r="J234" i="3"/>
  <c r="J233" i="3" s="1"/>
  <c r="J235" i="3"/>
  <c r="J236" i="3"/>
  <c r="J182" i="3"/>
  <c r="J181" i="3" s="1"/>
  <c r="J185" i="3"/>
  <c r="J187" i="3"/>
  <c r="J188" i="3"/>
  <c r="J189" i="3"/>
  <c r="J190" i="3"/>
  <c r="J191" i="3"/>
  <c r="J196" i="3"/>
  <c r="J195" i="3"/>
  <c r="J192" i="3"/>
  <c r="J201" i="3"/>
  <c r="J200" i="3" s="1"/>
  <c r="J203" i="3"/>
  <c r="J204" i="3"/>
  <c r="J207" i="3"/>
  <c r="J206" i="3"/>
  <c r="J205" i="3" s="1"/>
  <c r="J213" i="3"/>
  <c r="J212" i="3" s="1"/>
  <c r="J215" i="3"/>
  <c r="J216" i="3"/>
  <c r="J219" i="3"/>
  <c r="J220" i="3"/>
  <c r="J223" i="3"/>
  <c r="J217" i="3"/>
  <c r="J218" i="3"/>
  <c r="J162" i="3"/>
  <c r="J163" i="3"/>
  <c r="J166" i="3"/>
  <c r="J164" i="3"/>
  <c r="J165" i="3"/>
  <c r="J167" i="3"/>
  <c r="J168" i="3"/>
  <c r="J178" i="3"/>
  <c r="J175" i="3"/>
  <c r="J179" i="3"/>
  <c r="J171" i="3"/>
  <c r="J169" i="3" s="1"/>
  <c r="J151" i="3"/>
  <c r="J150" i="3" s="1"/>
  <c r="J152" i="3"/>
  <c r="J154" i="3"/>
  <c r="J155" i="3"/>
  <c r="J158" i="3"/>
  <c r="K27" i="1"/>
  <c r="K224" i="1"/>
  <c r="J145" i="3"/>
  <c r="J76" i="3"/>
  <c r="J77" i="3"/>
  <c r="J78" i="3"/>
  <c r="J80" i="3"/>
  <c r="J79" i="3"/>
  <c r="J97" i="3"/>
  <c r="J112" i="3"/>
  <c r="J111" i="3" s="1"/>
  <c r="J114" i="3"/>
  <c r="J113" i="3" s="1"/>
  <c r="J116" i="3"/>
  <c r="J115" i="3" s="1"/>
  <c r="J118" i="3"/>
  <c r="J117" i="3" s="1"/>
  <c r="J119" i="3"/>
  <c r="J120" i="3"/>
  <c r="J124" i="3"/>
  <c r="J126" i="3"/>
  <c r="J127" i="3"/>
  <c r="J125" i="3" s="1"/>
  <c r="J128" i="3"/>
  <c r="J129" i="3"/>
  <c r="J141" i="3"/>
  <c r="J142" i="3"/>
  <c r="J110" i="3"/>
  <c r="J122" i="3"/>
  <c r="J121" i="3" s="1"/>
  <c r="J123" i="3"/>
  <c r="J65" i="3"/>
  <c r="J67" i="3"/>
  <c r="J71" i="3"/>
  <c r="J73" i="3"/>
  <c r="J83" i="3"/>
  <c r="J85" i="3"/>
  <c r="J87" i="3"/>
  <c r="J89" i="3"/>
  <c r="J91" i="3"/>
  <c r="J93" i="3"/>
  <c r="J95" i="3"/>
  <c r="J100" i="3"/>
  <c r="J102" i="3"/>
  <c r="J104" i="3"/>
  <c r="J106" i="3"/>
  <c r="J108" i="3"/>
  <c r="J138" i="3"/>
  <c r="J132" i="3"/>
  <c r="J130" i="3" s="1"/>
  <c r="J37" i="3"/>
  <c r="J39" i="3"/>
  <c r="J41" i="3"/>
  <c r="J45" i="3"/>
  <c r="J47" i="3"/>
  <c r="J43" i="3" s="1"/>
  <c r="J53" i="3"/>
  <c r="J57" i="3"/>
  <c r="J59" i="3"/>
  <c r="J19" i="3"/>
  <c r="J21" i="3"/>
  <c r="J23" i="3"/>
  <c r="J25" i="3"/>
  <c r="J27" i="3"/>
  <c r="J30" i="3"/>
  <c r="J32" i="3"/>
  <c r="J12" i="3"/>
  <c r="J13" i="3"/>
  <c r="K240" i="3"/>
  <c r="K239" i="3" s="1"/>
  <c r="K246" i="3"/>
  <c r="K245" i="3" s="1"/>
  <c r="K248" i="3"/>
  <c r="K247" i="3" s="1"/>
  <c r="K226" i="3"/>
  <c r="K227" i="3"/>
  <c r="K229" i="3"/>
  <c r="K228" i="3" s="1"/>
  <c r="K231" i="3"/>
  <c r="K232" i="3"/>
  <c r="K234" i="3"/>
  <c r="K233" i="3" s="1"/>
  <c r="K235" i="3"/>
  <c r="K236" i="3"/>
  <c r="K182" i="3"/>
  <c r="K181" i="3" s="1"/>
  <c r="K185" i="3"/>
  <c r="K187" i="3"/>
  <c r="K188" i="3"/>
  <c r="K189" i="3"/>
  <c r="K190" i="3"/>
  <c r="K191" i="3"/>
  <c r="K196" i="3"/>
  <c r="K195" i="3"/>
  <c r="K193" i="3" s="1"/>
  <c r="K192" i="3"/>
  <c r="K201" i="3"/>
  <c r="K200" i="3" s="1"/>
  <c r="K203" i="3"/>
  <c r="K204" i="3"/>
  <c r="K202" i="3" s="1"/>
  <c r="K207" i="3"/>
  <c r="K206" i="3"/>
  <c r="K205" i="3" s="1"/>
  <c r="K213" i="3"/>
  <c r="K212" i="3" s="1"/>
  <c r="K215" i="3"/>
  <c r="K216" i="3"/>
  <c r="K219" i="3"/>
  <c r="K220" i="3"/>
  <c r="K222" i="3"/>
  <c r="K223" i="3"/>
  <c r="K217" i="3"/>
  <c r="K218" i="3"/>
  <c r="K162" i="3"/>
  <c r="K163" i="3"/>
  <c r="K166" i="3"/>
  <c r="K164" i="3"/>
  <c r="K165" i="3"/>
  <c r="K167" i="3"/>
  <c r="K168" i="3"/>
  <c r="K178" i="3"/>
  <c r="K175" i="3"/>
  <c r="K179" i="3"/>
  <c r="K171" i="3"/>
  <c r="K169" i="3" s="1"/>
  <c r="K151" i="3"/>
  <c r="K152" i="3"/>
  <c r="K154" i="3"/>
  <c r="K155" i="3"/>
  <c r="K157" i="3"/>
  <c r="K158" i="3"/>
  <c r="K144" i="3"/>
  <c r="L27" i="1"/>
  <c r="L224" i="1"/>
  <c r="K146" i="3" s="1"/>
  <c r="K145" i="3"/>
  <c r="K76" i="3"/>
  <c r="K77" i="3"/>
  <c r="K78" i="3"/>
  <c r="K80" i="3"/>
  <c r="K79" i="3"/>
  <c r="K97" i="3"/>
  <c r="K112" i="3"/>
  <c r="K111" i="3" s="1"/>
  <c r="K114" i="3"/>
  <c r="K113" i="3" s="1"/>
  <c r="K116" i="3"/>
  <c r="K115" i="3" s="1"/>
  <c r="K118" i="3"/>
  <c r="K117" i="3" s="1"/>
  <c r="K119" i="3"/>
  <c r="K120" i="3"/>
  <c r="K124" i="3"/>
  <c r="K126" i="3"/>
  <c r="K127" i="3"/>
  <c r="K128" i="3"/>
  <c r="K129" i="3"/>
  <c r="K141" i="3"/>
  <c r="K142" i="3"/>
  <c r="K110" i="3"/>
  <c r="K122" i="3"/>
  <c r="K123" i="3"/>
  <c r="K65" i="3"/>
  <c r="K67" i="3"/>
  <c r="K71" i="3"/>
  <c r="K73" i="3"/>
  <c r="K83" i="3"/>
  <c r="K85" i="3"/>
  <c r="K87" i="3"/>
  <c r="K89" i="3"/>
  <c r="K91" i="3"/>
  <c r="K93" i="3"/>
  <c r="K95" i="3"/>
  <c r="K100" i="3"/>
  <c r="K102" i="3"/>
  <c r="K104" i="3"/>
  <c r="K106" i="3"/>
  <c r="K108" i="3"/>
  <c r="K138" i="3"/>
  <c r="K132" i="3"/>
  <c r="K130" i="3" s="1"/>
  <c r="K35" i="3"/>
  <c r="K37" i="3"/>
  <c r="K39" i="3"/>
  <c r="K41" i="3"/>
  <c r="K45" i="3"/>
  <c r="K47" i="3"/>
  <c r="K53" i="3"/>
  <c r="K57" i="3"/>
  <c r="K59" i="3"/>
  <c r="K16" i="3"/>
  <c r="K17" i="3"/>
  <c r="K19" i="3"/>
  <c r="K21" i="3"/>
  <c r="K23" i="3"/>
  <c r="K24" i="3"/>
  <c r="K25" i="3"/>
  <c r="K27" i="3"/>
  <c r="K30" i="3"/>
  <c r="K32" i="3"/>
  <c r="L272" i="1"/>
  <c r="K12" i="3" s="1"/>
  <c r="K13" i="3"/>
  <c r="L240" i="3"/>
  <c r="L239" i="3" s="1"/>
  <c r="L246" i="3"/>
  <c r="L245" i="3" s="1"/>
  <c r="L248" i="3"/>
  <c r="L247" i="3" s="1"/>
  <c r="L226" i="3"/>
  <c r="M54" i="1"/>
  <c r="L227" i="3"/>
  <c r="L229" i="3"/>
  <c r="L228" i="3" s="1"/>
  <c r="L231" i="3"/>
  <c r="L232" i="3"/>
  <c r="L234" i="3"/>
  <c r="L233" i="3" s="1"/>
  <c r="L235" i="3"/>
  <c r="L236" i="3"/>
  <c r="L182" i="3"/>
  <c r="L181" i="3" s="1"/>
  <c r="L185" i="3"/>
  <c r="L187" i="3"/>
  <c r="L188" i="3"/>
  <c r="L189" i="3"/>
  <c r="L190" i="3"/>
  <c r="L191" i="3"/>
  <c r="L196" i="3"/>
  <c r="L195" i="3"/>
  <c r="L192" i="3"/>
  <c r="L201" i="3"/>
  <c r="L200" i="3" s="1"/>
  <c r="L203" i="3"/>
  <c r="L204" i="3"/>
  <c r="L207" i="3"/>
  <c r="L206" i="3"/>
  <c r="L205" i="3" s="1"/>
  <c r="L213" i="3"/>
  <c r="L212" i="3" s="1"/>
  <c r="L215" i="3"/>
  <c r="L216" i="3"/>
  <c r="L219" i="3"/>
  <c r="L220" i="3"/>
  <c r="L222" i="3"/>
  <c r="L223" i="3"/>
  <c r="L217" i="3"/>
  <c r="L218" i="3"/>
  <c r="L162" i="3"/>
  <c r="L163" i="3"/>
  <c r="L166" i="3"/>
  <c r="L164" i="3"/>
  <c r="L165" i="3"/>
  <c r="L167" i="3"/>
  <c r="L168" i="3"/>
  <c r="L178" i="3"/>
  <c r="L175" i="3"/>
  <c r="L179" i="3"/>
  <c r="L171" i="3"/>
  <c r="L169" i="3" s="1"/>
  <c r="L151" i="3"/>
  <c r="L152" i="3"/>
  <c r="L154" i="3"/>
  <c r="L155" i="3"/>
  <c r="L153" i="3" s="1"/>
  <c r="L157" i="3"/>
  <c r="L158" i="3"/>
  <c r="L156" i="3" s="1"/>
  <c r="L144" i="3"/>
  <c r="M27" i="1"/>
  <c r="M224" i="1"/>
  <c r="L146" i="3" s="1"/>
  <c r="L145" i="3"/>
  <c r="L143" i="3" s="1"/>
  <c r="L76" i="3"/>
  <c r="L77" i="3"/>
  <c r="L78" i="3"/>
  <c r="L80" i="3"/>
  <c r="L79" i="3"/>
  <c r="L97" i="3"/>
  <c r="L112" i="3"/>
  <c r="L111" i="3" s="1"/>
  <c r="L114" i="3"/>
  <c r="L113" i="3" s="1"/>
  <c r="L116" i="3"/>
  <c r="L115" i="3" s="1"/>
  <c r="L118" i="3"/>
  <c r="L117" i="3" s="1"/>
  <c r="L119" i="3"/>
  <c r="L120" i="3"/>
  <c r="L124" i="3"/>
  <c r="L126" i="3"/>
  <c r="L127" i="3"/>
  <c r="L128" i="3"/>
  <c r="L129" i="3"/>
  <c r="L141" i="3"/>
  <c r="L140" i="3" s="1"/>
  <c r="L142" i="3"/>
  <c r="L110" i="3"/>
  <c r="L122" i="3"/>
  <c r="L123" i="3"/>
  <c r="L65" i="3"/>
  <c r="L67" i="3"/>
  <c r="L71" i="3"/>
  <c r="L73" i="3"/>
  <c r="L83" i="3"/>
  <c r="L85" i="3"/>
  <c r="L87" i="3"/>
  <c r="L89" i="3"/>
  <c r="L91" i="3"/>
  <c r="L93" i="3"/>
  <c r="L95" i="3"/>
  <c r="L100" i="3"/>
  <c r="L102" i="3"/>
  <c r="L104" i="3"/>
  <c r="L106" i="3"/>
  <c r="L108" i="3"/>
  <c r="L138" i="3"/>
  <c r="L132" i="3"/>
  <c r="L130" i="3" s="1"/>
  <c r="L35" i="3"/>
  <c r="L37" i="3"/>
  <c r="L39" i="3"/>
  <c r="L41" i="3"/>
  <c r="L45" i="3"/>
  <c r="L47" i="3"/>
  <c r="L53" i="3"/>
  <c r="L57" i="3"/>
  <c r="L59" i="3"/>
  <c r="L16" i="3"/>
  <c r="L17" i="3"/>
  <c r="L19" i="3"/>
  <c r="L21" i="3"/>
  <c r="L23" i="3"/>
  <c r="L24" i="3"/>
  <c r="L25" i="3"/>
  <c r="L27" i="3"/>
  <c r="L30" i="3"/>
  <c r="L28" i="3" s="1"/>
  <c r="L14" i="3" s="1"/>
  <c r="L32" i="3"/>
  <c r="M272" i="1"/>
  <c r="L12" i="3"/>
  <c r="L13" i="3"/>
  <c r="M240" i="3"/>
  <c r="M239" i="3" s="1"/>
  <c r="M226" i="3"/>
  <c r="M225" i="3" s="1"/>
  <c r="M227" i="3"/>
  <c r="M229" i="3"/>
  <c r="M228" i="3" s="1"/>
  <c r="M231" i="3"/>
  <c r="M234" i="3"/>
  <c r="M233" i="3" s="1"/>
  <c r="M235" i="3"/>
  <c r="M236" i="3"/>
  <c r="M182" i="3"/>
  <c r="M181" i="3" s="1"/>
  <c r="M190" i="3"/>
  <c r="N227" i="1"/>
  <c r="M195" i="3"/>
  <c r="M192" i="3"/>
  <c r="M201" i="3"/>
  <c r="M200" i="3" s="1"/>
  <c r="M203" i="3"/>
  <c r="M207" i="3"/>
  <c r="M206" i="3"/>
  <c r="M205" i="3" s="1"/>
  <c r="M213" i="3"/>
  <c r="M212" i="3" s="1"/>
  <c r="M215" i="3"/>
  <c r="M216" i="3"/>
  <c r="M219" i="3"/>
  <c r="M220" i="3"/>
  <c r="M223" i="3"/>
  <c r="M218" i="3"/>
  <c r="M166" i="3"/>
  <c r="M164" i="3"/>
  <c r="M165" i="3"/>
  <c r="M167" i="3"/>
  <c r="M179" i="3"/>
  <c r="M171" i="3"/>
  <c r="M169" i="3" s="1"/>
  <c r="M151" i="3"/>
  <c r="M152" i="3"/>
  <c r="M155" i="3"/>
  <c r="M158" i="3"/>
  <c r="M144" i="3"/>
  <c r="N224" i="1"/>
  <c r="M145" i="3"/>
  <c r="M76" i="3"/>
  <c r="M77" i="3"/>
  <c r="M78" i="3"/>
  <c r="M80" i="3"/>
  <c r="M79" i="3"/>
  <c r="M97" i="3"/>
  <c r="M112" i="3"/>
  <c r="M111" i="3" s="1"/>
  <c r="M114" i="3"/>
  <c r="M113" i="3" s="1"/>
  <c r="M118" i="3"/>
  <c r="M117" i="3" s="1"/>
  <c r="M119" i="3"/>
  <c r="M120" i="3"/>
  <c r="M124" i="3"/>
  <c r="M126" i="3"/>
  <c r="M127" i="3"/>
  <c r="M128" i="3"/>
  <c r="M129" i="3"/>
  <c r="M141" i="3"/>
  <c r="M110" i="3"/>
  <c r="M122" i="3"/>
  <c r="M123" i="3"/>
  <c r="M65" i="3"/>
  <c r="M67" i="3"/>
  <c r="M71" i="3"/>
  <c r="M73" i="3"/>
  <c r="M83" i="3"/>
  <c r="M85" i="3"/>
  <c r="M87" i="3"/>
  <c r="M89" i="3"/>
  <c r="M91" i="3"/>
  <c r="M93" i="3"/>
  <c r="M95" i="3"/>
  <c r="M100" i="3"/>
  <c r="M102" i="3"/>
  <c r="M104" i="3"/>
  <c r="M106" i="3"/>
  <c r="M108" i="3"/>
  <c r="M138" i="3"/>
  <c r="M35" i="3"/>
  <c r="M39" i="3"/>
  <c r="M41" i="3"/>
  <c r="M45" i="3"/>
  <c r="M47" i="3"/>
  <c r="M53" i="3"/>
  <c r="M57" i="3"/>
  <c r="M59" i="3"/>
  <c r="M16" i="3"/>
  <c r="M19" i="3"/>
  <c r="M24" i="3"/>
  <c r="M25" i="3"/>
  <c r="M27" i="3"/>
  <c r="M30" i="3"/>
  <c r="M32" i="3"/>
  <c r="M13" i="3"/>
  <c r="N240" i="3"/>
  <c r="N239" i="3" s="1"/>
  <c r="O331" i="1"/>
  <c r="N246" i="3" s="1"/>
  <c r="N245" i="3" s="1"/>
  <c r="N248" i="3"/>
  <c r="N247" i="3" s="1"/>
  <c r="N226" i="3"/>
  <c r="N227" i="3"/>
  <c r="N229" i="3"/>
  <c r="N228" i="3" s="1"/>
  <c r="N231" i="3"/>
  <c r="N232" i="3"/>
  <c r="N230" i="3" s="1"/>
  <c r="N234" i="3"/>
  <c r="N233" i="3" s="1"/>
  <c r="N235" i="3"/>
  <c r="N236" i="3"/>
  <c r="N182" i="3"/>
  <c r="N181" i="3" s="1"/>
  <c r="N187" i="3"/>
  <c r="N188" i="3"/>
  <c r="N189" i="3"/>
  <c r="N190" i="3"/>
  <c r="O284" i="1"/>
  <c r="N195" i="3"/>
  <c r="N192" i="3"/>
  <c r="N201" i="3"/>
  <c r="N200" i="3" s="1"/>
  <c r="N203" i="3"/>
  <c r="N204" i="3"/>
  <c r="N207" i="3"/>
  <c r="N206" i="3"/>
  <c r="N205" i="3" s="1"/>
  <c r="N208" i="3"/>
  <c r="N213" i="3"/>
  <c r="N212" i="3" s="1"/>
  <c r="N215" i="3"/>
  <c r="O90" i="1"/>
  <c r="O127" i="1"/>
  <c r="O259" i="1"/>
  <c r="O294" i="1"/>
  <c r="N219" i="3"/>
  <c r="N220" i="3"/>
  <c r="N222" i="3"/>
  <c r="N223" i="3"/>
  <c r="O312" i="1"/>
  <c r="N217" i="3" s="1"/>
  <c r="N218" i="3"/>
  <c r="N162" i="3"/>
  <c r="O239" i="1"/>
  <c r="N163" i="3" s="1"/>
  <c r="N166" i="3"/>
  <c r="O240" i="1"/>
  <c r="N164" i="3" s="1"/>
  <c r="N165" i="3"/>
  <c r="N167" i="3"/>
  <c r="N178" i="3"/>
  <c r="O275" i="1"/>
  <c r="N175" i="3" s="1"/>
  <c r="N179" i="3"/>
  <c r="N171" i="3"/>
  <c r="N169" i="3" s="1"/>
  <c r="N151" i="3"/>
  <c r="N152" i="3"/>
  <c r="N154" i="3"/>
  <c r="N155" i="3"/>
  <c r="N157" i="3"/>
  <c r="N158" i="3"/>
  <c r="O223" i="1"/>
  <c r="N144" i="3"/>
  <c r="O28" i="1"/>
  <c r="O27" i="1"/>
  <c r="O224" i="1"/>
  <c r="N146" i="3" s="1"/>
  <c r="N145" i="3"/>
  <c r="N76" i="3"/>
  <c r="N77" i="3"/>
  <c r="N78" i="3"/>
  <c r="N80" i="3"/>
  <c r="N79" i="3"/>
  <c r="N97" i="3"/>
  <c r="N112" i="3"/>
  <c r="N111" i="3" s="1"/>
  <c r="N114" i="3"/>
  <c r="N113" i="3" s="1"/>
  <c r="N116" i="3"/>
  <c r="N115" i="3" s="1"/>
  <c r="N118" i="3"/>
  <c r="N117" i="3" s="1"/>
  <c r="N119" i="3"/>
  <c r="N120" i="3"/>
  <c r="N124" i="3"/>
  <c r="N126" i="3"/>
  <c r="N127" i="3"/>
  <c r="N128" i="3"/>
  <c r="N129" i="3"/>
  <c r="N141" i="3"/>
  <c r="O206" i="1"/>
  <c r="N142" i="3" s="1"/>
  <c r="N110" i="3"/>
  <c r="N122" i="3"/>
  <c r="N123" i="3"/>
  <c r="N65" i="3"/>
  <c r="N67" i="3"/>
  <c r="N71" i="3"/>
  <c r="N73" i="3"/>
  <c r="N83" i="3"/>
  <c r="N85" i="3"/>
  <c r="N87" i="3"/>
  <c r="N89" i="3"/>
  <c r="N91" i="3"/>
  <c r="N93" i="3"/>
  <c r="N95" i="3"/>
  <c r="N100" i="3"/>
  <c r="N102" i="3"/>
  <c r="N104" i="3"/>
  <c r="N106" i="3"/>
  <c r="N108" i="3"/>
  <c r="N138" i="3"/>
  <c r="O97" i="1"/>
  <c r="N35" i="3" s="1"/>
  <c r="O99" i="1"/>
  <c r="N37" i="3" s="1"/>
  <c r="N39" i="3"/>
  <c r="N41" i="3"/>
  <c r="N45" i="3"/>
  <c r="O109" i="1"/>
  <c r="N47" i="3"/>
  <c r="N53" i="3"/>
  <c r="N57" i="3"/>
  <c r="N59" i="3"/>
  <c r="N16" i="3"/>
  <c r="N17" i="3"/>
  <c r="N19" i="3"/>
  <c r="N21" i="3"/>
  <c r="N23" i="3"/>
  <c r="O222" i="1"/>
  <c r="N24" i="3"/>
  <c r="O72" i="1"/>
  <c r="N25" i="3"/>
  <c r="N27" i="3"/>
  <c r="N30" i="3"/>
  <c r="N32" i="3"/>
  <c r="N12" i="3"/>
  <c r="O96" i="1"/>
  <c r="O133" i="1"/>
  <c r="O212" i="1"/>
  <c r="O235" i="1"/>
  <c r="O267" i="1"/>
  <c r="O299" i="1"/>
  <c r="O309" i="1"/>
  <c r="O323" i="1"/>
  <c r="O321" i="1" s="1"/>
  <c r="O320" i="1" s="1"/>
  <c r="N13" i="3"/>
  <c r="I244" i="1"/>
  <c r="E268" i="1"/>
  <c r="P268" i="1" s="1"/>
  <c r="I245" i="1"/>
  <c r="E245" i="1" s="1"/>
  <c r="P245" i="1" s="1"/>
  <c r="E239" i="1"/>
  <c r="E238" i="1"/>
  <c r="F242" i="1"/>
  <c r="E240" i="1"/>
  <c r="P240" i="1" s="1"/>
  <c r="O164" i="3" s="1"/>
  <c r="E241" i="1"/>
  <c r="E243" i="1"/>
  <c r="I276" i="1"/>
  <c r="E276" i="1"/>
  <c r="E275" i="1"/>
  <c r="E248" i="1"/>
  <c r="P248" i="1" s="1"/>
  <c r="E34" i="1"/>
  <c r="D154" i="3" s="1"/>
  <c r="E85" i="1"/>
  <c r="F31" i="1"/>
  <c r="E31" i="1" s="1"/>
  <c r="E38" i="1"/>
  <c r="E36" i="1" s="1"/>
  <c r="E328" i="1"/>
  <c r="E264" i="1"/>
  <c r="P264" i="1" s="1"/>
  <c r="E209" i="1"/>
  <c r="P209" i="1" s="1"/>
  <c r="F331" i="1"/>
  <c r="E331" i="1" s="1"/>
  <c r="F58" i="1"/>
  <c r="E129" i="1"/>
  <c r="E59" i="1"/>
  <c r="E92" i="1"/>
  <c r="P92" i="1" s="1"/>
  <c r="E316" i="1"/>
  <c r="P316" i="1" s="1"/>
  <c r="F53" i="1"/>
  <c r="E53" i="1" s="1"/>
  <c r="F208" i="1"/>
  <c r="E208" i="1"/>
  <c r="P208" i="1" s="1"/>
  <c r="F54" i="1"/>
  <c r="E55" i="1"/>
  <c r="E262" i="1"/>
  <c r="E91" i="1"/>
  <c r="P91" i="1" s="1"/>
  <c r="E325" i="1"/>
  <c r="P325" i="1" s="1"/>
  <c r="E56" i="1"/>
  <c r="E263" i="1"/>
  <c r="P263" i="1"/>
  <c r="O232" i="3" s="1"/>
  <c r="E57" i="1"/>
  <c r="D234" i="3" s="1"/>
  <c r="D233" i="3" s="1"/>
  <c r="F326" i="1"/>
  <c r="E326" i="1" s="1"/>
  <c r="P327" i="1"/>
  <c r="O236" i="3" s="1"/>
  <c r="E310" i="1"/>
  <c r="E250" i="1"/>
  <c r="P250" i="1" s="1"/>
  <c r="E251" i="1"/>
  <c r="E277" i="1"/>
  <c r="E279" i="1"/>
  <c r="E280" i="1"/>
  <c r="E281" i="1"/>
  <c r="E252" i="1"/>
  <c r="E282" i="1"/>
  <c r="E253" i="1"/>
  <c r="D191" i="3" s="1"/>
  <c r="E283" i="1"/>
  <c r="E88" i="1"/>
  <c r="E86" i="1" s="1"/>
  <c r="E125" i="1"/>
  <c r="E257" i="1"/>
  <c r="E254" i="1" s="1"/>
  <c r="E286" i="1"/>
  <c r="P229" i="1"/>
  <c r="P227" i="1" s="1"/>
  <c r="E256" i="1"/>
  <c r="E301" i="1"/>
  <c r="P301" i="1" s="1"/>
  <c r="O192" i="3" s="1"/>
  <c r="E40" i="1"/>
  <c r="D201" i="3" s="1"/>
  <c r="D200" i="3" s="1"/>
  <c r="H203" i="3"/>
  <c r="I43" i="1"/>
  <c r="E43" i="1"/>
  <c r="D204" i="3" s="1"/>
  <c r="F44" i="1"/>
  <c r="E289" i="1"/>
  <c r="D206" i="3" s="1"/>
  <c r="D205" i="3" s="1"/>
  <c r="E292" i="1"/>
  <c r="D210" i="3" s="1"/>
  <c r="D208" i="3" s="1"/>
  <c r="E45" i="1"/>
  <c r="P45" i="1" s="1"/>
  <c r="O213" i="3" s="1"/>
  <c r="O212" i="3" s="1"/>
  <c r="E46" i="1"/>
  <c r="F311" i="1"/>
  <c r="E311" i="1" s="1"/>
  <c r="E90" i="1"/>
  <c r="P90" i="1" s="1"/>
  <c r="F127" i="1"/>
  <c r="E207" i="1"/>
  <c r="E231" i="1"/>
  <c r="E259" i="1"/>
  <c r="P259" i="1" s="1"/>
  <c r="F294" i="1"/>
  <c r="E47" i="1"/>
  <c r="P47" i="1" s="1"/>
  <c r="E324" i="1"/>
  <c r="P324" i="1" s="1"/>
  <c r="E48" i="1"/>
  <c r="D219" i="3" s="1"/>
  <c r="F49" i="1"/>
  <c r="E49" i="1" s="1"/>
  <c r="D220" i="3" s="1"/>
  <c r="E51" i="1"/>
  <c r="E303" i="1"/>
  <c r="E261" i="1"/>
  <c r="E296" i="1"/>
  <c r="P296" i="1" s="1"/>
  <c r="P295" i="1" s="1"/>
  <c r="F52" i="1"/>
  <c r="F315" i="1"/>
  <c r="E315" i="1" s="1"/>
  <c r="P315" i="1" s="1"/>
  <c r="P314" i="1" s="1"/>
  <c r="E312" i="1"/>
  <c r="D217" i="3" s="1"/>
  <c r="E313" i="1"/>
  <c r="P313" i="1"/>
  <c r="O218" i="3" s="1"/>
  <c r="E28" i="1"/>
  <c r="F29" i="1"/>
  <c r="E225" i="1"/>
  <c r="E226" i="1"/>
  <c r="E145" i="3"/>
  <c r="E147" i="1"/>
  <c r="D76" i="3" s="1"/>
  <c r="E148" i="1"/>
  <c r="E149" i="1"/>
  <c r="P149" i="1" s="1"/>
  <c r="F16" i="1"/>
  <c r="E16" i="1" s="1"/>
  <c r="P16" i="1" s="1"/>
  <c r="E151" i="1"/>
  <c r="F17" i="1"/>
  <c r="F15" i="1" s="1"/>
  <c r="E150" i="1"/>
  <c r="P150" i="1" s="1"/>
  <c r="O79" i="3" s="1"/>
  <c r="F168" i="1"/>
  <c r="E168" i="1" s="1"/>
  <c r="E214" i="1"/>
  <c r="F19" i="1"/>
  <c r="F21" i="1"/>
  <c r="E21" i="1" s="1"/>
  <c r="D118" i="3" s="1"/>
  <c r="D117" i="3" s="1"/>
  <c r="F22" i="1"/>
  <c r="E81" i="1"/>
  <c r="P81" i="1" s="1"/>
  <c r="E184" i="1"/>
  <c r="F188" i="1"/>
  <c r="F190" i="1"/>
  <c r="F191" i="1"/>
  <c r="E192" i="1"/>
  <c r="F193" i="1"/>
  <c r="E129" i="3" s="1"/>
  <c r="E236" i="1"/>
  <c r="F24" i="1"/>
  <c r="E24" i="1" s="1"/>
  <c r="P24" i="1" s="1"/>
  <c r="F205" i="1"/>
  <c r="F25" i="1"/>
  <c r="E206" i="1"/>
  <c r="E83" i="1"/>
  <c r="E181" i="1"/>
  <c r="P181" i="1" s="1"/>
  <c r="O110" i="3" s="1"/>
  <c r="E186" i="1"/>
  <c r="P186" i="1" s="1"/>
  <c r="O122" i="3" s="1"/>
  <c r="E187" i="1"/>
  <c r="E136" i="1"/>
  <c r="D65" i="3" s="1"/>
  <c r="E138" i="1"/>
  <c r="P138" i="1" s="1"/>
  <c r="O67" i="3" s="1"/>
  <c r="E142" i="1"/>
  <c r="E144" i="1"/>
  <c r="E154" i="1"/>
  <c r="E156" i="1"/>
  <c r="D85" i="3" s="1"/>
  <c r="E158" i="1"/>
  <c r="D87" i="3" s="1"/>
  <c r="E160" i="1"/>
  <c r="E162" i="1"/>
  <c r="P162" i="1" s="1"/>
  <c r="O91" i="3" s="1"/>
  <c r="E164" i="1"/>
  <c r="P164" i="1" s="1"/>
  <c r="O93" i="3" s="1"/>
  <c r="E166" i="1"/>
  <c r="D95" i="3" s="1"/>
  <c r="E171" i="1"/>
  <c r="E173" i="1"/>
  <c r="D102" i="3" s="1"/>
  <c r="E175" i="1"/>
  <c r="D104" i="3" s="1"/>
  <c r="E179" i="1"/>
  <c r="D108" i="3" s="1"/>
  <c r="F202" i="1"/>
  <c r="E202" i="1" s="1"/>
  <c r="D138" i="3" s="1"/>
  <c r="E97" i="1"/>
  <c r="D35" i="3" s="1"/>
  <c r="E101" i="1"/>
  <c r="E103" i="1"/>
  <c r="E107" i="1"/>
  <c r="D45" i="3" s="1"/>
  <c r="E109" i="1"/>
  <c r="E115" i="1"/>
  <c r="D53" i="3" s="1"/>
  <c r="F119" i="1"/>
  <c r="E119" i="1" s="1"/>
  <c r="D57" i="3" s="1"/>
  <c r="E67" i="1"/>
  <c r="E71" i="1"/>
  <c r="D23" i="3" s="1"/>
  <c r="E72" i="1"/>
  <c r="D25" i="3" s="1"/>
  <c r="E77" i="1"/>
  <c r="E75" i="1"/>
  <c r="E79" i="1"/>
  <c r="P79" i="1"/>
  <c r="O32" i="3" s="1"/>
  <c r="E13" i="1"/>
  <c r="F63" i="1"/>
  <c r="E63" i="1" s="1"/>
  <c r="E96" i="1"/>
  <c r="P96" i="1" s="1"/>
  <c r="E133" i="1"/>
  <c r="P133" i="1" s="1"/>
  <c r="F221" i="1"/>
  <c r="E221" i="1" s="1"/>
  <c r="F267" i="1"/>
  <c r="E267" i="1" s="1"/>
  <c r="E272" i="1"/>
  <c r="P272" i="1" s="1"/>
  <c r="E299" i="1"/>
  <c r="E298" i="1" s="1"/>
  <c r="E297" i="1" s="1"/>
  <c r="E306" i="1"/>
  <c r="P306" i="1" s="1"/>
  <c r="P305" i="1" s="1"/>
  <c r="P304" i="1" s="1"/>
  <c r="E14" i="1"/>
  <c r="E172" i="3"/>
  <c r="E170" i="3" s="1"/>
  <c r="E66" i="3"/>
  <c r="E68" i="3"/>
  <c r="E72" i="3"/>
  <c r="E74" i="3"/>
  <c r="E84" i="3"/>
  <c r="E86" i="3"/>
  <c r="E88" i="3"/>
  <c r="E90" i="3"/>
  <c r="E92" i="3"/>
  <c r="E94" i="3"/>
  <c r="E96" i="3"/>
  <c r="E101" i="3"/>
  <c r="E103" i="3"/>
  <c r="E105" i="3"/>
  <c r="E107" i="3"/>
  <c r="E109" i="3"/>
  <c r="E133" i="3"/>
  <c r="E131" i="3" s="1"/>
  <c r="E139" i="3"/>
  <c r="E36" i="3"/>
  <c r="E38" i="3"/>
  <c r="E40" i="3"/>
  <c r="E48" i="3"/>
  <c r="E58" i="3"/>
  <c r="E60" i="3"/>
  <c r="E51" i="3"/>
  <c r="E54" i="3"/>
  <c r="E20" i="3"/>
  <c r="E31" i="3"/>
  <c r="E29" i="3" s="1"/>
  <c r="E238" i="3"/>
  <c r="G172" i="3"/>
  <c r="G170" i="3" s="1"/>
  <c r="G66" i="3"/>
  <c r="G68" i="3"/>
  <c r="G72" i="3"/>
  <c r="G74" i="3"/>
  <c r="G84" i="3"/>
  <c r="G86" i="3"/>
  <c r="G88" i="3"/>
  <c r="G90" i="3"/>
  <c r="G92" i="3"/>
  <c r="G94" i="3"/>
  <c r="G96" i="3"/>
  <c r="G101" i="3"/>
  <c r="G103" i="3"/>
  <c r="G105" i="3"/>
  <c r="G107" i="3"/>
  <c r="G109" i="3"/>
  <c r="G133" i="3"/>
  <c r="G131" i="3" s="1"/>
  <c r="G139" i="3"/>
  <c r="G36" i="3"/>
  <c r="G38" i="3"/>
  <c r="G40" i="3"/>
  <c r="G42" i="3"/>
  <c r="G46" i="3"/>
  <c r="G48" i="3"/>
  <c r="G58" i="3"/>
  <c r="G60" i="3"/>
  <c r="G51" i="3"/>
  <c r="G54" i="3"/>
  <c r="G18" i="3"/>
  <c r="G20" i="3"/>
  <c r="G22" i="3"/>
  <c r="G26" i="3"/>
  <c r="G31" i="3"/>
  <c r="G29" i="3" s="1"/>
  <c r="G238" i="3"/>
  <c r="H172" i="3"/>
  <c r="H170" i="3" s="1"/>
  <c r="H160" i="3" s="1"/>
  <c r="H66" i="3"/>
  <c r="H68" i="3"/>
  <c r="H72" i="3"/>
  <c r="H74" i="3"/>
  <c r="H84" i="3"/>
  <c r="H86" i="3"/>
  <c r="H88" i="3"/>
  <c r="H90" i="3"/>
  <c r="H92" i="3"/>
  <c r="H94" i="3"/>
  <c r="H96" i="3"/>
  <c r="H101" i="3"/>
  <c r="H103" i="3"/>
  <c r="H105" i="3"/>
  <c r="H107" i="3"/>
  <c r="H109" i="3"/>
  <c r="H133" i="3"/>
  <c r="H131" i="3" s="1"/>
  <c r="H139" i="3"/>
  <c r="H36" i="3"/>
  <c r="H38" i="3"/>
  <c r="H40" i="3"/>
  <c r="H42" i="3"/>
  <c r="H46" i="3"/>
  <c r="H48" i="3"/>
  <c r="H58" i="3"/>
  <c r="H60" i="3"/>
  <c r="H51" i="3"/>
  <c r="H54" i="3"/>
  <c r="H18" i="3"/>
  <c r="H20" i="3"/>
  <c r="H22" i="3"/>
  <c r="H26" i="3"/>
  <c r="H31" i="3"/>
  <c r="H29" i="3" s="1"/>
  <c r="H238" i="3"/>
  <c r="E163" i="3"/>
  <c r="E162" i="3"/>
  <c r="E165" i="3"/>
  <c r="E167" i="3"/>
  <c r="E178" i="3"/>
  <c r="E175" i="3"/>
  <c r="E171" i="3"/>
  <c r="E169" i="3" s="1"/>
  <c r="E154" i="3"/>
  <c r="E151" i="3"/>
  <c r="E158" i="3"/>
  <c r="E240" i="3"/>
  <c r="E239" i="3" s="1"/>
  <c r="E248" i="3"/>
  <c r="E247" i="3" s="1"/>
  <c r="E229" i="3"/>
  <c r="E228" i="3" s="1"/>
  <c r="E231" i="3"/>
  <c r="E232" i="3"/>
  <c r="E234" i="3"/>
  <c r="E233" i="3" s="1"/>
  <c r="E235" i="3"/>
  <c r="E236" i="3"/>
  <c r="E182" i="3"/>
  <c r="E181" i="3" s="1"/>
  <c r="E185" i="3"/>
  <c r="E187" i="3"/>
  <c r="E188" i="3"/>
  <c r="E189" i="3"/>
  <c r="E190" i="3"/>
  <c r="E191" i="3"/>
  <c r="E196" i="3"/>
  <c r="E195" i="3"/>
  <c r="E192" i="3"/>
  <c r="E201" i="3"/>
  <c r="E200" i="3" s="1"/>
  <c r="E203" i="3"/>
  <c r="E204" i="3"/>
  <c r="E206" i="3"/>
  <c r="E205" i="3" s="1"/>
  <c r="E215" i="3"/>
  <c r="E219" i="3"/>
  <c r="E220" i="3"/>
  <c r="E222" i="3"/>
  <c r="E217" i="3"/>
  <c r="E218" i="3"/>
  <c r="F224" i="1"/>
  <c r="E76" i="3"/>
  <c r="E77" i="3"/>
  <c r="E78" i="3"/>
  <c r="E112" i="3"/>
  <c r="E111" i="3" s="1"/>
  <c r="E114" i="3"/>
  <c r="E113" i="3" s="1"/>
  <c r="E116" i="3"/>
  <c r="E115" i="3" s="1"/>
  <c r="E120" i="3"/>
  <c r="E126" i="3"/>
  <c r="E128" i="3"/>
  <c r="E110" i="3"/>
  <c r="E122" i="3"/>
  <c r="E123" i="3"/>
  <c r="E65" i="3"/>
  <c r="E67" i="3"/>
  <c r="E71" i="3"/>
  <c r="E73" i="3"/>
  <c r="E83" i="3"/>
  <c r="E85" i="3"/>
  <c r="E87" i="3"/>
  <c r="E89" i="3"/>
  <c r="E91" i="3"/>
  <c r="E93" i="3"/>
  <c r="E95" i="3"/>
  <c r="E100" i="3"/>
  <c r="E102" i="3"/>
  <c r="E104" i="3"/>
  <c r="E108" i="3"/>
  <c r="E138" i="3"/>
  <c r="E132" i="3"/>
  <c r="E130" i="3" s="1"/>
  <c r="E35" i="3"/>
  <c r="E39" i="3"/>
  <c r="E41" i="3"/>
  <c r="E45" i="3"/>
  <c r="E47" i="3"/>
  <c r="E53" i="3"/>
  <c r="E19" i="3"/>
  <c r="E23" i="3"/>
  <c r="E25" i="3"/>
  <c r="E30" i="3"/>
  <c r="E32" i="3"/>
  <c r="F240" i="3"/>
  <c r="F239" i="3" s="1"/>
  <c r="F246" i="3"/>
  <c r="F245" i="3" s="1"/>
  <c r="F248" i="3"/>
  <c r="F247" i="3" s="1"/>
  <c r="F226" i="3"/>
  <c r="F227" i="3"/>
  <c r="F229" i="3"/>
  <c r="F228" i="3" s="1"/>
  <c r="F231" i="3"/>
  <c r="F232" i="3"/>
  <c r="F234" i="3"/>
  <c r="F233" i="3" s="1"/>
  <c r="F235" i="3"/>
  <c r="F236" i="3"/>
  <c r="F182" i="3"/>
  <c r="F181" i="3" s="1"/>
  <c r="F185" i="3"/>
  <c r="F187" i="3"/>
  <c r="F188" i="3"/>
  <c r="F189" i="3"/>
  <c r="F190" i="3"/>
  <c r="F191" i="3"/>
  <c r="F196" i="3"/>
  <c r="F195" i="3"/>
  <c r="F192" i="3"/>
  <c r="F201" i="3"/>
  <c r="F200" i="3" s="1"/>
  <c r="F203" i="3"/>
  <c r="F204" i="3"/>
  <c r="F207" i="3"/>
  <c r="F206" i="3"/>
  <c r="F205" i="3" s="1"/>
  <c r="F213" i="3"/>
  <c r="F212" i="3" s="1"/>
  <c r="F215" i="3"/>
  <c r="F216" i="3"/>
  <c r="F219" i="3"/>
  <c r="F220" i="3"/>
  <c r="F222" i="3"/>
  <c r="F223" i="3"/>
  <c r="F217" i="3"/>
  <c r="F218" i="3"/>
  <c r="F162" i="3"/>
  <c r="F163" i="3"/>
  <c r="F166" i="3"/>
  <c r="F164" i="3"/>
  <c r="F165" i="3"/>
  <c r="F167" i="3"/>
  <c r="F168" i="3"/>
  <c r="F178" i="3"/>
  <c r="F175" i="3"/>
  <c r="F179" i="3"/>
  <c r="F171" i="3"/>
  <c r="F169" i="3" s="1"/>
  <c r="F151" i="3"/>
  <c r="F152" i="3"/>
  <c r="G34" i="1"/>
  <c r="F154" i="3" s="1"/>
  <c r="F155" i="3"/>
  <c r="G37" i="1"/>
  <c r="F158" i="3"/>
  <c r="F144" i="3"/>
  <c r="G28" i="1"/>
  <c r="G27" i="1" s="1"/>
  <c r="F146" i="3" s="1"/>
  <c r="G224" i="1"/>
  <c r="F145" i="3"/>
  <c r="F76" i="3"/>
  <c r="F77" i="3"/>
  <c r="F78" i="3"/>
  <c r="F80" i="3"/>
  <c r="F79" i="3"/>
  <c r="F97" i="3"/>
  <c r="G183" i="1"/>
  <c r="F112" i="3" s="1"/>
  <c r="F111" i="3" s="1"/>
  <c r="F114" i="3"/>
  <c r="F113" i="3" s="1"/>
  <c r="G19" i="1"/>
  <c r="F116" i="3"/>
  <c r="F115" i="3" s="1"/>
  <c r="F118" i="3"/>
  <c r="F117" i="3" s="1"/>
  <c r="F119" i="3"/>
  <c r="F120" i="3"/>
  <c r="F124" i="3"/>
  <c r="F126" i="3"/>
  <c r="F127" i="3"/>
  <c r="F128" i="3"/>
  <c r="G193" i="1"/>
  <c r="F129" i="3" s="1"/>
  <c r="G24" i="1"/>
  <c r="G205" i="1"/>
  <c r="G204" i="1" s="1"/>
  <c r="F142" i="3"/>
  <c r="F110" i="3"/>
  <c r="F122" i="3"/>
  <c r="F123" i="3"/>
  <c r="F65" i="3"/>
  <c r="F67" i="3"/>
  <c r="F71" i="3"/>
  <c r="F73" i="3"/>
  <c r="F83" i="3"/>
  <c r="F85" i="3"/>
  <c r="F87" i="3"/>
  <c r="F89" i="3"/>
  <c r="F91" i="3"/>
  <c r="F93" i="3"/>
  <c r="F95" i="3"/>
  <c r="F100" i="3"/>
  <c r="F102" i="3"/>
  <c r="F104" i="3"/>
  <c r="F106" i="3"/>
  <c r="F108" i="3"/>
  <c r="F138" i="3"/>
  <c r="F132" i="3"/>
  <c r="F130" i="3" s="1"/>
  <c r="F35" i="3"/>
  <c r="F37" i="3"/>
  <c r="F39" i="3"/>
  <c r="F41" i="3"/>
  <c r="F45" i="3"/>
  <c r="F47" i="3"/>
  <c r="F53" i="3"/>
  <c r="F49" i="3" s="1"/>
  <c r="F57" i="3"/>
  <c r="F59" i="3"/>
  <c r="G64" i="1"/>
  <c r="F17" i="3"/>
  <c r="F19" i="3"/>
  <c r="F21" i="3"/>
  <c r="F23" i="3"/>
  <c r="F24" i="3"/>
  <c r="F25" i="3"/>
  <c r="G74" i="1"/>
  <c r="F27" i="3"/>
  <c r="G77" i="1"/>
  <c r="F30" i="3"/>
  <c r="F32" i="3"/>
  <c r="G13" i="1"/>
  <c r="G63" i="1"/>
  <c r="G133" i="1"/>
  <c r="G131" i="1" s="1"/>
  <c r="G130" i="1" s="1"/>
  <c r="G323" i="1"/>
  <c r="G321" i="1" s="1"/>
  <c r="G320" i="1" s="1"/>
  <c r="F13" i="3"/>
  <c r="G240" i="3"/>
  <c r="G239" i="3" s="1"/>
  <c r="G246" i="3"/>
  <c r="G245" i="3" s="1"/>
  <c r="G248" i="3"/>
  <c r="G247" i="3" s="1"/>
  <c r="G226" i="3"/>
  <c r="G227" i="3"/>
  <c r="G229" i="3"/>
  <c r="G228" i="3" s="1"/>
  <c r="G231" i="3"/>
  <c r="G232" i="3"/>
  <c r="G234" i="3"/>
  <c r="G233" i="3" s="1"/>
  <c r="G235" i="3"/>
  <c r="G236" i="3"/>
  <c r="G182" i="3"/>
  <c r="G181" i="3" s="1"/>
  <c r="G185" i="3"/>
  <c r="G187" i="3"/>
  <c r="G188" i="3"/>
  <c r="G189" i="3"/>
  <c r="G190" i="3"/>
  <c r="G191" i="3"/>
  <c r="G196" i="3"/>
  <c r="G195" i="3"/>
  <c r="G192" i="3"/>
  <c r="G201" i="3"/>
  <c r="G200" i="3" s="1"/>
  <c r="G203" i="3"/>
  <c r="G204" i="3"/>
  <c r="G207" i="3"/>
  <c r="G206" i="3"/>
  <c r="G205" i="3" s="1"/>
  <c r="G213" i="3"/>
  <c r="G212" i="3" s="1"/>
  <c r="G215" i="3"/>
  <c r="G216" i="3"/>
  <c r="G219" i="3"/>
  <c r="G220" i="3"/>
  <c r="G222" i="3"/>
  <c r="G223" i="3"/>
  <c r="G217" i="3"/>
  <c r="G218" i="3"/>
  <c r="G162" i="3"/>
  <c r="G163" i="3"/>
  <c r="G166" i="3"/>
  <c r="G164" i="3"/>
  <c r="G165" i="3"/>
  <c r="G167" i="3"/>
  <c r="G168" i="3"/>
  <c r="G178" i="3"/>
  <c r="G175" i="3"/>
  <c r="H245" i="1"/>
  <c r="G179" i="3" s="1"/>
  <c r="G171" i="3"/>
  <c r="G169" i="3" s="1"/>
  <c r="G151" i="3"/>
  <c r="G152" i="3"/>
  <c r="G154" i="3"/>
  <c r="G155" i="3"/>
  <c r="G157" i="3"/>
  <c r="G158" i="3"/>
  <c r="G144" i="3"/>
  <c r="H27" i="1"/>
  <c r="H224" i="1"/>
  <c r="G146" i="3"/>
  <c r="G145" i="3"/>
  <c r="G76" i="3"/>
  <c r="G77" i="3"/>
  <c r="G78" i="3"/>
  <c r="G80" i="3"/>
  <c r="G79" i="3"/>
  <c r="G97" i="3"/>
  <c r="G112" i="3"/>
  <c r="G111" i="3" s="1"/>
  <c r="G114" i="3"/>
  <c r="G113" i="3" s="1"/>
  <c r="H19" i="1"/>
  <c r="G116" i="3"/>
  <c r="G115" i="3" s="1"/>
  <c r="G118" i="3"/>
  <c r="G117" i="3" s="1"/>
  <c r="G119" i="3"/>
  <c r="G120" i="3"/>
  <c r="G124" i="3"/>
  <c r="G126" i="3"/>
  <c r="G127" i="3"/>
  <c r="G128" i="3"/>
  <c r="G129" i="3"/>
  <c r="G141" i="3"/>
  <c r="G142" i="3"/>
  <c r="G110" i="3"/>
  <c r="G122" i="3"/>
  <c r="G123" i="3"/>
  <c r="G65" i="3"/>
  <c r="G67" i="3"/>
  <c r="G71" i="3"/>
  <c r="G73" i="3"/>
  <c r="G83" i="3"/>
  <c r="G85" i="3"/>
  <c r="G87" i="3"/>
  <c r="G89" i="3"/>
  <c r="G91" i="3"/>
  <c r="G93" i="3"/>
  <c r="G95" i="3"/>
  <c r="G100" i="3"/>
  <c r="G102" i="3"/>
  <c r="G104" i="3"/>
  <c r="G106" i="3"/>
  <c r="G108" i="3"/>
  <c r="G138" i="3"/>
  <c r="G132" i="3"/>
  <c r="G130" i="3" s="1"/>
  <c r="G35" i="3"/>
  <c r="G37" i="3"/>
  <c r="G39" i="3"/>
  <c r="G41" i="3"/>
  <c r="G45" i="3"/>
  <c r="G47" i="3"/>
  <c r="G53" i="3"/>
  <c r="G57" i="3"/>
  <c r="G59" i="3"/>
  <c r="G16" i="3"/>
  <c r="G17" i="3"/>
  <c r="G19" i="3"/>
  <c r="G21" i="3"/>
  <c r="G23" i="3"/>
  <c r="G24" i="3"/>
  <c r="G25" i="3"/>
  <c r="G27" i="3"/>
  <c r="G30" i="3"/>
  <c r="G32" i="3"/>
  <c r="G12" i="3"/>
  <c r="G13" i="3"/>
  <c r="H163" i="3"/>
  <c r="H162" i="3"/>
  <c r="H166" i="3"/>
  <c r="H164" i="3"/>
  <c r="H165" i="3"/>
  <c r="H167" i="3"/>
  <c r="H178" i="3"/>
  <c r="H175" i="3"/>
  <c r="H179" i="3"/>
  <c r="H171" i="3"/>
  <c r="H169" i="3" s="1"/>
  <c r="H240" i="3"/>
  <c r="H239" i="3" s="1"/>
  <c r="H246" i="3"/>
  <c r="H245" i="3" s="1"/>
  <c r="H248" i="3"/>
  <c r="H247" i="3" s="1"/>
  <c r="H226" i="3"/>
  <c r="H227" i="3"/>
  <c r="H229" i="3"/>
  <c r="H228" i="3" s="1"/>
  <c r="H231" i="3"/>
  <c r="H232" i="3"/>
  <c r="H234" i="3"/>
  <c r="H233" i="3" s="1"/>
  <c r="H235" i="3"/>
  <c r="H236" i="3"/>
  <c r="H182" i="3"/>
  <c r="H181" i="3" s="1"/>
  <c r="H185" i="3"/>
  <c r="H187" i="3"/>
  <c r="H188" i="3"/>
  <c r="H189" i="3"/>
  <c r="H190" i="3"/>
  <c r="H191" i="3"/>
  <c r="H196" i="3"/>
  <c r="H195" i="3"/>
  <c r="H192" i="3"/>
  <c r="H201" i="3"/>
  <c r="H200" i="3" s="1"/>
  <c r="H207" i="3"/>
  <c r="H206" i="3"/>
  <c r="H205" i="3" s="1"/>
  <c r="H213" i="3"/>
  <c r="H212" i="3" s="1"/>
  <c r="H215" i="3"/>
  <c r="H216" i="3"/>
  <c r="H219" i="3"/>
  <c r="H220" i="3"/>
  <c r="H222" i="3"/>
  <c r="H223" i="3"/>
  <c r="H217" i="3"/>
  <c r="H218" i="3"/>
  <c r="H151" i="3"/>
  <c r="H152" i="3"/>
  <c r="H154" i="3"/>
  <c r="H155" i="3"/>
  <c r="H157" i="3"/>
  <c r="H158" i="3"/>
  <c r="H144" i="3"/>
  <c r="I27" i="1"/>
  <c r="I224" i="1"/>
  <c r="H146" i="3"/>
  <c r="H145" i="3"/>
  <c r="H76" i="3"/>
  <c r="H77" i="3"/>
  <c r="H78" i="3"/>
  <c r="H80" i="3"/>
  <c r="H79" i="3"/>
  <c r="H97" i="3"/>
  <c r="H112" i="3"/>
  <c r="H111" i="3" s="1"/>
  <c r="H114" i="3"/>
  <c r="H113" i="3" s="1"/>
  <c r="H116" i="3"/>
  <c r="H115" i="3" s="1"/>
  <c r="H118" i="3"/>
  <c r="H117" i="3" s="1"/>
  <c r="H119" i="3"/>
  <c r="H120" i="3"/>
  <c r="H124" i="3"/>
  <c r="H126" i="3"/>
  <c r="H127" i="3"/>
  <c r="H128" i="3"/>
  <c r="H129" i="3"/>
  <c r="H141" i="3"/>
  <c r="H142" i="3"/>
  <c r="H110" i="3"/>
  <c r="H122" i="3"/>
  <c r="H123" i="3"/>
  <c r="H65" i="3"/>
  <c r="H67" i="3"/>
  <c r="H71" i="3"/>
  <c r="H73" i="3"/>
  <c r="H83" i="3"/>
  <c r="H85" i="3"/>
  <c r="H87" i="3"/>
  <c r="H89" i="3"/>
  <c r="H91" i="3"/>
  <c r="H93" i="3"/>
  <c r="H95" i="3"/>
  <c r="H100" i="3"/>
  <c r="H102" i="3"/>
  <c r="H104" i="3"/>
  <c r="H106" i="3"/>
  <c r="H108" i="3"/>
  <c r="H138" i="3"/>
  <c r="H132" i="3"/>
  <c r="H130" i="3" s="1"/>
  <c r="H35" i="3"/>
  <c r="H37" i="3"/>
  <c r="H39" i="3"/>
  <c r="H41" i="3"/>
  <c r="H45" i="3"/>
  <c r="H47" i="3"/>
  <c r="H53" i="3"/>
  <c r="H49" i="3" s="1"/>
  <c r="H57" i="3"/>
  <c r="H59" i="3"/>
  <c r="H16" i="3"/>
  <c r="H17" i="3"/>
  <c r="H19" i="3"/>
  <c r="H21" i="3"/>
  <c r="H23" i="3"/>
  <c r="H24" i="3"/>
  <c r="H25" i="3"/>
  <c r="H27" i="3"/>
  <c r="H30" i="3"/>
  <c r="H32" i="3"/>
  <c r="H12" i="3"/>
  <c r="H13" i="3"/>
  <c r="D172" i="3"/>
  <c r="D170" i="3" s="1"/>
  <c r="D160" i="3" s="1"/>
  <c r="D66" i="3"/>
  <c r="D68" i="3"/>
  <c r="D72" i="3"/>
  <c r="D133" i="3"/>
  <c r="D131" i="3" s="1"/>
  <c r="D139" i="3"/>
  <c r="D48" i="3"/>
  <c r="D58" i="3"/>
  <c r="D60" i="3"/>
  <c r="D51" i="3"/>
  <c r="D54" i="3"/>
  <c r="D238" i="3"/>
  <c r="D162" i="3"/>
  <c r="D171" i="3"/>
  <c r="D169" i="3" s="1"/>
  <c r="D241" i="3"/>
  <c r="D231" i="3"/>
  <c r="D236" i="3"/>
  <c r="D188" i="3"/>
  <c r="D195" i="3"/>
  <c r="D218" i="3"/>
  <c r="D114" i="3"/>
  <c r="D113" i="3" s="1"/>
  <c r="D67" i="3"/>
  <c r="D89" i="3"/>
  <c r="D32" i="3"/>
  <c r="E227" i="1"/>
  <c r="F227" i="1"/>
  <c r="G227" i="1"/>
  <c r="H227" i="1"/>
  <c r="H219" i="1" s="1"/>
  <c r="K227" i="1"/>
  <c r="K219" i="1" s="1"/>
  <c r="K218" i="1" s="1"/>
  <c r="L227" i="1"/>
  <c r="L219" i="1"/>
  <c r="L218" i="1" s="1"/>
  <c r="I227" i="1"/>
  <c r="M227" i="1"/>
  <c r="F204" i="1"/>
  <c r="F185" i="1"/>
  <c r="F134" i="1"/>
  <c r="F140" i="1"/>
  <c r="F152" i="1"/>
  <c r="F194" i="1"/>
  <c r="G146" i="1"/>
  <c r="G182" i="1"/>
  <c r="G189" i="1"/>
  <c r="G185" i="1"/>
  <c r="G134" i="1"/>
  <c r="G140" i="1"/>
  <c r="G152" i="1"/>
  <c r="G169" i="1"/>
  <c r="H146" i="1"/>
  <c r="H182" i="1"/>
  <c r="H189" i="1"/>
  <c r="H204" i="1"/>
  <c r="H185" i="1"/>
  <c r="H134" i="1"/>
  <c r="H140" i="1"/>
  <c r="H152" i="1"/>
  <c r="H169" i="1"/>
  <c r="I146" i="1"/>
  <c r="I182" i="1"/>
  <c r="I189" i="1"/>
  <c r="I204" i="1"/>
  <c r="I185" i="1"/>
  <c r="I134" i="1"/>
  <c r="I140" i="1"/>
  <c r="I152" i="1"/>
  <c r="I169" i="1"/>
  <c r="J182" i="1"/>
  <c r="J185" i="1"/>
  <c r="J140" i="1"/>
  <c r="K194" i="1"/>
  <c r="K146" i="1"/>
  <c r="K182" i="1"/>
  <c r="K189" i="1"/>
  <c r="K204" i="1"/>
  <c r="K185" i="1"/>
  <c r="K134" i="1"/>
  <c r="K140" i="1"/>
  <c r="K152" i="1"/>
  <c r="K169" i="1"/>
  <c r="L146" i="1"/>
  <c r="L182" i="1"/>
  <c r="L189" i="1"/>
  <c r="L204" i="1"/>
  <c r="L185" i="1"/>
  <c r="L134" i="1"/>
  <c r="L140" i="1"/>
  <c r="L152" i="1"/>
  <c r="L169" i="1"/>
  <c r="L194" i="1"/>
  <c r="M146" i="1"/>
  <c r="M182" i="1"/>
  <c r="M189" i="1"/>
  <c r="M204" i="1"/>
  <c r="M185" i="1"/>
  <c r="M134" i="1"/>
  <c r="M140" i="1"/>
  <c r="M152" i="1"/>
  <c r="M169" i="1"/>
  <c r="M194" i="1"/>
  <c r="N146" i="1"/>
  <c r="N182" i="1"/>
  <c r="N189" i="1"/>
  <c r="N204" i="1"/>
  <c r="N185" i="1"/>
  <c r="N134" i="1"/>
  <c r="N140" i="1"/>
  <c r="N152" i="1"/>
  <c r="N169" i="1"/>
  <c r="O146" i="1"/>
  <c r="O182" i="1"/>
  <c r="O189" i="1"/>
  <c r="O204" i="1"/>
  <c r="O185" i="1"/>
  <c r="O134" i="1"/>
  <c r="O140" i="1"/>
  <c r="O152" i="1"/>
  <c r="O169" i="1"/>
  <c r="E329" i="1"/>
  <c r="P329" i="1" s="1"/>
  <c r="K117" i="1"/>
  <c r="N117" i="1"/>
  <c r="J292" i="1"/>
  <c r="P292" i="1" s="1"/>
  <c r="P290" i="1" s="1"/>
  <c r="J23" i="1"/>
  <c r="J84" i="1"/>
  <c r="J105" i="1"/>
  <c r="J246" i="1"/>
  <c r="J295" i="1"/>
  <c r="J213" i="1"/>
  <c r="J314" i="1"/>
  <c r="J318" i="1"/>
  <c r="J317" i="1" s="1"/>
  <c r="E260" i="1"/>
  <c r="E246" i="1"/>
  <c r="E302" i="1"/>
  <c r="E134" i="1"/>
  <c r="E123" i="1"/>
  <c r="E274" i="1"/>
  <c r="E284" i="1"/>
  <c r="E295" i="1"/>
  <c r="E290" i="1"/>
  <c r="E305" i="1"/>
  <c r="E304" i="1" s="1"/>
  <c r="F135" i="1"/>
  <c r="F141" i="1"/>
  <c r="F153" i="1"/>
  <c r="F170" i="1"/>
  <c r="F195" i="1"/>
  <c r="G135" i="1"/>
  <c r="G141" i="1"/>
  <c r="G153" i="1"/>
  <c r="G170" i="1"/>
  <c r="G195" i="1"/>
  <c r="H135" i="1"/>
  <c r="H141" i="1"/>
  <c r="H153" i="1"/>
  <c r="H170" i="1"/>
  <c r="H195" i="1"/>
  <c r="I135" i="1"/>
  <c r="I141" i="1"/>
  <c r="I153" i="1"/>
  <c r="I170" i="1"/>
  <c r="I195" i="1"/>
  <c r="K135" i="1"/>
  <c r="K141" i="1"/>
  <c r="K153" i="1"/>
  <c r="K170" i="1"/>
  <c r="L135" i="1"/>
  <c r="L141" i="1"/>
  <c r="L153" i="1"/>
  <c r="L170" i="1"/>
  <c r="L195" i="1"/>
  <c r="M135" i="1"/>
  <c r="M141" i="1"/>
  <c r="M153" i="1"/>
  <c r="M170" i="1"/>
  <c r="M195" i="1"/>
  <c r="N135" i="1"/>
  <c r="N141" i="1"/>
  <c r="N153" i="1"/>
  <c r="N170" i="1"/>
  <c r="O135" i="1"/>
  <c r="O141" i="1"/>
  <c r="O153" i="1"/>
  <c r="O170" i="1"/>
  <c r="P135" i="1"/>
  <c r="E195" i="1"/>
  <c r="E135" i="1"/>
  <c r="F50" i="1"/>
  <c r="F20" i="1"/>
  <c r="F39" i="1"/>
  <c r="F41" i="1"/>
  <c r="F75" i="1"/>
  <c r="F84" i="1"/>
  <c r="F82" i="1"/>
  <c r="F86" i="1"/>
  <c r="F260" i="1"/>
  <c r="F254" i="1"/>
  <c r="F246" i="1"/>
  <c r="F302" i="1"/>
  <c r="F105" i="1"/>
  <c r="F111" i="1"/>
  <c r="F123" i="1"/>
  <c r="F213" i="1"/>
  <c r="F274" i="1"/>
  <c r="F278" i="1"/>
  <c r="F284" i="1"/>
  <c r="F295" i="1"/>
  <c r="F288" i="1"/>
  <c r="F305" i="1"/>
  <c r="F304" i="1" s="1"/>
  <c r="G15" i="1"/>
  <c r="G20" i="1"/>
  <c r="G30" i="1"/>
  <c r="G39" i="1"/>
  <c r="G41" i="1"/>
  <c r="G50" i="1"/>
  <c r="G75" i="1"/>
  <c r="G84" i="1"/>
  <c r="G82" i="1"/>
  <c r="G86" i="1"/>
  <c r="G105" i="1"/>
  <c r="G111" i="1"/>
  <c r="G117" i="1"/>
  <c r="G123" i="1"/>
  <c r="G213" i="1"/>
  <c r="G211" i="1" s="1"/>
  <c r="G210" i="1" s="1"/>
  <c r="G237" i="1"/>
  <c r="G260" i="1"/>
  <c r="G254" i="1"/>
  <c r="G246" i="1"/>
  <c r="G266" i="1"/>
  <c r="G265" i="1"/>
  <c r="G274" i="1"/>
  <c r="G278" i="1"/>
  <c r="G284" i="1"/>
  <c r="G295" i="1"/>
  <c r="G288" i="1"/>
  <c r="G302" i="1"/>
  <c r="G298" i="1" s="1"/>
  <c r="G297" i="1" s="1"/>
  <c r="G305" i="1"/>
  <c r="G304" i="1"/>
  <c r="G314" i="1"/>
  <c r="G308" i="1"/>
  <c r="G307" i="1" s="1"/>
  <c r="G318" i="1"/>
  <c r="G317" i="1" s="1"/>
  <c r="H218" i="1"/>
  <c r="H15" i="1"/>
  <c r="H18" i="1"/>
  <c r="H20" i="1"/>
  <c r="H23" i="1"/>
  <c r="H30" i="1"/>
  <c r="H33" i="1"/>
  <c r="H39" i="1"/>
  <c r="H41" i="1"/>
  <c r="H50" i="1"/>
  <c r="H75" i="1"/>
  <c r="H84" i="1"/>
  <c r="H82" i="1"/>
  <c r="H86" i="1"/>
  <c r="H105" i="1"/>
  <c r="H94" i="1" s="1"/>
  <c r="H111" i="1"/>
  <c r="H117" i="1"/>
  <c r="H123" i="1"/>
  <c r="H213" i="1"/>
  <c r="H211" i="1"/>
  <c r="H210" i="1" s="1"/>
  <c r="H237" i="1"/>
  <c r="H260" i="1"/>
  <c r="H254" i="1"/>
  <c r="H246" i="1"/>
  <c r="H266" i="1"/>
  <c r="H265" i="1" s="1"/>
  <c r="H274" i="1"/>
  <c r="H278" i="1"/>
  <c r="H284" i="1"/>
  <c r="H295" i="1"/>
  <c r="H288" i="1"/>
  <c r="H302" i="1"/>
  <c r="H298" i="1"/>
  <c r="H297" i="1" s="1"/>
  <c r="H305" i="1"/>
  <c r="H304" i="1" s="1"/>
  <c r="H314" i="1"/>
  <c r="H308" i="1" s="1"/>
  <c r="H307" i="1" s="1"/>
  <c r="H318" i="1"/>
  <c r="H317" i="1"/>
  <c r="H321" i="1"/>
  <c r="H320" i="1" s="1"/>
  <c r="I237" i="1"/>
  <c r="I260" i="1"/>
  <c r="I254" i="1"/>
  <c r="I246" i="1"/>
  <c r="I15" i="1"/>
  <c r="I18" i="1"/>
  <c r="I20" i="1"/>
  <c r="I23" i="1"/>
  <c r="I30" i="1"/>
  <c r="I33" i="1"/>
  <c r="I36" i="1"/>
  <c r="I39" i="1"/>
  <c r="I50" i="1"/>
  <c r="I75" i="1"/>
  <c r="I84" i="1"/>
  <c r="I82" i="1"/>
  <c r="I86" i="1"/>
  <c r="I61" i="1" s="1"/>
  <c r="I60" i="1" s="1"/>
  <c r="I105" i="1"/>
  <c r="I111" i="1"/>
  <c r="I117" i="1"/>
  <c r="I123" i="1"/>
  <c r="I213" i="1"/>
  <c r="I211" i="1" s="1"/>
  <c r="I210" i="1" s="1"/>
  <c r="I219" i="1"/>
  <c r="I218" i="1" s="1"/>
  <c r="I266" i="1"/>
  <c r="I265" i="1" s="1"/>
  <c r="I274" i="1"/>
  <c r="I278" i="1"/>
  <c r="I284" i="1"/>
  <c r="I295" i="1"/>
  <c r="I288" i="1"/>
  <c r="I302" i="1"/>
  <c r="I298" i="1" s="1"/>
  <c r="I297" i="1" s="1"/>
  <c r="I305" i="1"/>
  <c r="I304" i="1"/>
  <c r="I314" i="1"/>
  <c r="I308" i="1"/>
  <c r="I307" i="1" s="1"/>
  <c r="I318" i="1"/>
  <c r="I317" i="1" s="1"/>
  <c r="I321" i="1"/>
  <c r="I320" i="1" s="1"/>
  <c r="K50" i="1"/>
  <c r="K15" i="1"/>
  <c r="K12" i="1" s="1"/>
  <c r="K11" i="1" s="1"/>
  <c r="K18" i="1"/>
  <c r="K20" i="1"/>
  <c r="K23" i="1"/>
  <c r="K30" i="1"/>
  <c r="K33" i="1"/>
  <c r="K36" i="1"/>
  <c r="K39" i="1"/>
  <c r="K41" i="1"/>
  <c r="K75" i="1"/>
  <c r="K84" i="1"/>
  <c r="K82" i="1"/>
  <c r="K86" i="1"/>
  <c r="K105" i="1"/>
  <c r="K111" i="1"/>
  <c r="K123" i="1"/>
  <c r="K213" i="1"/>
  <c r="K211" i="1" s="1"/>
  <c r="K210" i="1" s="1"/>
  <c r="K237" i="1"/>
  <c r="K260" i="1"/>
  <c r="K233" i="1" s="1"/>
  <c r="K232" i="1" s="1"/>
  <c r="K254" i="1"/>
  <c r="K246" i="1"/>
  <c r="K266" i="1"/>
  <c r="K265" i="1" s="1"/>
  <c r="K274" i="1"/>
  <c r="K278" i="1"/>
  <c r="K284" i="1"/>
  <c r="K295" i="1"/>
  <c r="K288" i="1"/>
  <c r="K290" i="1"/>
  <c r="K302" i="1"/>
  <c r="K298" i="1" s="1"/>
  <c r="K297" i="1" s="1"/>
  <c r="K305" i="1"/>
  <c r="K304" i="1"/>
  <c r="K314" i="1"/>
  <c r="K308" i="1"/>
  <c r="K307" i="1" s="1"/>
  <c r="K318" i="1"/>
  <c r="K317" i="1" s="1"/>
  <c r="K321" i="1"/>
  <c r="K320" i="1" s="1"/>
  <c r="L15" i="1"/>
  <c r="L18" i="1"/>
  <c r="L20" i="1"/>
  <c r="L23" i="1"/>
  <c r="L30" i="1"/>
  <c r="L33" i="1"/>
  <c r="L36" i="1"/>
  <c r="L39" i="1"/>
  <c r="L41" i="1"/>
  <c r="L50" i="1"/>
  <c r="L75" i="1"/>
  <c r="L84" i="1"/>
  <c r="L82" i="1"/>
  <c r="L86" i="1"/>
  <c r="L105" i="1"/>
  <c r="L111" i="1"/>
  <c r="L117" i="1"/>
  <c r="L123" i="1"/>
  <c r="L93" i="1" s="1"/>
  <c r="L213" i="1"/>
  <c r="L211" i="1" s="1"/>
  <c r="L210" i="1" s="1"/>
  <c r="L237" i="1"/>
  <c r="L260" i="1"/>
  <c r="L254" i="1"/>
  <c r="L246" i="1"/>
  <c r="L266" i="1"/>
  <c r="L265" i="1" s="1"/>
  <c r="L274" i="1"/>
  <c r="L278" i="1"/>
  <c r="L284" i="1"/>
  <c r="L295" i="1"/>
  <c r="L288" i="1"/>
  <c r="L290" i="1"/>
  <c r="L302" i="1"/>
  <c r="L298" i="1" s="1"/>
  <c r="L297" i="1" s="1"/>
  <c r="L305" i="1"/>
  <c r="L304" i="1" s="1"/>
  <c r="L314" i="1"/>
  <c r="L308" i="1" s="1"/>
  <c r="L307" i="1" s="1"/>
  <c r="L318" i="1"/>
  <c r="L317" i="1" s="1"/>
  <c r="L321" i="1"/>
  <c r="L320" i="1" s="1"/>
  <c r="M15" i="1"/>
  <c r="M18" i="1"/>
  <c r="M20" i="1"/>
  <c r="M23" i="1"/>
  <c r="M30" i="1"/>
  <c r="M33" i="1"/>
  <c r="M36" i="1"/>
  <c r="M39" i="1"/>
  <c r="M41" i="1"/>
  <c r="M50" i="1"/>
  <c r="M75" i="1"/>
  <c r="M84" i="1"/>
  <c r="M82" i="1"/>
  <c r="M86" i="1"/>
  <c r="M61" i="1" s="1"/>
  <c r="M60" i="1" s="1"/>
  <c r="M105" i="1"/>
  <c r="M111" i="1"/>
  <c r="M117" i="1"/>
  <c r="M123" i="1"/>
  <c r="M213" i="1"/>
  <c r="M211" i="1" s="1"/>
  <c r="M210" i="1" s="1"/>
  <c r="M237" i="1"/>
  <c r="M260" i="1"/>
  <c r="M254" i="1"/>
  <c r="M246" i="1"/>
  <c r="M266" i="1"/>
  <c r="M265" i="1" s="1"/>
  <c r="M274" i="1"/>
  <c r="M278" i="1"/>
  <c r="M284" i="1"/>
  <c r="M295" i="1"/>
  <c r="M288" i="1"/>
  <c r="M290" i="1"/>
  <c r="M302" i="1"/>
  <c r="M298" i="1" s="1"/>
  <c r="M297" i="1" s="1"/>
  <c r="M305" i="1"/>
  <c r="M304" i="1" s="1"/>
  <c r="M314" i="1"/>
  <c r="M308" i="1" s="1"/>
  <c r="M307" i="1" s="1"/>
  <c r="M318" i="1"/>
  <c r="M317" i="1" s="1"/>
  <c r="M321" i="1"/>
  <c r="M320" i="1" s="1"/>
  <c r="N36" i="1"/>
  <c r="N15" i="1"/>
  <c r="N18" i="1"/>
  <c r="N20" i="1"/>
  <c r="N23" i="1"/>
  <c r="N30" i="1"/>
  <c r="N33" i="1"/>
  <c r="N39" i="1"/>
  <c r="N50" i="1"/>
  <c r="N75" i="1"/>
  <c r="N84" i="1"/>
  <c r="N82" i="1"/>
  <c r="N123" i="1"/>
  <c r="N105" i="1"/>
  <c r="N111" i="1"/>
  <c r="N246" i="1"/>
  <c r="N266" i="1"/>
  <c r="N265" i="1" s="1"/>
  <c r="N284" i="1"/>
  <c r="N295" i="1"/>
  <c r="N288" i="1"/>
  <c r="N290" i="1"/>
  <c r="N213" i="1"/>
  <c r="N302" i="1"/>
  <c r="N298" i="1" s="1"/>
  <c r="N297" i="1" s="1"/>
  <c r="N305" i="1"/>
  <c r="N304" i="1"/>
  <c r="N314" i="1"/>
  <c r="N318" i="1"/>
  <c r="N317" i="1" s="1"/>
  <c r="O36" i="1"/>
  <c r="O15" i="1"/>
  <c r="O20" i="1"/>
  <c r="O23" i="1"/>
  <c r="O30" i="1"/>
  <c r="O33" i="1"/>
  <c r="O39" i="1"/>
  <c r="O41" i="1"/>
  <c r="O50" i="1"/>
  <c r="O84" i="1"/>
  <c r="O82" i="1"/>
  <c r="O111" i="1"/>
  <c r="O117" i="1"/>
  <c r="O254" i="1"/>
  <c r="O260" i="1"/>
  <c r="O246" i="1"/>
  <c r="O266" i="1"/>
  <c r="O265" i="1"/>
  <c r="O274" i="1"/>
  <c r="O295" i="1"/>
  <c r="O288" i="1"/>
  <c r="O290" i="1"/>
  <c r="O213" i="1"/>
  <c r="O302" i="1"/>
  <c r="O298" i="1" s="1"/>
  <c r="O297" i="1" s="1"/>
  <c r="O305" i="1"/>
  <c r="O304" i="1"/>
  <c r="O314" i="1"/>
  <c r="O308" i="1"/>
  <c r="O307" i="1" s="1"/>
  <c r="O318" i="1"/>
  <c r="O317" i="1" s="1"/>
  <c r="F106" i="1"/>
  <c r="F112" i="1"/>
  <c r="F118" i="1"/>
  <c r="F124" i="1"/>
  <c r="F95" i="1"/>
  <c r="F76" i="1"/>
  <c r="F87" i="1"/>
  <c r="F255" i="1"/>
  <c r="F247" i="1"/>
  <c r="F285" i="1"/>
  <c r="F291" i="1"/>
  <c r="F271" i="1"/>
  <c r="E197" i="3"/>
  <c r="E194" i="3" s="1"/>
  <c r="E184" i="3" s="1"/>
  <c r="E211" i="3"/>
  <c r="E209" i="3" s="1"/>
  <c r="E199" i="3" s="1"/>
  <c r="F197" i="3"/>
  <c r="F194" i="3" s="1"/>
  <c r="F184" i="3" s="1"/>
  <c r="F211" i="3"/>
  <c r="F209" i="3" s="1"/>
  <c r="F199" i="3" s="1"/>
  <c r="G76" i="1"/>
  <c r="G87" i="1"/>
  <c r="G112" i="1"/>
  <c r="G118" i="1"/>
  <c r="G124" i="1"/>
  <c r="G95" i="1" s="1"/>
  <c r="G255" i="1"/>
  <c r="G247" i="1"/>
  <c r="G234" i="1" s="1"/>
  <c r="G285" i="1"/>
  <c r="G291" i="1"/>
  <c r="G271" i="1" s="1"/>
  <c r="G197" i="3"/>
  <c r="G194" i="3" s="1"/>
  <c r="G184" i="3" s="1"/>
  <c r="G211" i="3"/>
  <c r="G209" i="3" s="1"/>
  <c r="G199" i="3" s="1"/>
  <c r="H76" i="1"/>
  <c r="H87" i="1"/>
  <c r="H106" i="1"/>
  <c r="H112" i="1"/>
  <c r="H118" i="1"/>
  <c r="H124" i="1"/>
  <c r="H95" i="1" s="1"/>
  <c r="H255" i="1"/>
  <c r="H247" i="1"/>
  <c r="H234" i="1" s="1"/>
  <c r="H285" i="1"/>
  <c r="H291" i="1"/>
  <c r="H271" i="1" s="1"/>
  <c r="H197" i="3"/>
  <c r="H194" i="3" s="1"/>
  <c r="H184" i="3" s="1"/>
  <c r="H211" i="3"/>
  <c r="H209" i="3" s="1"/>
  <c r="H199" i="3" s="1"/>
  <c r="I76" i="1"/>
  <c r="I87" i="1"/>
  <c r="I106" i="1"/>
  <c r="I112" i="1"/>
  <c r="I118" i="1"/>
  <c r="I124" i="1"/>
  <c r="I255" i="1"/>
  <c r="I247" i="1"/>
  <c r="I234" i="1"/>
  <c r="I285" i="1"/>
  <c r="I291" i="1"/>
  <c r="I271" i="1" s="1"/>
  <c r="K76" i="1"/>
  <c r="K87" i="1"/>
  <c r="K62" i="1" s="1"/>
  <c r="K106" i="1"/>
  <c r="K112" i="1"/>
  <c r="K124" i="1"/>
  <c r="K255" i="1"/>
  <c r="K247" i="1"/>
  <c r="K285" i="1"/>
  <c r="K271" i="1"/>
  <c r="L76" i="1"/>
  <c r="L87" i="1"/>
  <c r="L62" i="1" s="1"/>
  <c r="L106" i="1"/>
  <c r="L112" i="1"/>
  <c r="L118" i="1"/>
  <c r="L124" i="1"/>
  <c r="L255" i="1"/>
  <c r="L247" i="1"/>
  <c r="L285" i="1"/>
  <c r="L291" i="1"/>
  <c r="L271" i="1"/>
  <c r="M76" i="1"/>
  <c r="M87" i="1"/>
  <c r="M62" i="1" s="1"/>
  <c r="M106" i="1"/>
  <c r="M112" i="1"/>
  <c r="M118" i="1"/>
  <c r="M124" i="1"/>
  <c r="M255" i="1"/>
  <c r="M247" i="1"/>
  <c r="M285" i="1"/>
  <c r="M291" i="1"/>
  <c r="M271" i="1"/>
  <c r="N76" i="1"/>
  <c r="N87" i="1"/>
  <c r="N62" i="1" s="1"/>
  <c r="N106" i="1"/>
  <c r="N112" i="1"/>
  <c r="N124" i="1"/>
  <c r="N255" i="1"/>
  <c r="N247" i="1"/>
  <c r="N285" i="1"/>
  <c r="N291" i="1"/>
  <c r="N271" i="1"/>
  <c r="O76" i="1"/>
  <c r="O87" i="1"/>
  <c r="O106" i="1"/>
  <c r="O112" i="1"/>
  <c r="O118" i="1"/>
  <c r="O124" i="1"/>
  <c r="O255" i="1"/>
  <c r="O247" i="1"/>
  <c r="O234" i="1" s="1"/>
  <c r="O285" i="1"/>
  <c r="O291" i="1"/>
  <c r="O271" i="1"/>
  <c r="E114" i="1"/>
  <c r="D52" i="3"/>
  <c r="E118" i="1"/>
  <c r="P76" i="1"/>
  <c r="E112" i="1"/>
  <c r="E124" i="1"/>
  <c r="E76" i="1"/>
  <c r="E87" i="1"/>
  <c r="E255" i="1"/>
  <c r="E247" i="1"/>
  <c r="E234" i="1"/>
  <c r="E285" i="1"/>
  <c r="E291" i="1"/>
  <c r="E271" i="1" s="1"/>
  <c r="D197" i="1"/>
  <c r="P330" i="1"/>
  <c r="P322" i="1"/>
  <c r="D291" i="1"/>
  <c r="B257" i="1"/>
  <c r="E80" i="1"/>
  <c r="J80" i="1"/>
  <c r="P80" i="1" s="1"/>
  <c r="L208" i="3"/>
  <c r="K208" i="3"/>
  <c r="C246" i="1"/>
  <c r="D246" i="1"/>
  <c r="C248" i="1"/>
  <c r="B248" i="1"/>
  <c r="B246" i="1"/>
  <c r="C301" i="1"/>
  <c r="D301" i="1"/>
  <c r="B301" i="1"/>
  <c r="C58" i="1"/>
  <c r="D58" i="1"/>
  <c r="B58" i="1"/>
  <c r="C250" i="1"/>
  <c r="D250" i="1"/>
  <c r="B250" i="1"/>
  <c r="C275" i="1"/>
  <c r="D275" i="1"/>
  <c r="B275" i="1"/>
  <c r="C256" i="1"/>
  <c r="D256" i="1"/>
  <c r="B256" i="1"/>
  <c r="C208" i="1"/>
  <c r="D208" i="1"/>
  <c r="B208" i="1"/>
  <c r="C288" i="1"/>
  <c r="D288" i="1"/>
  <c r="C289" i="1"/>
  <c r="D289" i="1"/>
  <c r="B289" i="1"/>
  <c r="B288" i="1"/>
  <c r="C295" i="1"/>
  <c r="D295" i="1"/>
  <c r="C296" i="1"/>
  <c r="B296" i="1"/>
  <c r="B295" i="1"/>
  <c r="D126" i="1"/>
  <c r="D124" i="1"/>
  <c r="C284" i="1"/>
  <c r="D284" i="1"/>
  <c r="C286" i="1"/>
  <c r="D286" i="1"/>
  <c r="B286" i="1"/>
  <c r="B284" i="1"/>
  <c r="C254" i="1"/>
  <c r="D254" i="1"/>
  <c r="C257" i="1"/>
  <c r="D257" i="1"/>
  <c r="B254" i="1"/>
  <c r="C241" i="1"/>
  <c r="D241" i="1"/>
  <c r="B241" i="1"/>
  <c r="C123" i="1"/>
  <c r="D123" i="1"/>
  <c r="C125" i="1"/>
  <c r="D125" i="1"/>
  <c r="B125" i="1"/>
  <c r="B123" i="1"/>
  <c r="C86" i="1"/>
  <c r="D86" i="1"/>
  <c r="C88" i="1"/>
  <c r="D88" i="1"/>
  <c r="B88" i="1"/>
  <c r="B86" i="1"/>
  <c r="C316" i="1"/>
  <c r="D316" i="1"/>
  <c r="B316" i="1"/>
  <c r="C150" i="1"/>
  <c r="D150" i="1"/>
  <c r="B150" i="1"/>
  <c r="D92" i="1"/>
  <c r="C92" i="1"/>
  <c r="B92" i="1"/>
  <c r="C59" i="1"/>
  <c r="D59" i="1"/>
  <c r="B59" i="1"/>
  <c r="C26" i="1"/>
  <c r="D26" i="1"/>
  <c r="B26" i="1"/>
  <c r="C283" i="1"/>
  <c r="D283" i="1"/>
  <c r="B283" i="1"/>
  <c r="W335" i="1"/>
  <c r="X335" i="1"/>
  <c r="Y335" i="1"/>
  <c r="C109" i="1"/>
  <c r="D109" i="1"/>
  <c r="B109" i="1"/>
  <c r="C83" i="1"/>
  <c r="D83" i="1"/>
  <c r="B83" i="1"/>
  <c r="C82" i="1"/>
  <c r="D82" i="1"/>
  <c r="B82" i="1"/>
  <c r="B203" i="1"/>
  <c r="C203" i="1"/>
  <c r="D203" i="1"/>
  <c r="C202" i="1"/>
  <c r="B202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C169" i="1"/>
  <c r="B169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C152" i="1"/>
  <c r="D152" i="1"/>
  <c r="B152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C134" i="1"/>
  <c r="D134" i="1"/>
  <c r="B134" i="1"/>
  <c r="E52" i="3"/>
  <c r="F52" i="3"/>
  <c r="G52" i="3"/>
  <c r="H52" i="3"/>
  <c r="I52" i="3"/>
  <c r="J52" i="3"/>
  <c r="K52" i="3"/>
  <c r="L52" i="3"/>
  <c r="M52" i="3"/>
  <c r="N52" i="3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C111" i="1"/>
  <c r="D111" i="1"/>
  <c r="B111" i="1"/>
  <c r="B186" i="1"/>
  <c r="C186" i="1"/>
  <c r="D186" i="1"/>
  <c r="B187" i="1"/>
  <c r="C187" i="1"/>
  <c r="D187" i="1"/>
  <c r="C185" i="1"/>
  <c r="D185" i="1"/>
  <c r="B185" i="1"/>
  <c r="C181" i="1"/>
  <c r="D181" i="1"/>
  <c r="B181" i="1"/>
  <c r="C331" i="1"/>
  <c r="D331" i="1"/>
  <c r="B331" i="1"/>
  <c r="C303" i="1"/>
  <c r="B303" i="1"/>
  <c r="C300" i="1"/>
  <c r="D300" i="1"/>
  <c r="B300" i="1"/>
  <c r="D121" i="1"/>
  <c r="C121" i="1"/>
  <c r="B121" i="1"/>
  <c r="C119" i="1"/>
  <c r="D119" i="1"/>
  <c r="B119" i="1"/>
  <c r="C51" i="1"/>
  <c r="B51" i="1"/>
  <c r="T317" i="1"/>
  <c r="R218" i="1"/>
  <c r="R317" i="1"/>
  <c r="S218" i="1"/>
  <c r="S317" i="1"/>
  <c r="R318" i="1"/>
  <c r="S318" i="1"/>
  <c r="T318" i="1"/>
  <c r="R314" i="1"/>
  <c r="S314" i="1"/>
  <c r="R219" i="1"/>
  <c r="S219" i="1"/>
  <c r="R213" i="1"/>
  <c r="S213" i="1"/>
  <c r="G147" i="3"/>
  <c r="H147" i="3"/>
  <c r="J147" i="3"/>
  <c r="K147" i="3"/>
  <c r="L147" i="3"/>
  <c r="M147" i="3"/>
  <c r="N147" i="3"/>
  <c r="F148" i="3"/>
  <c r="G148" i="3"/>
  <c r="H148" i="3"/>
  <c r="I148" i="3"/>
  <c r="J148" i="3"/>
  <c r="K148" i="3"/>
  <c r="L148" i="3"/>
  <c r="M148" i="3"/>
  <c r="N148" i="3"/>
  <c r="C44" i="1"/>
  <c r="D44" i="1"/>
  <c r="B44" i="1"/>
  <c r="D147" i="3"/>
  <c r="C209" i="1"/>
  <c r="D209" i="1"/>
  <c r="B209" i="1"/>
  <c r="C207" i="1"/>
  <c r="D207" i="1"/>
  <c r="B207" i="1"/>
  <c r="C205" i="1"/>
  <c r="D205" i="1"/>
  <c r="C206" i="1"/>
  <c r="D206" i="1"/>
  <c r="B206" i="1"/>
  <c r="B205" i="1"/>
  <c r="C204" i="1"/>
  <c r="D204" i="1"/>
  <c r="B204" i="1"/>
  <c r="C193" i="1"/>
  <c r="D193" i="1"/>
  <c r="B193" i="1"/>
  <c r="C192" i="1"/>
  <c r="D192" i="1"/>
  <c r="B192" i="1"/>
  <c r="C191" i="1"/>
  <c r="D191" i="1"/>
  <c r="B191" i="1"/>
  <c r="C190" i="1"/>
  <c r="D190" i="1"/>
  <c r="B190" i="1"/>
  <c r="C189" i="1"/>
  <c r="D189" i="1"/>
  <c r="B189" i="1"/>
  <c r="C188" i="1"/>
  <c r="D188" i="1"/>
  <c r="B188" i="1"/>
  <c r="C184" i="1"/>
  <c r="D184" i="1"/>
  <c r="B184" i="1"/>
  <c r="C183" i="1"/>
  <c r="D183" i="1"/>
  <c r="B183" i="1"/>
  <c r="C182" i="1"/>
  <c r="D182" i="1"/>
  <c r="B182" i="1"/>
  <c r="C168" i="1"/>
  <c r="D168" i="1"/>
  <c r="B168" i="1"/>
  <c r="C151" i="1"/>
  <c r="D151" i="1"/>
  <c r="B151" i="1"/>
  <c r="C149" i="1"/>
  <c r="D149" i="1"/>
  <c r="B149" i="1"/>
  <c r="C148" i="1"/>
  <c r="D148" i="1"/>
  <c r="B148" i="1"/>
  <c r="C147" i="1"/>
  <c r="D147" i="1"/>
  <c r="B147" i="1"/>
  <c r="C146" i="1"/>
  <c r="D146" i="1"/>
  <c r="B146" i="1"/>
  <c r="C127" i="1"/>
  <c r="D127" i="1"/>
  <c r="B127" i="1"/>
  <c r="C117" i="1"/>
  <c r="D117" i="1"/>
  <c r="B117" i="1"/>
  <c r="C107" i="1"/>
  <c r="D107" i="1"/>
  <c r="B107" i="1"/>
  <c r="C105" i="1"/>
  <c r="D105" i="1"/>
  <c r="B105" i="1"/>
  <c r="C103" i="1"/>
  <c r="D103" i="1"/>
  <c r="B103" i="1"/>
  <c r="C101" i="1"/>
  <c r="D101" i="1"/>
  <c r="B101" i="1"/>
  <c r="C99" i="1"/>
  <c r="D99" i="1"/>
  <c r="B99" i="1"/>
  <c r="C97" i="1"/>
  <c r="D97" i="1"/>
  <c r="B97" i="1"/>
  <c r="C91" i="1"/>
  <c r="D91" i="1"/>
  <c r="B91" i="1"/>
  <c r="C90" i="1"/>
  <c r="D90" i="1"/>
  <c r="B90" i="1"/>
  <c r="C85" i="1"/>
  <c r="D85" i="1"/>
  <c r="B85" i="1"/>
  <c r="C84" i="1"/>
  <c r="D84" i="1"/>
  <c r="B84" i="1"/>
  <c r="D81" i="1"/>
  <c r="C81" i="1"/>
  <c r="B81" i="1"/>
  <c r="C77" i="1"/>
  <c r="D77" i="1"/>
  <c r="C79" i="1"/>
  <c r="D79" i="1"/>
  <c r="B79" i="1"/>
  <c r="B77" i="1"/>
  <c r="C75" i="1"/>
  <c r="D75" i="1"/>
  <c r="B75" i="1"/>
  <c r="C74" i="1"/>
  <c r="D74" i="1"/>
  <c r="B74" i="1"/>
  <c r="C72" i="1"/>
  <c r="D72" i="1"/>
  <c r="B72" i="1"/>
  <c r="C71" i="1"/>
  <c r="D71" i="1"/>
  <c r="B71" i="1"/>
  <c r="C69" i="1"/>
  <c r="D69" i="1"/>
  <c r="B69" i="1"/>
  <c r="C67" i="1"/>
  <c r="D67" i="1"/>
  <c r="B67" i="1"/>
  <c r="C65" i="1"/>
  <c r="D65" i="1"/>
  <c r="B65" i="1"/>
  <c r="C64" i="1"/>
  <c r="D64" i="1"/>
  <c r="B64" i="1"/>
  <c r="C57" i="1"/>
  <c r="D57" i="1"/>
  <c r="B57" i="1"/>
  <c r="C56" i="1"/>
  <c r="D56" i="1"/>
  <c r="B56" i="1"/>
  <c r="C55" i="1"/>
  <c r="D55" i="1"/>
  <c r="B55" i="1"/>
  <c r="C54" i="1"/>
  <c r="D54" i="1"/>
  <c r="B54" i="1"/>
  <c r="C53" i="1"/>
  <c r="D53" i="1"/>
  <c r="B53" i="1"/>
  <c r="C52" i="1"/>
  <c r="D52" i="1"/>
  <c r="B52" i="1"/>
  <c r="C50" i="1"/>
  <c r="D50" i="1"/>
  <c r="B50" i="1"/>
  <c r="C49" i="1"/>
  <c r="D49" i="1"/>
  <c r="B49" i="1"/>
  <c r="C48" i="1"/>
  <c r="D48" i="1"/>
  <c r="B48" i="1"/>
  <c r="C47" i="1"/>
  <c r="D47" i="1"/>
  <c r="B47" i="1"/>
  <c r="C46" i="1"/>
  <c r="D46" i="1"/>
  <c r="B46" i="1"/>
  <c r="C45" i="1"/>
  <c r="D45" i="1"/>
  <c r="B45" i="1"/>
  <c r="C43" i="1"/>
  <c r="D43" i="1"/>
  <c r="B43" i="1"/>
  <c r="C42" i="1"/>
  <c r="D42" i="1"/>
  <c r="B42" i="1"/>
  <c r="C41" i="1"/>
  <c r="D41" i="1"/>
  <c r="B41" i="1"/>
  <c r="C40" i="1"/>
  <c r="D40" i="1"/>
  <c r="B40" i="1"/>
  <c r="C39" i="1"/>
  <c r="D39" i="1"/>
  <c r="B39" i="1"/>
  <c r="C24" i="1"/>
  <c r="D24" i="1"/>
  <c r="C25" i="1"/>
  <c r="D25" i="1"/>
  <c r="B25" i="1"/>
  <c r="B24" i="1"/>
  <c r="C23" i="1"/>
  <c r="D23" i="1"/>
  <c r="B23" i="1"/>
  <c r="C28" i="1"/>
  <c r="D28" i="1"/>
  <c r="C29" i="1"/>
  <c r="D29" i="1"/>
  <c r="B29" i="1"/>
  <c r="B28" i="1"/>
  <c r="C27" i="1"/>
  <c r="D27" i="1"/>
  <c r="B27" i="1"/>
  <c r="C38" i="1"/>
  <c r="D38" i="1"/>
  <c r="B38" i="1"/>
  <c r="C37" i="1"/>
  <c r="D37" i="1"/>
  <c r="B37" i="1"/>
  <c r="C36" i="1"/>
  <c r="D36" i="1"/>
  <c r="B36" i="1"/>
  <c r="C35" i="1"/>
  <c r="D35" i="1"/>
  <c r="B35" i="1"/>
  <c r="C34" i="1"/>
  <c r="D34" i="1"/>
  <c r="B34" i="1"/>
  <c r="C33" i="1"/>
  <c r="D33" i="1"/>
  <c r="B33" i="1"/>
  <c r="C32" i="1"/>
  <c r="D32" i="1"/>
  <c r="B32" i="1"/>
  <c r="C31" i="1"/>
  <c r="D31" i="1"/>
  <c r="B31" i="1"/>
  <c r="C30" i="1"/>
  <c r="D30" i="1"/>
  <c r="B30" i="1"/>
  <c r="C22" i="1"/>
  <c r="D22" i="1"/>
  <c r="B22" i="1"/>
  <c r="C21" i="1"/>
  <c r="D21" i="1"/>
  <c r="B21" i="1"/>
  <c r="C20" i="1"/>
  <c r="D20" i="1"/>
  <c r="B20" i="1"/>
  <c r="C19" i="1"/>
  <c r="D19" i="1"/>
  <c r="B19" i="1"/>
  <c r="C18" i="1"/>
  <c r="D18" i="1"/>
  <c r="B18" i="1"/>
  <c r="C17" i="1"/>
  <c r="D17" i="1"/>
  <c r="B17" i="1"/>
  <c r="C16" i="1"/>
  <c r="D16" i="1"/>
  <c r="B16" i="1"/>
  <c r="C15" i="1"/>
  <c r="D15" i="1"/>
  <c r="B15" i="1"/>
  <c r="C14" i="1"/>
  <c r="D14" i="1"/>
  <c r="B14" i="1"/>
  <c r="D214" i="1"/>
  <c r="C213" i="1"/>
  <c r="D213" i="1"/>
  <c r="B213" i="1"/>
  <c r="C214" i="1"/>
  <c r="B214" i="1"/>
  <c r="C222" i="1"/>
  <c r="D222" i="1"/>
  <c r="B222" i="1"/>
  <c r="C223" i="1"/>
  <c r="D223" i="1"/>
  <c r="B223" i="1"/>
  <c r="C225" i="1"/>
  <c r="D225" i="1"/>
  <c r="C226" i="1"/>
  <c r="D226" i="1"/>
  <c r="B226" i="1"/>
  <c r="B225" i="1"/>
  <c r="C224" i="1"/>
  <c r="D224" i="1"/>
  <c r="B224" i="1"/>
  <c r="C231" i="1"/>
  <c r="D231" i="1"/>
  <c r="B231" i="1"/>
  <c r="C236" i="1"/>
  <c r="D236" i="1"/>
  <c r="B236" i="1"/>
  <c r="C242" i="1"/>
  <c r="D242" i="1"/>
  <c r="B242" i="1"/>
  <c r="C240" i="1"/>
  <c r="D240" i="1"/>
  <c r="B240" i="1"/>
  <c r="C239" i="1"/>
  <c r="D239" i="1"/>
  <c r="B239" i="1"/>
  <c r="C238" i="1"/>
  <c r="D238" i="1"/>
  <c r="B238" i="1"/>
  <c r="C237" i="1"/>
  <c r="D237" i="1"/>
  <c r="B237" i="1"/>
  <c r="C243" i="1"/>
  <c r="D243" i="1"/>
  <c r="B243" i="1"/>
  <c r="C244" i="1"/>
  <c r="D244" i="1"/>
  <c r="B244" i="1"/>
  <c r="C245" i="1"/>
  <c r="D245" i="1"/>
  <c r="B245" i="1"/>
  <c r="C251" i="1"/>
  <c r="D251" i="1"/>
  <c r="B251" i="1"/>
  <c r="C252" i="1"/>
  <c r="D252" i="1"/>
  <c r="B252" i="1"/>
  <c r="C253" i="1"/>
  <c r="D253" i="1"/>
  <c r="B253" i="1"/>
  <c r="C259" i="1"/>
  <c r="D259" i="1"/>
  <c r="B259" i="1"/>
  <c r="C260" i="1"/>
  <c r="D260" i="1"/>
  <c r="B260" i="1"/>
  <c r="C262" i="1"/>
  <c r="D262" i="1"/>
  <c r="B262" i="1"/>
  <c r="C263" i="1"/>
  <c r="D263" i="1"/>
  <c r="B263" i="1"/>
  <c r="C264" i="1"/>
  <c r="D264" i="1"/>
  <c r="B264" i="1"/>
  <c r="C273" i="1"/>
  <c r="D273" i="1"/>
  <c r="B273" i="1"/>
  <c r="C274" i="1"/>
  <c r="D274" i="1"/>
  <c r="B274" i="1"/>
  <c r="C276" i="1"/>
  <c r="D276" i="1"/>
  <c r="B276" i="1"/>
  <c r="C277" i="1"/>
  <c r="D277" i="1"/>
  <c r="B277" i="1"/>
  <c r="C281" i="1"/>
  <c r="D281" i="1"/>
  <c r="B281" i="1"/>
  <c r="C280" i="1"/>
  <c r="D280" i="1"/>
  <c r="B280" i="1"/>
  <c r="C279" i="1"/>
  <c r="D279" i="1"/>
  <c r="B279" i="1"/>
  <c r="C278" i="1"/>
  <c r="D278" i="1"/>
  <c r="B278" i="1"/>
  <c r="C282" i="1"/>
  <c r="D282" i="1"/>
  <c r="B282" i="1"/>
  <c r="C294" i="1"/>
  <c r="D294" i="1"/>
  <c r="B294" i="1"/>
  <c r="C268" i="1"/>
  <c r="D268" i="1"/>
  <c r="B268" i="1"/>
  <c r="C302" i="1"/>
  <c r="D302" i="1"/>
  <c r="B302" i="1"/>
  <c r="C310" i="1"/>
  <c r="D310" i="1"/>
  <c r="B310" i="1"/>
  <c r="C311" i="1"/>
  <c r="D311" i="1"/>
  <c r="B311" i="1"/>
  <c r="C312" i="1"/>
  <c r="D312" i="1"/>
  <c r="B312" i="1"/>
  <c r="C313" i="1"/>
  <c r="D313" i="1"/>
  <c r="B313" i="1"/>
  <c r="C314" i="1"/>
  <c r="D314" i="1"/>
  <c r="B314" i="1"/>
  <c r="C315" i="1"/>
  <c r="D315" i="1"/>
  <c r="B315" i="1"/>
  <c r="C324" i="1"/>
  <c r="D324" i="1"/>
  <c r="B324" i="1"/>
  <c r="C325" i="1"/>
  <c r="D325" i="1"/>
  <c r="B325" i="1"/>
  <c r="C326" i="1"/>
  <c r="D326" i="1"/>
  <c r="B326" i="1"/>
  <c r="C327" i="1"/>
  <c r="D327" i="1"/>
  <c r="B327" i="1"/>
  <c r="C328" i="1"/>
  <c r="D328" i="1"/>
  <c r="B328" i="1"/>
  <c r="C323" i="1"/>
  <c r="B323" i="1"/>
  <c r="C319" i="1"/>
  <c r="B319" i="1"/>
  <c r="C309" i="1"/>
  <c r="B309" i="1"/>
  <c r="C306" i="1"/>
  <c r="B306" i="1"/>
  <c r="C299" i="1"/>
  <c r="B299" i="1"/>
  <c r="C272" i="1"/>
  <c r="B272" i="1"/>
  <c r="C267" i="1"/>
  <c r="B267" i="1"/>
  <c r="C235" i="1"/>
  <c r="B235" i="1"/>
  <c r="C221" i="1"/>
  <c r="B221" i="1"/>
  <c r="C212" i="1"/>
  <c r="B212" i="1"/>
  <c r="C133" i="1"/>
  <c r="B133" i="1"/>
  <c r="C96" i="1"/>
  <c r="B96" i="1"/>
  <c r="C63" i="1"/>
  <c r="B63" i="1"/>
  <c r="C13" i="1"/>
  <c r="B13" i="1"/>
  <c r="D323" i="1"/>
  <c r="D319" i="1"/>
  <c r="D309" i="1"/>
  <c r="D306" i="1"/>
  <c r="D299" i="1"/>
  <c r="D272" i="1"/>
  <c r="D267" i="1"/>
  <c r="D235" i="1"/>
  <c r="D221" i="1"/>
  <c r="D212" i="1"/>
  <c r="D133" i="1"/>
  <c r="D96" i="1"/>
  <c r="D63" i="1"/>
  <c r="D13" i="1"/>
  <c r="L12" i="1"/>
  <c r="L11" i="1" s="1"/>
  <c r="H131" i="1"/>
  <c r="H130" i="1" s="1"/>
  <c r="F157" i="3"/>
  <c r="G36" i="1"/>
  <c r="E13" i="3"/>
  <c r="E323" i="1"/>
  <c r="F321" i="1"/>
  <c r="F320" i="1" s="1"/>
  <c r="P221" i="1"/>
  <c r="E65" i="1"/>
  <c r="D17" i="3" s="1"/>
  <c r="E17" i="3"/>
  <c r="P107" i="1"/>
  <c r="O45" i="3" s="1"/>
  <c r="P136" i="1"/>
  <c r="P134" i="1" s="1"/>
  <c r="E25" i="1"/>
  <c r="E142" i="3"/>
  <c r="F23" i="1"/>
  <c r="P236" i="1"/>
  <c r="E26" i="1"/>
  <c r="E39" i="1"/>
  <c r="E147" i="3"/>
  <c r="O105" i="1"/>
  <c r="O93" i="1" s="1"/>
  <c r="H270" i="1"/>
  <c r="H269" i="1" s="1"/>
  <c r="H233" i="1"/>
  <c r="H232" i="1" s="1"/>
  <c r="H12" i="1"/>
  <c r="H11" i="1" s="1"/>
  <c r="G33" i="1"/>
  <c r="G18" i="1"/>
  <c r="J290" i="1"/>
  <c r="D30" i="3"/>
  <c r="H204" i="3"/>
  <c r="F16" i="3"/>
  <c r="G219" i="1"/>
  <c r="G218" i="1" s="1"/>
  <c r="E118" i="3"/>
  <c r="E117" i="3" s="1"/>
  <c r="E235" i="1"/>
  <c r="P235" i="1" s="1"/>
  <c r="E212" i="1"/>
  <c r="E121" i="1"/>
  <c r="P121" i="1" s="1"/>
  <c r="O59" i="3" s="1"/>
  <c r="E111" i="1"/>
  <c r="P187" i="1"/>
  <c r="O123" i="3" s="1"/>
  <c r="D123" i="3"/>
  <c r="P83" i="1"/>
  <c r="P82" i="1" s="1"/>
  <c r="E82" i="1"/>
  <c r="E224" i="1"/>
  <c r="E223" i="1"/>
  <c r="P223" i="1" s="1"/>
  <c r="O144" i="3" s="1"/>
  <c r="E144" i="3"/>
  <c r="E52" i="1"/>
  <c r="D223" i="3"/>
  <c r="P207" i="1"/>
  <c r="E42" i="1"/>
  <c r="D203" i="3" s="1"/>
  <c r="D196" i="3"/>
  <c r="D187" i="3"/>
  <c r="E278" i="1"/>
  <c r="E54" i="1"/>
  <c r="P54" i="1" s="1"/>
  <c r="O227" i="3" s="1"/>
  <c r="E227" i="3"/>
  <c r="E152" i="3"/>
  <c r="E150" i="3" s="1"/>
  <c r="J133" i="1"/>
  <c r="M12" i="3"/>
  <c r="M11" i="3" s="1"/>
  <c r="J28" i="1"/>
  <c r="I147" i="3" s="1"/>
  <c r="N27" i="1"/>
  <c r="J312" i="1"/>
  <c r="P312" i="1" s="1"/>
  <c r="O217" i="3" s="1"/>
  <c r="M217" i="3"/>
  <c r="J253" i="1"/>
  <c r="M191" i="3"/>
  <c r="I109" i="3"/>
  <c r="O278" i="1"/>
  <c r="J134" i="1"/>
  <c r="D46" i="3"/>
  <c r="D44" i="3" s="1"/>
  <c r="E46" i="3"/>
  <c r="J251" i="1"/>
  <c r="M185" i="3"/>
  <c r="J230" i="3"/>
  <c r="J331" i="1"/>
  <c r="P331" i="1" s="1"/>
  <c r="M246" i="3"/>
  <c r="M245" i="3" s="1"/>
  <c r="P287" i="1"/>
  <c r="P285" i="1" s="1"/>
  <c r="J285" i="1"/>
  <c r="P143" i="1"/>
  <c r="I72" i="3"/>
  <c r="I70" i="3" s="1"/>
  <c r="J141" i="1"/>
  <c r="M18" i="3"/>
  <c r="J66" i="1"/>
  <c r="J293" i="1"/>
  <c r="P293" i="1" s="1"/>
  <c r="J291" i="1"/>
  <c r="P251" i="1"/>
  <c r="P253" i="1"/>
  <c r="J27" i="1"/>
  <c r="D59" i="3"/>
  <c r="D55" i="3" s="1"/>
  <c r="O72" i="3"/>
  <c r="P26" i="1"/>
  <c r="O145" i="3" s="1"/>
  <c r="D145" i="3"/>
  <c r="P25" i="1"/>
  <c r="D142" i="3"/>
  <c r="E23" i="1"/>
  <c r="O65" i="3"/>
  <c r="O63" i="3" s="1"/>
  <c r="D164" i="3"/>
  <c r="P226" i="1"/>
  <c r="P115" i="1"/>
  <c r="D110" i="3"/>
  <c r="I84" i="3"/>
  <c r="P180" i="1"/>
  <c r="O109" i="3" s="1"/>
  <c r="P163" i="1"/>
  <c r="O92" i="3" s="1"/>
  <c r="J44" i="3"/>
  <c r="I223" i="3"/>
  <c r="D13" i="3"/>
  <c r="P14" i="1"/>
  <c r="O13" i="3"/>
  <c r="K131" i="1"/>
  <c r="K130" i="1"/>
  <c r="P151" i="1"/>
  <c r="P147" i="1"/>
  <c r="E294" i="1"/>
  <c r="P294" i="1"/>
  <c r="P289" i="1"/>
  <c r="P288" i="1" s="1"/>
  <c r="D185" i="3"/>
  <c r="E37" i="1"/>
  <c r="E157" i="3"/>
  <c r="E273" i="1"/>
  <c r="E168" i="3"/>
  <c r="J222" i="3"/>
  <c r="J221" i="3" s="1"/>
  <c r="J88" i="1"/>
  <c r="I196" i="3"/>
  <c r="E70" i="1"/>
  <c r="D22" i="3" s="1"/>
  <c r="E22" i="3"/>
  <c r="E117" i="1"/>
  <c r="D144" i="3"/>
  <c r="P257" i="1"/>
  <c r="J41" i="1"/>
  <c r="O18" i="1"/>
  <c r="D190" i="3"/>
  <c r="E223" i="3"/>
  <c r="F27" i="1"/>
  <c r="D189" i="3"/>
  <c r="O62" i="1"/>
  <c r="I62" i="1"/>
  <c r="O237" i="1"/>
  <c r="N308" i="1"/>
  <c r="N307" i="1" s="1"/>
  <c r="N86" i="1"/>
  <c r="N41" i="1"/>
  <c r="N12" i="1" s="1"/>
  <c r="N11" i="1" s="1"/>
  <c r="M219" i="1"/>
  <c r="M218" i="1"/>
  <c r="G93" i="1"/>
  <c r="F314" i="1"/>
  <c r="F270" i="1"/>
  <c r="F269" i="1" s="1"/>
  <c r="F117" i="1"/>
  <c r="F61" i="1"/>
  <c r="F60" i="1" s="1"/>
  <c r="F36" i="1"/>
  <c r="M132" i="1"/>
  <c r="E314" i="1"/>
  <c r="E288" i="1"/>
  <c r="M131" i="1"/>
  <c r="M130" i="1" s="1"/>
  <c r="L131" i="1"/>
  <c r="L130" i="1" s="1"/>
  <c r="F169" i="1"/>
  <c r="F146" i="1"/>
  <c r="D79" i="3"/>
  <c r="D222" i="3"/>
  <c r="D175" i="3"/>
  <c r="G23" i="1"/>
  <c r="G11" i="1"/>
  <c r="E12" i="3"/>
  <c r="E57" i="3"/>
  <c r="E79" i="3"/>
  <c r="P109" i="1"/>
  <c r="O47" i="3" s="1"/>
  <c r="D47" i="3"/>
  <c r="P184" i="1"/>
  <c r="O120" i="3" s="1"/>
  <c r="D120" i="3"/>
  <c r="E80" i="3"/>
  <c r="E44" i="1"/>
  <c r="D207" i="3" s="1"/>
  <c r="E207" i="3"/>
  <c r="P286" i="1"/>
  <c r="P284" i="1" s="1"/>
  <c r="E155" i="3"/>
  <c r="D178" i="3"/>
  <c r="P241" i="1"/>
  <c r="O165" i="3"/>
  <c r="D165" i="3"/>
  <c r="E242" i="1"/>
  <c r="D166" i="3" s="1"/>
  <c r="E166" i="3"/>
  <c r="N216" i="3"/>
  <c r="M204" i="3"/>
  <c r="M202" i="3" s="1"/>
  <c r="I24" i="3"/>
  <c r="J206" i="1"/>
  <c r="I142" i="3" s="1"/>
  <c r="M142" i="3"/>
  <c r="I48" i="3"/>
  <c r="E104" i="1"/>
  <c r="D42" i="3" s="1"/>
  <c r="E42" i="3"/>
  <c r="M26" i="3"/>
  <c r="M15" i="3" s="1"/>
  <c r="J157" i="3"/>
  <c r="J37" i="1"/>
  <c r="K132" i="1"/>
  <c r="P118" i="1"/>
  <c r="P258" i="1"/>
  <c r="P255" i="1" s="1"/>
  <c r="J255" i="1"/>
  <c r="P89" i="1"/>
  <c r="I133" i="3"/>
  <c r="P114" i="1"/>
  <c r="O52" i="3" s="1"/>
  <c r="P116" i="1"/>
  <c r="O54" i="3" s="1"/>
  <c r="D93" i="3"/>
  <c r="I121" i="3"/>
  <c r="J152" i="1"/>
  <c r="P119" i="1"/>
  <c r="O57" i="3" s="1"/>
  <c r="O55" i="3" s="1"/>
  <c r="P160" i="1"/>
  <c r="O89" i="3"/>
  <c r="P156" i="1"/>
  <c r="O85" i="3"/>
  <c r="I46" i="3"/>
  <c r="O139" i="3"/>
  <c r="E106" i="3"/>
  <c r="L225" i="3"/>
  <c r="E49" i="3"/>
  <c r="H81" i="3"/>
  <c r="G156" i="3"/>
  <c r="L221" i="3"/>
  <c r="L214" i="3" s="1"/>
  <c r="D19" i="3"/>
  <c r="I18" i="3"/>
  <c r="H125" i="3"/>
  <c r="E50" i="3"/>
  <c r="P63" i="1"/>
  <c r="M125" i="3"/>
  <c r="L49" i="3"/>
  <c r="L161" i="3"/>
  <c r="L56" i="3"/>
  <c r="D36" i="3"/>
  <c r="P159" i="1"/>
  <c r="O88" i="3" s="1"/>
  <c r="I88" i="3"/>
  <c r="O53" i="3"/>
  <c r="H153" i="3"/>
  <c r="G202" i="3"/>
  <c r="G56" i="3"/>
  <c r="N49" i="3"/>
  <c r="L193" i="3"/>
  <c r="I226" i="3"/>
  <c r="I225" i="3" s="1"/>
  <c r="F56" i="3"/>
  <c r="P171" i="1"/>
  <c r="O100" i="3"/>
  <c r="D100" i="3"/>
  <c r="P154" i="1"/>
  <c r="D83" i="3"/>
  <c r="J153" i="1"/>
  <c r="D63" i="3"/>
  <c r="D101" i="3"/>
  <c r="F75" i="3"/>
  <c r="P192" i="1"/>
  <c r="O128" i="3"/>
  <c r="D128" i="3"/>
  <c r="I80" i="3"/>
  <c r="J15" i="1"/>
  <c r="I139" i="3"/>
  <c r="I94" i="3"/>
  <c r="I86" i="3"/>
  <c r="G193" i="3"/>
  <c r="H44" i="3"/>
  <c r="N69" i="3"/>
  <c r="L55" i="3"/>
  <c r="J161" i="3"/>
  <c r="J69" i="3"/>
  <c r="F70" i="3"/>
  <c r="L44" i="3"/>
  <c r="D227" i="3"/>
  <c r="H15" i="3"/>
  <c r="D39" i="3"/>
  <c r="D106" i="3"/>
  <c r="I55" i="3"/>
  <c r="I108" i="3"/>
  <c r="P179" i="1"/>
  <c r="O108" i="3" s="1"/>
  <c r="I104" i="3"/>
  <c r="P175" i="1"/>
  <c r="O104" i="3" s="1"/>
  <c r="P178" i="1"/>
  <c r="O107" i="3" s="1"/>
  <c r="I107" i="3"/>
  <c r="J170" i="1"/>
  <c r="E50" i="1"/>
  <c r="D41" i="3"/>
  <c r="D91" i="3"/>
  <c r="D229" i="3"/>
  <c r="D228" i="3" s="1"/>
  <c r="G75" i="3"/>
  <c r="P71" i="1"/>
  <c r="O23" i="3" s="1"/>
  <c r="O83" i="3"/>
  <c r="N161" i="3"/>
  <c r="I243" i="3"/>
  <c r="J194" i="1"/>
  <c r="K81" i="3"/>
  <c r="P122" i="1"/>
  <c r="O60" i="3" s="1"/>
  <c r="P176" i="1"/>
  <c r="O105" i="3" s="1"/>
  <c r="I105" i="3"/>
  <c r="P242" i="1"/>
  <c r="O166" i="3" s="1"/>
  <c r="O76" i="3"/>
  <c r="P44" i="1"/>
  <c r="O207" i="3" s="1"/>
  <c r="J86" i="1"/>
  <c r="P273" i="1"/>
  <c r="D157" i="3"/>
  <c r="O206" i="3"/>
  <c r="O205" i="3" s="1"/>
  <c r="O101" i="3"/>
  <c r="J62" i="1"/>
  <c r="P206" i="1"/>
  <c r="O142" i="3" s="1"/>
  <c r="P158" i="1"/>
  <c r="O87" i="3" s="1"/>
  <c r="P52" i="1"/>
  <c r="J30" i="1"/>
  <c r="D84" i="3"/>
  <c r="P167" i="1"/>
  <c r="O96" i="3" s="1"/>
  <c r="P103" i="1"/>
  <c r="O41" i="3" s="1"/>
  <c r="I101" i="3"/>
  <c r="E156" i="3"/>
  <c r="P72" i="1"/>
  <c r="O25" i="3" s="1"/>
  <c r="H173" i="3"/>
  <c r="J124" i="1"/>
  <c r="P125" i="1"/>
  <c r="P123" i="1"/>
  <c r="O223" i="3"/>
  <c r="D56" i="3" l="1"/>
  <c r="G11" i="3"/>
  <c r="J225" i="3"/>
  <c r="G55" i="3"/>
  <c r="F221" i="3"/>
  <c r="F202" i="3"/>
  <c r="E43" i="3"/>
  <c r="I43" i="3"/>
  <c r="N99" i="3"/>
  <c r="M49" i="3"/>
  <c r="M82" i="3"/>
  <c r="J49" i="3"/>
  <c r="K43" i="3"/>
  <c r="I168" i="3"/>
  <c r="I185" i="3"/>
  <c r="E270" i="1"/>
  <c r="E269" i="1" s="1"/>
  <c r="O233" i="1"/>
  <c r="O232" i="1" s="1"/>
  <c r="P252" i="1"/>
  <c r="O185" i="3"/>
  <c r="E146" i="3"/>
  <c r="O219" i="1"/>
  <c r="O218" i="1" s="1"/>
  <c r="M146" i="3"/>
  <c r="M143" i="3" s="1"/>
  <c r="J224" i="1"/>
  <c r="I146" i="3" s="1"/>
  <c r="I143" i="3" s="1"/>
  <c r="M140" i="3"/>
  <c r="E146" i="1"/>
  <c r="D78" i="3"/>
  <c r="I157" i="3"/>
  <c r="P37" i="1"/>
  <c r="O157" i="3" s="1"/>
  <c r="K61" i="1"/>
  <c r="K60" i="1" s="1"/>
  <c r="J50" i="1"/>
  <c r="P51" i="1"/>
  <c r="F82" i="3"/>
  <c r="J111" i="1"/>
  <c r="P113" i="1"/>
  <c r="I51" i="3"/>
  <c r="I38" i="3"/>
  <c r="P100" i="1"/>
  <c r="O38" i="3" s="1"/>
  <c r="I36" i="3"/>
  <c r="P98" i="1"/>
  <c r="O36" i="3" s="1"/>
  <c r="P70" i="1"/>
  <c r="O22" i="3" s="1"/>
  <c r="P68" i="1"/>
  <c r="O20" i="3" s="1"/>
  <c r="P102" i="1"/>
  <c r="O40" i="3" s="1"/>
  <c r="J39" i="1"/>
  <c r="P108" i="1"/>
  <c r="O46" i="3" s="1"/>
  <c r="I193" i="3"/>
  <c r="H237" i="3"/>
  <c r="F161" i="3"/>
  <c r="F214" i="3"/>
  <c r="F198" i="3"/>
  <c r="E99" i="3"/>
  <c r="E82" i="3"/>
  <c r="P67" i="1"/>
  <c r="O19" i="3" s="1"/>
  <c r="D49" i="3"/>
  <c r="P101" i="1"/>
  <c r="O39" i="3" s="1"/>
  <c r="P31" i="1"/>
  <c r="O151" i="3" s="1"/>
  <c r="L98" i="3"/>
  <c r="L81" i="3"/>
  <c r="L75" i="3"/>
  <c r="J224" i="3"/>
  <c r="M156" i="3"/>
  <c r="M198" i="3"/>
  <c r="E75" i="3"/>
  <c r="O95" i="1"/>
  <c r="N95" i="1"/>
  <c r="N333" i="1" s="1"/>
  <c r="G60" i="1"/>
  <c r="H28" i="3"/>
  <c r="H14" i="3" s="1"/>
  <c r="H69" i="3"/>
  <c r="H63" i="3"/>
  <c r="H221" i="3"/>
  <c r="H186" i="3"/>
  <c r="H161" i="3"/>
  <c r="G28" i="3"/>
  <c r="G43" i="3"/>
  <c r="G121" i="3"/>
  <c r="G140" i="3"/>
  <c r="G143" i="3"/>
  <c r="G173" i="3"/>
  <c r="F43" i="3"/>
  <c r="F121" i="3"/>
  <c r="F153" i="3"/>
  <c r="F150" i="3"/>
  <c r="F237" i="3"/>
  <c r="E28" i="3"/>
  <c r="H70" i="3"/>
  <c r="G49" i="3"/>
  <c r="G99" i="3"/>
  <c r="G64" i="3"/>
  <c r="E70" i="3"/>
  <c r="E64" i="3"/>
  <c r="P56" i="1"/>
  <c r="P55" i="1"/>
  <c r="O229" i="3" s="1"/>
  <c r="O228" i="3" s="1"/>
  <c r="P129" i="1"/>
  <c r="N28" i="3"/>
  <c r="N143" i="3"/>
  <c r="N150" i="3"/>
  <c r="I69" i="3"/>
  <c r="I119" i="3"/>
  <c r="I215" i="3"/>
  <c r="N56" i="3"/>
  <c r="N82" i="3"/>
  <c r="N64" i="3"/>
  <c r="M50" i="3"/>
  <c r="M44" i="3"/>
  <c r="M64" i="3"/>
  <c r="L50" i="3"/>
  <c r="L70" i="3"/>
  <c r="K15" i="3"/>
  <c r="K50" i="3"/>
  <c r="K56" i="3"/>
  <c r="K44" i="3"/>
  <c r="K70" i="3"/>
  <c r="K64" i="3"/>
  <c r="J56" i="3"/>
  <c r="I230" i="3"/>
  <c r="I224" i="3" s="1"/>
  <c r="E105" i="1"/>
  <c r="G14" i="3"/>
  <c r="N14" i="3"/>
  <c r="P57" i="1"/>
  <c r="O234" i="3" s="1"/>
  <c r="O233" i="3" s="1"/>
  <c r="P48" i="1"/>
  <c r="O219" i="3" s="1"/>
  <c r="P43" i="1"/>
  <c r="O204" i="3" s="1"/>
  <c r="E41" i="1"/>
  <c r="F34" i="3"/>
  <c r="I81" i="3"/>
  <c r="I63" i="3"/>
  <c r="I202" i="3"/>
  <c r="M99" i="3"/>
  <c r="L15" i="3"/>
  <c r="L82" i="3"/>
  <c r="K99" i="3"/>
  <c r="J156" i="3"/>
  <c r="I140" i="3"/>
  <c r="D173" i="3"/>
  <c r="D193" i="3"/>
  <c r="H11" i="3"/>
  <c r="H55" i="3"/>
  <c r="H121" i="3"/>
  <c r="H140" i="3"/>
  <c r="H150" i="3"/>
  <c r="H193" i="3"/>
  <c r="H230" i="3"/>
  <c r="F63" i="3"/>
  <c r="F156" i="3"/>
  <c r="E69" i="3"/>
  <c r="E173" i="3"/>
  <c r="G160" i="3"/>
  <c r="E160" i="3"/>
  <c r="H202" i="3"/>
  <c r="N11" i="3"/>
  <c r="L160" i="3"/>
  <c r="I49" i="3"/>
  <c r="I50" i="3"/>
  <c r="P291" i="1"/>
  <c r="O211" i="3"/>
  <c r="O209" i="3" s="1"/>
  <c r="O199" i="3" s="1"/>
  <c r="P303" i="1"/>
  <c r="P302" i="1" s="1"/>
  <c r="J302" i="1"/>
  <c r="J298" i="1" s="1"/>
  <c r="J297" i="1" s="1"/>
  <c r="K34" i="3"/>
  <c r="P32" i="1"/>
  <c r="D152" i="3"/>
  <c r="E30" i="1"/>
  <c r="P112" i="1"/>
  <c r="J36" i="1"/>
  <c r="I241" i="3"/>
  <c r="O243" i="3"/>
  <c r="O241" i="3" s="1"/>
  <c r="F149" i="3"/>
  <c r="P50" i="1"/>
  <c r="P87" i="1"/>
  <c r="H214" i="3"/>
  <c r="P168" i="1"/>
  <c r="O97" i="3" s="1"/>
  <c r="D97" i="3"/>
  <c r="I44" i="3"/>
  <c r="J271" i="1"/>
  <c r="L95" i="1"/>
  <c r="L333" i="1" s="1"/>
  <c r="K95" i="1"/>
  <c r="K270" i="1"/>
  <c r="K269" i="1" s="1"/>
  <c r="I270" i="1"/>
  <c r="I269" i="1" s="1"/>
  <c r="N132" i="1"/>
  <c r="F12" i="3"/>
  <c r="F11" i="3" s="1"/>
  <c r="F143" i="3"/>
  <c r="F308" i="1"/>
  <c r="F307" i="1" s="1"/>
  <c r="E309" i="1"/>
  <c r="P309" i="1" s="1"/>
  <c r="E74" i="1"/>
  <c r="E27" i="3"/>
  <c r="E222" i="1"/>
  <c r="E24" i="3"/>
  <c r="E69" i="1"/>
  <c r="E21" i="3"/>
  <c r="E64" i="1"/>
  <c r="E16" i="3"/>
  <c r="E14" i="3" s="1"/>
  <c r="P142" i="1"/>
  <c r="O71" i="3" s="1"/>
  <c r="E140" i="1"/>
  <c r="E191" i="1"/>
  <c r="E127" i="3"/>
  <c r="E125" i="3" s="1"/>
  <c r="E188" i="1"/>
  <c r="E124" i="3"/>
  <c r="P214" i="1"/>
  <c r="E213" i="1"/>
  <c r="P148" i="1"/>
  <c r="D77" i="3"/>
  <c r="E29" i="1"/>
  <c r="E27" i="1" s="1"/>
  <c r="D146" i="3" s="1"/>
  <c r="D143" i="3" s="1"/>
  <c r="E148" i="3"/>
  <c r="D226" i="3"/>
  <c r="D225" i="3" s="1"/>
  <c r="P243" i="1"/>
  <c r="O167" i="3" s="1"/>
  <c r="D167" i="3"/>
  <c r="E244" i="1"/>
  <c r="H168" i="3"/>
  <c r="H159" i="3" s="1"/>
  <c r="J276" i="1"/>
  <c r="N274" i="1"/>
  <c r="J239" i="1"/>
  <c r="I163" i="3" s="1"/>
  <c r="M163" i="3"/>
  <c r="J261" i="1"/>
  <c r="M222" i="3"/>
  <c r="N260" i="1"/>
  <c r="D86" i="3"/>
  <c r="D82" i="3" s="1"/>
  <c r="P157" i="1"/>
  <c r="O86" i="3" s="1"/>
  <c r="E141" i="1"/>
  <c r="O194" i="1"/>
  <c r="O195" i="1" s="1"/>
  <c r="N132" i="3"/>
  <c r="N130" i="3" s="1"/>
  <c r="N131" i="3" s="1"/>
  <c r="J19" i="1"/>
  <c r="M116" i="3"/>
  <c r="M115" i="3" s="1"/>
  <c r="J59" i="1"/>
  <c r="M248" i="3"/>
  <c r="M247" i="3" s="1"/>
  <c r="M237" i="3" s="1"/>
  <c r="E66" i="1"/>
  <c r="F62" i="1"/>
  <c r="J65" i="1"/>
  <c r="M17" i="3"/>
  <c r="J69" i="1"/>
  <c r="I21" i="3" s="1"/>
  <c r="M21" i="3"/>
  <c r="J280" i="1"/>
  <c r="I188" i="3" s="1"/>
  <c r="M188" i="3"/>
  <c r="E319" i="1"/>
  <c r="F318" i="1"/>
  <c r="F317" i="1" s="1"/>
  <c r="E183" i="1"/>
  <c r="F182" i="1"/>
  <c r="E164" i="3"/>
  <c r="E161" i="3" s="1"/>
  <c r="F237" i="1"/>
  <c r="F233" i="1" s="1"/>
  <c r="F232" i="1" s="1"/>
  <c r="J34" i="1"/>
  <c r="M154" i="3"/>
  <c r="J238" i="1"/>
  <c r="M162" i="3"/>
  <c r="M161" i="3" s="1"/>
  <c r="N237" i="1"/>
  <c r="M187" i="3"/>
  <c r="J279" i="1"/>
  <c r="I190" i="3"/>
  <c r="E179" i="3"/>
  <c r="F266" i="1"/>
  <c r="F265" i="1" s="1"/>
  <c r="N196" i="3"/>
  <c r="N193" i="3" s="1"/>
  <c r="P230" i="1"/>
  <c r="J228" i="1"/>
  <c r="J254" i="1"/>
  <c r="I197" i="3"/>
  <c r="I194" i="3" s="1"/>
  <c r="I184" i="3" s="1"/>
  <c r="J204" i="1"/>
  <c r="I246" i="3"/>
  <c r="I245" i="3" s="1"/>
  <c r="I150" i="3"/>
  <c r="J169" i="1"/>
  <c r="E152" i="1"/>
  <c r="P73" i="1"/>
  <c r="O26" i="3" s="1"/>
  <c r="P88" i="1"/>
  <c r="E237" i="1"/>
  <c r="E233" i="1" s="1"/>
  <c r="E232" i="1" s="1"/>
  <c r="P196" i="1"/>
  <c r="O132" i="3" s="1"/>
  <c r="I98" i="3"/>
  <c r="P173" i="1"/>
  <c r="P177" i="1"/>
  <c r="O106" i="3" s="1"/>
  <c r="P174" i="1"/>
  <c r="D99" i="3"/>
  <c r="D216" i="3"/>
  <c r="E170" i="1"/>
  <c r="P161" i="1"/>
  <c r="O90" i="3" s="1"/>
  <c r="P53" i="1"/>
  <c r="O226" i="3" s="1"/>
  <c r="O225" i="3" s="1"/>
  <c r="G198" i="3"/>
  <c r="G33" i="3"/>
  <c r="P42" i="1"/>
  <c r="P165" i="1"/>
  <c r="O94" i="3" s="1"/>
  <c r="P49" i="1"/>
  <c r="O220" i="3" s="1"/>
  <c r="E169" i="1"/>
  <c r="J112" i="1"/>
  <c r="J95" i="1" s="1"/>
  <c r="P166" i="1"/>
  <c r="O95" i="3" s="1"/>
  <c r="O81" i="3" s="1"/>
  <c r="P202" i="1"/>
  <c r="O138" i="3" s="1"/>
  <c r="D213" i="3"/>
  <c r="D212" i="3" s="1"/>
  <c r="J189" i="1"/>
  <c r="P21" i="1"/>
  <c r="J20" i="1"/>
  <c r="P104" i="1"/>
  <c r="O42" i="3" s="1"/>
  <c r="E193" i="1"/>
  <c r="M168" i="3"/>
  <c r="E35" i="1"/>
  <c r="D192" i="3"/>
  <c r="E17" i="1"/>
  <c r="F141" i="3"/>
  <c r="F140" i="3" s="1"/>
  <c r="D221" i="3"/>
  <c r="E308" i="1"/>
  <c r="E307" i="1" s="1"/>
  <c r="F298" i="1"/>
  <c r="F297" i="1" s="1"/>
  <c r="I41" i="1"/>
  <c r="I12" i="1" s="1"/>
  <c r="I11" i="1" s="1"/>
  <c r="N61" i="1"/>
  <c r="N60" i="1" s="1"/>
  <c r="N278" i="1"/>
  <c r="N270" i="1" s="1"/>
  <c r="N269" i="1" s="1"/>
  <c r="P40" i="1"/>
  <c r="D151" i="3"/>
  <c r="P299" i="1"/>
  <c r="O12" i="1"/>
  <c r="O11" i="1" s="1"/>
  <c r="M196" i="3"/>
  <c r="M193" i="3" s="1"/>
  <c r="D248" i="3"/>
  <c r="D247" i="3" s="1"/>
  <c r="E216" i="3"/>
  <c r="E97" i="3"/>
  <c r="O270" i="1"/>
  <c r="O269" i="1" s="1"/>
  <c r="P224" i="1"/>
  <c r="D179" i="3"/>
  <c r="P185" i="1"/>
  <c r="I217" i="3"/>
  <c r="I211" i="3"/>
  <c r="I209" i="3" s="1"/>
  <c r="I199" i="3" s="1"/>
  <c r="J211" i="3"/>
  <c r="J209" i="3" s="1"/>
  <c r="J199" i="3" s="1"/>
  <c r="I58" i="3"/>
  <c r="I56" i="3" s="1"/>
  <c r="E185" i="1"/>
  <c r="O121" i="3"/>
  <c r="E211" i="1"/>
  <c r="E210" i="1" s="1"/>
  <c r="E226" i="3"/>
  <c r="F30" i="1"/>
  <c r="E20" i="1"/>
  <c r="E321" i="1"/>
  <c r="E320" i="1" s="1"/>
  <c r="F147" i="3"/>
  <c r="M95" i="1"/>
  <c r="N254" i="1"/>
  <c r="M233" i="1"/>
  <c r="M232" i="1" s="1"/>
  <c r="M12" i="1"/>
  <c r="M11" i="1" s="1"/>
  <c r="I93" i="1"/>
  <c r="I233" i="1"/>
  <c r="I232" i="1" s="1"/>
  <c r="H93" i="1"/>
  <c r="H332" i="1" s="1"/>
  <c r="H61" i="1"/>
  <c r="H60" i="1" s="1"/>
  <c r="G270" i="1"/>
  <c r="G269" i="1" s="1"/>
  <c r="G233" i="1"/>
  <c r="G232" i="1" s="1"/>
  <c r="L132" i="1"/>
  <c r="H132" i="1"/>
  <c r="F132" i="1"/>
  <c r="J288" i="1"/>
  <c r="E194" i="1"/>
  <c r="P194" i="1" s="1"/>
  <c r="N131" i="1"/>
  <c r="N130" i="1" s="1"/>
  <c r="J146" i="1"/>
  <c r="I131" i="1"/>
  <c r="I130" i="1" s="1"/>
  <c r="D71" i="3"/>
  <c r="D122" i="3"/>
  <c r="D121" i="3" s="1"/>
  <c r="E26" i="3"/>
  <c r="E18" i="3"/>
  <c r="E99" i="1"/>
  <c r="E37" i="3"/>
  <c r="P144" i="1"/>
  <c r="D73" i="3"/>
  <c r="E205" i="1"/>
  <c r="E141" i="3"/>
  <c r="E190" i="1"/>
  <c r="F189" i="1"/>
  <c r="E22" i="1"/>
  <c r="E119" i="3"/>
  <c r="E19" i="1"/>
  <c r="F18" i="1"/>
  <c r="F12" i="1" s="1"/>
  <c r="F11" i="1" s="1"/>
  <c r="P261" i="1"/>
  <c r="P260" i="1" s="1"/>
  <c r="P281" i="1"/>
  <c r="O189" i="3" s="1"/>
  <c r="E58" i="1"/>
  <c r="P58" i="1" s="1"/>
  <c r="O246" i="3" s="1"/>
  <c r="O245" i="3" s="1"/>
  <c r="E246" i="3"/>
  <c r="E245" i="3" s="1"/>
  <c r="P328" i="1"/>
  <c r="O240" i="3" s="1"/>
  <c r="O239" i="3" s="1"/>
  <c r="D240" i="3"/>
  <c r="D239" i="3" s="1"/>
  <c r="P239" i="1"/>
  <c r="O163" i="3" s="1"/>
  <c r="D163" i="3"/>
  <c r="D161" i="3" s="1"/>
  <c r="M23" i="3"/>
  <c r="M37" i="3"/>
  <c r="M178" i="3"/>
  <c r="M232" i="3"/>
  <c r="M230" i="3" s="1"/>
  <c r="J323" i="1"/>
  <c r="N321" i="1"/>
  <c r="N320" i="1" s="1"/>
  <c r="I30" i="3"/>
  <c r="I28" i="3" s="1"/>
  <c r="J75" i="1"/>
  <c r="P77" i="1"/>
  <c r="N234" i="1"/>
  <c r="M234" i="1"/>
  <c r="L234" i="1"/>
  <c r="K234" i="1"/>
  <c r="I95" i="1"/>
  <c r="I333" i="1" s="1"/>
  <c r="H62" i="1"/>
  <c r="G62" i="1"/>
  <c r="F234" i="1"/>
  <c r="N93" i="1"/>
  <c r="M270" i="1"/>
  <c r="M269" i="1" s="1"/>
  <c r="M93" i="1"/>
  <c r="M332" i="1" s="1"/>
  <c r="L270" i="1"/>
  <c r="L269" i="1" s="1"/>
  <c r="L233" i="1"/>
  <c r="L232" i="1" s="1"/>
  <c r="L61" i="1"/>
  <c r="L60" i="1" s="1"/>
  <c r="K93" i="1"/>
  <c r="F93" i="1"/>
  <c r="O132" i="1"/>
  <c r="O333" i="1" s="1"/>
  <c r="I132" i="1"/>
  <c r="G132" i="1"/>
  <c r="J117" i="1"/>
  <c r="P117" i="1" s="1"/>
  <c r="F219" i="1"/>
  <c r="F218" i="1" s="1"/>
  <c r="H198" i="3"/>
  <c r="G63" i="3"/>
  <c r="G125" i="3"/>
  <c r="G150" i="3"/>
  <c r="G221" i="3"/>
  <c r="G214" i="3" s="1"/>
  <c r="G186" i="3"/>
  <c r="G183" i="3" s="1"/>
  <c r="G230" i="3"/>
  <c r="F28" i="3"/>
  <c r="F14" i="3" s="1"/>
  <c r="E230" i="3"/>
  <c r="P13" i="1"/>
  <c r="P231" i="1"/>
  <c r="O216" i="3" s="1"/>
  <c r="P256" i="1"/>
  <c r="O195" i="3" s="1"/>
  <c r="P283" i="1"/>
  <c r="O191" i="3" s="1"/>
  <c r="P282" i="1"/>
  <c r="O190" i="3" s="1"/>
  <c r="P280" i="1"/>
  <c r="O188" i="3" s="1"/>
  <c r="P262" i="1"/>
  <c r="O231" i="3" s="1"/>
  <c r="K11" i="3"/>
  <c r="J219" i="1"/>
  <c r="J218" i="1" s="1"/>
  <c r="J275" i="1"/>
  <c r="M175" i="3"/>
  <c r="O64" i="3"/>
  <c r="P249" i="1"/>
  <c r="I172" i="3"/>
  <c r="I170" i="3" s="1"/>
  <c r="J217" i="1"/>
  <c r="P217" i="1" s="1"/>
  <c r="O177" i="3" s="1"/>
  <c r="O174" i="3" s="1"/>
  <c r="P216" i="1"/>
  <c r="J215" i="1"/>
  <c r="K49" i="3"/>
  <c r="K150" i="3"/>
  <c r="J146" i="3"/>
  <c r="J143" i="3" s="1"/>
  <c r="I78" i="3"/>
  <c r="I179" i="3"/>
  <c r="I182" i="3"/>
  <c r="I181" i="3" s="1"/>
  <c r="P110" i="1"/>
  <c r="P155" i="1"/>
  <c r="N44" i="3"/>
  <c r="J50" i="3"/>
  <c r="J34" i="3" s="1"/>
  <c r="J70" i="3"/>
  <c r="J64" i="3"/>
  <c r="O179" i="3"/>
  <c r="J266" i="1"/>
  <c r="J265" i="1" s="1"/>
  <c r="G332" i="1"/>
  <c r="P65" i="1"/>
  <c r="O17" i="3" s="1"/>
  <c r="I15" i="3"/>
  <c r="E62" i="3"/>
  <c r="D28" i="3"/>
  <c r="H43" i="3"/>
  <c r="H33" i="3" s="1"/>
  <c r="H143" i="3"/>
  <c r="H156" i="3"/>
  <c r="H149" i="3" s="1"/>
  <c r="H225" i="3"/>
  <c r="J82" i="3"/>
  <c r="D186" i="3"/>
  <c r="E55" i="3"/>
  <c r="E225" i="3"/>
  <c r="G161" i="3"/>
  <c r="G159" i="3" s="1"/>
  <c r="G237" i="3"/>
  <c r="F55" i="3"/>
  <c r="F33" i="3" s="1"/>
  <c r="F69" i="3"/>
  <c r="F125" i="3"/>
  <c r="F193" i="3"/>
  <c r="F186" i="3"/>
  <c r="F230" i="3"/>
  <c r="M69" i="3"/>
  <c r="E121" i="3"/>
  <c r="E140" i="3"/>
  <c r="E202" i="3"/>
  <c r="E198" i="3" s="1"/>
  <c r="E193" i="3"/>
  <c r="H50" i="3"/>
  <c r="H56" i="3"/>
  <c r="H99" i="3"/>
  <c r="H82" i="3"/>
  <c r="G15" i="3"/>
  <c r="G50" i="3"/>
  <c r="G44" i="3"/>
  <c r="E56" i="3"/>
  <c r="N55" i="3"/>
  <c r="N43" i="3"/>
  <c r="N63" i="3"/>
  <c r="N121" i="3"/>
  <c r="N140" i="3"/>
  <c r="N153" i="3"/>
  <c r="N221" i="3"/>
  <c r="N214" i="3" s="1"/>
  <c r="N202" i="3"/>
  <c r="N198" i="3" s="1"/>
  <c r="N186" i="3"/>
  <c r="N225" i="3"/>
  <c r="N224" i="3" s="1"/>
  <c r="M55" i="3"/>
  <c r="M43" i="3"/>
  <c r="M98" i="3"/>
  <c r="M150" i="3"/>
  <c r="M221" i="3"/>
  <c r="M214" i="3" s="1"/>
  <c r="M186" i="3"/>
  <c r="L11" i="3"/>
  <c r="L43" i="3"/>
  <c r="L33" i="3" s="1"/>
  <c r="L69" i="3"/>
  <c r="L63" i="3"/>
  <c r="L121" i="3"/>
  <c r="L125" i="3"/>
  <c r="L150" i="3"/>
  <c r="L149" i="3" s="1"/>
  <c r="L202" i="3"/>
  <c r="L198" i="3" s="1"/>
  <c r="L186" i="3"/>
  <c r="L183" i="3" s="1"/>
  <c r="L230" i="3"/>
  <c r="L224" i="3" s="1"/>
  <c r="K28" i="3"/>
  <c r="K98" i="3"/>
  <c r="K69" i="3"/>
  <c r="K121" i="3"/>
  <c r="K140" i="3"/>
  <c r="K125" i="3"/>
  <c r="K143" i="3"/>
  <c r="K156" i="3"/>
  <c r="K153" i="3"/>
  <c r="K173" i="3"/>
  <c r="K161" i="3"/>
  <c r="K221" i="3"/>
  <c r="K214" i="3" s="1"/>
  <c r="K230" i="3"/>
  <c r="K225" i="3"/>
  <c r="J55" i="3"/>
  <c r="J81" i="3"/>
  <c r="J63" i="3"/>
  <c r="J140" i="3"/>
  <c r="J75" i="3"/>
  <c r="J153" i="3"/>
  <c r="J173" i="3"/>
  <c r="J159" i="3" s="1"/>
  <c r="J202" i="3"/>
  <c r="J198" i="3" s="1"/>
  <c r="J193" i="3"/>
  <c r="J186" i="3"/>
  <c r="I125" i="3"/>
  <c r="N15" i="3"/>
  <c r="F98" i="3"/>
  <c r="F81" i="3"/>
  <c r="E237" i="3"/>
  <c r="J98" i="3"/>
  <c r="J15" i="3"/>
  <c r="J99" i="3"/>
  <c r="I244" i="3"/>
  <c r="J242" i="3"/>
  <c r="J238" i="3" s="1"/>
  <c r="I99" i="3"/>
  <c r="L34" i="3"/>
  <c r="I75" i="3"/>
  <c r="I210" i="3"/>
  <c r="E98" i="3"/>
  <c r="E143" i="3"/>
  <c r="E15" i="3"/>
  <c r="J214" i="3"/>
  <c r="H98" i="3"/>
  <c r="H75" i="3"/>
  <c r="F173" i="3"/>
  <c r="F159" i="3" s="1"/>
  <c r="G70" i="3"/>
  <c r="F15" i="3"/>
  <c r="K82" i="3"/>
  <c r="I131" i="3"/>
  <c r="I156" i="3"/>
  <c r="O43" i="3"/>
  <c r="E221" i="3"/>
  <c r="E214" i="3" s="1"/>
  <c r="E44" i="3"/>
  <c r="E34" i="3" s="1"/>
  <c r="D202" i="3"/>
  <c r="D198" i="3" s="1"/>
  <c r="D50" i="3"/>
  <c r="D34" i="3" s="1"/>
  <c r="G69" i="3"/>
  <c r="N98" i="3"/>
  <c r="N125" i="3"/>
  <c r="N75" i="3"/>
  <c r="N156" i="3"/>
  <c r="N237" i="3"/>
  <c r="M121" i="3"/>
  <c r="M153" i="3"/>
  <c r="M149" i="3" s="1"/>
  <c r="K55" i="3"/>
  <c r="F99" i="3"/>
  <c r="F62" i="3" s="1"/>
  <c r="F250" i="3" s="1"/>
  <c r="M56" i="3"/>
  <c r="K62" i="3"/>
  <c r="K250" i="3" s="1"/>
  <c r="M224" i="3"/>
  <c r="G98" i="3"/>
  <c r="G81" i="3"/>
  <c r="G82" i="3"/>
  <c r="N81" i="3"/>
  <c r="M81" i="3"/>
  <c r="K75" i="3"/>
  <c r="J28" i="3"/>
  <c r="J14" i="3" s="1"/>
  <c r="E11" i="3"/>
  <c r="D64" i="3"/>
  <c r="G153" i="3"/>
  <c r="G149" i="3" s="1"/>
  <c r="G225" i="3"/>
  <c r="F225" i="3"/>
  <c r="E81" i="3"/>
  <c r="E63" i="3"/>
  <c r="E186" i="3"/>
  <c r="H64" i="3"/>
  <c r="N173" i="3"/>
  <c r="N159" i="3" s="1"/>
  <c r="M28" i="3"/>
  <c r="M63" i="3"/>
  <c r="K63" i="3"/>
  <c r="J11" i="3"/>
  <c r="N70" i="3"/>
  <c r="L99" i="3"/>
  <c r="L64" i="3"/>
  <c r="P201" i="1"/>
  <c r="O137" i="3" s="1"/>
  <c r="I130" i="3"/>
  <c r="P200" i="1"/>
  <c r="O136" i="3" s="1"/>
  <c r="O130" i="3" s="1"/>
  <c r="O131" i="3" s="1"/>
  <c r="O48" i="3"/>
  <c r="P106" i="1"/>
  <c r="P95" i="1" s="1"/>
  <c r="E106" i="1"/>
  <c r="E95" i="1" s="1"/>
  <c r="P105" i="1"/>
  <c r="D43" i="3"/>
  <c r="P152" i="1"/>
  <c r="P271" i="1"/>
  <c r="K332" i="1"/>
  <c r="L332" i="1"/>
  <c r="M333" i="1"/>
  <c r="H333" i="1"/>
  <c r="F333" i="1"/>
  <c r="K333" i="1"/>
  <c r="E266" i="1"/>
  <c r="E265" i="1" s="1"/>
  <c r="P267" i="1"/>
  <c r="P266" i="1" s="1"/>
  <c r="P265" i="1" s="1"/>
  <c r="P23" i="1"/>
  <c r="P28" i="1"/>
  <c r="D215" i="3"/>
  <c r="D214" i="3" s="1"/>
  <c r="P311" i="1"/>
  <c r="O215" i="3" s="1"/>
  <c r="D182" i="3"/>
  <c r="D181" i="3" s="1"/>
  <c r="P310" i="1"/>
  <c r="O182" i="3" s="1"/>
  <c r="O181" i="3" s="1"/>
  <c r="D235" i="3"/>
  <c r="P326" i="1"/>
  <c r="K198" i="3"/>
  <c r="D81" i="3"/>
  <c r="D98" i="3"/>
  <c r="I82" i="3"/>
  <c r="F224" i="3"/>
  <c r="E153" i="3"/>
  <c r="E149" i="3" s="1"/>
  <c r="O73" i="3"/>
  <c r="O69" i="3" s="1"/>
  <c r="P140" i="1"/>
  <c r="O78" i="3"/>
  <c r="P29" i="1"/>
  <c r="O148" i="3" s="1"/>
  <c r="D148" i="3"/>
  <c r="P38" i="1"/>
  <c r="D158" i="3"/>
  <c r="D156" i="3" s="1"/>
  <c r="E84" i="1"/>
  <c r="P85" i="1"/>
  <c r="P84" i="1" s="1"/>
  <c r="P246" i="1"/>
  <c r="O171" i="3"/>
  <c r="O169" i="3" s="1"/>
  <c r="J308" i="1"/>
  <c r="J307" i="1" s="1"/>
  <c r="F211" i="1"/>
  <c r="F210" i="1" s="1"/>
  <c r="K14" i="3"/>
  <c r="J237" i="3"/>
  <c r="O56" i="3"/>
  <c r="D232" i="3"/>
  <c r="D230" i="3" s="1"/>
  <c r="D246" i="3"/>
  <c r="D245" i="3" s="1"/>
  <c r="D237" i="3" s="1"/>
  <c r="O211" i="1"/>
  <c r="O210" i="1" s="1"/>
  <c r="M75" i="3"/>
  <c r="L173" i="3"/>
  <c r="L159" i="3" s="1"/>
  <c r="L237" i="3"/>
  <c r="K186" i="3"/>
  <c r="K183" i="3" s="1"/>
  <c r="K237" i="3"/>
  <c r="N211" i="1"/>
  <c r="N210" i="1" s="1"/>
  <c r="J212" i="1"/>
  <c r="J35" i="3"/>
  <c r="J97" i="1"/>
  <c r="M160" i="3"/>
  <c r="O176" i="3"/>
  <c r="P215" i="1"/>
  <c r="I177" i="3"/>
  <c r="I174" i="3" s="1"/>
  <c r="N219" i="1"/>
  <c r="N218" i="1" s="1"/>
  <c r="J247" i="1"/>
  <c r="J234" i="1" s="1"/>
  <c r="J135" i="1"/>
  <c r="J132" i="1" s="1"/>
  <c r="I66" i="3"/>
  <c r="I64" i="3" s="1"/>
  <c r="P197" i="1"/>
  <c r="O133" i="3" s="1"/>
  <c r="E153" i="1"/>
  <c r="E132" i="1" s="1"/>
  <c r="D74" i="3"/>
  <c r="D70" i="3" s="1"/>
  <c r="P145" i="1"/>
  <c r="N50" i="3"/>
  <c r="N34" i="3" s="1"/>
  <c r="N160" i="3"/>
  <c r="M130" i="3"/>
  <c r="M131" i="3" s="1"/>
  <c r="M62" i="3" s="1"/>
  <c r="P199" i="1"/>
  <c r="O135" i="3" s="1"/>
  <c r="J220" i="1"/>
  <c r="M197" i="3"/>
  <c r="M194" i="3" s="1"/>
  <c r="M184" i="3" s="1"/>
  <c r="G180" i="3" l="1"/>
  <c r="M173" i="3"/>
  <c r="M159" i="3" s="1"/>
  <c r="D150" i="3"/>
  <c r="O44" i="3"/>
  <c r="E61" i="1"/>
  <c r="E60" i="1" s="1"/>
  <c r="E61" i="3"/>
  <c r="N183" i="3"/>
  <c r="E159" i="3"/>
  <c r="O51" i="3"/>
  <c r="P111" i="1"/>
  <c r="N62" i="3"/>
  <c r="M34" i="3"/>
  <c r="J149" i="3"/>
  <c r="H34" i="3"/>
  <c r="H224" i="3"/>
  <c r="O230" i="3"/>
  <c r="E33" i="3"/>
  <c r="I332" i="1"/>
  <c r="H183" i="3"/>
  <c r="M14" i="3"/>
  <c r="N180" i="3"/>
  <c r="H180" i="3"/>
  <c r="I62" i="3"/>
  <c r="I160" i="3"/>
  <c r="J33" i="3"/>
  <c r="D224" i="3"/>
  <c r="E183" i="3"/>
  <c r="G224" i="3"/>
  <c r="G62" i="3"/>
  <c r="K33" i="3"/>
  <c r="N149" i="3"/>
  <c r="J62" i="3"/>
  <c r="J183" i="3"/>
  <c r="J61" i="3"/>
  <c r="K224" i="3"/>
  <c r="L180" i="3"/>
  <c r="L249" i="3" s="1"/>
  <c r="M340" i="1" s="1"/>
  <c r="L61" i="3"/>
  <c r="M183" i="3"/>
  <c r="M180" i="3" s="1"/>
  <c r="M33" i="3"/>
  <c r="N33" i="3"/>
  <c r="G34" i="3"/>
  <c r="E224" i="3"/>
  <c r="D183" i="3"/>
  <c r="I34" i="3"/>
  <c r="I175" i="3"/>
  <c r="P275" i="1"/>
  <c r="O175" i="3" s="1"/>
  <c r="P75" i="1"/>
  <c r="O30" i="3"/>
  <c r="O28" i="3" s="1"/>
  <c r="J321" i="1"/>
  <c r="J320" i="1" s="1"/>
  <c r="P323" i="1"/>
  <c r="D116" i="3"/>
  <c r="D115" i="3" s="1"/>
  <c r="E18" i="1"/>
  <c r="P19" i="1"/>
  <c r="D119" i="3"/>
  <c r="P22" i="1"/>
  <c r="O119" i="3" s="1"/>
  <c r="P190" i="1"/>
  <c r="E189" i="1"/>
  <c r="D126" i="3"/>
  <c r="D141" i="3"/>
  <c r="D140" i="3" s="1"/>
  <c r="P205" i="1"/>
  <c r="E204" i="1"/>
  <c r="D37" i="3"/>
  <c r="D33" i="3" s="1"/>
  <c r="P99" i="1"/>
  <c r="O37" i="3" s="1"/>
  <c r="D69" i="3"/>
  <c r="P39" i="1"/>
  <c r="O201" i="3"/>
  <c r="O200" i="3" s="1"/>
  <c r="P17" i="1"/>
  <c r="E15" i="1"/>
  <c r="D80" i="3"/>
  <c r="D75" i="3" s="1"/>
  <c r="D155" i="3"/>
  <c r="D153" i="3" s="1"/>
  <c r="D149" i="3" s="1"/>
  <c r="P35" i="1"/>
  <c r="O155" i="3" s="1"/>
  <c r="E33" i="1"/>
  <c r="D129" i="3"/>
  <c r="P193" i="1"/>
  <c r="O129" i="3" s="1"/>
  <c r="O203" i="3"/>
  <c r="O202" i="3" s="1"/>
  <c r="P41" i="1"/>
  <c r="O103" i="3"/>
  <c r="O99" i="3" s="1"/>
  <c r="P170" i="1"/>
  <c r="O102" i="3"/>
  <c r="O98" i="3" s="1"/>
  <c r="P169" i="1"/>
  <c r="P86" i="1"/>
  <c r="O196" i="3"/>
  <c r="O193" i="3" s="1"/>
  <c r="I187" i="3"/>
  <c r="I186" i="3" s="1"/>
  <c r="I183" i="3" s="1"/>
  <c r="P279" i="1"/>
  <c r="J278" i="1"/>
  <c r="I162" i="3"/>
  <c r="I161" i="3" s="1"/>
  <c r="J237" i="1"/>
  <c r="I154" i="3"/>
  <c r="I153" i="3" s="1"/>
  <c r="I149" i="3" s="1"/>
  <c r="P34" i="1"/>
  <c r="P33" i="1" s="1"/>
  <c r="J33" i="1"/>
  <c r="P183" i="1"/>
  <c r="E182" i="1"/>
  <c r="D112" i="3"/>
  <c r="D111" i="3" s="1"/>
  <c r="E318" i="1"/>
  <c r="E317" i="1" s="1"/>
  <c r="P319" i="1"/>
  <c r="P318" i="1" s="1"/>
  <c r="P317" i="1" s="1"/>
  <c r="J61" i="1"/>
  <c r="J60" i="1" s="1"/>
  <c r="I17" i="3"/>
  <c r="I14" i="3" s="1"/>
  <c r="D18" i="3"/>
  <c r="D15" i="3" s="1"/>
  <c r="P66" i="1"/>
  <c r="E62" i="1"/>
  <c r="E333" i="1" s="1"/>
  <c r="I248" i="3"/>
  <c r="I247" i="3" s="1"/>
  <c r="I237" i="3" s="1"/>
  <c r="P59" i="1"/>
  <c r="O248" i="3" s="1"/>
  <c r="O247" i="3" s="1"/>
  <c r="O237" i="3" s="1"/>
  <c r="J18" i="1"/>
  <c r="J12" i="1" s="1"/>
  <c r="J11" i="1" s="1"/>
  <c r="I116" i="3"/>
  <c r="I115" i="3" s="1"/>
  <c r="I61" i="3" s="1"/>
  <c r="N233" i="1"/>
  <c r="N232" i="1" s="1"/>
  <c r="J260" i="1"/>
  <c r="I222" i="3"/>
  <c r="I221" i="3" s="1"/>
  <c r="I214" i="3" s="1"/>
  <c r="I178" i="3"/>
  <c r="I173" i="3" s="1"/>
  <c r="J274" i="1"/>
  <c r="J270" i="1" s="1"/>
  <c r="J269" i="1" s="1"/>
  <c r="O77" i="3"/>
  <c r="P146" i="1"/>
  <c r="O114" i="3"/>
  <c r="O113" i="3" s="1"/>
  <c r="P213" i="1"/>
  <c r="P188" i="1"/>
  <c r="O124" i="3" s="1"/>
  <c r="D124" i="3"/>
  <c r="D127" i="3"/>
  <c r="P191" i="1"/>
  <c r="O127" i="3" s="1"/>
  <c r="D16" i="3"/>
  <c r="P64" i="1"/>
  <c r="O16" i="3" s="1"/>
  <c r="D21" i="3"/>
  <c r="P69" i="1"/>
  <c r="O21" i="3" s="1"/>
  <c r="D24" i="3"/>
  <c r="P222" i="1"/>
  <c r="D27" i="3"/>
  <c r="P74" i="1"/>
  <c r="O27" i="3" s="1"/>
  <c r="E93" i="1"/>
  <c r="P254" i="1"/>
  <c r="P238" i="1"/>
  <c r="D12" i="3"/>
  <c r="D11" i="3" s="1"/>
  <c r="L341" i="1"/>
  <c r="H62" i="3"/>
  <c r="O84" i="3"/>
  <c r="O82" i="3" s="1"/>
  <c r="P153" i="1"/>
  <c r="O172" i="3"/>
  <c r="O170" i="3" s="1"/>
  <c r="O160" i="3" s="1"/>
  <c r="P247" i="1"/>
  <c r="P234" i="1" s="1"/>
  <c r="G333" i="1"/>
  <c r="G341" i="1" s="1"/>
  <c r="O118" i="3"/>
  <c r="O117" i="3" s="1"/>
  <c r="P20" i="1"/>
  <c r="J131" i="1"/>
  <c r="J130" i="1" s="1"/>
  <c r="P220" i="1"/>
  <c r="P228" i="1"/>
  <c r="F131" i="1"/>
  <c r="F130" i="1" s="1"/>
  <c r="F332" i="1" s="1"/>
  <c r="O131" i="1"/>
  <c r="O130" i="1" s="1"/>
  <c r="O332" i="1" s="1"/>
  <c r="P244" i="1"/>
  <c r="O168" i="3" s="1"/>
  <c r="D168" i="3"/>
  <c r="D159" i="3" s="1"/>
  <c r="O197" i="3"/>
  <c r="O194" i="3" s="1"/>
  <c r="O184" i="3" s="1"/>
  <c r="O222" i="3"/>
  <c r="O221" i="3" s="1"/>
  <c r="O214" i="3" s="1"/>
  <c r="O152" i="3"/>
  <c r="O150" i="3" s="1"/>
  <c r="P30" i="1"/>
  <c r="P298" i="1"/>
  <c r="P297" i="1" s="1"/>
  <c r="P276" i="1"/>
  <c r="E219" i="1"/>
  <c r="E218" i="1" s="1"/>
  <c r="E180" i="3"/>
  <c r="D180" i="3"/>
  <c r="E250" i="3"/>
  <c r="F341" i="1" s="1"/>
  <c r="H61" i="3"/>
  <c r="H249" i="3" s="1"/>
  <c r="J180" i="3"/>
  <c r="J250" i="3"/>
  <c r="K341" i="1" s="1"/>
  <c r="F61" i="3"/>
  <c r="K159" i="3"/>
  <c r="K149" i="3"/>
  <c r="F183" i="3"/>
  <c r="F180" i="3" s="1"/>
  <c r="O210" i="3"/>
  <c r="O208" i="3" s="1"/>
  <c r="I208" i="3"/>
  <c r="I198" i="3" s="1"/>
  <c r="I180" i="3" s="1"/>
  <c r="D62" i="3"/>
  <c r="H250" i="3"/>
  <c r="I341" i="1" s="1"/>
  <c r="N61" i="3"/>
  <c r="I242" i="3"/>
  <c r="O244" i="3"/>
  <c r="L62" i="3"/>
  <c r="L250" i="3" s="1"/>
  <c r="M341" i="1" s="1"/>
  <c r="K61" i="3"/>
  <c r="G61" i="3"/>
  <c r="J333" i="1"/>
  <c r="N332" i="1"/>
  <c r="K180" i="3"/>
  <c r="M61" i="3"/>
  <c r="N250" i="3"/>
  <c r="O341" i="1" s="1"/>
  <c r="O74" i="3"/>
  <c r="O70" i="3" s="1"/>
  <c r="O62" i="3" s="1"/>
  <c r="P141" i="1"/>
  <c r="P132" i="1" s="1"/>
  <c r="M250" i="3"/>
  <c r="N341" i="1" s="1"/>
  <c r="I35" i="3"/>
  <c r="I33" i="3" s="1"/>
  <c r="P97" i="1"/>
  <c r="J93" i="1"/>
  <c r="J211" i="1"/>
  <c r="J210" i="1" s="1"/>
  <c r="I12" i="3"/>
  <c r="I11" i="3" s="1"/>
  <c r="P212" i="1"/>
  <c r="O158" i="3"/>
  <c r="O156" i="3" s="1"/>
  <c r="P36" i="1"/>
  <c r="O235" i="3"/>
  <c r="O224" i="3" s="1"/>
  <c r="P321" i="1"/>
  <c r="P320" i="1" s="1"/>
  <c r="P27" i="1"/>
  <c r="O146" i="3" s="1"/>
  <c r="O143" i="3" s="1"/>
  <c r="O147" i="3"/>
  <c r="P308" i="1"/>
  <c r="P307" i="1" s="1"/>
  <c r="O154" i="3"/>
  <c r="O153" i="3" s="1"/>
  <c r="K249" i="3" l="1"/>
  <c r="L340" i="1" s="1"/>
  <c r="E131" i="1"/>
  <c r="E130" i="1" s="1"/>
  <c r="I340" i="1"/>
  <c r="O49" i="3"/>
  <c r="O50" i="3"/>
  <c r="O34" i="3" s="1"/>
  <c r="I159" i="3"/>
  <c r="E249" i="3"/>
  <c r="F340" i="1" s="1"/>
  <c r="M249" i="3"/>
  <c r="P61" i="1"/>
  <c r="P60" i="1" s="1"/>
  <c r="D14" i="3"/>
  <c r="G249" i="3"/>
  <c r="H340" i="1" s="1"/>
  <c r="N249" i="3"/>
  <c r="D250" i="3"/>
  <c r="O198" i="3"/>
  <c r="F249" i="3"/>
  <c r="G340" i="1" s="1"/>
  <c r="J249" i="3"/>
  <c r="K340" i="1" s="1"/>
  <c r="G250" i="3"/>
  <c r="H341" i="1" s="1"/>
  <c r="O340" i="1"/>
  <c r="E341" i="1"/>
  <c r="P274" i="1"/>
  <c r="O178" i="3"/>
  <c r="O173" i="3" s="1"/>
  <c r="O24" i="3"/>
  <c r="P219" i="1"/>
  <c r="P218" i="1" s="1"/>
  <c r="O14" i="3"/>
  <c r="O18" i="3"/>
  <c r="O15" i="3" s="1"/>
  <c r="P62" i="1"/>
  <c r="P333" i="1" s="1"/>
  <c r="O112" i="3"/>
  <c r="O111" i="3" s="1"/>
  <c r="P182" i="1"/>
  <c r="J233" i="1"/>
  <c r="J232" i="1" s="1"/>
  <c r="J332" i="1" s="1"/>
  <c r="P15" i="1"/>
  <c r="O80" i="3"/>
  <c r="O75" i="3" s="1"/>
  <c r="P18" i="1"/>
  <c r="O116" i="3"/>
  <c r="O115" i="3" s="1"/>
  <c r="O162" i="3"/>
  <c r="O161" i="3" s="1"/>
  <c r="P237" i="1"/>
  <c r="P233" i="1" s="1"/>
  <c r="P232" i="1" s="1"/>
  <c r="O187" i="3"/>
  <c r="O186" i="3" s="1"/>
  <c r="O183" i="3" s="1"/>
  <c r="O180" i="3" s="1"/>
  <c r="P278" i="1"/>
  <c r="E12" i="1"/>
  <c r="E11" i="1" s="1"/>
  <c r="E332" i="1" s="1"/>
  <c r="O141" i="3"/>
  <c r="O140" i="3" s="1"/>
  <c r="P204" i="1"/>
  <c r="D125" i="3"/>
  <c r="D61" i="3" s="1"/>
  <c r="D249" i="3" s="1"/>
  <c r="O126" i="3"/>
  <c r="O125" i="3" s="1"/>
  <c r="P189" i="1"/>
  <c r="N340" i="1"/>
  <c r="I238" i="3"/>
  <c r="I250" i="3" s="1"/>
  <c r="J341" i="1" s="1"/>
  <c r="O242" i="3"/>
  <c r="O238" i="3" s="1"/>
  <c r="O250" i="3" s="1"/>
  <c r="O149" i="3"/>
  <c r="I249" i="3"/>
  <c r="P12" i="1"/>
  <c r="P11" i="1" s="1"/>
  <c r="P211" i="1"/>
  <c r="P210" i="1" s="1"/>
  <c r="O12" i="3"/>
  <c r="O11" i="3" s="1"/>
  <c r="O35" i="3"/>
  <c r="O33" i="3" s="1"/>
  <c r="P93" i="1"/>
  <c r="P131" i="1" l="1"/>
  <c r="P130" i="1" s="1"/>
  <c r="O61" i="3"/>
  <c r="E340" i="1"/>
  <c r="P270" i="1"/>
  <c r="P269" i="1" s="1"/>
  <c r="P341" i="1"/>
  <c r="J340" i="1"/>
  <c r="O159" i="3"/>
  <c r="O249" i="3" s="1"/>
  <c r="Q249" i="3" s="1"/>
  <c r="P332" i="1"/>
  <c r="P340" i="1" l="1"/>
  <c r="R332" i="1"/>
</calcChain>
</file>

<file path=xl/comments1.xml><?xml version="1.0" encoding="utf-8"?>
<comments xmlns="http://schemas.openxmlformats.org/spreadsheetml/2006/main">
  <authors>
    <author>User</author>
  </authors>
  <commentList>
    <comment ref="B241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<sst xmlns="http://schemas.openxmlformats.org/spreadsheetml/2006/main" count="949" uniqueCount="680">
  <si>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</si>
  <si>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</si>
  <si>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</si>
  <si>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</si>
  <si>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Забезпечення надання послуг з перевезення пасажирів автомобільним транспортом</t>
  </si>
  <si>
    <t>7412</t>
  </si>
  <si>
    <t>7422</t>
  </si>
  <si>
    <t>7420</t>
  </si>
  <si>
    <t>Забезпечення надання послуг з перевезення пасажирів електротранспортом</t>
  </si>
  <si>
    <t>7426</t>
  </si>
  <si>
    <t>Інші програми та заходи, пов'язані з економічною діяльністю</t>
  </si>
  <si>
    <t>7610</t>
  </si>
  <si>
    <t>7670</t>
  </si>
  <si>
    <t>7690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</si>
  <si>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</si>
  <si>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</si>
  <si>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</si>
  <si>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</si>
  <si>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</si>
  <si>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</si>
  <si>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</si>
  <si>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</si>
  <si>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</si>
  <si>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</si>
  <si>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</si>
  <si>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</si>
  <si>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</si>
  <si>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</si>
  <si>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</si>
  <si>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</si>
  <si>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</si>
  <si>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</si>
  <si>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</si>
  <si>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</si>
  <si>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</si>
  <si>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</si>
  <si>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</si>
  <si>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</si>
  <si>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</si>
  <si>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</si>
  <si>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</si>
  <si>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</si>
  <si>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</si>
  <si>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</si>
  <si>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</si>
  <si>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</si>
  <si>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</si>
  <si>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</si>
  <si>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</si>
  <si>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</si>
  <si>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</si>
  <si>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</si>
  <si>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</si>
  <si>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</si>
  <si>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</si>
  <si>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</si>
  <si>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</si>
  <si>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</si>
  <si>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Соціальний захист ветеранів війни та праці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</si>
  <si>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</si>
  <si>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</si>
  <si>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</si>
  <si>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Заклади і заходи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</si>
  <si>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</si>
  <si>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</si>
  <si>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</si>
  <si>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</si>
  <si>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</si>
  <si>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</si>
  <si>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</si>
  <si>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</si>
  <si>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</si>
  <si>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</si>
  <si>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</si>
  <si>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</si>
  <si>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</si>
  <si>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</si>
  <si>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</si>
  <si>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</si>
  <si>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</si>
  <si>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Код функціональної класифікації видатків та кредитування бюджету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</si>
  <si>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</si>
  <si>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</si>
  <si>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</si>
  <si>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</si>
  <si>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</si>
  <si>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</si>
  <si>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</si>
  <si>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</si>
  <si>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</si>
  <si>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</si>
  <si>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</si>
  <si>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</si>
  <si>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</si>
  <si>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</si>
  <si>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</si>
  <si>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</si>
  <si>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</si>
  <si>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</si>
  <si>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</si>
  <si>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</si>
  <si>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</si>
  <si>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</si>
  <si>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</si>
  <si>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</si>
  <si>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</si>
  <si>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</si>
  <si>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</si>
  <si>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6010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</si>
  <si>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</si>
  <si>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</si>
  <si>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</si>
  <si>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</si>
  <si>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</si>
  <si>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</si>
  <si>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</si>
  <si>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</si>
  <si>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</si>
  <si>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</si>
  <si>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</si>
  <si>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</si>
  <si>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5010</t>
  </si>
  <si>
    <t>5011</t>
  </si>
  <si>
    <t>0810</t>
  </si>
  <si>
    <t>5012</t>
  </si>
  <si>
    <t>5060</t>
  </si>
  <si>
    <t>0490</t>
  </si>
  <si>
    <t>0421</t>
  </si>
  <si>
    <t>0451</t>
  </si>
  <si>
    <t>0453</t>
  </si>
  <si>
    <t>7400</t>
  </si>
  <si>
    <t>7410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</si>
  <si>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</si>
  <si>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</si>
  <si>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</si>
  <si>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</si>
  <si>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</si>
  <si>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</si>
  <si>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</si>
  <si>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</si>
  <si>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</si>
  <si>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</si>
  <si>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</si>
  <si>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</si>
  <si>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</si>
  <si>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3030</t>
  </si>
  <si>
    <t>3031</t>
  </si>
  <si>
    <t>3033</t>
  </si>
  <si>
    <t>1040</t>
  </si>
  <si>
    <t>3050</t>
  </si>
  <si>
    <t>3100</t>
  </si>
  <si>
    <t>3104</t>
  </si>
  <si>
    <t>3112</t>
  </si>
  <si>
    <t>3180</t>
  </si>
  <si>
    <t>3190</t>
  </si>
  <si>
    <t>3200</t>
  </si>
  <si>
    <t>1050</t>
  </si>
  <si>
    <t>3130</t>
  </si>
  <si>
    <t>3131</t>
  </si>
  <si>
    <t>3140</t>
  </si>
  <si>
    <t>3160</t>
  </si>
  <si>
    <t>3110</t>
  </si>
  <si>
    <t>Реверсна дотація</t>
  </si>
  <si>
    <t>Код програмної класифікації видатків та кредитування місцевих бюджетів</t>
  </si>
  <si>
    <t>Міжбюджетні трансферти</t>
  </si>
  <si>
    <t>Код типової програмної класифікації видатків та кредитування місцевих бюджетів (КТПКВКМБ)</t>
  </si>
  <si>
    <t>0443</t>
  </si>
  <si>
    <t>Програми і централізовані заходи у галузі охорони здоров’я</t>
  </si>
  <si>
    <t>Реалізація державної політики у молодіжній сфері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</si>
  <si>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</si>
  <si>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</si>
  <si>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</si>
  <si>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</si>
  <si>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</si>
  <si>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5030</t>
  </si>
  <si>
    <t>5031</t>
  </si>
  <si>
    <t>5032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</si>
  <si>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</si>
  <si>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</si>
  <si>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</si>
  <si>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</si>
  <si>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</si>
  <si>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</si>
  <si>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</si>
  <si>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</si>
  <si>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</si>
  <si>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</si>
  <si>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</si>
  <si>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</si>
  <si>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</si>
  <si>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2110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</si>
  <si>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</si>
  <si>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</si>
  <si>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</si>
  <si>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2150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</si>
  <si>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</si>
  <si>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</si>
  <si>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</si>
  <si>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</si>
  <si>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</si>
  <si>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</si>
  <si>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</si>
  <si>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</si>
  <si>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</si>
  <si>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</si>
  <si>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</si>
  <si>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</si>
  <si>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</si>
  <si>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</si>
  <si>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</si>
  <si>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</si>
  <si>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</si>
  <si>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</si>
  <si>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</si>
  <si>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</si>
  <si>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</si>
  <si>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</si>
  <si>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</si>
  <si>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</si>
  <si>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</si>
  <si>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</si>
  <si>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</si>
  <si>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</si>
  <si>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</si>
  <si>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</si>
  <si>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</si>
  <si>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6080</t>
  </si>
  <si>
    <t xml:space="preserve">Реалізація державних та місцевих житлових програм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</si>
  <si>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</si>
  <si>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</si>
  <si>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</si>
  <si>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</si>
  <si>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</si>
  <si>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</si>
  <si>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</si>
  <si>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</si>
  <si>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</si>
  <si>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</si>
  <si>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</si>
  <si>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</si>
  <si>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</si>
  <si>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</si>
  <si>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</si>
  <si>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</si>
  <si>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</si>
  <si>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</si>
  <si>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</si>
  <si>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</si>
  <si>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</si>
  <si>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</si>
  <si>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</si>
  <si>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</si>
  <si>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</si>
  <si>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</si>
  <si>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</si>
  <si>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</si>
  <si>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</si>
  <si>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</si>
  <si>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</si>
  <si>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</si>
  <si>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</si>
  <si>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0217610</t>
  </si>
  <si>
    <t>0217670</t>
  </si>
  <si>
    <t>0217690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</si>
  <si>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</si>
  <si>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</si>
  <si>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</si>
  <si>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</si>
  <si>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</si>
  <si>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</si>
  <si>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</si>
  <si>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</si>
  <si>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</si>
  <si>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</si>
  <si>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</si>
  <si>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</si>
  <si>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</si>
  <si>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</si>
  <si>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</si>
  <si>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</si>
  <si>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</si>
  <si>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</si>
  <si>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0712150</t>
  </si>
  <si>
    <t>0712144</t>
  </si>
  <si>
    <t>0712140</t>
  </si>
  <si>
    <t>0712111</t>
  </si>
  <si>
    <t>0712110</t>
  </si>
  <si>
    <t>0712100</t>
  </si>
  <si>
    <t>0712080</t>
  </si>
  <si>
    <t>0712030</t>
  </si>
  <si>
    <t>0800000</t>
  </si>
  <si>
    <t>0810000</t>
  </si>
  <si>
    <t>0810160</t>
  </si>
  <si>
    <t>0813030</t>
  </si>
  <si>
    <t>0813031</t>
  </si>
  <si>
    <t>0813032</t>
  </si>
  <si>
    <t>0813033</t>
  </si>
  <si>
    <t>0813036</t>
  </si>
  <si>
    <t>0813050</t>
  </si>
  <si>
    <t>0813100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</si>
  <si>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</si>
  <si>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</si>
  <si>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</si>
  <si>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</si>
  <si>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</si>
  <si>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</si>
  <si>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</si>
  <si>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</si>
  <si>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0913110</t>
  </si>
  <si>
    <t>0913112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</si>
  <si>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</si>
  <si>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</si>
  <si>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</si>
  <si>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</si>
  <si>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</si>
  <si>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</si>
  <si>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</si>
  <si>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</si>
  <si>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1216013</t>
  </si>
  <si>
    <t>1216020</t>
  </si>
  <si>
    <t>1216030</t>
  </si>
  <si>
    <t>1217340</t>
  </si>
  <si>
    <t>1217640</t>
  </si>
  <si>
    <t>1217690</t>
  </si>
  <si>
    <t>1218320</t>
  </si>
  <si>
    <t>1218340</t>
  </si>
  <si>
    <t>1219770</t>
  </si>
  <si>
    <t>1516030</t>
  </si>
  <si>
    <t>1516080</t>
  </si>
  <si>
    <t>1516084</t>
  </si>
  <si>
    <t>1600000</t>
  </si>
  <si>
    <t>1610000</t>
  </si>
  <si>
    <t>1610160</t>
  </si>
  <si>
    <t>1617690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</si>
  <si>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</si>
  <si>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</si>
  <si>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</si>
  <si>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</si>
  <si>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</si>
  <si>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</si>
  <si>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</si>
  <si>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</si>
  <si>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</si>
  <si>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</si>
  <si>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</si>
  <si>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</si>
  <si>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</si>
  <si>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3600000</t>
  </si>
  <si>
    <t>3610000</t>
  </si>
  <si>
    <t>3610160</t>
  </si>
  <si>
    <t>Департамент містобудування та земельних відносин Сумської міської ради</t>
  </si>
  <si>
    <t>1011100</t>
  </si>
  <si>
    <t>1110</t>
  </si>
  <si>
    <t>0611110</t>
  </si>
  <si>
    <t>0611070</t>
  </si>
  <si>
    <t>0611090</t>
  </si>
  <si>
    <t>Інші програми, заклади та заходи у сфері освіти</t>
  </si>
  <si>
    <t>0611160</t>
  </si>
  <si>
    <t>1160</t>
  </si>
  <si>
    <t>Інші програми, заклади та заходи у сфері охорони здоров’я</t>
  </si>
  <si>
    <t>0218120</t>
  </si>
  <si>
    <t>РОЗПОДІЛ
видатків міського бюджету  на 2018 рік за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</si>
  <si>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</si>
  <si>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</si>
  <si>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</si>
  <si>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</si>
  <si>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</si>
  <si>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</si>
  <si>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</si>
  <si>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</si>
  <si>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</si>
  <si>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</si>
  <si>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 xml:space="preserve">РОЗПОДІЛ
видатків міського бюджету  на 2018 рік за головними розпорядниками коштів 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</si>
  <si>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</si>
  <si>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</si>
  <si>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</si>
  <si>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</si>
  <si>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</si>
  <si>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</si>
  <si>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</si>
  <si>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</si>
  <si>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</si>
  <si>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</si>
  <si>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</si>
  <si>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</si>
  <si>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</si>
  <si>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</si>
  <si>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</si>
  <si>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</si>
  <si>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</si>
  <si>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</si>
  <si>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</si>
  <si>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</si>
  <si>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</si>
  <si>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</si>
  <si>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</si>
  <si>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</si>
  <si>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</si>
  <si>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</si>
  <si>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</si>
  <si>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</si>
  <si>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</si>
  <si>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</si>
  <si>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</si>
  <si>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</si>
  <si>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</si>
  <si>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</si>
  <si>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</si>
  <si>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</si>
  <si>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</si>
  <si>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</si>
  <si>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3117690</t>
  </si>
  <si>
    <t>3117693</t>
  </si>
  <si>
    <t>Інша економічна діяльність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</si>
  <si>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</si>
  <si>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</si>
  <si>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</si>
  <si>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</si>
  <si>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</si>
  <si>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</si>
  <si>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</si>
  <si>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</si>
  <si>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</si>
  <si>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</si>
  <si>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</si>
  <si>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</si>
  <si>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</si>
  <si>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</si>
  <si>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</si>
  <si>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1517320</t>
  </si>
  <si>
    <t>7320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</si>
  <si>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</si>
  <si>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</si>
  <si>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</si>
  <si>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</si>
  <si>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</si>
  <si>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</si>
  <si>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</si>
  <si>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</si>
  <si>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</si>
  <si>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</si>
  <si>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</si>
  <si>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</si>
  <si>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</si>
  <si>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</si>
  <si>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</si>
  <si>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</si>
  <si>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</si>
  <si>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</si>
  <si>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</si>
  <si>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</si>
  <si>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</si>
  <si>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</si>
  <si>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</si>
  <si>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</si>
  <si>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</si>
  <si>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</si>
  <si>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3240</t>
  </si>
  <si>
    <t>Інші заклади та заходи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</si>
  <si>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</si>
  <si>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</si>
  <si>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</si>
  <si>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</si>
  <si>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</si>
  <si>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</si>
  <si>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</si>
  <si>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</si>
  <si>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</si>
  <si>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</si>
  <si>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</si>
  <si>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</si>
  <si>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</si>
  <si>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</si>
  <si>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</si>
  <si>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</si>
  <si>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</si>
  <si>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</si>
  <si>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</si>
  <si>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</si>
  <si>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0213240</t>
  </si>
  <si>
    <t>0611161</t>
  </si>
  <si>
    <t>0611162</t>
  </si>
  <si>
    <t>0813241</t>
  </si>
  <si>
    <t>0813240</t>
  </si>
  <si>
    <t>0813242</t>
  </si>
  <si>
    <t>0813190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</si>
  <si>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</si>
  <si>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</si>
  <si>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</si>
  <si>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</si>
  <si>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</si>
  <si>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</si>
  <si>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</si>
  <si>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</si>
  <si>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</si>
  <si>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</si>
  <si>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</si>
  <si>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</si>
  <si>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</si>
  <si>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</si>
  <si>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</si>
  <si>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</si>
  <si>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</si>
  <si>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</si>
  <si>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3170</t>
  </si>
  <si>
    <t>3171</t>
  </si>
  <si>
    <t>3172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</si>
  <si>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</si>
  <si>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</si>
  <si>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</si>
  <si>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0813170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</si>
  <si>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</si>
  <si>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</si>
  <si>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</si>
  <si>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</si>
  <si>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3010</t>
  </si>
  <si>
    <t>3011</t>
  </si>
  <si>
    <t>3012</t>
  </si>
  <si>
    <t>3020</t>
  </si>
  <si>
    <t>3021</t>
  </si>
  <si>
    <t>3022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</si>
  <si>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</si>
  <si>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</si>
  <si>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</si>
  <si>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</si>
  <si>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</si>
  <si>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</si>
  <si>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0813010</t>
  </si>
  <si>
    <t>0813011</t>
  </si>
  <si>
    <t>0813012</t>
  </si>
  <si>
    <t>0813020</t>
  </si>
  <si>
    <t>0813021</t>
  </si>
  <si>
    <t>0813022</t>
  </si>
  <si>
    <t>3040</t>
  </si>
  <si>
    <t>3041</t>
  </si>
  <si>
    <t>3042</t>
  </si>
  <si>
    <t>3043</t>
  </si>
  <si>
    <t>3044</t>
  </si>
  <si>
    <t>3045</t>
  </si>
  <si>
    <t>3046</t>
  </si>
  <si>
    <t>3047</t>
  </si>
  <si>
    <t>Надання допомоги сім'ям з дітьми, малозабезпеченим сім’ям, тимчасової допомоги дітям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</si>
  <si>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</si>
  <si>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</si>
  <si>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</si>
  <si>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</si>
  <si>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</si>
  <si>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</si>
  <si>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</si>
  <si>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0813040</t>
  </si>
  <si>
    <t>0813041</t>
  </si>
  <si>
    <t>0813042</t>
  </si>
  <si>
    <t>0813043</t>
  </si>
  <si>
    <t>0813044</t>
  </si>
  <si>
    <t>0813045</t>
  </si>
  <si>
    <t>0813046</t>
  </si>
  <si>
    <t>0813047</t>
  </si>
  <si>
    <t>3080</t>
  </si>
  <si>
    <t>3081</t>
  </si>
  <si>
    <t>3082</t>
  </si>
  <si>
    <t>3083</t>
  </si>
  <si>
    <t>3084</t>
  </si>
  <si>
    <t>3085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</si>
  <si>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</si>
  <si>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</si>
  <si>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</si>
  <si>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</si>
  <si>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</si>
  <si>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</si>
  <si>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</si>
  <si>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</si>
  <si>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0813080</t>
  </si>
  <si>
    <t>0813081</t>
  </si>
  <si>
    <t>0813082</t>
  </si>
  <si>
    <t>0813083</t>
  </si>
  <si>
    <t>0813084</t>
  </si>
  <si>
    <t>0813085</t>
  </si>
  <si>
    <t>0813230</t>
  </si>
  <si>
    <t>0613240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</si>
  <si>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</si>
  <si>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</si>
  <si>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</si>
  <si>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</si>
  <si>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</si>
  <si>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</si>
  <si>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</si>
  <si>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</si>
  <si>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</si>
  <si>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</si>
  <si>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</si>
  <si>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</si>
  <si>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</si>
  <si>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</si>
  <si>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</si>
  <si>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</si>
  <si>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</si>
  <si>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</si>
  <si>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</si>
  <si>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</si>
  <si>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</si>
  <si>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</si>
  <si>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</si>
  <si>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</si>
  <si>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0617363</t>
  </si>
  <si>
    <t>0712151</t>
  </si>
  <si>
    <t>0712152</t>
  </si>
  <si>
    <t>0717360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</si>
  <si>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</si>
  <si>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</si>
  <si>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</si>
  <si>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</si>
  <si>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1217360</t>
  </si>
  <si>
    <t>1217363</t>
  </si>
  <si>
    <t>1517360</t>
  </si>
  <si>
    <t>1517363</t>
  </si>
  <si>
    <t>1517690</t>
  </si>
  <si>
    <t>1517691</t>
  </si>
  <si>
    <t>7440</t>
  </si>
  <si>
    <t>Утримання та розвиток транспортної інфраструктури</t>
  </si>
  <si>
    <t>7442</t>
  </si>
  <si>
    <t>Утримання та розвиток інших об’єктів транспортної інфраструктури</t>
  </si>
  <si>
    <t>1517440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</si>
  <si>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</si>
  <si>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</si>
  <si>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</si>
  <si>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</si>
  <si>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</si>
  <si>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</si>
  <si>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</si>
  <si>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</si>
  <si>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</si>
  <si>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</si>
  <si>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</si>
  <si>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</si>
  <si>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</si>
  <si>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6070</t>
  </si>
  <si>
    <t>6072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</si>
  <si>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</si>
  <si>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</si>
  <si>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</si>
  <si>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</si>
  <si>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1517460</t>
  </si>
  <si>
    <t>7460</t>
  </si>
  <si>
    <t>Утримання та розвиток автомобільних доріг та дорожньої інфраструктури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</si>
  <si>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</si>
  <si>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</si>
  <si>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</si>
  <si>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</si>
  <si>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</si>
  <si>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</si>
  <si>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</si>
  <si>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</si>
  <si>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</si>
  <si>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</si>
  <si>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3220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</si>
  <si>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</si>
  <si>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</si>
  <si>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</si>
  <si>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</si>
  <si>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0813221</t>
  </si>
  <si>
    <t>1017360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</si>
  <si>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</si>
  <si>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</si>
  <si>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</si>
  <si>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</si>
  <si>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</si>
  <si>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</si>
  <si>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</si>
  <si>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</si>
  <si>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</si>
  <si>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</si>
  <si>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0916080</t>
  </si>
  <si>
    <t>до  рішення виконавчого комітету</t>
  </si>
  <si>
    <t>0718340</t>
  </si>
  <si>
    <t xml:space="preserve">Директор департаменту фінансів, </t>
  </si>
  <si>
    <t>економіки та інвестицій</t>
  </si>
  <si>
    <t>С.А. Липова</t>
  </si>
  <si>
    <t xml:space="preserve">                Додаток  4</t>
  </si>
  <si>
    <t xml:space="preserve">                Додаток  3</t>
  </si>
  <si>
    <t>від 14.08.2018 № 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</si>
</sst>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;* \-#,##0.00;* &quot;-&quot;??;@"/>
    <numFmt numFmtId="165" formatCode="#,##0.0"/>
  </numFmts>
  <fonts count="56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10"/>
      <color indexed="16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i/>
      <sz val="10"/>
      <color indexed="16"/>
      <name val="Times New Roman"/>
      <family val="1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3" fillId="28" borderId="0" applyNumberFormat="0" applyBorder="0" applyAlignment="0" applyProtection="0"/>
    <xf numFmtId="0" fontId="53" fillId="34" borderId="0" applyNumberFormat="0" applyBorder="0" applyAlignment="0" applyProtection="0"/>
    <xf numFmtId="0" fontId="54" fillId="40" borderId="0" applyNumberFormat="0" applyBorder="0" applyAlignment="0" applyProtection="0"/>
    <xf numFmtId="0" fontId="53" fillId="29" borderId="0" applyNumberFormat="0" applyBorder="0" applyAlignment="0" applyProtection="0"/>
    <xf numFmtId="0" fontId="53" fillId="35" borderId="0" applyNumberFormat="0" applyBorder="0" applyAlignment="0" applyProtection="0"/>
    <xf numFmtId="0" fontId="54" fillId="41" borderId="0" applyNumberFormat="0" applyBorder="0" applyAlignment="0" applyProtection="0"/>
    <xf numFmtId="0" fontId="53" fillId="30" borderId="0" applyNumberFormat="0" applyBorder="0" applyAlignment="0" applyProtection="0"/>
    <xf numFmtId="0" fontId="53" fillId="36" borderId="0" applyNumberFormat="0" applyBorder="0" applyAlignment="0" applyProtection="0"/>
    <xf numFmtId="0" fontId="54" fillId="42" borderId="0" applyNumberFormat="0" applyBorder="0" applyAlignment="0" applyProtection="0"/>
    <xf numFmtId="0" fontId="53" fillId="31" borderId="0" applyNumberFormat="0" applyBorder="0" applyAlignment="0" applyProtection="0"/>
    <xf numFmtId="0" fontId="53" fillId="37" borderId="0" applyNumberFormat="0" applyBorder="0" applyAlignment="0" applyProtection="0"/>
    <xf numFmtId="0" fontId="54" fillId="43" borderId="0" applyNumberFormat="0" applyBorder="0" applyAlignment="0" applyProtection="0"/>
    <xf numFmtId="0" fontId="53" fillId="32" borderId="0" applyNumberFormat="0" applyBorder="0" applyAlignment="0" applyProtection="0"/>
    <xf numFmtId="0" fontId="53" fillId="38" borderId="0" applyNumberFormat="0" applyBorder="0" applyAlignment="0" applyProtection="0"/>
    <xf numFmtId="0" fontId="54" fillId="44" borderId="0" applyNumberFormat="0" applyBorder="0" applyAlignment="0" applyProtection="0"/>
    <xf numFmtId="0" fontId="53" fillId="33" borderId="0" applyNumberFormat="0" applyBorder="0" applyAlignment="0" applyProtection="0"/>
    <xf numFmtId="0" fontId="53" fillId="39" borderId="0" applyNumberFormat="0" applyBorder="0" applyAlignment="0" applyProtection="0"/>
    <xf numFmtId="0" fontId="54" fillId="45" borderId="0" applyNumberFormat="0" applyBorder="0" applyAlignment="0" applyProtection="0"/>
  </cellStyleXfs>
  <cellXfs count="290">
    <xf numFmtId="0" fontId="0" fillId="0" borderId="0" xfId="0"/>
    <xf numFmtId="0" fontId="21" fillId="0" borderId="0" xfId="0" applyNumberFormat="1" applyFont="1" applyFill="1" applyAlignment="1" applyProtection="1"/>
    <xf numFmtId="0" fontId="21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vertical="center"/>
    </xf>
    <xf numFmtId="49" fontId="21" fillId="0" borderId="7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/>
    <xf numFmtId="49" fontId="31" fillId="0" borderId="7" xfId="0" applyNumberFormat="1" applyFont="1" applyFill="1" applyBorder="1" applyAlignment="1">
      <alignment horizontal="center" vertical="center"/>
    </xf>
    <xf numFmtId="0" fontId="31" fillId="0" borderId="0" xfId="0" applyFont="1" applyFill="1"/>
    <xf numFmtId="49" fontId="31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vertical="center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0" fontId="2" fillId="0" borderId="0" xfId="0" applyFont="1" applyFill="1"/>
    <xf numFmtId="4" fontId="21" fillId="0" borderId="0" xfId="0" applyNumberFormat="1" applyFont="1" applyFill="1"/>
    <xf numFmtId="0" fontId="30" fillId="0" borderId="0" xfId="0" applyFont="1" applyFill="1"/>
    <xf numFmtId="49" fontId="30" fillId="0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31" fillId="0" borderId="7" xfId="0" applyNumberFormat="1" applyFont="1" applyFill="1" applyBorder="1" applyAlignment="1" applyProtection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/>
    </xf>
    <xf numFmtId="49" fontId="31" fillId="0" borderId="7" xfId="0" applyNumberFormat="1" applyFont="1" applyFill="1" applyBorder="1" applyAlignment="1" applyProtection="1">
      <alignment horizontal="center" vertical="center"/>
    </xf>
    <xf numFmtId="0" fontId="32" fillId="0" borderId="0" xfId="0" applyFont="1" applyFill="1"/>
    <xf numFmtId="0" fontId="23" fillId="0" borderId="0" xfId="0" applyFont="1" applyFill="1"/>
    <xf numFmtId="49" fontId="33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30" fillId="0" borderId="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7" xfId="0" applyNumberFormat="1" applyFont="1" applyFill="1" applyBorder="1" applyAlignment="1" applyProtection="1">
      <alignment horizontal="center" vertical="center"/>
    </xf>
    <xf numFmtId="49" fontId="34" fillId="0" borderId="7" xfId="0" applyNumberFormat="1" applyFont="1" applyFill="1" applyBorder="1" applyAlignment="1" applyProtection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>
      <alignment vertical="center" wrapText="1"/>
    </xf>
    <xf numFmtId="0" fontId="31" fillId="0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0" xfId="0" applyNumberFormat="1" applyFont="1" applyFill="1" applyAlignment="1" applyProtection="1">
      <alignment wrapText="1"/>
    </xf>
    <xf numFmtId="0" fontId="21" fillId="0" borderId="0" xfId="0" applyNumberFormat="1" applyFont="1" applyFill="1" applyBorder="1" applyAlignment="1" applyProtection="1">
      <alignment wrapText="1"/>
    </xf>
    <xf numFmtId="0" fontId="21" fillId="0" borderId="0" xfId="0" applyFont="1" applyFill="1" applyBorder="1" applyAlignment="1">
      <alignment horizontal="center" wrapText="1"/>
    </xf>
    <xf numFmtId="0" fontId="31" fillId="0" borderId="7" xfId="0" applyFont="1" applyBorder="1" applyAlignment="1">
      <alignment vertical="center" wrapText="1"/>
    </xf>
    <xf numFmtId="4" fontId="25" fillId="0" borderId="7" xfId="0" applyNumberFormat="1" applyFont="1" applyFill="1" applyBorder="1" applyAlignment="1">
      <alignment vertical="center"/>
    </xf>
    <xf numFmtId="4" fontId="21" fillId="0" borderId="7" xfId="0" applyNumberFormat="1" applyFont="1" applyFill="1" applyBorder="1" applyAlignment="1"/>
    <xf numFmtId="4" fontId="30" fillId="0" borderId="7" xfId="0" applyNumberFormat="1" applyFont="1" applyFill="1" applyBorder="1" applyAlignment="1"/>
    <xf numFmtId="4" fontId="31" fillId="0" borderId="7" xfId="0" applyNumberFormat="1" applyFont="1" applyFill="1" applyBorder="1" applyAlignment="1"/>
    <xf numFmtId="4" fontId="21" fillId="0" borderId="7" xfId="0" applyNumberFormat="1" applyFont="1" applyFill="1" applyBorder="1" applyAlignment="1">
      <alignment vertical="center"/>
    </xf>
    <xf numFmtId="4" fontId="31" fillId="0" borderId="7" xfId="0" applyNumberFormat="1" applyFont="1" applyFill="1" applyBorder="1" applyAlignment="1">
      <alignment vertical="center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>
      <alignment horizontal="left" vertical="center"/>
    </xf>
    <xf numFmtId="4" fontId="30" fillId="0" borderId="7" xfId="0" applyNumberFormat="1" applyFont="1" applyFill="1" applyBorder="1" applyAlignment="1">
      <alignment vertical="center"/>
    </xf>
    <xf numFmtId="4" fontId="21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Alignment="1" applyProtection="1">
      <alignment horizontal="center"/>
    </xf>
    <xf numFmtId="0" fontId="24" fillId="0" borderId="0" xfId="0" applyNumberFormat="1" applyFont="1" applyFill="1" applyAlignment="1" applyProtection="1">
      <alignment horizontal="center"/>
    </xf>
    <xf numFmtId="0" fontId="24" fillId="0" borderId="0" xfId="0" applyFont="1" applyFill="1" applyBorder="1"/>
    <xf numFmtId="49" fontId="27" fillId="0" borderId="0" xfId="0" applyNumberFormat="1" applyFont="1" applyFill="1" applyBorder="1"/>
    <xf numFmtId="0" fontId="27" fillId="0" borderId="0" xfId="0" applyFont="1" applyFill="1" applyBorder="1"/>
    <xf numFmtId="4" fontId="27" fillId="0" borderId="0" xfId="0" applyNumberFormat="1" applyFont="1" applyFill="1" applyBorder="1"/>
    <xf numFmtId="49" fontId="27" fillId="0" borderId="0" xfId="0" applyNumberFormat="1" applyFont="1" applyFill="1" applyAlignment="1" applyProtection="1">
      <alignment horizontal="center"/>
    </xf>
    <xf numFmtId="0" fontId="27" fillId="0" borderId="0" xfId="0" applyNumberFormat="1" applyFont="1" applyFill="1" applyAlignment="1" applyProtection="1">
      <alignment horizontal="center"/>
    </xf>
    <xf numFmtId="49" fontId="27" fillId="0" borderId="0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/>
    <xf numFmtId="0" fontId="27" fillId="25" borderId="0" xfId="0" applyNumberFormat="1" applyFont="1" applyFill="1" applyAlignment="1" applyProtection="1">
      <alignment horizontal="center"/>
    </xf>
    <xf numFmtId="49" fontId="30" fillId="0" borderId="7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4" fontId="28" fillId="0" borderId="7" xfId="0" applyNumberFormat="1" applyFont="1" applyFill="1" applyBorder="1" applyAlignment="1">
      <alignment vertical="center"/>
    </xf>
    <xf numFmtId="49" fontId="24" fillId="0" borderId="7" xfId="0" applyNumberFormat="1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>
      <alignment horizontal="left" vertical="center" wrapText="1"/>
    </xf>
    <xf numFmtId="4" fontId="24" fillId="0" borderId="7" xfId="0" applyNumberFormat="1" applyFont="1" applyFill="1" applyBorder="1" applyAlignment="1">
      <alignment vertical="center"/>
    </xf>
    <xf numFmtId="49" fontId="26" fillId="0" borderId="7" xfId="0" applyNumberFormat="1" applyFont="1" applyFill="1" applyBorder="1" applyAlignment="1" applyProtection="1">
      <alignment horizontal="center" vertical="center"/>
    </xf>
    <xf numFmtId="0" fontId="26" fillId="0" borderId="7" xfId="0" applyFont="1" applyFill="1" applyBorder="1" applyAlignment="1">
      <alignment horizontal="left" vertical="center" wrapText="1"/>
    </xf>
    <xf numFmtId="4" fontId="26" fillId="0" borderId="7" xfId="0" applyNumberFormat="1" applyFont="1" applyFill="1" applyBorder="1" applyAlignment="1">
      <alignment vertical="center"/>
    </xf>
    <xf numFmtId="49" fontId="27" fillId="0" borderId="7" xfId="0" applyNumberFormat="1" applyFont="1" applyFill="1" applyBorder="1" applyAlignment="1" applyProtection="1">
      <alignment horizontal="center" vertical="center"/>
    </xf>
    <xf numFmtId="0" fontId="27" fillId="0" borderId="7" xfId="0" applyFont="1" applyFill="1" applyBorder="1" applyAlignment="1">
      <alignment horizontal="left" vertical="center" wrapText="1"/>
    </xf>
    <xf numFmtId="4" fontId="27" fillId="0" borderId="7" xfId="0" applyNumberFormat="1" applyFont="1" applyFill="1" applyBorder="1" applyAlignment="1">
      <alignment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0" fontId="27" fillId="0" borderId="7" xfId="0" applyNumberFormat="1" applyFont="1" applyFill="1" applyBorder="1" applyAlignment="1" applyProtection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/>
    </xf>
    <xf numFmtId="0" fontId="26" fillId="0" borderId="7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 applyProtection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4" fontId="30" fillId="0" borderId="0" xfId="0" applyNumberFormat="1" applyFont="1" applyFill="1" applyBorder="1" applyAlignment="1"/>
    <xf numFmtId="49" fontId="27" fillId="0" borderId="0" xfId="0" applyNumberFormat="1" applyFont="1" applyFill="1" applyBorder="1" applyAlignment="1" applyProtection="1">
      <alignment horizontal="center"/>
    </xf>
    <xf numFmtId="49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center"/>
    </xf>
    <xf numFmtId="0" fontId="26" fillId="0" borderId="7" xfId="0" applyNumberFormat="1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 applyProtection="1">
      <alignment horizontal="left" vertical="center" wrapText="1"/>
    </xf>
    <xf numFmtId="49" fontId="27" fillId="0" borderId="7" xfId="0" applyNumberFormat="1" applyFont="1" applyFill="1" applyBorder="1" applyAlignment="1" applyProtection="1">
      <alignment horizontal="left" vertical="center" wrapText="1"/>
    </xf>
    <xf numFmtId="49" fontId="24" fillId="0" borderId="7" xfId="0" applyNumberFormat="1" applyFont="1" applyFill="1" applyBorder="1" applyAlignment="1">
      <alignment horizontal="left" vertical="center" wrapText="1"/>
    </xf>
    <xf numFmtId="49" fontId="24" fillId="0" borderId="7" xfId="0" applyNumberFormat="1" applyFont="1" applyFill="1" applyBorder="1" applyAlignment="1" applyProtection="1">
      <alignment horizontal="left" vertical="center" wrapText="1"/>
    </xf>
    <xf numFmtId="49" fontId="27" fillId="0" borderId="7" xfId="0" applyNumberFormat="1" applyFont="1" applyFill="1" applyBorder="1" applyAlignment="1">
      <alignment horizontal="left" vertical="center" wrapText="1"/>
    </xf>
    <xf numFmtId="49" fontId="25" fillId="0" borderId="7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Alignment="1">
      <alignment vertical="center"/>
    </xf>
    <xf numFmtId="49" fontId="28" fillId="0" borderId="7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26" fillId="0" borderId="7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49" fontId="25" fillId="0" borderId="7" xfId="0" applyNumberFormat="1" applyFont="1" applyFill="1" applyBorder="1" applyAlignment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>
      <alignment horizontal="center" vertical="center"/>
    </xf>
    <xf numFmtId="0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 wrapText="1"/>
    </xf>
    <xf numFmtId="0" fontId="28" fillId="0" borderId="7" xfId="0" applyNumberFormat="1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" fontId="24" fillId="0" borderId="7" xfId="0" applyNumberFormat="1" applyFont="1" applyFill="1" applyBorder="1" applyAlignment="1">
      <alignment horizontal="right" vertical="center"/>
    </xf>
    <xf numFmtId="4" fontId="24" fillId="0" borderId="7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8" xfId="0" applyFont="1" applyFill="1" applyBorder="1" applyAlignment="1">
      <alignment vertical="center"/>
    </xf>
    <xf numFmtId="0" fontId="2" fillId="0" borderId="0" xfId="0" applyFont="1" applyFill="1" applyBorder="1"/>
    <xf numFmtId="0" fontId="2" fillId="26" borderId="0" xfId="0" applyFont="1" applyFill="1" applyBorder="1"/>
    <xf numFmtId="4" fontId="2" fillId="0" borderId="0" xfId="0" applyNumberFormat="1" applyFont="1" applyFill="1" applyBorder="1"/>
    <xf numFmtId="0" fontId="27" fillId="0" borderId="7" xfId="0" applyFont="1" applyFill="1" applyBorder="1"/>
    <xf numFmtId="0" fontId="24" fillId="0" borderId="0" xfId="0" applyFont="1" applyFill="1" applyBorder="1" applyAlignment="1">
      <alignment vertical="center"/>
    </xf>
    <xf numFmtId="0" fontId="27" fillId="0" borderId="9" xfId="0" applyFont="1" applyFill="1" applyBorder="1"/>
    <xf numFmtId="49" fontId="24" fillId="0" borderId="7" xfId="0" applyNumberFormat="1" applyFont="1" applyFill="1" applyBorder="1" applyAlignment="1" applyProtection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/>
    </xf>
    <xf numFmtId="0" fontId="27" fillId="0" borderId="7" xfId="0" applyNumberFormat="1" applyFont="1" applyFill="1" applyBorder="1" applyAlignment="1" applyProtection="1">
      <alignment horizontal="left" vertical="center" wrapText="1" shrinkToFit="1"/>
    </xf>
    <xf numFmtId="0" fontId="26" fillId="0" borderId="7" xfId="0" applyNumberFormat="1" applyFont="1" applyFill="1" applyBorder="1" applyAlignment="1" applyProtection="1">
      <alignment horizontal="left" vertical="center" wrapText="1" shrinkToFit="1"/>
    </xf>
    <xf numFmtId="49" fontId="26" fillId="0" borderId="7" xfId="0" applyNumberFormat="1" applyFont="1" applyFill="1" applyBorder="1" applyAlignment="1" applyProtection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/>
    <xf numFmtId="4" fontId="2" fillId="25" borderId="0" xfId="0" applyNumberFormat="1" applyFont="1" applyFill="1" applyBorder="1"/>
    <xf numFmtId="4" fontId="39" fillId="25" borderId="8" xfId="0" applyNumberFormat="1" applyFont="1" applyFill="1" applyBorder="1" applyAlignment="1">
      <alignment vertical="center"/>
    </xf>
    <xf numFmtId="4" fontId="40" fillId="25" borderId="8" xfId="0" applyNumberFormat="1" applyFont="1" applyFill="1" applyBorder="1" applyAlignment="1">
      <alignment vertical="center"/>
    </xf>
    <xf numFmtId="0" fontId="23" fillId="24" borderId="0" xfId="0" applyFont="1" applyFill="1" applyBorder="1"/>
    <xf numFmtId="0" fontId="2" fillId="24" borderId="0" xfId="0" applyFont="1" applyFill="1" applyBorder="1" applyAlignment="1">
      <alignment horizontal="center" vertical="center" wrapText="1"/>
    </xf>
    <xf numFmtId="9" fontId="2" fillId="24" borderId="0" xfId="0" applyNumberFormat="1" applyFont="1" applyFill="1" applyBorder="1" applyAlignment="1">
      <alignment horizontal="center" vertical="center"/>
    </xf>
    <xf numFmtId="10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4" fontId="36" fillId="26" borderId="0" xfId="0" applyNumberFormat="1" applyFont="1" applyFill="1" applyBorder="1" applyAlignment="1">
      <alignment vertical="center"/>
    </xf>
    <xf numFmtId="4" fontId="36" fillId="25" borderId="0" xfId="0" applyNumberFormat="1" applyFont="1" applyFill="1" applyBorder="1" applyAlignment="1">
      <alignment vertical="center"/>
    </xf>
    <xf numFmtId="4" fontId="41" fillId="24" borderId="0" xfId="0" applyNumberFormat="1" applyFont="1" applyFill="1" applyBorder="1" applyAlignment="1">
      <alignment vertical="center"/>
    </xf>
    <xf numFmtId="4" fontId="2" fillId="24" borderId="0" xfId="0" applyNumberFormat="1" applyFont="1" applyFill="1" applyBorder="1" applyAlignment="1">
      <alignment vertical="center"/>
    </xf>
    <xf numFmtId="4" fontId="2" fillId="25" borderId="0" xfId="0" applyNumberFormat="1" applyFont="1" applyFill="1" applyBorder="1" applyAlignment="1">
      <alignment vertical="center"/>
    </xf>
    <xf numFmtId="4" fontId="37" fillId="24" borderId="0" xfId="0" applyNumberFormat="1" applyFont="1" applyFill="1" applyBorder="1" applyAlignment="1">
      <alignment vertical="center"/>
    </xf>
    <xf numFmtId="4" fontId="37" fillId="27" borderId="0" xfId="0" applyNumberFormat="1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vertical="center"/>
    </xf>
    <xf numFmtId="4" fontId="41" fillId="25" borderId="0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4" fontId="2" fillId="27" borderId="0" xfId="0" applyNumberFormat="1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38" fillId="24" borderId="0" xfId="0" applyFont="1" applyFill="1" applyBorder="1" applyAlignment="1">
      <alignment horizontal="center" vertical="center" wrapText="1"/>
    </xf>
    <xf numFmtId="0" fontId="38" fillId="26" borderId="0" xfId="0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 vertical="center"/>
    </xf>
    <xf numFmtId="10" fontId="38" fillId="24" borderId="0" xfId="0" applyNumberFormat="1" applyFont="1" applyFill="1" applyBorder="1" applyAlignment="1">
      <alignment horizontal="center" vertical="center"/>
    </xf>
    <xf numFmtId="9" fontId="38" fillId="26" borderId="0" xfId="0" applyNumberFormat="1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4" fontId="37" fillId="0" borderId="0" xfId="0" applyNumberFormat="1" applyFont="1" applyFill="1" applyBorder="1" applyAlignment="1"/>
    <xf numFmtId="4" fontId="21" fillId="0" borderId="0" xfId="0" applyNumberFormat="1" applyFont="1" applyFill="1" applyBorder="1" applyAlignment="1"/>
    <xf numFmtId="4" fontId="31" fillId="0" borderId="0" xfId="0" applyNumberFormat="1" applyFont="1" applyFill="1" applyBorder="1" applyAlignment="1"/>
    <xf numFmtId="4" fontId="36" fillId="0" borderId="0" xfId="0" applyNumberFormat="1" applyFont="1" applyFill="1" applyBorder="1" applyAlignment="1"/>
    <xf numFmtId="4" fontId="36" fillId="0" borderId="0" xfId="0" applyNumberFormat="1" applyFont="1" applyFill="1" applyBorder="1"/>
    <xf numFmtId="0" fontId="36" fillId="0" borderId="0" xfId="0" applyFont="1" applyFill="1" applyBorder="1"/>
    <xf numFmtId="0" fontId="36" fillId="26" borderId="0" xfId="0" applyFont="1" applyFill="1" applyBorder="1"/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9" fontId="39" fillId="0" borderId="0" xfId="0" applyNumberFormat="1" applyFont="1" applyFill="1" applyBorder="1" applyAlignment="1">
      <alignment horizontal="center" vertical="center"/>
    </xf>
    <xf numFmtId="10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9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3" fontId="29" fillId="0" borderId="0" xfId="0" applyNumberFormat="1" applyFont="1" applyFill="1" applyBorder="1" applyAlignment="1">
      <alignment horizontal="center" vertical="center" textRotation="180"/>
    </xf>
    <xf numFmtId="0" fontId="24" fillId="24" borderId="0" xfId="0" applyFont="1" applyFill="1" applyAlignment="1">
      <alignment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/>
    <xf numFmtId="4" fontId="42" fillId="0" borderId="0" xfId="0" applyNumberFormat="1" applyFont="1" applyFill="1" applyAlignment="1" applyProtection="1"/>
    <xf numFmtId="4" fontId="43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 applyProtection="1"/>
    <xf numFmtId="0" fontId="29" fillId="0" borderId="0" xfId="0" applyFont="1" applyFill="1" applyBorder="1"/>
    <xf numFmtId="0" fontId="27" fillId="0" borderId="7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left" wrapText="1"/>
    </xf>
    <xf numFmtId="0" fontId="24" fillId="0" borderId="0" xfId="0" applyFont="1" applyFill="1" applyBorder="1" applyAlignment="1">
      <alignment horizontal="left" wrapText="1"/>
    </xf>
    <xf numFmtId="49" fontId="29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NumberFormat="1" applyFont="1" applyFill="1" applyBorder="1" applyAlignment="1" applyProtection="1">
      <alignment horizontal="left" wrapText="1"/>
    </xf>
    <xf numFmtId="4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left" wrapText="1"/>
    </xf>
    <xf numFmtId="0" fontId="26" fillId="0" borderId="7" xfId="0" applyNumberFormat="1" applyFont="1" applyFill="1" applyBorder="1" applyAlignment="1">
      <alignment horizontal="left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left" vertical="center" wrapText="1"/>
    </xf>
    <xf numFmtId="164" fontId="24" fillId="0" borderId="7" xfId="29" applyFont="1" applyFill="1" applyBorder="1" applyAlignment="1">
      <alignment vertical="center"/>
    </xf>
    <xf numFmtId="4" fontId="37" fillId="25" borderId="0" xfId="0" applyNumberFormat="1" applyFont="1" applyFill="1" applyBorder="1" applyAlignment="1">
      <alignment vertical="center"/>
    </xf>
    <xf numFmtId="4" fontId="45" fillId="25" borderId="0" xfId="0" applyNumberFormat="1" applyFont="1" applyFill="1" applyBorder="1" applyAlignment="1">
      <alignment vertical="center"/>
    </xf>
    <xf numFmtId="49" fontId="27" fillId="0" borderId="7" xfId="0" applyNumberFormat="1" applyFont="1" applyFill="1" applyBorder="1" applyAlignment="1">
      <alignment horizontal="left" vertical="center"/>
    </xf>
    <xf numFmtId="4" fontId="23" fillId="0" borderId="0" xfId="0" applyNumberFormat="1" applyFont="1" applyFill="1" applyBorder="1" applyAlignment="1"/>
    <xf numFmtId="49" fontId="42" fillId="0" borderId="0" xfId="0" applyNumberFormat="1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vertical="center" wrapText="1"/>
    </xf>
    <xf numFmtId="4" fontId="42" fillId="0" borderId="0" xfId="0" applyNumberFormat="1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/>
    <xf numFmtId="0" fontId="43" fillId="26" borderId="0" xfId="0" applyFont="1" applyFill="1" applyBorder="1"/>
    <xf numFmtId="0" fontId="43" fillId="0" borderId="0" xfId="0" applyFont="1" applyFill="1"/>
    <xf numFmtId="4" fontId="48" fillId="0" borderId="0" xfId="0" applyNumberFormat="1" applyFont="1" applyFill="1" applyBorder="1"/>
    <xf numFmtId="0" fontId="29" fillId="26" borderId="0" xfId="0" applyFont="1" applyFill="1" applyBorder="1"/>
    <xf numFmtId="49" fontId="32" fillId="0" borderId="7" xfId="0" applyNumberFormat="1" applyFont="1" applyFill="1" applyBorder="1" applyAlignment="1">
      <alignment horizontal="center" vertical="center"/>
    </xf>
    <xf numFmtId="4" fontId="32" fillId="0" borderId="7" xfId="0" applyNumberFormat="1" applyFont="1" applyFill="1" applyBorder="1" applyAlignment="1"/>
    <xf numFmtId="4" fontId="41" fillId="0" borderId="0" xfId="0" applyNumberFormat="1" applyFont="1" applyFill="1" applyBorder="1" applyAlignment="1"/>
    <xf numFmtId="0" fontId="21" fillId="0" borderId="10" xfId="0" applyFont="1" applyBorder="1" applyAlignment="1">
      <alignment vertical="center" wrapText="1"/>
    </xf>
    <xf numFmtId="0" fontId="30" fillId="0" borderId="0" xfId="0" applyFont="1" applyAlignment="1">
      <alignment wrapText="1"/>
    </xf>
    <xf numFmtId="0" fontId="26" fillId="0" borderId="7" xfId="0" applyNumberFormat="1" applyFont="1" applyFill="1" applyBorder="1" applyAlignment="1">
      <alignment wrapText="1"/>
    </xf>
    <xf numFmtId="0" fontId="27" fillId="0" borderId="7" xfId="0" applyNumberFormat="1" applyFont="1" applyFill="1" applyBorder="1" applyAlignment="1">
      <alignment wrapText="1"/>
    </xf>
    <xf numFmtId="0" fontId="27" fillId="0" borderId="0" xfId="0" applyNumberFormat="1" applyFont="1" applyFill="1" applyBorder="1" applyAlignment="1">
      <alignment wrapText="1"/>
    </xf>
    <xf numFmtId="3" fontId="50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vertical="center"/>
    </xf>
    <xf numFmtId="3" fontId="50" fillId="0" borderId="0" xfId="0" applyNumberFormat="1" applyFont="1" applyFill="1" applyBorder="1" applyAlignment="1">
      <alignment vertical="center" wrapText="1"/>
    </xf>
    <xf numFmtId="3" fontId="51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Alignment="1" applyProtection="1"/>
    <xf numFmtId="4" fontId="43" fillId="0" borderId="0" xfId="0" applyNumberFormat="1" applyFont="1" applyFill="1" applyBorder="1" applyAlignment="1">
      <alignment vertical="center"/>
    </xf>
    <xf numFmtId="49" fontId="42" fillId="0" borderId="11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 applyProtection="1"/>
    <xf numFmtId="0" fontId="27" fillId="0" borderId="7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49" fontId="32" fillId="0" borderId="7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justify" vertical="top" wrapText="1"/>
    </xf>
    <xf numFmtId="0" fontId="26" fillId="0" borderId="0" xfId="0" applyFont="1" applyAlignment="1">
      <alignment horizontal="justify" vertical="top" wrapText="1"/>
    </xf>
    <xf numFmtId="0" fontId="29" fillId="0" borderId="0" xfId="0" applyNumberFormat="1" applyFont="1" applyFill="1" applyBorder="1" applyAlignment="1" applyProtection="1"/>
    <xf numFmtId="49" fontId="42" fillId="0" borderId="0" xfId="0" applyNumberFormat="1" applyFont="1" applyFill="1" applyBorder="1" applyAlignment="1">
      <alignment horizontal="center" vertical="center"/>
    </xf>
    <xf numFmtId="3" fontId="29" fillId="0" borderId="12" xfId="0" applyNumberFormat="1" applyFont="1" applyFill="1" applyBorder="1" applyAlignment="1">
      <alignment vertical="center" textRotation="180"/>
    </xf>
    <xf numFmtId="3" fontId="51" fillId="0" borderId="0" xfId="0" applyNumberFormat="1" applyFont="1" applyFill="1" applyBorder="1" applyAlignment="1">
      <alignment vertical="center" wrapText="1"/>
    </xf>
    <xf numFmtId="3" fontId="29" fillId="0" borderId="0" xfId="0" applyNumberFormat="1" applyFont="1" applyFill="1" applyBorder="1" applyAlignment="1">
      <alignment vertical="center" textRotation="180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 applyProtection="1">
      <alignment horizontal="left" vertical="center"/>
    </xf>
    <xf numFmtId="3" fontId="29" fillId="0" borderId="0" xfId="0" applyNumberFormat="1" applyFont="1" applyFill="1" applyBorder="1" applyAlignment="1">
      <alignment horizontal="center" vertical="center" textRotation="180"/>
    </xf>
    <xf numFmtId="3" fontId="42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/>
    <xf numFmtId="4" fontId="51" fillId="0" borderId="0" xfId="0" applyNumberFormat="1" applyFont="1" applyFill="1" applyBorder="1" applyAlignment="1">
      <alignment horizontal="center" vertical="center"/>
    </xf>
    <xf numFmtId="4" fontId="55" fillId="0" borderId="0" xfId="0" applyNumberFormat="1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 applyProtection="1"/>
    <xf numFmtId="0" fontId="29" fillId="0" borderId="0" xfId="0" applyFont="1" applyFill="1" applyAlignment="1">
      <alignment horizontal="left" vertical="center" wrapText="1"/>
    </xf>
    <xf numFmtId="3" fontId="29" fillId="0" borderId="12" xfId="0" applyNumberFormat="1" applyFont="1" applyFill="1" applyBorder="1" applyAlignment="1">
      <alignment horizontal="center" vertical="center" textRotation="180"/>
    </xf>
    <xf numFmtId="3" fontId="29" fillId="0" borderId="0" xfId="0" applyNumberFormat="1" applyFont="1" applyFill="1" applyBorder="1" applyAlignment="1">
      <alignment horizontal="center" vertical="center" textRotation="180"/>
    </xf>
    <xf numFmtId="0" fontId="29" fillId="0" borderId="0" xfId="0" applyFont="1" applyFill="1" applyAlignment="1">
      <alignment vertical="center"/>
    </xf>
    <xf numFmtId="0" fontId="35" fillId="0" borderId="0" xfId="0" applyNumberFormat="1" applyFont="1" applyFill="1" applyBorder="1" applyAlignment="1" applyProtection="1">
      <alignment horizontal="center" vertical="top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49" fontId="42" fillId="0" borderId="0" xfId="0" applyNumberFormat="1" applyFont="1" applyFill="1" applyBorder="1" applyAlignment="1" applyProtection="1">
      <alignment horizontal="left" vertical="center"/>
    </xf>
    <xf numFmtId="49" fontId="47" fillId="0" borderId="0" xfId="0" applyNumberFormat="1" applyFont="1" applyFill="1" applyBorder="1" applyAlignment="1" applyProtection="1">
      <alignment horizontal="left" vertical="center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4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49" fontId="51" fillId="0" borderId="0" xfId="0" applyNumberFormat="1" applyFont="1" applyFill="1" applyBorder="1" applyAlignment="1">
      <alignment horizontal="left" vertical="center" wrapText="1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</xf>
    <xf numFmtId="0" fontId="38" fillId="24" borderId="0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left" vertical="center" wrapText="1"/>
    </xf>
    <xf numFmtId="3" fontId="42" fillId="0" borderId="0" xfId="0" applyNumberFormat="1" applyFont="1" applyFill="1" applyBorder="1" applyAlignment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Y501"/>
  <sheetViews>
    <sheetView showGridLines="0" showZeros="0" tabSelected="1" view="pageBreakPreview" zoomScale="41" zoomScaleNormal="40" zoomScaleSheetLayoutView="41" workbookViewId="0">
      <pane ySplit="10" topLeftCell="A11" activePane="bottomLeft" state="frozen"/>
      <selection pane="bottomLeft" activeCell="L4" sqref="L4:P4"/>
    </sheetView>
  </sheetViews>
  <sheetFormatPr defaultColWidth="9.1640625" defaultRowHeight="15" x14ac:dyDescent="0.25"/>
  <cols>
    <col min="1" max="1" width="19.33203125" style="64" customWidth="1"/>
    <col min="2" max="2" width="17.5" style="69" customWidth="1"/>
    <col min="3" max="3" width="18" style="65" customWidth="1"/>
    <col min="4" max="4" width="64.33203125" style="208" customWidth="1"/>
    <col min="5" max="5" width="24.1640625" style="62" customWidth="1"/>
    <col min="6" max="6" width="21.83203125" style="62" customWidth="1"/>
    <col min="7" max="7" width="19.33203125" style="62" customWidth="1"/>
    <col min="8" max="8" width="19.1640625" style="62" customWidth="1"/>
    <col min="9" max="9" width="18" style="62" customWidth="1"/>
    <col min="10" max="10" width="20.83203125" style="62" customWidth="1"/>
    <col min="11" max="11" width="19.33203125" style="62" customWidth="1"/>
    <col min="12" max="12" width="16.6640625" style="62" customWidth="1"/>
    <col min="13" max="13" width="16.5" style="62" customWidth="1"/>
    <col min="14" max="14" width="19.1640625" style="62" customWidth="1"/>
    <col min="15" max="15" width="20.1640625" style="62" customWidth="1"/>
    <col min="16" max="16" width="22.1640625" style="129" customWidth="1"/>
    <col min="17" max="17" width="7.5" style="193" customWidth="1"/>
    <col min="18" max="18" width="15.83203125" style="141" customWidth="1"/>
    <col min="19" max="19" width="18.1640625" style="141" customWidth="1"/>
    <col min="20" max="20" width="18.83203125" style="141" customWidth="1"/>
    <col min="21" max="16384" width="9.1640625" style="19"/>
  </cols>
  <sheetData>
    <row r="1" spans="1:20" ht="21.75" customHeight="1" x14ac:dyDescent="0.25">
      <c r="A1" s="58"/>
      <c r="B1" s="59"/>
      <c r="C1" s="59"/>
      <c r="D1" s="202"/>
      <c r="E1" s="130"/>
      <c r="F1" s="60"/>
      <c r="G1" s="60"/>
      <c r="H1" s="60"/>
      <c r="I1" s="60"/>
      <c r="J1" s="60"/>
      <c r="K1" s="130"/>
      <c r="L1" s="268" t="s">
        <v>678</v>
      </c>
      <c r="M1" s="268"/>
      <c r="N1" s="268"/>
      <c r="O1" s="268"/>
      <c r="P1" s="256"/>
      <c r="Q1" s="267">
        <v>25</v>
      </c>
    </row>
    <row r="2" spans="1:20" ht="23.25" customHeight="1" x14ac:dyDescent="0.25">
      <c r="A2" s="58"/>
      <c r="B2" s="59"/>
      <c r="C2" s="59"/>
      <c r="D2" s="202"/>
      <c r="E2" s="130"/>
      <c r="F2" s="60"/>
      <c r="G2" s="60"/>
      <c r="H2" s="60"/>
      <c r="I2" s="60"/>
      <c r="J2" s="60"/>
      <c r="K2" s="130"/>
      <c r="L2" s="256" t="s">
        <v>672</v>
      </c>
      <c r="M2" s="256"/>
      <c r="N2" s="256"/>
      <c r="O2" s="256"/>
      <c r="P2" s="256"/>
      <c r="Q2" s="267"/>
    </row>
    <row r="3" spans="1:20" ht="24" customHeight="1" x14ac:dyDescent="0.25">
      <c r="A3" s="58"/>
      <c r="B3" s="59"/>
      <c r="C3" s="59"/>
      <c r="D3" s="202"/>
      <c r="E3" s="130"/>
      <c r="F3" s="60"/>
      <c r="G3" s="60"/>
      <c r="H3" s="60"/>
      <c r="I3" s="60"/>
      <c r="J3" s="60"/>
      <c r="K3" s="130"/>
      <c r="L3" s="265" t="s">
        <v>679</v>
      </c>
      <c r="M3" s="265"/>
      <c r="N3" s="265"/>
      <c r="O3" s="265"/>
      <c r="P3" s="265"/>
      <c r="Q3" s="267"/>
    </row>
    <row r="4" spans="1:20" ht="36" customHeight="1" x14ac:dyDescent="0.25">
      <c r="A4" s="58"/>
      <c r="B4" s="59"/>
      <c r="C4" s="59"/>
      <c r="D4" s="202"/>
      <c r="E4" s="130"/>
      <c r="F4" s="60"/>
      <c r="G4" s="60"/>
      <c r="H4" s="60"/>
      <c r="I4" s="60"/>
      <c r="J4" s="60"/>
      <c r="K4" s="130"/>
      <c r="L4" s="265"/>
      <c r="M4" s="265"/>
      <c r="N4" s="265"/>
      <c r="O4" s="265"/>
      <c r="P4" s="265"/>
      <c r="Q4" s="267"/>
    </row>
    <row r="5" spans="1:20" ht="52.5" customHeight="1" x14ac:dyDescent="0.25">
      <c r="A5" s="58"/>
      <c r="B5" s="59"/>
      <c r="C5" s="59"/>
      <c r="D5" s="269" t="s">
        <v>372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60"/>
      <c r="Q5" s="267"/>
      <c r="R5" s="145"/>
      <c r="S5" s="145"/>
      <c r="T5" s="145"/>
    </row>
    <row r="6" spans="1:20" ht="25.9" customHeight="1" x14ac:dyDescent="0.25">
      <c r="A6" s="58"/>
      <c r="B6" s="59"/>
      <c r="C6" s="59"/>
      <c r="D6" s="203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57" t="s">
        <v>373</v>
      </c>
      <c r="Q6" s="267"/>
      <c r="R6" s="191"/>
      <c r="S6" s="191"/>
      <c r="T6" s="191"/>
    </row>
    <row r="7" spans="1:20" s="3" customFormat="1" ht="21.75" customHeight="1" x14ac:dyDescent="0.25">
      <c r="A7" s="278" t="s">
        <v>163</v>
      </c>
      <c r="B7" s="270" t="s">
        <v>165</v>
      </c>
      <c r="C7" s="270" t="s">
        <v>80</v>
      </c>
      <c r="D7" s="270" t="s">
        <v>178</v>
      </c>
      <c r="E7" s="274" t="s">
        <v>362</v>
      </c>
      <c r="F7" s="282"/>
      <c r="G7" s="282"/>
      <c r="H7" s="282"/>
      <c r="I7" s="275"/>
      <c r="J7" s="274" t="s">
        <v>363</v>
      </c>
      <c r="K7" s="282"/>
      <c r="L7" s="282"/>
      <c r="M7" s="282"/>
      <c r="N7" s="282"/>
      <c r="O7" s="275"/>
      <c r="P7" s="270" t="s">
        <v>364</v>
      </c>
      <c r="Q7" s="267"/>
      <c r="R7" s="192"/>
      <c r="S7" s="192"/>
      <c r="T7" s="192"/>
    </row>
    <row r="8" spans="1:20" s="3" customFormat="1" ht="33" customHeight="1" x14ac:dyDescent="0.25">
      <c r="A8" s="279"/>
      <c r="B8" s="271"/>
      <c r="C8" s="271"/>
      <c r="D8" s="271"/>
      <c r="E8" s="270" t="s">
        <v>365</v>
      </c>
      <c r="F8" s="270" t="s">
        <v>366</v>
      </c>
      <c r="G8" s="274" t="s">
        <v>367</v>
      </c>
      <c r="H8" s="275"/>
      <c r="I8" s="270" t="s">
        <v>368</v>
      </c>
      <c r="J8" s="270" t="s">
        <v>365</v>
      </c>
      <c r="K8" s="270" t="s">
        <v>366</v>
      </c>
      <c r="L8" s="274" t="s">
        <v>367</v>
      </c>
      <c r="M8" s="275"/>
      <c r="N8" s="270" t="s">
        <v>368</v>
      </c>
      <c r="O8" s="38" t="s">
        <v>367</v>
      </c>
      <c r="P8" s="271"/>
      <c r="Q8" s="267"/>
      <c r="R8" s="146"/>
      <c r="S8" s="146"/>
      <c r="T8" s="146"/>
    </row>
    <row r="9" spans="1:20" s="3" customFormat="1" ht="30.75" customHeight="1" x14ac:dyDescent="0.25">
      <c r="A9" s="279"/>
      <c r="B9" s="271"/>
      <c r="C9" s="271"/>
      <c r="D9" s="271"/>
      <c r="E9" s="271"/>
      <c r="F9" s="271"/>
      <c r="G9" s="270" t="s">
        <v>369</v>
      </c>
      <c r="H9" s="270" t="s">
        <v>370</v>
      </c>
      <c r="I9" s="271"/>
      <c r="J9" s="271"/>
      <c r="K9" s="271"/>
      <c r="L9" s="270" t="s">
        <v>369</v>
      </c>
      <c r="M9" s="270" t="s">
        <v>370</v>
      </c>
      <c r="N9" s="271"/>
      <c r="O9" s="270" t="s">
        <v>371</v>
      </c>
      <c r="P9" s="271"/>
      <c r="Q9" s="267"/>
      <c r="R9" s="148"/>
      <c r="S9" s="148"/>
      <c r="T9" s="147"/>
    </row>
    <row r="10" spans="1:20" s="3" customFormat="1" ht="38.25" customHeight="1" x14ac:dyDescent="0.25">
      <c r="A10" s="280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67"/>
      <c r="R10" s="146"/>
      <c r="S10" s="146"/>
      <c r="T10" s="149"/>
    </row>
    <row r="11" spans="1:20" s="107" customFormat="1" ht="19.5" customHeight="1" x14ac:dyDescent="0.2">
      <c r="A11" s="106" t="s">
        <v>237</v>
      </c>
      <c r="B11" s="106"/>
      <c r="C11" s="106"/>
      <c r="D11" s="35" t="s">
        <v>67</v>
      </c>
      <c r="E11" s="46">
        <f>E12</f>
        <v>161167222</v>
      </c>
      <c r="F11" s="46">
        <f t="shared" ref="F11:P11" si="0">F12</f>
        <v>129951686</v>
      </c>
      <c r="G11" s="46">
        <f t="shared" si="0"/>
        <v>65407723</v>
      </c>
      <c r="H11" s="46">
        <f t="shared" si="0"/>
        <v>4166743</v>
      </c>
      <c r="I11" s="46">
        <f t="shared" si="0"/>
        <v>31215536</v>
      </c>
      <c r="J11" s="46">
        <f t="shared" si="0"/>
        <v>49768413.479999997</v>
      </c>
      <c r="K11" s="46">
        <f t="shared" si="0"/>
        <v>483319.48</v>
      </c>
      <c r="L11" s="46">
        <f t="shared" si="0"/>
        <v>141022</v>
      </c>
      <c r="M11" s="46">
        <f t="shared" si="0"/>
        <v>54604</v>
      </c>
      <c r="N11" s="46">
        <f t="shared" si="0"/>
        <v>49285094</v>
      </c>
      <c r="O11" s="46">
        <f t="shared" si="0"/>
        <v>49285094</v>
      </c>
      <c r="P11" s="46">
        <f t="shared" si="0"/>
        <v>210935635.47999999</v>
      </c>
      <c r="Q11" s="267"/>
      <c r="R11" s="151"/>
      <c r="S11" s="151"/>
      <c r="T11" s="151"/>
    </row>
    <row r="12" spans="1:20" s="109" customFormat="1" ht="19.5" customHeight="1" x14ac:dyDescent="0.2">
      <c r="A12" s="108" t="s">
        <v>238</v>
      </c>
      <c r="B12" s="108"/>
      <c r="C12" s="108"/>
      <c r="D12" s="118" t="s">
        <v>67</v>
      </c>
      <c r="E12" s="74">
        <f>E13+E14+E15+E18+E20+E22+E23+E27+E30+E33+E36+E39+E41+E45+E46+E47+E48+E49+E50+E53+E54+E55+E56+E57+E44+E26+E59+E58</f>
        <v>161167222</v>
      </c>
      <c r="F12" s="74">
        <f>F13+F14+F15+F18+F20+F22+F23+F27+F30+F33+F36+F39+F41+F45+F46+F47+F48+F49+F50+F53+F54+F55+F56+F57+F44+F26+F59+F58</f>
        <v>129951686</v>
      </c>
      <c r="G12" s="74">
        <f>G13+G14+G15+G18+G20+G22+G23+G27+G30+G33+G36+G39+G41+G45+G46+G47+G48+G49+G50+G53+G54+G55+G56+G57+G44+G26+G59+G58</f>
        <v>65407723</v>
      </c>
      <c r="H12" s="74">
        <f t="shared" ref="H12:P12" si="1">H13+H14+H15+H18+H20+H22+H23+H27+H30+H33+H36+H39+H41+H45+H46+H47+H48+H49+H50+H53+H54+H55+H56+H57+H44+H26+H59+H58</f>
        <v>4166743</v>
      </c>
      <c r="I12" s="74">
        <f t="shared" si="1"/>
        <v>31215536</v>
      </c>
      <c r="J12" s="74">
        <f t="shared" si="1"/>
        <v>49768413.479999997</v>
      </c>
      <c r="K12" s="74">
        <f t="shared" si="1"/>
        <v>483319.48</v>
      </c>
      <c r="L12" s="74">
        <f t="shared" si="1"/>
        <v>141022</v>
      </c>
      <c r="M12" s="74">
        <f t="shared" si="1"/>
        <v>54604</v>
      </c>
      <c r="N12" s="74">
        <f t="shared" si="1"/>
        <v>49285094</v>
      </c>
      <c r="O12" s="74">
        <f t="shared" si="1"/>
        <v>49285094</v>
      </c>
      <c r="P12" s="74">
        <f t="shared" si="1"/>
        <v>210935635.47999999</v>
      </c>
      <c r="Q12" s="267"/>
      <c r="R12" s="152"/>
      <c r="S12" s="152"/>
      <c r="T12" s="152"/>
    </row>
    <row r="13" spans="1:20" s="4" customFormat="1" ht="46.5" customHeight="1" x14ac:dyDescent="0.2">
      <c r="A13" s="75" t="s">
        <v>239</v>
      </c>
      <c r="B13" s="75" t="str">
        <f>'дод. 4'!A12</f>
        <v>0160</v>
      </c>
      <c r="C13" s="75" t="str">
        <f>'дод. 4'!B12</f>
        <v>0111</v>
      </c>
      <c r="D13" s="76" t="str">
        <f>'дод. 4'!C12</f>
        <v>Керівництво і управління у відповідній сфері у містах (місті Києві), селищах, селах, об’єднаних територіальних громадах</v>
      </c>
      <c r="E13" s="77">
        <f>F13+I13</f>
        <v>73843925</v>
      </c>
      <c r="F13" s="77">
        <f>72007500+190000-526200+150000+210000+172915+392079+352087+277500+150000+265200-31200+171000+10000+53044</f>
        <v>73843925</v>
      </c>
      <c r="G13" s="77">
        <f>52010600+108947+321373</f>
        <v>52440920</v>
      </c>
      <c r="H13" s="77">
        <f>2150738+53044</f>
        <v>2203782</v>
      </c>
      <c r="I13" s="77"/>
      <c r="J13" s="77">
        <f>K13+N13</f>
        <v>3218214</v>
      </c>
      <c r="K13" s="77"/>
      <c r="L13" s="77"/>
      <c r="M13" s="77"/>
      <c r="N13" s="77">
        <f>4000000-1295000+302014+31200+180000</f>
        <v>3218214</v>
      </c>
      <c r="O13" s="77">
        <f>4000000-1295000+302014+31200+180000</f>
        <v>3218214</v>
      </c>
      <c r="P13" s="77">
        <f>E13+J13</f>
        <v>77062139</v>
      </c>
      <c r="Q13" s="267"/>
      <c r="R13" s="153"/>
      <c r="S13" s="153"/>
      <c r="T13" s="153"/>
    </row>
    <row r="14" spans="1:20" s="4" customFormat="1" ht="27" customHeight="1" x14ac:dyDescent="0.2">
      <c r="A14" s="75" t="s">
        <v>385</v>
      </c>
      <c r="B14" s="75" t="str">
        <f>'дод. 4'!A13</f>
        <v>0180</v>
      </c>
      <c r="C14" s="75" t="str">
        <f>'дод. 4'!B13</f>
        <v>0133</v>
      </c>
      <c r="D14" s="104" t="str">
        <f>'дод. 4'!C13</f>
        <v>Інша діяльність у сфері державного управління</v>
      </c>
      <c r="E14" s="77">
        <f>F14+I14</f>
        <v>137640</v>
      </c>
      <c r="F14" s="77">
        <f>100000+27500+10140</f>
        <v>137640</v>
      </c>
      <c r="G14" s="77"/>
      <c r="H14" s="77"/>
      <c r="I14" s="77"/>
      <c r="J14" s="77">
        <f>K14+N14</f>
        <v>0</v>
      </c>
      <c r="K14" s="77"/>
      <c r="L14" s="77"/>
      <c r="M14" s="77"/>
      <c r="N14" s="77"/>
      <c r="O14" s="77"/>
      <c r="P14" s="77">
        <f>E14+J14</f>
        <v>137640</v>
      </c>
      <c r="Q14" s="267"/>
      <c r="R14" s="153"/>
      <c r="S14" s="153"/>
      <c r="T14" s="153"/>
    </row>
    <row r="15" spans="1:20" s="4" customFormat="1" ht="68.25" customHeight="1" x14ac:dyDescent="0.2">
      <c r="A15" s="75" t="s">
        <v>240</v>
      </c>
      <c r="B15" s="75" t="str">
        <f>'дод. 4'!A75</f>
        <v>3030</v>
      </c>
      <c r="C15" s="75">
        <f>'дод. 4'!B75</f>
        <v>0</v>
      </c>
      <c r="D15" s="104" t="str">
        <f>'дод. 4'!C75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5" s="77">
        <f>E16+E17</f>
        <v>190000</v>
      </c>
      <c r="F15" s="77">
        <f t="shared" ref="F15:P15" si="2">F16+F17</f>
        <v>190000</v>
      </c>
      <c r="G15" s="77">
        <f t="shared" si="2"/>
        <v>0</v>
      </c>
      <c r="H15" s="77">
        <f t="shared" si="2"/>
        <v>0</v>
      </c>
      <c r="I15" s="77">
        <f t="shared" si="2"/>
        <v>0</v>
      </c>
      <c r="J15" s="77">
        <f t="shared" si="2"/>
        <v>0</v>
      </c>
      <c r="K15" s="77">
        <f t="shared" si="2"/>
        <v>0</v>
      </c>
      <c r="L15" s="77">
        <f t="shared" si="2"/>
        <v>0</v>
      </c>
      <c r="M15" s="77">
        <f t="shared" si="2"/>
        <v>0</v>
      </c>
      <c r="N15" s="77">
        <f t="shared" si="2"/>
        <v>0</v>
      </c>
      <c r="O15" s="77">
        <f t="shared" si="2"/>
        <v>0</v>
      </c>
      <c r="P15" s="77">
        <f t="shared" si="2"/>
        <v>190000</v>
      </c>
      <c r="Q15" s="267"/>
      <c r="R15" s="154"/>
      <c r="S15" s="154"/>
      <c r="T15" s="154"/>
    </row>
    <row r="16" spans="1:20" s="110" customFormat="1" ht="51.75" customHeight="1" x14ac:dyDescent="0.2">
      <c r="A16" s="78" t="s">
        <v>401</v>
      </c>
      <c r="B16" s="78" t="str">
        <f>'дод. 4'!A78</f>
        <v>3033</v>
      </c>
      <c r="C16" s="78" t="str">
        <f>'дод. 4'!B78</f>
        <v>1070</v>
      </c>
      <c r="D16" s="101" t="str">
        <f>'дод. 4'!C78</f>
        <v>Компенсаційні виплати на пільговий проїзд автомобільним транспортом окремим категоріям громадян</v>
      </c>
      <c r="E16" s="80">
        <f>F16+I16</f>
        <v>51700</v>
      </c>
      <c r="F16" s="80">
        <f>25000+26700</f>
        <v>51700</v>
      </c>
      <c r="G16" s="80"/>
      <c r="H16" s="80"/>
      <c r="I16" s="80"/>
      <c r="J16" s="80">
        <f>K16+N16</f>
        <v>0</v>
      </c>
      <c r="K16" s="80"/>
      <c r="L16" s="80"/>
      <c r="M16" s="80"/>
      <c r="N16" s="80"/>
      <c r="O16" s="80"/>
      <c r="P16" s="80">
        <f>E16+J16</f>
        <v>51700</v>
      </c>
      <c r="Q16" s="267"/>
      <c r="R16" s="155"/>
      <c r="S16" s="155"/>
      <c r="T16" s="155"/>
    </row>
    <row r="17" spans="1:20" s="110" customFormat="1" ht="48.75" customHeight="1" x14ac:dyDescent="0.2">
      <c r="A17" s="78" t="s">
        <v>241</v>
      </c>
      <c r="B17" s="78" t="str">
        <f>'дод. 4'!A80</f>
        <v>3036</v>
      </c>
      <c r="C17" s="78" t="str">
        <f>'дод. 4'!B80</f>
        <v>1070</v>
      </c>
      <c r="D17" s="101" t="str">
        <f>'дод. 4'!C80</f>
        <v>Компенсаційні виплати на пільговий проїзд електротранспортом окремим категоріям громадян</v>
      </c>
      <c r="E17" s="80">
        <f>F17+I17</f>
        <v>138300</v>
      </c>
      <c r="F17" s="80">
        <f>65000+73300</f>
        <v>138300</v>
      </c>
      <c r="G17" s="80"/>
      <c r="H17" s="80"/>
      <c r="I17" s="80"/>
      <c r="J17" s="80">
        <f t="shared" ref="J17:J58" si="3">K17+N17</f>
        <v>0</v>
      </c>
      <c r="K17" s="80"/>
      <c r="L17" s="80"/>
      <c r="M17" s="80"/>
      <c r="N17" s="80"/>
      <c r="O17" s="80"/>
      <c r="P17" s="80">
        <f>E17+J17</f>
        <v>138300</v>
      </c>
      <c r="Q17" s="267"/>
      <c r="R17" s="155"/>
      <c r="S17" s="155"/>
      <c r="T17" s="155"/>
    </row>
    <row r="18" spans="1:20" s="4" customFormat="1" ht="32.25" customHeight="1" x14ac:dyDescent="0.2">
      <c r="A18" s="81" t="s">
        <v>242</v>
      </c>
      <c r="B18" s="81" t="str">
        <f>'дод. 4'!A115</f>
        <v>3120</v>
      </c>
      <c r="C18" s="81">
        <f>'дод. 4'!B115</f>
        <v>0</v>
      </c>
      <c r="D18" s="102" t="str">
        <f>'дод. 4'!C115</f>
        <v>Здійснення соціальної роботи з вразливими категоріями населення</v>
      </c>
      <c r="E18" s="83">
        <f>E19</f>
        <v>1791330</v>
      </c>
      <c r="F18" s="83">
        <f t="shared" ref="F18:P18" si="4">F19</f>
        <v>1791330</v>
      </c>
      <c r="G18" s="83">
        <f t="shared" si="4"/>
        <v>1348310</v>
      </c>
      <c r="H18" s="83">
        <f t="shared" si="4"/>
        <v>63780</v>
      </c>
      <c r="I18" s="83">
        <f t="shared" si="4"/>
        <v>0</v>
      </c>
      <c r="J18" s="83">
        <f t="shared" si="4"/>
        <v>705500</v>
      </c>
      <c r="K18" s="83">
        <f t="shared" si="4"/>
        <v>0</v>
      </c>
      <c r="L18" s="83">
        <f t="shared" si="4"/>
        <v>0</v>
      </c>
      <c r="M18" s="83">
        <f t="shared" si="4"/>
        <v>0</v>
      </c>
      <c r="N18" s="83">
        <f t="shared" si="4"/>
        <v>705500</v>
      </c>
      <c r="O18" s="83">
        <f t="shared" si="4"/>
        <v>705500</v>
      </c>
      <c r="P18" s="83">
        <f t="shared" si="4"/>
        <v>2496830</v>
      </c>
      <c r="Q18" s="267"/>
      <c r="R18" s="154"/>
      <c r="S18" s="154"/>
      <c r="T18" s="154"/>
    </row>
    <row r="19" spans="1:20" s="110" customFormat="1" ht="48.75" customHeight="1" x14ac:dyDescent="0.2">
      <c r="A19" s="78" t="s">
        <v>243</v>
      </c>
      <c r="B19" s="78" t="str">
        <f>'дод. 4'!A116</f>
        <v>3121</v>
      </c>
      <c r="C19" s="78" t="str">
        <f>'дод. 4'!B116</f>
        <v>1040</v>
      </c>
      <c r="D19" s="101" t="str">
        <f>'дод. 4'!C116</f>
        <v>Утримання та забезпечення діяльності центрів соціальних служб для сім’ї, дітей та молоді</v>
      </c>
      <c r="E19" s="80">
        <f>F19+I19</f>
        <v>1791330</v>
      </c>
      <c r="F19" s="80">
        <f>1661740+122260+7330</f>
        <v>1791330</v>
      </c>
      <c r="G19" s="80">
        <f>1247850+100460</f>
        <v>1348310</v>
      </c>
      <c r="H19" s="80">
        <f>56450+7330</f>
        <v>63780</v>
      </c>
      <c r="I19" s="80"/>
      <c r="J19" s="80">
        <f t="shared" si="3"/>
        <v>705500</v>
      </c>
      <c r="K19" s="80"/>
      <c r="L19" s="80"/>
      <c r="M19" s="80"/>
      <c r="N19" s="80">
        <f>20500+385000+300000</f>
        <v>705500</v>
      </c>
      <c r="O19" s="80">
        <f>20500+385000+300000</f>
        <v>705500</v>
      </c>
      <c r="P19" s="80">
        <f>E19+J19</f>
        <v>2496830</v>
      </c>
      <c r="Q19" s="267"/>
      <c r="R19" s="155"/>
      <c r="S19" s="155"/>
      <c r="T19" s="155"/>
    </row>
    <row r="20" spans="1:20" s="110" customFormat="1" ht="36" customHeight="1" x14ac:dyDescent="0.2">
      <c r="A20" s="81" t="s">
        <v>244</v>
      </c>
      <c r="B20" s="81" t="str">
        <f>'дод. 4'!A117</f>
        <v>3130</v>
      </c>
      <c r="C20" s="81">
        <f>'дод. 4'!B117</f>
        <v>0</v>
      </c>
      <c r="D20" s="102" t="str">
        <f>'дод. 4'!C117</f>
        <v>Реалізація державної політики у молодіжній сфері</v>
      </c>
      <c r="E20" s="83">
        <f>E21</f>
        <v>684600</v>
      </c>
      <c r="F20" s="83">
        <f t="shared" ref="F20:P20" si="5">F21</f>
        <v>684600</v>
      </c>
      <c r="G20" s="83">
        <f t="shared" si="5"/>
        <v>0</v>
      </c>
      <c r="H20" s="83">
        <f t="shared" si="5"/>
        <v>0</v>
      </c>
      <c r="I20" s="83">
        <f t="shared" si="5"/>
        <v>0</v>
      </c>
      <c r="J20" s="83">
        <f t="shared" si="5"/>
        <v>0</v>
      </c>
      <c r="K20" s="83">
        <f t="shared" si="5"/>
        <v>0</v>
      </c>
      <c r="L20" s="83">
        <f t="shared" si="5"/>
        <v>0</v>
      </c>
      <c r="M20" s="83">
        <f t="shared" si="5"/>
        <v>0</v>
      </c>
      <c r="N20" s="83">
        <f t="shared" si="5"/>
        <v>0</v>
      </c>
      <c r="O20" s="83">
        <f t="shared" si="5"/>
        <v>0</v>
      </c>
      <c r="P20" s="83">
        <f t="shared" si="5"/>
        <v>684600</v>
      </c>
      <c r="Q20" s="267"/>
      <c r="R20" s="154"/>
      <c r="S20" s="154"/>
      <c r="T20" s="154"/>
    </row>
    <row r="21" spans="1:20" s="110" customFormat="1" ht="45" x14ac:dyDescent="0.2">
      <c r="A21" s="78" t="s">
        <v>245</v>
      </c>
      <c r="B21" s="78" t="str">
        <f>'дод. 4'!A118</f>
        <v>3131</v>
      </c>
      <c r="C21" s="78" t="str">
        <f>'дод. 4'!B118</f>
        <v>1040</v>
      </c>
      <c r="D21" s="101" t="str">
        <f>'дод. 4'!C118</f>
        <v>Здійснення заходів та реалізація проектів на виконання Державної цільової соціальної програми «Молодь України»</v>
      </c>
      <c r="E21" s="80">
        <f>F21+I21</f>
        <v>684600</v>
      </c>
      <c r="F21" s="80">
        <f>750000-65400</f>
        <v>684600</v>
      </c>
      <c r="G21" s="80"/>
      <c r="H21" s="80"/>
      <c r="I21" s="80"/>
      <c r="J21" s="80">
        <f t="shared" si="3"/>
        <v>0</v>
      </c>
      <c r="K21" s="80"/>
      <c r="L21" s="80"/>
      <c r="M21" s="80"/>
      <c r="N21" s="80"/>
      <c r="O21" s="80"/>
      <c r="P21" s="80">
        <f>E21+J21</f>
        <v>684600</v>
      </c>
      <c r="Q21" s="267"/>
      <c r="R21" s="155"/>
      <c r="S21" s="155"/>
      <c r="T21" s="155"/>
    </row>
    <row r="22" spans="1:20" s="110" customFormat="1" ht="60" customHeight="1" x14ac:dyDescent="0.2">
      <c r="A22" s="81" t="s">
        <v>246</v>
      </c>
      <c r="B22" s="81" t="str">
        <f>'дод. 4'!A119</f>
        <v>3140</v>
      </c>
      <c r="C22" s="81" t="str">
        <f>'дод. 4'!B119</f>
        <v>1040</v>
      </c>
      <c r="D22" s="102" t="str">
        <f>'дод. 4'!C119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2" s="83">
        <f>F22+I22</f>
        <v>2129665</v>
      </c>
      <c r="F22" s="83">
        <f>430000+1699665</f>
        <v>2129665</v>
      </c>
      <c r="G22" s="83"/>
      <c r="H22" s="83"/>
      <c r="I22" s="83"/>
      <c r="J22" s="83">
        <f t="shared" si="3"/>
        <v>0</v>
      </c>
      <c r="K22" s="83"/>
      <c r="L22" s="83"/>
      <c r="M22" s="83"/>
      <c r="N22" s="83"/>
      <c r="O22" s="83"/>
      <c r="P22" s="83">
        <f>E22+J22</f>
        <v>2129665</v>
      </c>
      <c r="Q22" s="267"/>
      <c r="R22" s="153"/>
      <c r="S22" s="153"/>
      <c r="T22" s="153"/>
    </row>
    <row r="23" spans="1:20" s="110" customFormat="1" ht="21.75" customHeight="1" x14ac:dyDescent="0.2">
      <c r="A23" s="81" t="s">
        <v>479</v>
      </c>
      <c r="B23" s="81" t="str">
        <f>'дод. 4'!A140</f>
        <v>3240</v>
      </c>
      <c r="C23" s="81">
        <f>'дод. 4'!B140</f>
        <v>0</v>
      </c>
      <c r="D23" s="102" t="str">
        <f>'дод. 4'!C140</f>
        <v>Інші заклади та заходи</v>
      </c>
      <c r="E23" s="83">
        <f>E24+E25</f>
        <v>1054111</v>
      </c>
      <c r="F23" s="83">
        <f t="shared" ref="F23:P23" si="6">F24+F25</f>
        <v>1054111</v>
      </c>
      <c r="G23" s="83">
        <f t="shared" si="6"/>
        <v>578471</v>
      </c>
      <c r="H23" s="83">
        <f t="shared" si="6"/>
        <v>97477</v>
      </c>
      <c r="I23" s="83">
        <f t="shared" si="6"/>
        <v>0</v>
      </c>
      <c r="J23" s="83">
        <f t="shared" si="6"/>
        <v>0</v>
      </c>
      <c r="K23" s="83">
        <f t="shared" si="6"/>
        <v>0</v>
      </c>
      <c r="L23" s="83">
        <f t="shared" si="6"/>
        <v>0</v>
      </c>
      <c r="M23" s="83">
        <f t="shared" si="6"/>
        <v>0</v>
      </c>
      <c r="N23" s="83">
        <f t="shared" si="6"/>
        <v>0</v>
      </c>
      <c r="O23" s="83">
        <f t="shared" si="6"/>
        <v>0</v>
      </c>
      <c r="P23" s="83">
        <f t="shared" si="6"/>
        <v>1054111</v>
      </c>
      <c r="Q23" s="267"/>
      <c r="R23" s="154"/>
      <c r="S23" s="154"/>
      <c r="T23" s="154"/>
    </row>
    <row r="24" spans="1:20" s="32" customFormat="1" ht="31.5" customHeight="1" x14ac:dyDescent="0.2">
      <c r="A24" s="78" t="s">
        <v>477</v>
      </c>
      <c r="B24" s="78" t="str">
        <f>'дод. 4'!A141</f>
        <v>3241</v>
      </c>
      <c r="C24" s="78" t="str">
        <f>'дод. 4'!B141</f>
        <v>1090</v>
      </c>
      <c r="D24" s="101" t="str">
        <f>'дод. 4'!C141</f>
        <v>Забезпечення діяльності інших закладів у сфері соціального захисту і соціального забезпечення</v>
      </c>
      <c r="E24" s="80">
        <f>F24+I24</f>
        <v>845645</v>
      </c>
      <c r="F24" s="80">
        <f>818206+27439</f>
        <v>845645</v>
      </c>
      <c r="G24" s="80">
        <f>555810+22661</f>
        <v>578471</v>
      </c>
      <c r="H24" s="80">
        <v>97477</v>
      </c>
      <c r="I24" s="80"/>
      <c r="J24" s="80"/>
      <c r="K24" s="80"/>
      <c r="L24" s="80"/>
      <c r="M24" s="80"/>
      <c r="N24" s="80"/>
      <c r="O24" s="80"/>
      <c r="P24" s="80">
        <f>E24+J24</f>
        <v>845645</v>
      </c>
      <c r="Q24" s="267"/>
      <c r="R24" s="155"/>
      <c r="S24" s="155"/>
      <c r="T24" s="155"/>
    </row>
    <row r="25" spans="1:20" s="32" customFormat="1" ht="33.75" customHeight="1" x14ac:dyDescent="0.2">
      <c r="A25" s="78" t="s">
        <v>478</v>
      </c>
      <c r="B25" s="78" t="str">
        <f>'дод. 4'!A142</f>
        <v>3242</v>
      </c>
      <c r="C25" s="78" t="str">
        <f>'дод. 4'!B142</f>
        <v>1090</v>
      </c>
      <c r="D25" s="101" t="str">
        <f>'дод. 4'!C142</f>
        <v>Інші заходи у сфері соціального захисту і соціального забезпечення</v>
      </c>
      <c r="E25" s="80">
        <f>F25+I25</f>
        <v>208466</v>
      </c>
      <c r="F25" s="80">
        <f>182066+26400</f>
        <v>208466</v>
      </c>
      <c r="G25" s="80"/>
      <c r="H25" s="80"/>
      <c r="I25" s="80"/>
      <c r="J25" s="80"/>
      <c r="K25" s="80"/>
      <c r="L25" s="80"/>
      <c r="M25" s="80"/>
      <c r="N25" s="80"/>
      <c r="O25" s="80"/>
      <c r="P25" s="80">
        <f>E25+J25</f>
        <v>208466</v>
      </c>
      <c r="Q25" s="267"/>
      <c r="R25" s="155"/>
      <c r="S25" s="155"/>
      <c r="T25" s="155"/>
    </row>
    <row r="26" spans="1:20" s="194" customFormat="1" ht="33.75" customHeight="1" x14ac:dyDescent="0.2">
      <c r="A26" s="75" t="s">
        <v>586</v>
      </c>
      <c r="B26" s="75" t="str">
        <f>'дод. 4'!A145</f>
        <v>4060</v>
      </c>
      <c r="C26" s="75" t="str">
        <f>'дод. 4'!B145</f>
        <v>0828</v>
      </c>
      <c r="D26" s="102" t="str">
        <f>'дод. 4'!C145</f>
        <v>Забезпечення діяльності палаців i будинків культури, клубів, центрів дозвілля та iнших клубних закладів</v>
      </c>
      <c r="E26" s="77">
        <f>F26+I26</f>
        <v>2392830</v>
      </c>
      <c r="F26" s="212">
        <f>1551300+200000+83000+100000+6000+198030+11100+100000+65400+78000</f>
        <v>2392830</v>
      </c>
      <c r="G26" s="77">
        <v>783989</v>
      </c>
      <c r="H26" s="77">
        <f>37625+200000+78000</f>
        <v>315625</v>
      </c>
      <c r="I26" s="77"/>
      <c r="J26" s="77">
        <f>K26+N26</f>
        <v>28500</v>
      </c>
      <c r="K26" s="77"/>
      <c r="L26" s="77"/>
      <c r="M26" s="77"/>
      <c r="N26" s="77">
        <v>28500</v>
      </c>
      <c r="O26" s="77">
        <v>28500</v>
      </c>
      <c r="P26" s="77">
        <f>E26+J26</f>
        <v>2421330</v>
      </c>
      <c r="Q26" s="267"/>
      <c r="R26" s="153"/>
      <c r="S26" s="153"/>
      <c r="T26" s="153"/>
    </row>
    <row r="27" spans="1:20" s="4" customFormat="1" ht="32.25" customHeight="1" x14ac:dyDescent="0.2">
      <c r="A27" s="81" t="s">
        <v>247</v>
      </c>
      <c r="B27" s="81" t="str">
        <f>'дод. 4'!A146</f>
        <v>4080</v>
      </c>
      <c r="C27" s="81">
        <f>'дод. 4'!B146</f>
        <v>0</v>
      </c>
      <c r="D27" s="102" t="str">
        <f>'дод. 4'!C146</f>
        <v>Інші заклади та заходи в галузі культури і мистецтва</v>
      </c>
      <c r="E27" s="83">
        <f>E28+E29</f>
        <v>2720602</v>
      </c>
      <c r="F27" s="83">
        <f t="shared" ref="F27:P27" si="7">F28+F29</f>
        <v>2720602</v>
      </c>
      <c r="G27" s="83">
        <f t="shared" si="7"/>
        <v>998500</v>
      </c>
      <c r="H27" s="83">
        <f t="shared" si="7"/>
        <v>93642</v>
      </c>
      <c r="I27" s="83">
        <f t="shared" si="7"/>
        <v>0</v>
      </c>
      <c r="J27" s="83">
        <f t="shared" si="7"/>
        <v>20500</v>
      </c>
      <c r="K27" s="83">
        <f t="shared" si="7"/>
        <v>0</v>
      </c>
      <c r="L27" s="83">
        <f t="shared" si="7"/>
        <v>0</v>
      </c>
      <c r="M27" s="83">
        <f t="shared" si="7"/>
        <v>0</v>
      </c>
      <c r="N27" s="83">
        <f t="shared" si="7"/>
        <v>20500</v>
      </c>
      <c r="O27" s="83">
        <f t="shared" si="7"/>
        <v>20500</v>
      </c>
      <c r="P27" s="83">
        <f t="shared" si="7"/>
        <v>2741102</v>
      </c>
      <c r="Q27" s="267"/>
      <c r="R27" s="154"/>
      <c r="S27" s="154"/>
      <c r="T27" s="154"/>
    </row>
    <row r="28" spans="1:20" s="110" customFormat="1" ht="30.75" customHeight="1" x14ac:dyDescent="0.2">
      <c r="A28" s="78" t="s">
        <v>475</v>
      </c>
      <c r="B28" s="78" t="str">
        <f>'дод. 4'!A147</f>
        <v>4081</v>
      </c>
      <c r="C28" s="78" t="str">
        <f>'дод. 4'!B147</f>
        <v>0829</v>
      </c>
      <c r="D28" s="101" t="str">
        <f>'дод. 4'!C147</f>
        <v xml:space="preserve">Забезпечення діяльності інших закладів в галузі культури і мистецтва </v>
      </c>
      <c r="E28" s="80">
        <f>F28+I28</f>
        <v>2234102</v>
      </c>
      <c r="F28" s="80">
        <f>2846100-420200+884400+400000-1551300+60000+15102</f>
        <v>2234102</v>
      </c>
      <c r="G28" s="80">
        <f>1782489-783989</f>
        <v>998500</v>
      </c>
      <c r="H28" s="80">
        <f>116165-37625+15102</f>
        <v>93642</v>
      </c>
      <c r="I28" s="80"/>
      <c r="J28" s="80">
        <f>K28+N28</f>
        <v>20500</v>
      </c>
      <c r="K28" s="80"/>
      <c r="L28" s="80"/>
      <c r="M28" s="80"/>
      <c r="N28" s="80">
        <f>49000-28500</f>
        <v>20500</v>
      </c>
      <c r="O28" s="80">
        <f>49000-28500</f>
        <v>20500</v>
      </c>
      <c r="P28" s="80">
        <f>E28+J28</f>
        <v>2254602</v>
      </c>
      <c r="Q28" s="267"/>
      <c r="R28" s="155"/>
      <c r="S28" s="155"/>
      <c r="T28" s="155"/>
    </row>
    <row r="29" spans="1:20" s="110" customFormat="1" ht="25.5" customHeight="1" x14ac:dyDescent="0.2">
      <c r="A29" s="78" t="s">
        <v>476</v>
      </c>
      <c r="B29" s="78" t="str">
        <f>'дод. 4'!A148</f>
        <v>4082</v>
      </c>
      <c r="C29" s="78" t="str">
        <f>'дод. 4'!B148</f>
        <v>0829</v>
      </c>
      <c r="D29" s="101" t="str">
        <f>'дод. 4'!C148</f>
        <v>Інші заходи в галузі культури і мистецтва</v>
      </c>
      <c r="E29" s="80">
        <f>F29+I29</f>
        <v>486500</v>
      </c>
      <c r="F29" s="80">
        <f>420200+66300</f>
        <v>486500</v>
      </c>
      <c r="G29" s="80"/>
      <c r="H29" s="80"/>
      <c r="I29" s="80"/>
      <c r="J29" s="80">
        <f>K29+N29</f>
        <v>0</v>
      </c>
      <c r="K29" s="80"/>
      <c r="L29" s="80"/>
      <c r="M29" s="80"/>
      <c r="N29" s="80"/>
      <c r="O29" s="80"/>
      <c r="P29" s="80">
        <f>E29+J29</f>
        <v>486500</v>
      </c>
      <c r="Q29" s="267"/>
      <c r="R29" s="155"/>
      <c r="S29" s="155"/>
      <c r="T29" s="155"/>
    </row>
    <row r="30" spans="1:20" s="4" customFormat="1" ht="21.75" customHeight="1" x14ac:dyDescent="0.2">
      <c r="A30" s="84" t="s">
        <v>248</v>
      </c>
      <c r="B30" s="84" t="str">
        <f>'дод. 4'!A150</f>
        <v>5010</v>
      </c>
      <c r="C30" s="84">
        <f>'дод. 4'!B150</f>
        <v>0</v>
      </c>
      <c r="D30" s="105" t="str">
        <f>'дод. 4'!C150</f>
        <v>Проведення спортивної роботи в регіоні</v>
      </c>
      <c r="E30" s="83">
        <f>E31+E32</f>
        <v>1673070</v>
      </c>
      <c r="F30" s="83">
        <f t="shared" ref="F30:P30" si="8">F31+F32</f>
        <v>1673070</v>
      </c>
      <c r="G30" s="83">
        <f t="shared" si="8"/>
        <v>0</v>
      </c>
      <c r="H30" s="83">
        <f t="shared" si="8"/>
        <v>0</v>
      </c>
      <c r="I30" s="83">
        <f t="shared" si="8"/>
        <v>0</v>
      </c>
      <c r="J30" s="83">
        <f t="shared" si="8"/>
        <v>177000</v>
      </c>
      <c r="K30" s="83">
        <f t="shared" si="8"/>
        <v>0</v>
      </c>
      <c r="L30" s="83">
        <f t="shared" si="8"/>
        <v>0</v>
      </c>
      <c r="M30" s="83">
        <f t="shared" si="8"/>
        <v>0</v>
      </c>
      <c r="N30" s="83">
        <f t="shared" si="8"/>
        <v>177000</v>
      </c>
      <c r="O30" s="83">
        <f t="shared" si="8"/>
        <v>177000</v>
      </c>
      <c r="P30" s="83">
        <f t="shared" si="8"/>
        <v>1850070</v>
      </c>
      <c r="Q30" s="267"/>
      <c r="R30" s="154"/>
      <c r="S30" s="154"/>
      <c r="T30" s="154"/>
    </row>
    <row r="31" spans="1:20" s="110" customFormat="1" ht="36.75" customHeight="1" x14ac:dyDescent="0.2">
      <c r="A31" s="111" t="s">
        <v>249</v>
      </c>
      <c r="B31" s="111" t="str">
        <f>'дод. 4'!A151</f>
        <v>5011</v>
      </c>
      <c r="C31" s="111" t="str">
        <f>'дод. 4'!B151</f>
        <v>0810</v>
      </c>
      <c r="D31" s="112" t="str">
        <f>'дод. 4'!C151</f>
        <v>Проведення навчально-тренувальних зборів і змагань з олімпійських видів спорту</v>
      </c>
      <c r="E31" s="80">
        <f>F31+I31</f>
        <v>836070</v>
      </c>
      <c r="F31" s="80">
        <f>700000+76070+35000+25000</f>
        <v>836070</v>
      </c>
      <c r="G31" s="80"/>
      <c r="H31" s="80"/>
      <c r="I31" s="80"/>
      <c r="J31" s="80">
        <f t="shared" si="3"/>
        <v>177000</v>
      </c>
      <c r="K31" s="80"/>
      <c r="L31" s="80"/>
      <c r="M31" s="80"/>
      <c r="N31" s="80">
        <v>177000</v>
      </c>
      <c r="O31" s="80">
        <v>177000</v>
      </c>
      <c r="P31" s="80">
        <f>E31+J31</f>
        <v>1013070</v>
      </c>
      <c r="Q31" s="267"/>
      <c r="R31" s="155"/>
      <c r="S31" s="155"/>
      <c r="T31" s="155"/>
    </row>
    <row r="32" spans="1:20" s="110" customFormat="1" ht="34.5" customHeight="1" x14ac:dyDescent="0.2">
      <c r="A32" s="111" t="s">
        <v>250</v>
      </c>
      <c r="B32" s="111" t="str">
        <f>'дод. 4'!A152</f>
        <v>5012</v>
      </c>
      <c r="C32" s="111" t="str">
        <f>'дод. 4'!B152</f>
        <v>0810</v>
      </c>
      <c r="D32" s="112" t="str">
        <f>'дод. 4'!C152</f>
        <v>Проведення навчально-тренувальних зборів і змагань з неолімпійських видів спорту</v>
      </c>
      <c r="E32" s="80">
        <f>F32+I32</f>
        <v>837000</v>
      </c>
      <c r="F32" s="80">
        <f>700000+28000+5000+18000+60000+26000</f>
        <v>837000</v>
      </c>
      <c r="G32" s="80"/>
      <c r="H32" s="80"/>
      <c r="I32" s="80"/>
      <c r="J32" s="80">
        <f t="shared" si="3"/>
        <v>0</v>
      </c>
      <c r="K32" s="80"/>
      <c r="L32" s="80"/>
      <c r="M32" s="80"/>
      <c r="N32" s="80"/>
      <c r="O32" s="80"/>
      <c r="P32" s="80">
        <f>E32+J32</f>
        <v>837000</v>
      </c>
      <c r="Q32" s="267"/>
      <c r="R32" s="155"/>
      <c r="S32" s="155"/>
      <c r="T32" s="155"/>
    </row>
    <row r="33" spans="1:20" s="4" customFormat="1" ht="21" customHeight="1" x14ac:dyDescent="0.2">
      <c r="A33" s="84" t="s">
        <v>251</v>
      </c>
      <c r="B33" s="84" t="str">
        <f>'дод. 4'!A153</f>
        <v>5030</v>
      </c>
      <c r="C33" s="84">
        <f>'дод. 4'!B153</f>
        <v>0</v>
      </c>
      <c r="D33" s="105" t="str">
        <f>'дод. 4'!C153</f>
        <v>Розвиток дитячо-юнацького та резервного спорту</v>
      </c>
      <c r="E33" s="83">
        <f>E34+E35</f>
        <v>17807184</v>
      </c>
      <c r="F33" s="83">
        <f t="shared" ref="F33:O33" si="9">F34+F35</f>
        <v>17807184</v>
      </c>
      <c r="G33" s="83">
        <f t="shared" si="9"/>
        <v>6380000</v>
      </c>
      <c r="H33" s="83">
        <f t="shared" si="9"/>
        <v>589143</v>
      </c>
      <c r="I33" s="83">
        <f t="shared" si="9"/>
        <v>0</v>
      </c>
      <c r="J33" s="83">
        <f t="shared" si="9"/>
        <v>235000</v>
      </c>
      <c r="K33" s="83">
        <f t="shared" si="9"/>
        <v>0</v>
      </c>
      <c r="L33" s="83">
        <f t="shared" si="9"/>
        <v>0</v>
      </c>
      <c r="M33" s="83">
        <f t="shared" si="9"/>
        <v>0</v>
      </c>
      <c r="N33" s="83">
        <f t="shared" si="9"/>
        <v>235000</v>
      </c>
      <c r="O33" s="83">
        <f t="shared" si="9"/>
        <v>235000</v>
      </c>
      <c r="P33" s="83">
        <f>P34+P35</f>
        <v>18042184</v>
      </c>
      <c r="Q33" s="267"/>
      <c r="R33" s="154"/>
      <c r="S33" s="154"/>
      <c r="T33" s="154"/>
    </row>
    <row r="34" spans="1:20" s="110" customFormat="1" ht="30" customHeight="1" x14ac:dyDescent="0.2">
      <c r="A34" s="111" t="s">
        <v>252</v>
      </c>
      <c r="B34" s="111" t="str">
        <f>'дод. 4'!A154</f>
        <v>5031</v>
      </c>
      <c r="C34" s="111" t="str">
        <f>'дод. 4'!B154</f>
        <v>0810</v>
      </c>
      <c r="D34" s="112" t="str">
        <f>'дод. 4'!C154</f>
        <v>Утримання та навчально-тренувальна робота комунальних дитячо-юнацьких спортивних шкіл</v>
      </c>
      <c r="E34" s="80">
        <f>F34+I34</f>
        <v>9652205</v>
      </c>
      <c r="F34" s="80">
        <f>8719900+577000+98000+15000+100000+10000+5000+5000+10000+109972+2333</f>
        <v>9652205</v>
      </c>
      <c r="G34" s="80">
        <f>6380000</f>
        <v>6380000</v>
      </c>
      <c r="H34" s="80">
        <f>586810+2333</f>
        <v>589143</v>
      </c>
      <c r="I34" s="80"/>
      <c r="J34" s="80">
        <f t="shared" si="3"/>
        <v>225000</v>
      </c>
      <c r="K34" s="80"/>
      <c r="L34" s="80"/>
      <c r="M34" s="80"/>
      <c r="N34" s="80">
        <f>200000+25000</f>
        <v>225000</v>
      </c>
      <c r="O34" s="80">
        <f>200000+25000</f>
        <v>225000</v>
      </c>
      <c r="P34" s="80">
        <f>E34+J34</f>
        <v>9877205</v>
      </c>
      <c r="Q34" s="267"/>
      <c r="R34" s="155"/>
      <c r="S34" s="155"/>
      <c r="T34" s="155"/>
    </row>
    <row r="35" spans="1:20" s="110" customFormat="1" ht="30" x14ac:dyDescent="0.2">
      <c r="A35" s="111" t="s">
        <v>253</v>
      </c>
      <c r="B35" s="111" t="str">
        <f>'дод. 4'!A155</f>
        <v>5032</v>
      </c>
      <c r="C35" s="111" t="str">
        <f>'дод. 4'!B155</f>
        <v>0810</v>
      </c>
      <c r="D35" s="112" t="str">
        <f>'дод. 4'!C155</f>
        <v>Фінансова підтримка дитячо-юнацьких спортивних шкіл фізкультурно-спортивних товариств</v>
      </c>
      <c r="E35" s="80">
        <f>F35+I35</f>
        <v>8154979</v>
      </c>
      <c r="F35" s="80">
        <f>7321800+300000+95000+301179+65000+10000+20000+20000+15000+7000</f>
        <v>8154979</v>
      </c>
      <c r="G35" s="80"/>
      <c r="H35" s="80"/>
      <c r="I35" s="80"/>
      <c r="J35" s="80">
        <f t="shared" si="3"/>
        <v>10000</v>
      </c>
      <c r="K35" s="80"/>
      <c r="L35" s="80"/>
      <c r="M35" s="80"/>
      <c r="N35" s="80">
        <v>10000</v>
      </c>
      <c r="O35" s="80">
        <v>10000</v>
      </c>
      <c r="P35" s="80">
        <f>E35+J35</f>
        <v>8164979</v>
      </c>
      <c r="Q35" s="267"/>
      <c r="R35" s="155"/>
      <c r="S35" s="155"/>
      <c r="T35" s="155"/>
    </row>
    <row r="36" spans="1:20" s="110" customFormat="1" ht="33.75" customHeight="1" x14ac:dyDescent="0.2">
      <c r="A36" s="84" t="s">
        <v>254</v>
      </c>
      <c r="B36" s="84" t="str">
        <f>'дод. 4'!A156</f>
        <v>5060</v>
      </c>
      <c r="C36" s="84">
        <f>'дод. 4'!B156</f>
        <v>0</v>
      </c>
      <c r="D36" s="105" t="str">
        <f>'дод. 4'!C156</f>
        <v>Інші заходи з розвитку фізичної культури та спорту</v>
      </c>
      <c r="E36" s="83">
        <f>E37+E38</f>
        <v>9550864</v>
      </c>
      <c r="F36" s="83">
        <f>F37+F38</f>
        <v>9550864</v>
      </c>
      <c r="G36" s="83">
        <f t="shared" ref="G36:P36" si="10">G37+G38</f>
        <v>1789783</v>
      </c>
      <c r="H36" s="83">
        <f>H37+H38</f>
        <v>475153</v>
      </c>
      <c r="I36" s="83">
        <f t="shared" si="10"/>
        <v>0</v>
      </c>
      <c r="J36" s="83">
        <f t="shared" si="10"/>
        <v>3166687</v>
      </c>
      <c r="K36" s="83">
        <f t="shared" si="10"/>
        <v>226687</v>
      </c>
      <c r="L36" s="83">
        <f t="shared" si="10"/>
        <v>141022</v>
      </c>
      <c r="M36" s="83">
        <f t="shared" si="10"/>
        <v>53404</v>
      </c>
      <c r="N36" s="83">
        <f t="shared" si="10"/>
        <v>2940000</v>
      </c>
      <c r="O36" s="83">
        <f t="shared" si="10"/>
        <v>2940000</v>
      </c>
      <c r="P36" s="83">
        <f t="shared" si="10"/>
        <v>12717551</v>
      </c>
      <c r="Q36" s="266">
        <v>26</v>
      </c>
      <c r="R36" s="154"/>
      <c r="S36" s="154"/>
      <c r="T36" s="154"/>
    </row>
    <row r="37" spans="1:20" s="110" customFormat="1" ht="60" x14ac:dyDescent="0.2">
      <c r="A37" s="111" t="s">
        <v>255</v>
      </c>
      <c r="B37" s="111" t="str">
        <f>'дод. 4'!A157</f>
        <v>5061</v>
      </c>
      <c r="C37" s="111" t="str">
        <f>'дод. 4'!B157</f>
        <v>0810</v>
      </c>
      <c r="D37" s="112" t="str">
        <f>'дод. 4'!C157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7" s="80">
        <f>F37+I37</f>
        <v>3846504</v>
      </c>
      <c r="F37" s="80">
        <f>3246540+127835+6186+7000+30000+11000+350000+67943</f>
        <v>3846504</v>
      </c>
      <c r="G37" s="80">
        <f>1685000+104783</f>
        <v>1789783</v>
      </c>
      <c r="H37" s="80">
        <f>407210+67943</f>
        <v>475153</v>
      </c>
      <c r="I37" s="80"/>
      <c r="J37" s="80">
        <f t="shared" si="3"/>
        <v>3146687</v>
      </c>
      <c r="K37" s="80">
        <f>226687</f>
        <v>226687</v>
      </c>
      <c r="L37" s="80">
        <v>141022</v>
      </c>
      <c r="M37" s="80">
        <v>53404</v>
      </c>
      <c r="N37" s="80">
        <f>20000+2900000</f>
        <v>2920000</v>
      </c>
      <c r="O37" s="80">
        <f>20000+2900000</f>
        <v>2920000</v>
      </c>
      <c r="P37" s="80">
        <f>E37+J37</f>
        <v>6993191</v>
      </c>
      <c r="Q37" s="266"/>
      <c r="R37" s="155"/>
      <c r="S37" s="155"/>
      <c r="T37" s="155"/>
    </row>
    <row r="38" spans="1:20" s="110" customFormat="1" ht="45" x14ac:dyDescent="0.2">
      <c r="A38" s="111" t="s">
        <v>256</v>
      </c>
      <c r="B38" s="111" t="str">
        <f>'дод. 4'!A158</f>
        <v>5062</v>
      </c>
      <c r="C38" s="111" t="str">
        <f>'дод. 4'!B158</f>
        <v>0810</v>
      </c>
      <c r="D38" s="112" t="str">
        <f>'дод. 4'!C158</f>
        <v>Підтримка спорту вищих досягнень та організацій, які здійснюють фізкультурно-спортивну діяльність в регіоні</v>
      </c>
      <c r="E38" s="80">
        <f>F38+I38</f>
        <v>5704360</v>
      </c>
      <c r="F38" s="80">
        <f>5143460+50000+50000+50000+300000+100000+10900</f>
        <v>5704360</v>
      </c>
      <c r="G38" s="80"/>
      <c r="H38" s="80"/>
      <c r="I38" s="80"/>
      <c r="J38" s="80">
        <f t="shared" si="3"/>
        <v>20000</v>
      </c>
      <c r="K38" s="80"/>
      <c r="L38" s="80"/>
      <c r="M38" s="80"/>
      <c r="N38" s="80">
        <v>20000</v>
      </c>
      <c r="O38" s="80">
        <v>20000</v>
      </c>
      <c r="P38" s="80">
        <f>E38+J38</f>
        <v>5724360</v>
      </c>
      <c r="Q38" s="266"/>
      <c r="R38" s="155"/>
      <c r="S38" s="155"/>
      <c r="T38" s="155"/>
    </row>
    <row r="39" spans="1:20" s="4" customFormat="1" ht="34.5" customHeight="1" x14ac:dyDescent="0.2">
      <c r="A39" s="84" t="s">
        <v>257</v>
      </c>
      <c r="B39" s="84" t="str">
        <f>'дод. 4'!A200</f>
        <v>7410</v>
      </c>
      <c r="C39" s="84">
        <f>'дод. 4'!B200</f>
        <v>0</v>
      </c>
      <c r="D39" s="105" t="str">
        <f>'дод. 4'!C200</f>
        <v>Забезпечення надання послуг з перевезення пасажирів автомобільним транспортом</v>
      </c>
      <c r="E39" s="83">
        <f>E40</f>
        <v>7497000</v>
      </c>
      <c r="F39" s="83">
        <f t="shared" ref="F39:P39" si="11">F40</f>
        <v>0</v>
      </c>
      <c r="G39" s="83">
        <f t="shared" si="11"/>
        <v>0</v>
      </c>
      <c r="H39" s="83">
        <f t="shared" si="11"/>
        <v>0</v>
      </c>
      <c r="I39" s="83">
        <f t="shared" si="11"/>
        <v>7497000</v>
      </c>
      <c r="J39" s="83">
        <f t="shared" si="11"/>
        <v>0</v>
      </c>
      <c r="K39" s="83">
        <f t="shared" si="11"/>
        <v>0</v>
      </c>
      <c r="L39" s="83">
        <f t="shared" si="11"/>
        <v>0</v>
      </c>
      <c r="M39" s="83">
        <f t="shared" si="11"/>
        <v>0</v>
      </c>
      <c r="N39" s="83">
        <f t="shared" si="11"/>
        <v>0</v>
      </c>
      <c r="O39" s="83">
        <f t="shared" si="11"/>
        <v>0</v>
      </c>
      <c r="P39" s="83">
        <f t="shared" si="11"/>
        <v>7497000</v>
      </c>
      <c r="Q39" s="266"/>
      <c r="R39" s="154"/>
      <c r="S39" s="154"/>
      <c r="T39" s="154"/>
    </row>
    <row r="40" spans="1:20" s="110" customFormat="1" ht="30" x14ac:dyDescent="0.2">
      <c r="A40" s="111" t="s">
        <v>258</v>
      </c>
      <c r="B40" s="111" t="str">
        <f>'дод. 4'!A201</f>
        <v>7412</v>
      </c>
      <c r="C40" s="111" t="str">
        <f>'дод. 4'!B201</f>
        <v>0451</v>
      </c>
      <c r="D40" s="112" t="str">
        <f>'дод. 4'!C201</f>
        <v>Регулювання цін на послуги місцевого автотранспорту</v>
      </c>
      <c r="E40" s="80">
        <f>F40+I40</f>
        <v>7497000</v>
      </c>
      <c r="F40" s="80"/>
      <c r="G40" s="80"/>
      <c r="H40" s="80"/>
      <c r="I40" s="80">
        <f>3000000+2000000+627000+1870000</f>
        <v>7497000</v>
      </c>
      <c r="J40" s="80">
        <f t="shared" si="3"/>
        <v>0</v>
      </c>
      <c r="K40" s="80"/>
      <c r="L40" s="80"/>
      <c r="M40" s="80"/>
      <c r="N40" s="80"/>
      <c r="O40" s="80"/>
      <c r="P40" s="80">
        <f>E40+J40</f>
        <v>7497000</v>
      </c>
      <c r="Q40" s="266"/>
      <c r="R40" s="155"/>
      <c r="S40" s="155"/>
      <c r="T40" s="155"/>
    </row>
    <row r="41" spans="1:20" s="4" customFormat="1" ht="30" x14ac:dyDescent="0.2">
      <c r="A41" s="84" t="s">
        <v>259</v>
      </c>
      <c r="B41" s="84" t="str">
        <f>'дод. 4'!A202</f>
        <v>7420</v>
      </c>
      <c r="C41" s="84">
        <f>'дод. 4'!B202</f>
        <v>0</v>
      </c>
      <c r="D41" s="105" t="str">
        <f>'дод. 4'!C202</f>
        <v>Забезпечення надання послуг з перевезення пасажирів електротранспортом</v>
      </c>
      <c r="E41" s="83">
        <f>E42+E43</f>
        <v>23520636</v>
      </c>
      <c r="F41" s="83">
        <f t="shared" ref="F41:P41" si="12">F42+F43</f>
        <v>0</v>
      </c>
      <c r="G41" s="83">
        <f t="shared" si="12"/>
        <v>0</v>
      </c>
      <c r="H41" s="83">
        <f t="shared" si="12"/>
        <v>0</v>
      </c>
      <c r="I41" s="83">
        <f t="shared" si="12"/>
        <v>23520636</v>
      </c>
      <c r="J41" s="83">
        <f t="shared" si="12"/>
        <v>0</v>
      </c>
      <c r="K41" s="83">
        <f t="shared" si="12"/>
        <v>0</v>
      </c>
      <c r="L41" s="83">
        <f t="shared" si="12"/>
        <v>0</v>
      </c>
      <c r="M41" s="83">
        <f t="shared" si="12"/>
        <v>0</v>
      </c>
      <c r="N41" s="83">
        <f t="shared" si="12"/>
        <v>0</v>
      </c>
      <c r="O41" s="83">
        <f t="shared" si="12"/>
        <v>0</v>
      </c>
      <c r="P41" s="83">
        <f t="shared" si="12"/>
        <v>23520636</v>
      </c>
      <c r="Q41" s="266"/>
      <c r="R41" s="154"/>
      <c r="S41" s="154"/>
      <c r="T41" s="154"/>
    </row>
    <row r="42" spans="1:20" s="110" customFormat="1" ht="30" x14ac:dyDescent="0.2">
      <c r="A42" s="111" t="s">
        <v>260</v>
      </c>
      <c r="B42" s="111" t="str">
        <f>'дод. 4'!A203</f>
        <v>7422</v>
      </c>
      <c r="C42" s="111" t="str">
        <f>'дод. 4'!B203</f>
        <v>0453</v>
      </c>
      <c r="D42" s="112" t="str">
        <f>'дод. 4'!C203</f>
        <v>Регулювання цін на послуги місцевого наземного електротранспорту</v>
      </c>
      <c r="E42" s="80">
        <f t="shared" ref="E42:E49" si="13">F42+I42</f>
        <v>10976000</v>
      </c>
      <c r="F42" s="80"/>
      <c r="G42" s="80"/>
      <c r="H42" s="80"/>
      <c r="I42" s="80">
        <f>6000000+4000000+976000</f>
        <v>10976000</v>
      </c>
      <c r="J42" s="80">
        <f t="shared" si="3"/>
        <v>0</v>
      </c>
      <c r="K42" s="80"/>
      <c r="L42" s="80"/>
      <c r="M42" s="80"/>
      <c r="N42" s="80"/>
      <c r="O42" s="80"/>
      <c r="P42" s="80">
        <f>E42+J42</f>
        <v>10976000</v>
      </c>
      <c r="Q42" s="266"/>
      <c r="R42" s="155"/>
      <c r="S42" s="155"/>
      <c r="T42" s="155"/>
    </row>
    <row r="43" spans="1:20" s="110" customFormat="1" ht="21.75" customHeight="1" x14ac:dyDescent="0.2">
      <c r="A43" s="111" t="s">
        <v>376</v>
      </c>
      <c r="B43" s="111" t="str">
        <f>'дод. 4'!A204</f>
        <v>7426</v>
      </c>
      <c r="C43" s="111" t="str">
        <f>'дод. 4'!B204</f>
        <v>0453</v>
      </c>
      <c r="D43" s="112" t="str">
        <f>'дод. 4'!C204</f>
        <v>Інші заходи у сфері електротранспорту</v>
      </c>
      <c r="E43" s="80">
        <f t="shared" si="13"/>
        <v>12544636</v>
      </c>
      <c r="F43" s="80"/>
      <c r="G43" s="80"/>
      <c r="H43" s="80"/>
      <c r="I43" s="80">
        <f>12858252-313616</f>
        <v>12544636</v>
      </c>
      <c r="J43" s="80">
        <f t="shared" si="3"/>
        <v>0</v>
      </c>
      <c r="K43" s="80"/>
      <c r="L43" s="80"/>
      <c r="M43" s="80"/>
      <c r="N43" s="80">
        <f>810000+680000-1490000</f>
        <v>0</v>
      </c>
      <c r="O43" s="80">
        <f>810000+680000-1490000</f>
        <v>0</v>
      </c>
      <c r="P43" s="80">
        <f>E43+J43</f>
        <v>12544636</v>
      </c>
      <c r="Q43" s="266"/>
      <c r="R43" s="155"/>
      <c r="S43" s="155"/>
      <c r="T43" s="155"/>
    </row>
    <row r="44" spans="1:20" s="4" customFormat="1" ht="21.75" customHeight="1" x14ac:dyDescent="0.2">
      <c r="A44" s="85" t="s">
        <v>491</v>
      </c>
      <c r="B44" s="85" t="str">
        <f>'дод. 4'!A207</f>
        <v>7450</v>
      </c>
      <c r="C44" s="85" t="str">
        <f>'дод. 4'!B207</f>
        <v>0456</v>
      </c>
      <c r="D44" s="105" t="str">
        <f>'дод. 4'!C207</f>
        <v xml:space="preserve">Інша діяльність у сфері транспорту </v>
      </c>
      <c r="E44" s="77">
        <f t="shared" si="13"/>
        <v>649800</v>
      </c>
      <c r="F44" s="77">
        <f>450000+199800</f>
        <v>649800</v>
      </c>
      <c r="G44" s="77"/>
      <c r="H44" s="77"/>
      <c r="I44" s="77"/>
      <c r="J44" s="77">
        <f>K44+N44</f>
        <v>0</v>
      </c>
      <c r="K44" s="77"/>
      <c r="L44" s="77"/>
      <c r="M44" s="77"/>
      <c r="N44" s="77"/>
      <c r="O44" s="77"/>
      <c r="P44" s="77">
        <f>J44+E44</f>
        <v>649800</v>
      </c>
      <c r="Q44" s="266"/>
      <c r="R44" s="153"/>
      <c r="S44" s="153"/>
      <c r="T44" s="153"/>
    </row>
    <row r="45" spans="1:20" s="113" customFormat="1" ht="30" x14ac:dyDescent="0.2">
      <c r="A45" s="85" t="s">
        <v>377</v>
      </c>
      <c r="B45" s="85" t="str">
        <f>'дод. 4'!A213</f>
        <v>7530</v>
      </c>
      <c r="C45" s="85" t="str">
        <f>'дод. 4'!B213</f>
        <v>0460</v>
      </c>
      <c r="D45" s="105" t="str">
        <f>'дод. 4'!C213</f>
        <v>Інші заходи у сфері зв'язку, телекомунікації та інформатики</v>
      </c>
      <c r="E45" s="77">
        <f t="shared" si="13"/>
        <v>9247290</v>
      </c>
      <c r="F45" s="77">
        <f>2629000+1696500+1371000+1579990+2962430-170430-92200-729000</f>
        <v>9247290</v>
      </c>
      <c r="G45" s="77"/>
      <c r="H45" s="77"/>
      <c r="I45" s="77"/>
      <c r="J45" s="77">
        <f>K45+N45</f>
        <v>8111000</v>
      </c>
      <c r="K45" s="77"/>
      <c r="L45" s="77"/>
      <c r="M45" s="77"/>
      <c r="N45" s="77">
        <f>3005500+1891500+3385000-900000+729000</f>
        <v>8111000</v>
      </c>
      <c r="O45" s="77">
        <f>3005500+1891500+3385000-900000+729000</f>
        <v>8111000</v>
      </c>
      <c r="P45" s="77">
        <f>E45+J45</f>
        <v>17358290</v>
      </c>
      <c r="Q45" s="266"/>
      <c r="R45" s="153"/>
      <c r="S45" s="153"/>
      <c r="T45" s="153"/>
    </row>
    <row r="46" spans="1:20" s="110" customFormat="1" ht="30" x14ac:dyDescent="0.2">
      <c r="A46" s="84" t="s">
        <v>261</v>
      </c>
      <c r="B46" s="84" t="str">
        <f>'дод. 4'!A215</f>
        <v>7610</v>
      </c>
      <c r="C46" s="84" t="str">
        <f>'дод. 4'!B215</f>
        <v>0411</v>
      </c>
      <c r="D46" s="105" t="str">
        <f>'дод. 4'!C215</f>
        <v>Сприяння розвитку малого та середнього підприємництва</v>
      </c>
      <c r="E46" s="83">
        <f t="shared" si="13"/>
        <v>88000</v>
      </c>
      <c r="F46" s="83">
        <v>88000</v>
      </c>
      <c r="G46" s="83"/>
      <c r="H46" s="83"/>
      <c r="I46" s="83"/>
      <c r="J46" s="83">
        <f t="shared" si="3"/>
        <v>16800</v>
      </c>
      <c r="K46" s="83"/>
      <c r="L46" s="83"/>
      <c r="M46" s="83"/>
      <c r="N46" s="83">
        <v>16800</v>
      </c>
      <c r="O46" s="83">
        <v>16800</v>
      </c>
      <c r="P46" s="83">
        <f>E46+J46</f>
        <v>104800</v>
      </c>
      <c r="Q46" s="266"/>
      <c r="R46" s="153"/>
      <c r="S46" s="153"/>
      <c r="T46" s="153"/>
    </row>
    <row r="47" spans="1:20" s="110" customFormat="1" ht="18.75" customHeight="1" x14ac:dyDescent="0.2">
      <c r="A47" s="84" t="s">
        <v>402</v>
      </c>
      <c r="B47" s="84" t="str">
        <f>'дод. 4'!A216</f>
        <v>7640</v>
      </c>
      <c r="C47" s="84" t="str">
        <f>'дод. 4'!B216</f>
        <v>0470</v>
      </c>
      <c r="D47" s="105" t="str">
        <f>'дод. 4'!C216</f>
        <v>Заходи з енергозбереження</v>
      </c>
      <c r="E47" s="83">
        <f t="shared" si="13"/>
        <v>125175</v>
      </c>
      <c r="F47" s="83">
        <v>125175</v>
      </c>
      <c r="G47" s="83"/>
      <c r="H47" s="83"/>
      <c r="I47" s="83"/>
      <c r="J47" s="83">
        <f>K47+N47</f>
        <v>0</v>
      </c>
      <c r="K47" s="83"/>
      <c r="L47" s="83"/>
      <c r="M47" s="83"/>
      <c r="N47" s="83"/>
      <c r="O47" s="83"/>
      <c r="P47" s="83">
        <f>E47+J47</f>
        <v>125175</v>
      </c>
      <c r="Q47" s="266"/>
      <c r="R47" s="153"/>
      <c r="S47" s="153"/>
      <c r="T47" s="153"/>
    </row>
    <row r="48" spans="1:20" s="110" customFormat="1" ht="30" x14ac:dyDescent="0.2">
      <c r="A48" s="84" t="s">
        <v>262</v>
      </c>
      <c r="B48" s="84" t="str">
        <f>'дод. 4'!A219</f>
        <v>7670</v>
      </c>
      <c r="C48" s="84" t="str">
        <f>'дод. 4'!B219</f>
        <v>0490</v>
      </c>
      <c r="D48" s="105" t="str">
        <f>'дод. 4'!C219</f>
        <v>Внески до статутного капіталу суб’єктів господарювання</v>
      </c>
      <c r="E48" s="83">
        <f t="shared" si="13"/>
        <v>0</v>
      </c>
      <c r="F48" s="83"/>
      <c r="G48" s="83"/>
      <c r="H48" s="83"/>
      <c r="I48" s="83"/>
      <c r="J48" s="83">
        <f t="shared" si="3"/>
        <v>28860000</v>
      </c>
      <c r="K48" s="83"/>
      <c r="L48" s="83"/>
      <c r="M48" s="83"/>
      <c r="N48" s="83">
        <f>4220000+24220000+800000-380000</f>
        <v>28860000</v>
      </c>
      <c r="O48" s="83">
        <f>4220000+24220000+800000-380000</f>
        <v>28860000</v>
      </c>
      <c r="P48" s="83">
        <f>E48+J48</f>
        <v>28860000</v>
      </c>
      <c r="Q48" s="266"/>
      <c r="R48" s="153"/>
      <c r="S48" s="153"/>
      <c r="T48" s="153"/>
    </row>
    <row r="49" spans="1:20" s="110" customFormat="1" ht="30" x14ac:dyDescent="0.2">
      <c r="A49" s="84" t="s">
        <v>391</v>
      </c>
      <c r="B49" s="84" t="str">
        <f>'дод. 4'!A220</f>
        <v>7680</v>
      </c>
      <c r="C49" s="84" t="str">
        <f>'дод. 4'!B220</f>
        <v>0490</v>
      </c>
      <c r="D49" s="105" t="str">
        <f>'дод. 4'!C220</f>
        <v>Членські внески до асоціацій органів місцевого самоврядування</v>
      </c>
      <c r="E49" s="83">
        <f t="shared" si="13"/>
        <v>209333</v>
      </c>
      <c r="F49" s="83">
        <f>50000+159333</f>
        <v>209333</v>
      </c>
      <c r="G49" s="83"/>
      <c r="H49" s="83"/>
      <c r="I49" s="83"/>
      <c r="J49" s="83">
        <f t="shared" si="3"/>
        <v>0</v>
      </c>
      <c r="K49" s="83"/>
      <c r="L49" s="83"/>
      <c r="M49" s="83"/>
      <c r="N49" s="83"/>
      <c r="O49" s="83"/>
      <c r="P49" s="83">
        <f>E49+J49</f>
        <v>209333</v>
      </c>
      <c r="Q49" s="266"/>
      <c r="R49" s="153"/>
      <c r="S49" s="153"/>
      <c r="T49" s="153"/>
    </row>
    <row r="50" spans="1:20" s="110" customFormat="1" ht="19.5" customHeight="1" x14ac:dyDescent="0.2">
      <c r="A50" s="84" t="s">
        <v>263</v>
      </c>
      <c r="B50" s="84" t="str">
        <f>'дод. 4'!A221</f>
        <v>7690</v>
      </c>
      <c r="C50" s="84">
        <f>'дод. 4'!B221</f>
        <v>0</v>
      </c>
      <c r="D50" s="105" t="str">
        <f>'дод. 4'!C221</f>
        <v>Інша економічна діяльність</v>
      </c>
      <c r="E50" s="83">
        <f>E51+E52</f>
        <v>1857059</v>
      </c>
      <c r="F50" s="83">
        <f>F51+F52</f>
        <v>1659159</v>
      </c>
      <c r="G50" s="83">
        <f t="shared" ref="G50:P50" si="14">G51+G52</f>
        <v>0</v>
      </c>
      <c r="H50" s="83">
        <f t="shared" si="14"/>
        <v>0</v>
      </c>
      <c r="I50" s="83">
        <f t="shared" si="14"/>
        <v>197900</v>
      </c>
      <c r="J50" s="83">
        <f t="shared" si="14"/>
        <v>70037.48</v>
      </c>
      <c r="K50" s="83">
        <f t="shared" si="14"/>
        <v>70037.48</v>
      </c>
      <c r="L50" s="83">
        <f t="shared" si="14"/>
        <v>0</v>
      </c>
      <c r="M50" s="83">
        <f t="shared" si="14"/>
        <v>0</v>
      </c>
      <c r="N50" s="83">
        <f t="shared" si="14"/>
        <v>0</v>
      </c>
      <c r="O50" s="83">
        <f t="shared" si="14"/>
        <v>0</v>
      </c>
      <c r="P50" s="83">
        <f t="shared" si="14"/>
        <v>1927096.48</v>
      </c>
      <c r="Q50" s="266"/>
      <c r="R50" s="154"/>
      <c r="S50" s="154"/>
      <c r="T50" s="154"/>
    </row>
    <row r="51" spans="1:20" s="110" customFormat="1" ht="121.5" customHeight="1" x14ac:dyDescent="0.2">
      <c r="A51" s="111" t="s">
        <v>473</v>
      </c>
      <c r="B51" s="111" t="str">
        <f>'дод. 4'!A222</f>
        <v>7691</v>
      </c>
      <c r="C51" s="111" t="str">
        <f>'дод. 4'!B222</f>
        <v>0490</v>
      </c>
      <c r="D51" s="79" t="s">
        <v>499</v>
      </c>
      <c r="E51" s="80">
        <f t="shared" ref="E51:E58" si="15">F51+I51</f>
        <v>0</v>
      </c>
      <c r="F51" s="80"/>
      <c r="G51" s="80"/>
      <c r="H51" s="80"/>
      <c r="I51" s="80"/>
      <c r="J51" s="80">
        <f t="shared" si="3"/>
        <v>70037.48</v>
      </c>
      <c r="K51" s="80">
        <f>63407+6630.48</f>
        <v>70037.48</v>
      </c>
      <c r="L51" s="80"/>
      <c r="M51" s="80"/>
      <c r="N51" s="80"/>
      <c r="O51" s="80"/>
      <c r="P51" s="80">
        <f t="shared" ref="P51:P58" si="16">E51+J51</f>
        <v>70037.48</v>
      </c>
      <c r="Q51" s="266"/>
      <c r="R51" s="155"/>
      <c r="S51" s="155"/>
      <c r="T51" s="155"/>
    </row>
    <row r="52" spans="1:20" s="110" customFormat="1" ht="23.25" customHeight="1" x14ac:dyDescent="0.2">
      <c r="A52" s="111" t="s">
        <v>384</v>
      </c>
      <c r="B52" s="111" t="str">
        <f>'дод. 4'!A223</f>
        <v>7693</v>
      </c>
      <c r="C52" s="111" t="str">
        <f>'дод. 4'!B223</f>
        <v>0490</v>
      </c>
      <c r="D52" s="112" t="str">
        <f>'дод. 4'!C223</f>
        <v>Інші заходи, пов'язані з економічною діяльністю</v>
      </c>
      <c r="E52" s="80">
        <f t="shared" si="15"/>
        <v>1857059</v>
      </c>
      <c r="F52" s="80">
        <f>1449859+262200+90000-197900+30000+25000</f>
        <v>1659159</v>
      </c>
      <c r="G52" s="80"/>
      <c r="H52" s="80"/>
      <c r="I52" s="80">
        <v>197900</v>
      </c>
      <c r="J52" s="80">
        <f t="shared" si="3"/>
        <v>0</v>
      </c>
      <c r="K52" s="80"/>
      <c r="L52" s="80"/>
      <c r="M52" s="80"/>
      <c r="N52" s="80"/>
      <c r="O52" s="80"/>
      <c r="P52" s="80">
        <f t="shared" si="16"/>
        <v>1857059</v>
      </c>
      <c r="Q52" s="266"/>
      <c r="R52" s="155"/>
      <c r="S52" s="155"/>
      <c r="T52" s="155"/>
    </row>
    <row r="53" spans="1:20" s="110" customFormat="1" ht="34.5" customHeight="1" x14ac:dyDescent="0.2">
      <c r="A53" s="84" t="s">
        <v>264</v>
      </c>
      <c r="B53" s="84" t="str">
        <f>'дод. 4'!A226</f>
        <v>8110</v>
      </c>
      <c r="C53" s="84" t="str">
        <f>'дод. 4'!B226</f>
        <v>0320</v>
      </c>
      <c r="D53" s="105" t="str">
        <f>'дод. 4'!C226</f>
        <v>Заходи із запобігання та ліквідації надзвичайних ситуацій та наслідків стихійного лиха</v>
      </c>
      <c r="E53" s="83">
        <f t="shared" si="15"/>
        <v>503883</v>
      </c>
      <c r="F53" s="83">
        <f>228570+180360+92500+2453</f>
        <v>503883</v>
      </c>
      <c r="G53" s="83"/>
      <c r="H53" s="83">
        <v>5070</v>
      </c>
      <c r="I53" s="83"/>
      <c r="J53" s="83">
        <f t="shared" si="3"/>
        <v>55900</v>
      </c>
      <c r="K53" s="83"/>
      <c r="L53" s="83"/>
      <c r="M53" s="83"/>
      <c r="N53" s="83">
        <v>55900</v>
      </c>
      <c r="O53" s="83">
        <v>55900</v>
      </c>
      <c r="P53" s="83">
        <f t="shared" si="16"/>
        <v>559783</v>
      </c>
      <c r="Q53" s="266"/>
      <c r="R53" s="153"/>
      <c r="S53" s="153"/>
      <c r="T53" s="153"/>
    </row>
    <row r="54" spans="1:20" s="110" customFormat="1" ht="19.5" customHeight="1" x14ac:dyDescent="0.2">
      <c r="A54" s="84" t="s">
        <v>360</v>
      </c>
      <c r="B54" s="84" t="str">
        <f>'дод. 4'!A227</f>
        <v>8120</v>
      </c>
      <c r="C54" s="84" t="str">
        <f>'дод. 4'!B227</f>
        <v>0320</v>
      </c>
      <c r="D54" s="105" t="str">
        <f>'дод. 4'!C227</f>
        <v>Заходи з організації рятування на водах</v>
      </c>
      <c r="E54" s="83">
        <f t="shared" si="15"/>
        <v>1517110</v>
      </c>
      <c r="F54" s="83">
        <f>1451100+43510+22500+17520-17520+3000-3000</f>
        <v>1517110</v>
      </c>
      <c r="G54" s="83">
        <v>1087750</v>
      </c>
      <c r="H54" s="83">
        <v>76315</v>
      </c>
      <c r="I54" s="83"/>
      <c r="J54" s="83">
        <f t="shared" si="3"/>
        <v>63000</v>
      </c>
      <c r="K54" s="83">
        <f>5100</f>
        <v>5100</v>
      </c>
      <c r="L54" s="83"/>
      <c r="M54" s="83">
        <f>1200</f>
        <v>1200</v>
      </c>
      <c r="N54" s="83">
        <v>57900</v>
      </c>
      <c r="O54" s="83">
        <v>57900</v>
      </c>
      <c r="P54" s="83">
        <f t="shared" si="16"/>
        <v>1580110</v>
      </c>
      <c r="Q54" s="266"/>
      <c r="R54" s="153"/>
      <c r="S54" s="153"/>
      <c r="T54" s="153"/>
    </row>
    <row r="55" spans="1:20" s="110" customFormat="1" ht="21.75" customHeight="1" x14ac:dyDescent="0.2">
      <c r="A55" s="84" t="s">
        <v>387</v>
      </c>
      <c r="B55" s="84" t="str">
        <f>'дод. 4'!A229</f>
        <v>8230</v>
      </c>
      <c r="C55" s="84" t="str">
        <f>'дод. 4'!B229</f>
        <v>0380</v>
      </c>
      <c r="D55" s="105" t="str">
        <f>'дод. 4'!C229</f>
        <v>Інші заходи громадського порядку та безпеки</v>
      </c>
      <c r="E55" s="83">
        <f t="shared" si="15"/>
        <v>681615</v>
      </c>
      <c r="F55" s="83">
        <f>391300+290315</f>
        <v>681615</v>
      </c>
      <c r="G55" s="83"/>
      <c r="H55" s="83">
        <f>222241+24515</f>
        <v>246756</v>
      </c>
      <c r="I55" s="83"/>
      <c r="J55" s="83">
        <f t="shared" si="3"/>
        <v>0</v>
      </c>
      <c r="K55" s="83"/>
      <c r="L55" s="83"/>
      <c r="M55" s="83"/>
      <c r="N55" s="83"/>
      <c r="O55" s="83"/>
      <c r="P55" s="83">
        <f t="shared" si="16"/>
        <v>681615</v>
      </c>
      <c r="Q55" s="266"/>
      <c r="R55" s="153"/>
      <c r="S55" s="153"/>
      <c r="T55" s="153"/>
    </row>
    <row r="56" spans="1:20" s="110" customFormat="1" ht="34.5" customHeight="1" x14ac:dyDescent="0.2">
      <c r="A56" s="81" t="s">
        <v>265</v>
      </c>
      <c r="B56" s="81" t="str">
        <f>'дод. 4'!A232</f>
        <v>8340</v>
      </c>
      <c r="C56" s="81" t="str">
        <f>'дод. 4'!B232</f>
        <v>0540</v>
      </c>
      <c r="D56" s="102" t="str">
        <f>'дод. 4'!C232</f>
        <v>Природоохоронні заходи за рахунок цільових фондів</v>
      </c>
      <c r="E56" s="83">
        <f t="shared" si="15"/>
        <v>0</v>
      </c>
      <c r="F56" s="83"/>
      <c r="G56" s="83"/>
      <c r="H56" s="83"/>
      <c r="I56" s="83"/>
      <c r="J56" s="83">
        <f t="shared" si="3"/>
        <v>181495</v>
      </c>
      <c r="K56" s="83">
        <f>123500+57995</f>
        <v>181495</v>
      </c>
      <c r="L56" s="83"/>
      <c r="M56" s="83"/>
      <c r="N56" s="83"/>
      <c r="O56" s="83"/>
      <c r="P56" s="83">
        <f t="shared" si="16"/>
        <v>181495</v>
      </c>
      <c r="Q56" s="266"/>
      <c r="R56" s="153"/>
      <c r="S56" s="153"/>
      <c r="T56" s="153"/>
    </row>
    <row r="57" spans="1:20" s="4" customFormat="1" ht="24" customHeight="1" x14ac:dyDescent="0.2">
      <c r="A57" s="84" t="s">
        <v>398</v>
      </c>
      <c r="B57" s="84" t="str">
        <f>'дод. 4'!A234</f>
        <v>8420</v>
      </c>
      <c r="C57" s="84" t="str">
        <f>'дод. 4'!B234</f>
        <v>0830</v>
      </c>
      <c r="D57" s="105" t="str">
        <f>'дод. 4'!C234</f>
        <v>Інші заходи у сфері засобів масової інформації</v>
      </c>
      <c r="E57" s="83">
        <f t="shared" si="15"/>
        <v>167500</v>
      </c>
      <c r="F57" s="83">
        <f>164000+3500</f>
        <v>167500</v>
      </c>
      <c r="G57" s="83"/>
      <c r="H57" s="83"/>
      <c r="I57" s="83"/>
      <c r="J57" s="83">
        <f t="shared" si="3"/>
        <v>0</v>
      </c>
      <c r="K57" s="83"/>
      <c r="L57" s="83"/>
      <c r="M57" s="83"/>
      <c r="N57" s="83"/>
      <c r="O57" s="83"/>
      <c r="P57" s="83">
        <f t="shared" si="16"/>
        <v>167500</v>
      </c>
      <c r="Q57" s="266"/>
      <c r="R57" s="153"/>
      <c r="S57" s="153"/>
      <c r="T57" s="153"/>
    </row>
    <row r="58" spans="1:20" s="4" customFormat="1" ht="24" customHeight="1" x14ac:dyDescent="0.2">
      <c r="A58" s="84" t="s">
        <v>631</v>
      </c>
      <c r="B58" s="84" t="str">
        <f>'дод. 4'!A246</f>
        <v>9770</v>
      </c>
      <c r="C58" s="84" t="str">
        <f>'дод. 4'!B246</f>
        <v>0180</v>
      </c>
      <c r="D58" s="215" t="str">
        <f>'дод. 4'!C246</f>
        <v xml:space="preserve">Інші субвенції з місцевого бюджету </v>
      </c>
      <c r="E58" s="83">
        <f t="shared" si="15"/>
        <v>166600</v>
      </c>
      <c r="F58" s="83">
        <f>116600+50000</f>
        <v>166600</v>
      </c>
      <c r="G58" s="83"/>
      <c r="H58" s="83"/>
      <c r="I58" s="83"/>
      <c r="J58" s="83">
        <f t="shared" si="3"/>
        <v>344000</v>
      </c>
      <c r="K58" s="83"/>
      <c r="L58" s="83"/>
      <c r="M58" s="83"/>
      <c r="N58" s="83">
        <v>344000</v>
      </c>
      <c r="O58" s="83">
        <v>344000</v>
      </c>
      <c r="P58" s="83">
        <f t="shared" si="16"/>
        <v>510600</v>
      </c>
      <c r="Q58" s="266"/>
      <c r="R58" s="153"/>
      <c r="S58" s="153"/>
      <c r="T58" s="153"/>
    </row>
    <row r="59" spans="1:20" s="4" customFormat="1" ht="50.25" customHeight="1" x14ac:dyDescent="0.2">
      <c r="A59" s="84" t="s">
        <v>592</v>
      </c>
      <c r="B59" s="84" t="str">
        <f>'дод. 4'!A248</f>
        <v>9800</v>
      </c>
      <c r="C59" s="84" t="str">
        <f>'дод. 4'!B248</f>
        <v>0180</v>
      </c>
      <c r="D59" s="105" t="str">
        <f>'дод. 4'!C248</f>
        <v xml:space="preserve">Субвенція з місцевого бюджету державному бюджету на виконання програм соціально-економічного розвитку регіонів </v>
      </c>
      <c r="E59" s="83">
        <f>F59+I59</f>
        <v>960400</v>
      </c>
      <c r="F59" s="83">
        <f>300000+70000+111400+479000</f>
        <v>960400</v>
      </c>
      <c r="G59" s="83"/>
      <c r="H59" s="83"/>
      <c r="I59" s="83"/>
      <c r="J59" s="83">
        <f>K59+N59</f>
        <v>4514780</v>
      </c>
      <c r="K59" s="83"/>
      <c r="L59" s="83"/>
      <c r="M59" s="83"/>
      <c r="N59" s="83">
        <f>2000000+563780+1000000+51000+900000</f>
        <v>4514780</v>
      </c>
      <c r="O59" s="83">
        <f>2000000+563780+1000000+51000+900000</f>
        <v>4514780</v>
      </c>
      <c r="P59" s="83">
        <f>E59+J59</f>
        <v>5475180</v>
      </c>
      <c r="Q59" s="266"/>
      <c r="R59" s="153"/>
      <c r="S59" s="153"/>
      <c r="T59" s="153"/>
    </row>
    <row r="60" spans="1:20" s="107" customFormat="1" ht="23.25" customHeight="1" x14ac:dyDescent="0.2">
      <c r="A60" s="114" t="s">
        <v>266</v>
      </c>
      <c r="B60" s="115"/>
      <c r="C60" s="115"/>
      <c r="D60" s="35" t="s">
        <v>48</v>
      </c>
      <c r="E60" s="46">
        <f>E61</f>
        <v>759870114.25</v>
      </c>
      <c r="F60" s="46">
        <f t="shared" ref="F60:P60" si="17">F61</f>
        <v>759870114.25</v>
      </c>
      <c r="G60" s="46">
        <f t="shared" si="17"/>
        <v>481485658</v>
      </c>
      <c r="H60" s="46">
        <f t="shared" si="17"/>
        <v>73089630</v>
      </c>
      <c r="I60" s="46">
        <f t="shared" si="17"/>
        <v>0</v>
      </c>
      <c r="J60" s="46">
        <f t="shared" si="17"/>
        <v>107414234.47</v>
      </c>
      <c r="K60" s="46">
        <f t="shared" si="17"/>
        <v>48304148</v>
      </c>
      <c r="L60" s="46">
        <f t="shared" si="17"/>
        <v>2677494</v>
      </c>
      <c r="M60" s="46">
        <f t="shared" si="17"/>
        <v>2371330</v>
      </c>
      <c r="N60" s="46">
        <f t="shared" si="17"/>
        <v>59110086.469999999</v>
      </c>
      <c r="O60" s="46">
        <f t="shared" si="17"/>
        <v>56320078.420000002</v>
      </c>
      <c r="P60" s="46">
        <f t="shared" si="17"/>
        <v>867284348.72000003</v>
      </c>
      <c r="Q60" s="266"/>
      <c r="R60" s="150"/>
      <c r="S60" s="150"/>
      <c r="T60" s="150"/>
    </row>
    <row r="61" spans="1:20" s="109" customFormat="1" ht="29.25" customHeight="1" x14ac:dyDescent="0.2">
      <c r="A61" s="116" t="s">
        <v>267</v>
      </c>
      <c r="B61" s="117"/>
      <c r="C61" s="117"/>
      <c r="D61" s="118" t="s">
        <v>48</v>
      </c>
      <c r="E61" s="74">
        <f t="shared" ref="E61:P61" si="18">E63+E64+E65+E67+E69+E71+E72+E74+E75+E81+E84+E90+E91+E82+E92+E86</f>
        <v>759870114.25</v>
      </c>
      <c r="F61" s="74">
        <f>F63+F64+F65+F67+F69+F71+F72+F74+F75+F81+F84+F90+F91+F82+F92+F86</f>
        <v>759870114.25</v>
      </c>
      <c r="G61" s="74">
        <f>G63+G64+G65+G67+G69+G71+G72+G74+G75+G81+G84+G90+G91+G82+G92+G86</f>
        <v>481485658</v>
      </c>
      <c r="H61" s="74">
        <f t="shared" si="18"/>
        <v>73089630</v>
      </c>
      <c r="I61" s="74">
        <f t="shared" si="18"/>
        <v>0</v>
      </c>
      <c r="J61" s="74">
        <f t="shared" si="18"/>
        <v>107414234.47</v>
      </c>
      <c r="K61" s="74">
        <f t="shared" si="18"/>
        <v>48304148</v>
      </c>
      <c r="L61" s="74">
        <f t="shared" si="18"/>
        <v>2677494</v>
      </c>
      <c r="M61" s="74">
        <f t="shared" si="18"/>
        <v>2371330</v>
      </c>
      <c r="N61" s="74">
        <f t="shared" si="18"/>
        <v>59110086.469999999</v>
      </c>
      <c r="O61" s="74">
        <f t="shared" si="18"/>
        <v>56320078.420000002</v>
      </c>
      <c r="P61" s="74">
        <f t="shared" si="18"/>
        <v>867284348.72000003</v>
      </c>
      <c r="Q61" s="266"/>
      <c r="R61" s="157"/>
      <c r="S61" s="157"/>
      <c r="T61" s="157"/>
    </row>
    <row r="62" spans="1:20" s="109" customFormat="1" ht="18.75" customHeight="1" x14ac:dyDescent="0.2">
      <c r="A62" s="116"/>
      <c r="B62" s="117"/>
      <c r="C62" s="117"/>
      <c r="D62" s="118" t="s">
        <v>416</v>
      </c>
      <c r="E62" s="74">
        <f>E66+E68+E70+E73+E76+E87</f>
        <v>267908342.90000001</v>
      </c>
      <c r="F62" s="74">
        <f t="shared" ref="F62:P62" si="19">F66+F68+F70+F73+F76+F87</f>
        <v>267908342.90000001</v>
      </c>
      <c r="G62" s="74">
        <f t="shared" si="19"/>
        <v>213388985</v>
      </c>
      <c r="H62" s="74">
        <f t="shared" si="19"/>
        <v>0</v>
      </c>
      <c r="I62" s="74">
        <f t="shared" si="19"/>
        <v>0</v>
      </c>
      <c r="J62" s="74">
        <f t="shared" si="19"/>
        <v>20710603.829999998</v>
      </c>
      <c r="K62" s="74">
        <f t="shared" si="19"/>
        <v>0</v>
      </c>
      <c r="L62" s="74">
        <f t="shared" si="19"/>
        <v>0</v>
      </c>
      <c r="M62" s="74">
        <f t="shared" si="19"/>
        <v>0</v>
      </c>
      <c r="N62" s="74">
        <f t="shared" si="19"/>
        <v>20710603.829999998</v>
      </c>
      <c r="O62" s="74">
        <f t="shared" si="19"/>
        <v>18165095.780000001</v>
      </c>
      <c r="P62" s="74">
        <f t="shared" si="19"/>
        <v>288618946.72999996</v>
      </c>
      <c r="Q62" s="266"/>
      <c r="R62" s="152"/>
      <c r="S62" s="152"/>
      <c r="T62" s="152"/>
    </row>
    <row r="63" spans="1:20" s="4" customFormat="1" ht="45" x14ac:dyDescent="0.2">
      <c r="A63" s="75" t="s">
        <v>268</v>
      </c>
      <c r="B63" s="75" t="str">
        <f>'дод. 4'!A12</f>
        <v>0160</v>
      </c>
      <c r="C63" s="75" t="str">
        <f>'дод. 4'!B12</f>
        <v>0111</v>
      </c>
      <c r="D63" s="76" t="str">
        <f>'дод. 4'!C12</f>
        <v>Керівництво і управління у відповідній сфері у містах (місті Києві), селищах, селах, об’єднаних територіальних громадах</v>
      </c>
      <c r="E63" s="77">
        <f t="shared" ref="E63:E74" si="20">F63+I63</f>
        <v>2923203</v>
      </c>
      <c r="F63" s="77">
        <f>3102600-74400-104997</f>
        <v>2923203</v>
      </c>
      <c r="G63" s="77">
        <f>2367000-86063</f>
        <v>2280937</v>
      </c>
      <c r="H63" s="77">
        <v>38870</v>
      </c>
      <c r="I63" s="77"/>
      <c r="J63" s="77">
        <f t="shared" ref="J63:J74" si="21">K63+N63</f>
        <v>16000</v>
      </c>
      <c r="K63" s="77"/>
      <c r="L63" s="77"/>
      <c r="M63" s="77"/>
      <c r="N63" s="77">
        <v>16000</v>
      </c>
      <c r="O63" s="77">
        <v>16000</v>
      </c>
      <c r="P63" s="77">
        <f t="shared" ref="P63:P74" si="22">E63+J63</f>
        <v>2939203</v>
      </c>
      <c r="Q63" s="266"/>
      <c r="R63" s="153"/>
      <c r="S63" s="153"/>
      <c r="T63" s="153"/>
    </row>
    <row r="64" spans="1:20" s="4" customFormat="1" ht="21.75" customHeight="1" x14ac:dyDescent="0.2">
      <c r="A64" s="75" t="s">
        <v>269</v>
      </c>
      <c r="B64" s="75" t="str">
        <f>'дод. 4'!A16</f>
        <v>1010</v>
      </c>
      <c r="C64" s="75" t="str">
        <f>'дод. 4'!B16</f>
        <v>0910</v>
      </c>
      <c r="D64" s="104" t="str">
        <f>'дод. 4'!C16</f>
        <v>Надання дошкільної освіти</v>
      </c>
      <c r="E64" s="77">
        <f t="shared" si="20"/>
        <v>192197613.34999999</v>
      </c>
      <c r="F64" s="77">
        <f>190467470+5000+77300+3000+93600+100000+74105+68126+35000+135000+4883.35-700000+10715+156000+51067+5000+49000+33500+10000+1433847+85000</f>
        <v>192197613.34999999</v>
      </c>
      <c r="G64" s="77">
        <f>119291300</f>
        <v>119291300</v>
      </c>
      <c r="H64" s="77">
        <f>22031690+1339980</f>
        <v>23371670</v>
      </c>
      <c r="I64" s="77"/>
      <c r="J64" s="77">
        <f t="shared" si="21"/>
        <v>21113896.649999999</v>
      </c>
      <c r="K64" s="77">
        <f>16065511</f>
        <v>16065511</v>
      </c>
      <c r="L64" s="77"/>
      <c r="M64" s="77"/>
      <c r="N64" s="77">
        <f>3500000+20000+20000+200000+52395+47874+50000+40000+350000+15116.65+15000+8000+60000+670000</f>
        <v>5048385.6500000004</v>
      </c>
      <c r="O64" s="77">
        <f>3500000+20000+20000+200000+52395+47874+50000+40000+350000+15116.65+15000+8000+60000+670000</f>
        <v>5048385.6500000004</v>
      </c>
      <c r="P64" s="77">
        <f t="shared" si="22"/>
        <v>213311510</v>
      </c>
      <c r="Q64" s="266"/>
      <c r="R64" s="153"/>
      <c r="S64" s="153"/>
      <c r="T64" s="153"/>
    </row>
    <row r="65" spans="1:20" s="4" customFormat="1" ht="73.5" customHeight="1" x14ac:dyDescent="0.2">
      <c r="A65" s="75" t="s">
        <v>270</v>
      </c>
      <c r="B65" s="75" t="str">
        <f>'дод. 4'!A17</f>
        <v>1020</v>
      </c>
      <c r="C65" s="75" t="str">
        <f>'дод. 4'!B17</f>
        <v>0921</v>
      </c>
      <c r="D65" s="104" t="str">
        <f>'дод. 4'!C17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65" s="77">
        <f t="shared" si="20"/>
        <v>416907033.89999998</v>
      </c>
      <c r="F65" s="77">
        <f>395462520+83700+10010+2251990+48337+19400+252570+55800+62000+968652+1644142.9+138384+112200+237956-1400000+1400000+68277+120139+72200+4920+150000+184040+21000+700000+61050+3500000+66000+5478703+38810+85000+236800+150000+10000+15000+30000+18800+455000-455000+8350+4670030-48647-91100+10000</f>
        <v>416907033.89999998</v>
      </c>
      <c r="G65" s="77">
        <f>266266600+83700-15000+516085+1150000+1725000+2875000+373000-373000+2463054</f>
        <v>275064439</v>
      </c>
      <c r="H65" s="77">
        <f>34867640+1670030</f>
        <v>36537670</v>
      </c>
      <c r="I65" s="77"/>
      <c r="J65" s="77">
        <f t="shared" si="21"/>
        <v>43577036</v>
      </c>
      <c r="K65" s="77">
        <f>25377767</f>
        <v>25377767</v>
      </c>
      <c r="L65" s="77">
        <v>624000</v>
      </c>
      <c r="M65" s="77">
        <v>36920</v>
      </c>
      <c r="N65" s="77">
        <f>7400000+419705+50000+1905000+20000+30000+650000+3281280+766542+2500000+80000+77000+52000+4920+535000-120139+53000-4920+33000-61050+9900+30000+150000+41839-150000+50000+9975+26000+94690-7320+200000+48647+24200</f>
        <v>18199269</v>
      </c>
      <c r="O65" s="77">
        <f>7400000+419705+50000+1905000+20000+30000+650000+3281280+766542+2500000+80000+77000+52000+4920+535000-120139+53000-4920+33000-61050+9900+30000+150000+41839-150000+50000+9975+26000+94690-7320+200000+48647+24200</f>
        <v>18199269</v>
      </c>
      <c r="P65" s="77">
        <f t="shared" si="22"/>
        <v>460484069.89999998</v>
      </c>
      <c r="Q65" s="266"/>
      <c r="R65" s="153"/>
      <c r="S65" s="153"/>
      <c r="T65" s="153"/>
    </row>
    <row r="66" spans="1:20" s="4" customFormat="1" x14ac:dyDescent="0.2">
      <c r="A66" s="75"/>
      <c r="B66" s="87"/>
      <c r="C66" s="87"/>
      <c r="D66" s="76" t="s">
        <v>416</v>
      </c>
      <c r="E66" s="77">
        <f t="shared" si="20"/>
        <v>252059507.90000001</v>
      </c>
      <c r="F66" s="77">
        <f>244300500+83700+968652+1644142.9+5478703+38810-455000</f>
        <v>252059507.90000001</v>
      </c>
      <c r="G66" s="77">
        <f>200571200+83700-15000+516085-373000</f>
        <v>200782985</v>
      </c>
      <c r="H66" s="77"/>
      <c r="I66" s="77"/>
      <c r="J66" s="77">
        <f t="shared" si="21"/>
        <v>1416542</v>
      </c>
      <c r="K66" s="77"/>
      <c r="L66" s="77"/>
      <c r="M66" s="77"/>
      <c r="N66" s="77">
        <f>650000+766542</f>
        <v>1416542</v>
      </c>
      <c r="O66" s="77">
        <f>650000+766542</f>
        <v>1416542</v>
      </c>
      <c r="P66" s="77">
        <f t="shared" si="22"/>
        <v>253476049.90000001</v>
      </c>
      <c r="Q66" s="266"/>
      <c r="R66" s="153"/>
      <c r="S66" s="153"/>
      <c r="T66" s="153"/>
    </row>
    <row r="67" spans="1:20" s="4" customFormat="1" ht="31.5" customHeight="1" x14ac:dyDescent="0.2">
      <c r="A67" s="75" t="s">
        <v>423</v>
      </c>
      <c r="B67" s="75" t="str">
        <f>'дод. 4'!A19</f>
        <v>1030</v>
      </c>
      <c r="C67" s="75" t="str">
        <f>'дод. 4'!B19</f>
        <v>0921</v>
      </c>
      <c r="D67" s="104" t="str">
        <f>'дод. 4'!C19</f>
        <v>Надання загальної середньої освіти вечiрнiми (змінними) школами</v>
      </c>
      <c r="E67" s="77">
        <f t="shared" si="20"/>
        <v>829640</v>
      </c>
      <c r="F67" s="77">
        <f>778340+51300</f>
        <v>829640</v>
      </c>
      <c r="G67" s="77">
        <f>637000+42100</f>
        <v>679100</v>
      </c>
      <c r="H67" s="77"/>
      <c r="I67" s="77"/>
      <c r="J67" s="77">
        <f t="shared" si="21"/>
        <v>0</v>
      </c>
      <c r="K67" s="77"/>
      <c r="L67" s="77"/>
      <c r="M67" s="77"/>
      <c r="N67" s="77"/>
      <c r="O67" s="77"/>
      <c r="P67" s="77">
        <f t="shared" si="22"/>
        <v>829640</v>
      </c>
      <c r="Q67" s="266"/>
      <c r="R67" s="153"/>
      <c r="S67" s="153"/>
      <c r="T67" s="153"/>
    </row>
    <row r="68" spans="1:20" s="4" customFormat="1" ht="17.25" customHeight="1" x14ac:dyDescent="0.2">
      <c r="A68" s="75"/>
      <c r="B68" s="87"/>
      <c r="C68" s="87"/>
      <c r="D68" s="76" t="s">
        <v>416</v>
      </c>
      <c r="E68" s="77">
        <f t="shared" si="20"/>
        <v>777140</v>
      </c>
      <c r="F68" s="77">
        <v>777140</v>
      </c>
      <c r="G68" s="77">
        <v>637000</v>
      </c>
      <c r="H68" s="77"/>
      <c r="I68" s="77"/>
      <c r="J68" s="77">
        <f t="shared" si="21"/>
        <v>0</v>
      </c>
      <c r="K68" s="77"/>
      <c r="L68" s="77"/>
      <c r="M68" s="77"/>
      <c r="N68" s="77"/>
      <c r="O68" s="77"/>
      <c r="P68" s="77">
        <f t="shared" si="22"/>
        <v>777140</v>
      </c>
      <c r="Q68" s="266"/>
      <c r="R68" s="153"/>
      <c r="S68" s="153"/>
      <c r="T68" s="153"/>
    </row>
    <row r="69" spans="1:20" s="4" customFormat="1" ht="75" customHeight="1" x14ac:dyDescent="0.2">
      <c r="A69" s="75" t="s">
        <v>354</v>
      </c>
      <c r="B69" s="75" t="str">
        <f>'дод. 4'!A21</f>
        <v>1070</v>
      </c>
      <c r="C69" s="75" t="str">
        <f>'дод. 4'!B21</f>
        <v>0922</v>
      </c>
      <c r="D69" s="104" t="str">
        <f>'дод. 4'!C21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9" s="77">
        <f t="shared" si="20"/>
        <v>7751025</v>
      </c>
      <c r="F69" s="77">
        <f>7458330+7435+20000+159860+105400</f>
        <v>7751025</v>
      </c>
      <c r="G69" s="77">
        <f>5205700+127530</f>
        <v>5333230</v>
      </c>
      <c r="H69" s="77">
        <f>615230+105400</f>
        <v>720630</v>
      </c>
      <c r="I69" s="77"/>
      <c r="J69" s="77">
        <f t="shared" si="21"/>
        <v>103611</v>
      </c>
      <c r="K69" s="77"/>
      <c r="L69" s="77"/>
      <c r="M69" s="77"/>
      <c r="N69" s="77">
        <f>100000+3611</f>
        <v>103611</v>
      </c>
      <c r="O69" s="77">
        <f>100000+3611</f>
        <v>103611</v>
      </c>
      <c r="P69" s="77">
        <f t="shared" si="22"/>
        <v>7854636</v>
      </c>
      <c r="Q69" s="266">
        <v>27</v>
      </c>
      <c r="R69" s="153"/>
      <c r="S69" s="153"/>
      <c r="T69" s="153"/>
    </row>
    <row r="70" spans="1:20" s="4" customFormat="1" ht="24" customHeight="1" x14ac:dyDescent="0.2">
      <c r="A70" s="75"/>
      <c r="B70" s="87"/>
      <c r="C70" s="87"/>
      <c r="D70" s="76" t="s">
        <v>416</v>
      </c>
      <c r="E70" s="77">
        <f t="shared" si="20"/>
        <v>4964695</v>
      </c>
      <c r="F70" s="77">
        <f>4957260+7435</f>
        <v>4964695</v>
      </c>
      <c r="G70" s="77">
        <v>4070000</v>
      </c>
      <c r="H70" s="77"/>
      <c r="I70" s="77"/>
      <c r="J70" s="77">
        <f t="shared" si="21"/>
        <v>0</v>
      </c>
      <c r="K70" s="77"/>
      <c r="L70" s="77"/>
      <c r="M70" s="77"/>
      <c r="N70" s="77"/>
      <c r="O70" s="77"/>
      <c r="P70" s="77">
        <f t="shared" si="22"/>
        <v>4964695</v>
      </c>
      <c r="Q70" s="266"/>
      <c r="R70" s="153"/>
      <c r="S70" s="153"/>
      <c r="T70" s="153"/>
    </row>
    <row r="71" spans="1:20" s="4" customFormat="1" ht="45.75" customHeight="1" x14ac:dyDescent="0.2">
      <c r="A71" s="75" t="s">
        <v>355</v>
      </c>
      <c r="B71" s="75" t="str">
        <f>'дод. 4'!A23</f>
        <v>1090</v>
      </c>
      <c r="C71" s="75" t="str">
        <f>'дод. 4'!B23</f>
        <v>0960</v>
      </c>
      <c r="D71" s="104" t="str">
        <f>'дод. 4'!C23</f>
        <v xml:space="preserve">Надання позашкільної освіти позашкільними закладами освіти, заходи із позашкільної роботи з дітьми </v>
      </c>
      <c r="E71" s="77">
        <f t="shared" si="20"/>
        <v>21867359</v>
      </c>
      <c r="F71" s="77">
        <f>21531690+50000+20000+5000+10500+43489+206680</f>
        <v>21867359</v>
      </c>
      <c r="G71" s="77">
        <v>15425500</v>
      </c>
      <c r="H71" s="77">
        <f>2331620+206680</f>
        <v>2538300</v>
      </c>
      <c r="I71" s="77"/>
      <c r="J71" s="77">
        <f t="shared" si="21"/>
        <v>442298</v>
      </c>
      <c r="K71" s="77"/>
      <c r="L71" s="77"/>
      <c r="M71" s="77"/>
      <c r="N71" s="77">
        <f>400000+30000+3709+20000-11411</f>
        <v>442298</v>
      </c>
      <c r="O71" s="77">
        <f>400000+30000+3709+20000-11411</f>
        <v>442298</v>
      </c>
      <c r="P71" s="77">
        <f t="shared" si="22"/>
        <v>22309657</v>
      </c>
      <c r="Q71" s="266"/>
      <c r="R71" s="153"/>
      <c r="S71" s="153"/>
      <c r="T71" s="153"/>
    </row>
    <row r="72" spans="1:20" s="4" customFormat="1" ht="33.75" customHeight="1" x14ac:dyDescent="0.2">
      <c r="A72" s="75" t="s">
        <v>353</v>
      </c>
      <c r="B72" s="75" t="str">
        <f>'дод. 4'!A25</f>
        <v>1110</v>
      </c>
      <c r="C72" s="75" t="str">
        <f>'дод. 4'!B25</f>
        <v>0930</v>
      </c>
      <c r="D72" s="104" t="str">
        <f>'дод. 4'!C25</f>
        <v>Підготовка кадрів професійно-технічними закладами та іншими закладами освіти</v>
      </c>
      <c r="E72" s="77">
        <f t="shared" si="20"/>
        <v>94925900</v>
      </c>
      <c r="F72" s="77">
        <f>91735900+2000000+55000+179570+170430+300000+15000+100000+370000-455000+455000</f>
        <v>94925900</v>
      </c>
      <c r="G72" s="77">
        <f>52999200-373000+373000</f>
        <v>52999200</v>
      </c>
      <c r="H72" s="77">
        <v>9089100</v>
      </c>
      <c r="I72" s="77">
        <v>0</v>
      </c>
      <c r="J72" s="77">
        <f t="shared" si="21"/>
        <v>11338970</v>
      </c>
      <c r="K72" s="77">
        <v>6514270</v>
      </c>
      <c r="L72" s="77">
        <v>2053494</v>
      </c>
      <c r="M72" s="77">
        <v>2334410</v>
      </c>
      <c r="N72" s="77">
        <f>194700+2300000+2700000-370000</f>
        <v>4824700</v>
      </c>
      <c r="O72" s="77">
        <f>2300000+2700000-370000</f>
        <v>4630000</v>
      </c>
      <c r="P72" s="77">
        <f>E72+J72</f>
        <v>106264870</v>
      </c>
      <c r="Q72" s="266"/>
      <c r="R72" s="153"/>
      <c r="S72" s="153"/>
      <c r="T72" s="153"/>
    </row>
    <row r="73" spans="1:20" s="4" customFormat="1" ht="24.75" customHeight="1" x14ac:dyDescent="0.2">
      <c r="A73" s="75"/>
      <c r="B73" s="87"/>
      <c r="C73" s="87"/>
      <c r="D73" s="76" t="s">
        <v>416</v>
      </c>
      <c r="E73" s="77">
        <f t="shared" si="20"/>
        <v>10107000</v>
      </c>
      <c r="F73" s="77">
        <f>9182000+100000+370000+455000</f>
        <v>10107000</v>
      </c>
      <c r="G73" s="77">
        <f>7526000+373000</f>
        <v>7899000</v>
      </c>
      <c r="H73" s="77"/>
      <c r="I73" s="77"/>
      <c r="J73" s="77">
        <f t="shared" si="21"/>
        <v>4630000</v>
      </c>
      <c r="K73" s="77"/>
      <c r="L73" s="77"/>
      <c r="M73" s="77"/>
      <c r="N73" s="77">
        <f>2300000+2700000-370000</f>
        <v>4630000</v>
      </c>
      <c r="O73" s="77">
        <f>2300000+2700000-370000</f>
        <v>4630000</v>
      </c>
      <c r="P73" s="77">
        <f t="shared" si="22"/>
        <v>14737000</v>
      </c>
      <c r="Q73" s="266"/>
      <c r="R73" s="153"/>
      <c r="S73" s="153"/>
      <c r="T73" s="153"/>
    </row>
    <row r="74" spans="1:20" s="4" customFormat="1" ht="35.25" customHeight="1" x14ac:dyDescent="0.2">
      <c r="A74" s="75" t="s">
        <v>271</v>
      </c>
      <c r="B74" s="75" t="str">
        <f>'дод. 4'!A27</f>
        <v>1150</v>
      </c>
      <c r="C74" s="75" t="str">
        <f>'дод. 4'!B27</f>
        <v>0990</v>
      </c>
      <c r="D74" s="104" t="str">
        <f>'дод. 4'!C27</f>
        <v xml:space="preserve">Методичне забезпечення діяльності навчальних закладів  </v>
      </c>
      <c r="E74" s="77">
        <f t="shared" si="20"/>
        <v>2824007</v>
      </c>
      <c r="F74" s="77">
        <f>3118910-5000-175662-49736-84595+2000+18090</f>
        <v>2824007</v>
      </c>
      <c r="G74" s="77">
        <f>2440000-4098-144000-40800-69340</f>
        <v>2181762</v>
      </c>
      <c r="H74" s="77">
        <f>103210+18090</f>
        <v>121300</v>
      </c>
      <c r="I74" s="77"/>
      <c r="J74" s="77">
        <f t="shared" si="21"/>
        <v>13000</v>
      </c>
      <c r="K74" s="77"/>
      <c r="L74" s="77"/>
      <c r="M74" s="77"/>
      <c r="N74" s="77">
        <v>13000</v>
      </c>
      <c r="O74" s="77">
        <v>13000</v>
      </c>
      <c r="P74" s="77">
        <f t="shared" si="22"/>
        <v>2837007</v>
      </c>
      <c r="Q74" s="266"/>
      <c r="R74" s="153"/>
      <c r="S74" s="153"/>
      <c r="T74" s="153"/>
    </row>
    <row r="75" spans="1:20" s="4" customFormat="1" ht="31.5" customHeight="1" x14ac:dyDescent="0.2">
      <c r="A75" s="75" t="s">
        <v>357</v>
      </c>
      <c r="B75" s="75" t="str">
        <f>'дод. 4'!A28</f>
        <v>1160</v>
      </c>
      <c r="C75" s="75">
        <f>'дод. 4'!B28</f>
        <v>0</v>
      </c>
      <c r="D75" s="104" t="str">
        <f>'дод. 4'!C28</f>
        <v>Інші програми, заклади та заходи у сфері освіти</v>
      </c>
      <c r="E75" s="77">
        <f>E77+E79</f>
        <v>7636623</v>
      </c>
      <c r="F75" s="77">
        <f t="shared" ref="F75:P75" si="23">F77+F79</f>
        <v>7636623</v>
      </c>
      <c r="G75" s="77">
        <f t="shared" si="23"/>
        <v>5051740</v>
      </c>
      <c r="H75" s="77">
        <f t="shared" si="23"/>
        <v>460470</v>
      </c>
      <c r="I75" s="77">
        <f t="shared" si="23"/>
        <v>0</v>
      </c>
      <c r="J75" s="77">
        <f t="shared" si="23"/>
        <v>349361</v>
      </c>
      <c r="K75" s="77">
        <f t="shared" si="23"/>
        <v>0</v>
      </c>
      <c r="L75" s="77">
        <f t="shared" si="23"/>
        <v>0</v>
      </c>
      <c r="M75" s="77">
        <f t="shared" si="23"/>
        <v>0</v>
      </c>
      <c r="N75" s="77">
        <f t="shared" si="23"/>
        <v>349361</v>
      </c>
      <c r="O75" s="77">
        <f t="shared" si="23"/>
        <v>349361</v>
      </c>
      <c r="P75" s="77">
        <f t="shared" si="23"/>
        <v>7985984</v>
      </c>
      <c r="Q75" s="266"/>
      <c r="R75" s="154"/>
      <c r="S75" s="154"/>
      <c r="T75" s="154"/>
    </row>
    <row r="76" spans="1:20" s="4" customFormat="1" ht="15.75" customHeight="1" x14ac:dyDescent="0.2">
      <c r="A76" s="75"/>
      <c r="B76" s="75"/>
      <c r="C76" s="75"/>
      <c r="D76" s="76" t="s">
        <v>416</v>
      </c>
      <c r="E76" s="77">
        <f>E78</f>
        <v>0</v>
      </c>
      <c r="F76" s="77">
        <f t="shared" ref="F76:P76" si="24">F78</f>
        <v>0</v>
      </c>
      <c r="G76" s="77">
        <f t="shared" si="24"/>
        <v>0</v>
      </c>
      <c r="H76" s="77">
        <f t="shared" si="24"/>
        <v>0</v>
      </c>
      <c r="I76" s="77">
        <f t="shared" si="24"/>
        <v>0</v>
      </c>
      <c r="J76" s="77">
        <f t="shared" si="24"/>
        <v>107950</v>
      </c>
      <c r="K76" s="77">
        <f t="shared" si="24"/>
        <v>0</v>
      </c>
      <c r="L76" s="77">
        <f t="shared" si="24"/>
        <v>0</v>
      </c>
      <c r="M76" s="77">
        <f t="shared" si="24"/>
        <v>0</v>
      </c>
      <c r="N76" s="77">
        <f t="shared" si="24"/>
        <v>107950</v>
      </c>
      <c r="O76" s="77">
        <f>O78</f>
        <v>107950</v>
      </c>
      <c r="P76" s="77">
        <f t="shared" si="24"/>
        <v>107950</v>
      </c>
      <c r="Q76" s="266"/>
      <c r="R76" s="154"/>
      <c r="S76" s="154"/>
      <c r="T76" s="154"/>
    </row>
    <row r="77" spans="1:20" s="32" customFormat="1" ht="31.5" customHeight="1" x14ac:dyDescent="0.2">
      <c r="A77" s="78" t="s">
        <v>480</v>
      </c>
      <c r="B77" s="78" t="str">
        <f>'дод. 4'!A30</f>
        <v>1161</v>
      </c>
      <c r="C77" s="78" t="str">
        <f>'дод. 4'!B30</f>
        <v>0990</v>
      </c>
      <c r="D77" s="101" t="str">
        <f>'дод. 4'!C30</f>
        <v>Забезпечення діяльності інших закладів у сфері освіти</v>
      </c>
      <c r="E77" s="80">
        <f>F77+I77</f>
        <v>7560823</v>
      </c>
      <c r="F77" s="80">
        <f>6712200+5000+175662+49736+84595+68130+450000+15500</f>
        <v>7560823</v>
      </c>
      <c r="G77" s="80">
        <f>4797600+144000+40800+69340</f>
        <v>5051740</v>
      </c>
      <c r="H77" s="80">
        <v>460470</v>
      </c>
      <c r="I77" s="80"/>
      <c r="J77" s="80">
        <f>K77+N77</f>
        <v>349361</v>
      </c>
      <c r="K77" s="80"/>
      <c r="L77" s="80"/>
      <c r="M77" s="80"/>
      <c r="N77" s="80">
        <f>180000+107950+50000+11411</f>
        <v>349361</v>
      </c>
      <c r="O77" s="80">
        <f>180000+107950+50000+11411</f>
        <v>349361</v>
      </c>
      <c r="P77" s="80">
        <f>E77+J77</f>
        <v>7910184</v>
      </c>
      <c r="Q77" s="266"/>
      <c r="R77" s="155"/>
      <c r="S77" s="155"/>
      <c r="T77" s="155"/>
    </row>
    <row r="78" spans="1:20" s="32" customFormat="1" ht="18.75" customHeight="1" x14ac:dyDescent="0.2">
      <c r="A78" s="78"/>
      <c r="B78" s="78"/>
      <c r="C78" s="78"/>
      <c r="D78" s="79" t="s">
        <v>416</v>
      </c>
      <c r="E78" s="80">
        <f>F78+I78</f>
        <v>0</v>
      </c>
      <c r="F78" s="80"/>
      <c r="G78" s="80"/>
      <c r="H78" s="80"/>
      <c r="I78" s="80"/>
      <c r="J78" s="80">
        <f>K78+N78</f>
        <v>107950</v>
      </c>
      <c r="K78" s="80"/>
      <c r="L78" s="80"/>
      <c r="M78" s="80"/>
      <c r="N78" s="80">
        <v>107950</v>
      </c>
      <c r="O78" s="80">
        <v>107950</v>
      </c>
      <c r="P78" s="80">
        <f>E78+J78</f>
        <v>107950</v>
      </c>
      <c r="Q78" s="266"/>
      <c r="R78" s="155"/>
      <c r="S78" s="155"/>
      <c r="T78" s="155"/>
    </row>
    <row r="79" spans="1:20" s="32" customFormat="1" ht="20.25" customHeight="1" x14ac:dyDescent="0.2">
      <c r="A79" s="78" t="s">
        <v>481</v>
      </c>
      <c r="B79" s="78" t="str">
        <f>'дод. 4'!A32</f>
        <v>1162</v>
      </c>
      <c r="C79" s="78" t="str">
        <f>'дод. 4'!B32</f>
        <v>0990</v>
      </c>
      <c r="D79" s="101" t="str">
        <f>'дод. 4'!C32</f>
        <v>Інші програми та заходи у сфері освіти</v>
      </c>
      <c r="E79" s="80">
        <f>F79+I79</f>
        <v>75800</v>
      </c>
      <c r="F79" s="80">
        <v>75800</v>
      </c>
      <c r="G79" s="80"/>
      <c r="H79" s="80"/>
      <c r="I79" s="80"/>
      <c r="J79" s="80">
        <f>K79+N79</f>
        <v>0</v>
      </c>
      <c r="K79" s="80"/>
      <c r="L79" s="80"/>
      <c r="M79" s="80"/>
      <c r="N79" s="80"/>
      <c r="O79" s="80"/>
      <c r="P79" s="80">
        <f>E79+J79</f>
        <v>75800</v>
      </c>
      <c r="Q79" s="266"/>
      <c r="R79" s="155"/>
      <c r="S79" s="155"/>
      <c r="T79" s="155"/>
    </row>
    <row r="80" spans="1:20" s="32" customFormat="1" ht="20.25" customHeight="1" x14ac:dyDescent="0.2">
      <c r="A80" s="78"/>
      <c r="B80" s="78"/>
      <c r="C80" s="78"/>
      <c r="D80" s="82" t="s">
        <v>416</v>
      </c>
      <c r="E80" s="80">
        <f>F80+I80</f>
        <v>0</v>
      </c>
      <c r="F80" s="80"/>
      <c r="G80" s="80"/>
      <c r="H80" s="80"/>
      <c r="I80" s="80"/>
      <c r="J80" s="80">
        <f>K80+N80</f>
        <v>0</v>
      </c>
      <c r="K80" s="80"/>
      <c r="L80" s="80"/>
      <c r="M80" s="80"/>
      <c r="N80" s="80"/>
      <c r="O80" s="80"/>
      <c r="P80" s="80">
        <f>E80+J80</f>
        <v>0</v>
      </c>
      <c r="Q80" s="266"/>
      <c r="R80" s="155"/>
      <c r="S80" s="155"/>
      <c r="T80" s="155"/>
    </row>
    <row r="81" spans="1:20" s="4" customFormat="1" ht="68.25" customHeight="1" x14ac:dyDescent="0.2">
      <c r="A81" s="75" t="s">
        <v>272</v>
      </c>
      <c r="B81" s="75" t="str">
        <f>'дод. 4'!A119</f>
        <v>3140</v>
      </c>
      <c r="C81" s="75" t="str">
        <f>'дод. 4'!B119</f>
        <v>1040</v>
      </c>
      <c r="D81" s="201" t="str">
        <f>'дод. 4'!C119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81" s="77">
        <f>F81+I81</f>
        <v>6587500</v>
      </c>
      <c r="F81" s="77">
        <f>7000000-302310-110190</f>
        <v>6587500</v>
      </c>
      <c r="G81" s="77"/>
      <c r="H81" s="77"/>
      <c r="I81" s="77"/>
      <c r="J81" s="77">
        <f>K81+N81</f>
        <v>0</v>
      </c>
      <c r="K81" s="77"/>
      <c r="L81" s="77"/>
      <c r="M81" s="77"/>
      <c r="N81" s="77"/>
      <c r="O81" s="77"/>
      <c r="P81" s="77">
        <f>E81+J81</f>
        <v>6587500</v>
      </c>
      <c r="Q81" s="266"/>
      <c r="R81" s="153"/>
      <c r="S81" s="153"/>
      <c r="T81" s="153"/>
    </row>
    <row r="82" spans="1:20" s="4" customFormat="1" ht="24" customHeight="1" x14ac:dyDescent="0.2">
      <c r="A82" s="75" t="s">
        <v>578</v>
      </c>
      <c r="B82" s="75" t="str">
        <f>'дод. 4'!A140</f>
        <v>3240</v>
      </c>
      <c r="C82" s="75">
        <f>'дод. 4'!B140</f>
        <v>0</v>
      </c>
      <c r="D82" s="102" t="str">
        <f>'дод. 4'!C140</f>
        <v>Інші заклади та заходи</v>
      </c>
      <c r="E82" s="77">
        <f t="shared" ref="E82:P82" si="25">E83</f>
        <v>43440</v>
      </c>
      <c r="F82" s="77">
        <f t="shared" si="25"/>
        <v>43440</v>
      </c>
      <c r="G82" s="77">
        <f t="shared" si="25"/>
        <v>0</v>
      </c>
      <c r="H82" s="77">
        <f t="shared" si="25"/>
        <v>0</v>
      </c>
      <c r="I82" s="77">
        <f t="shared" si="25"/>
        <v>0</v>
      </c>
      <c r="J82" s="77">
        <f t="shared" si="25"/>
        <v>0</v>
      </c>
      <c r="K82" s="77">
        <f t="shared" si="25"/>
        <v>0</v>
      </c>
      <c r="L82" s="77">
        <f t="shared" si="25"/>
        <v>0</v>
      </c>
      <c r="M82" s="77">
        <f t="shared" si="25"/>
        <v>0</v>
      </c>
      <c r="N82" s="77">
        <f t="shared" si="25"/>
        <v>0</v>
      </c>
      <c r="O82" s="77">
        <f t="shared" si="25"/>
        <v>0</v>
      </c>
      <c r="P82" s="77">
        <f t="shared" si="25"/>
        <v>43440</v>
      </c>
      <c r="Q82" s="266"/>
      <c r="R82" s="158"/>
      <c r="S82" s="158"/>
      <c r="T82" s="158"/>
    </row>
    <row r="83" spans="1:20" s="110" customFormat="1" ht="36.75" customHeight="1" x14ac:dyDescent="0.2">
      <c r="A83" s="78" t="s">
        <v>579</v>
      </c>
      <c r="B83" s="78" t="str">
        <f>'дод. 4'!A142</f>
        <v>3242</v>
      </c>
      <c r="C83" s="78" t="str">
        <f>'дод. 4'!B142</f>
        <v>1090</v>
      </c>
      <c r="D83" s="101" t="str">
        <f>'дод. 4'!C142</f>
        <v>Інші заходи у сфері соціального захисту і соціального забезпечення</v>
      </c>
      <c r="E83" s="80">
        <f>F83</f>
        <v>43440</v>
      </c>
      <c r="F83" s="80">
        <v>43440</v>
      </c>
      <c r="G83" s="80"/>
      <c r="H83" s="80"/>
      <c r="I83" s="80"/>
      <c r="J83" s="80">
        <f>K83+N83</f>
        <v>0</v>
      </c>
      <c r="K83" s="80"/>
      <c r="L83" s="80"/>
      <c r="M83" s="80"/>
      <c r="N83" s="80"/>
      <c r="O83" s="80"/>
      <c r="P83" s="80">
        <f>E83+J83</f>
        <v>43440</v>
      </c>
      <c r="Q83" s="266"/>
      <c r="R83" s="159"/>
      <c r="S83" s="159"/>
      <c r="T83" s="159"/>
    </row>
    <row r="84" spans="1:20" s="4" customFormat="1" ht="25.5" customHeight="1" x14ac:dyDescent="0.2">
      <c r="A84" s="75" t="s">
        <v>273</v>
      </c>
      <c r="B84" s="75" t="str">
        <f>'дод. 4'!A153</f>
        <v>5030</v>
      </c>
      <c r="C84" s="75">
        <f>'дод. 4'!B153</f>
        <v>0</v>
      </c>
      <c r="D84" s="102" t="str">
        <f>'дод. 4'!C153</f>
        <v>Розвиток дитячо-юнацького та резервного спорту</v>
      </c>
      <c r="E84" s="77">
        <f>E85</f>
        <v>4500770</v>
      </c>
      <c r="F84" s="77">
        <f t="shared" ref="F84:P84" si="26">F85</f>
        <v>4500770</v>
      </c>
      <c r="G84" s="77">
        <f t="shared" si="26"/>
        <v>3178450</v>
      </c>
      <c r="H84" s="77">
        <f t="shared" si="26"/>
        <v>211620</v>
      </c>
      <c r="I84" s="77">
        <f t="shared" si="26"/>
        <v>0</v>
      </c>
      <c r="J84" s="77">
        <f t="shared" si="26"/>
        <v>100000</v>
      </c>
      <c r="K84" s="77">
        <f t="shared" si="26"/>
        <v>0</v>
      </c>
      <c r="L84" s="77">
        <f t="shared" si="26"/>
        <v>0</v>
      </c>
      <c r="M84" s="77">
        <f t="shared" si="26"/>
        <v>0</v>
      </c>
      <c r="N84" s="77">
        <f t="shared" si="26"/>
        <v>100000</v>
      </c>
      <c r="O84" s="77">
        <f t="shared" si="26"/>
        <v>100000</v>
      </c>
      <c r="P84" s="77">
        <f t="shared" si="26"/>
        <v>4600770</v>
      </c>
      <c r="Q84" s="266"/>
      <c r="R84" s="154"/>
      <c r="S84" s="154"/>
      <c r="T84" s="154"/>
    </row>
    <row r="85" spans="1:20" s="110" customFormat="1" ht="33" customHeight="1" x14ac:dyDescent="0.2">
      <c r="A85" s="78" t="s">
        <v>274</v>
      </c>
      <c r="B85" s="78" t="str">
        <f>'дод. 4'!A154</f>
        <v>5031</v>
      </c>
      <c r="C85" s="78" t="str">
        <f>'дод. 4'!B154</f>
        <v>0810</v>
      </c>
      <c r="D85" s="101" t="str">
        <f>'дод. 4'!C154</f>
        <v>Утримання та навчально-тренувальна робота комунальних дитячо-юнацьких спортивних шкіл</v>
      </c>
      <c r="E85" s="80">
        <f>F85+I85</f>
        <v>4500770</v>
      </c>
      <c r="F85" s="80">
        <f>4481090+123000+11740+5000-120060</f>
        <v>4500770</v>
      </c>
      <c r="G85" s="80">
        <f>3297400-118950</f>
        <v>3178450</v>
      </c>
      <c r="H85" s="80">
        <f>198080+13540</f>
        <v>211620</v>
      </c>
      <c r="I85" s="80"/>
      <c r="J85" s="80">
        <f>K85+N85</f>
        <v>100000</v>
      </c>
      <c r="K85" s="80"/>
      <c r="L85" s="80"/>
      <c r="M85" s="80"/>
      <c r="N85" s="80">
        <v>100000</v>
      </c>
      <c r="O85" s="80">
        <v>100000</v>
      </c>
      <c r="P85" s="80">
        <f>E85+J85</f>
        <v>4600770</v>
      </c>
      <c r="Q85" s="266"/>
      <c r="R85" s="155"/>
      <c r="S85" s="155"/>
      <c r="T85" s="155"/>
    </row>
    <row r="86" spans="1:20" s="4" customFormat="1" ht="33" customHeight="1" x14ac:dyDescent="0.2">
      <c r="A86" s="75" t="s">
        <v>602</v>
      </c>
      <c r="B86" s="75" t="str">
        <f>'дод. 4'!A193</f>
        <v>7360</v>
      </c>
      <c r="C86" s="75">
        <f>'дод. 4'!B193</f>
        <v>0</v>
      </c>
      <c r="D86" s="102" t="str">
        <f>'дод. 4'!C193</f>
        <v>Виконання інвестиційних проектів</v>
      </c>
      <c r="E86" s="77">
        <f>E88</f>
        <v>0</v>
      </c>
      <c r="F86" s="77">
        <f t="shared" ref="F86:O87" si="27">F88</f>
        <v>0</v>
      </c>
      <c r="G86" s="77">
        <f t="shared" si="27"/>
        <v>0</v>
      </c>
      <c r="H86" s="77">
        <f t="shared" si="27"/>
        <v>0</v>
      </c>
      <c r="I86" s="77">
        <f t="shared" si="27"/>
        <v>0</v>
      </c>
      <c r="J86" s="77">
        <f t="shared" si="27"/>
        <v>15012242.82</v>
      </c>
      <c r="K86" s="77">
        <f t="shared" si="27"/>
        <v>0</v>
      </c>
      <c r="L86" s="77">
        <f t="shared" si="27"/>
        <v>0</v>
      </c>
      <c r="M86" s="77">
        <f t="shared" si="27"/>
        <v>0</v>
      </c>
      <c r="N86" s="77">
        <f t="shared" si="27"/>
        <v>15012242.82</v>
      </c>
      <c r="O86" s="77">
        <f t="shared" si="27"/>
        <v>12466734.77</v>
      </c>
      <c r="P86" s="77">
        <f>P88</f>
        <v>15012242.82</v>
      </c>
      <c r="Q86" s="266"/>
      <c r="R86" s="153"/>
      <c r="S86" s="153"/>
      <c r="T86" s="153"/>
    </row>
    <row r="87" spans="1:20" s="4" customFormat="1" ht="24" customHeight="1" x14ac:dyDescent="0.2">
      <c r="A87" s="75"/>
      <c r="B87" s="75"/>
      <c r="C87" s="75"/>
      <c r="D87" s="82" t="s">
        <v>416</v>
      </c>
      <c r="E87" s="77">
        <f>E89</f>
        <v>0</v>
      </c>
      <c r="F87" s="77">
        <f t="shared" si="27"/>
        <v>0</v>
      </c>
      <c r="G87" s="77">
        <f t="shared" si="27"/>
        <v>0</v>
      </c>
      <c r="H87" s="77">
        <f t="shared" si="27"/>
        <v>0</v>
      </c>
      <c r="I87" s="77">
        <f t="shared" si="27"/>
        <v>0</v>
      </c>
      <c r="J87" s="77">
        <f t="shared" si="27"/>
        <v>14556111.83</v>
      </c>
      <c r="K87" s="77">
        <f t="shared" si="27"/>
        <v>0</v>
      </c>
      <c r="L87" s="77">
        <f t="shared" si="27"/>
        <v>0</v>
      </c>
      <c r="M87" s="77">
        <f t="shared" si="27"/>
        <v>0</v>
      </c>
      <c r="N87" s="77">
        <f t="shared" si="27"/>
        <v>14556111.83</v>
      </c>
      <c r="O87" s="77">
        <f t="shared" si="27"/>
        <v>12010603.779999999</v>
      </c>
      <c r="P87" s="77">
        <f>P89</f>
        <v>14556111.83</v>
      </c>
      <c r="Q87" s="266"/>
      <c r="R87" s="153"/>
      <c r="S87" s="153"/>
      <c r="T87" s="153"/>
    </row>
    <row r="88" spans="1:20" s="110" customFormat="1" ht="53.25" customHeight="1" x14ac:dyDescent="0.2">
      <c r="A88" s="78" t="s">
        <v>603</v>
      </c>
      <c r="B88" s="78" t="str">
        <f>'дод. 4'!A196</f>
        <v>7363</v>
      </c>
      <c r="C88" s="78" t="str">
        <f>'дод. 4'!B196</f>
        <v>0490</v>
      </c>
      <c r="D88" s="101" t="str">
        <f>'дод. 4'!C196</f>
        <v>Виконання інвестиційних проектів в рамках здійснення заходів щодо соціально-економічного розвитку окремих територій</v>
      </c>
      <c r="E88" s="80">
        <f>F88+I88</f>
        <v>0</v>
      </c>
      <c r="F88" s="80"/>
      <c r="G88" s="80"/>
      <c r="H88" s="80"/>
      <c r="I88" s="80"/>
      <c r="J88" s="80">
        <f>K88+N88</f>
        <v>15012242.82</v>
      </c>
      <c r="K88" s="80"/>
      <c r="L88" s="80"/>
      <c r="M88" s="80"/>
      <c r="N88" s="80">
        <f>150059.99+4265007.03+211702.2+3761+2402.6+302310+10077000</f>
        <v>15012242.82</v>
      </c>
      <c r="O88" s="80">
        <f>150059.99+1721901.58+211702.2+3761+302310+10077000</f>
        <v>12466734.77</v>
      </c>
      <c r="P88" s="80">
        <f>E88+J88</f>
        <v>15012242.82</v>
      </c>
      <c r="Q88" s="266"/>
      <c r="R88" s="155"/>
      <c r="S88" s="155"/>
      <c r="T88" s="155"/>
    </row>
    <row r="89" spans="1:20" s="110" customFormat="1" ht="25.5" customHeight="1" x14ac:dyDescent="0.2">
      <c r="A89" s="78"/>
      <c r="B89" s="78"/>
      <c r="C89" s="78"/>
      <c r="D89" s="82" t="s">
        <v>416</v>
      </c>
      <c r="E89" s="80">
        <f>F89+I89</f>
        <v>0</v>
      </c>
      <c r="F89" s="80"/>
      <c r="G89" s="80"/>
      <c r="H89" s="80"/>
      <c r="I89" s="80"/>
      <c r="J89" s="80">
        <f>K89+N89</f>
        <v>14556111.83</v>
      </c>
      <c r="K89" s="80"/>
      <c r="L89" s="80"/>
      <c r="M89" s="80"/>
      <c r="N89" s="80">
        <f>4265007.03+211702.2+2402.6+10077000</f>
        <v>14556111.83</v>
      </c>
      <c r="O89" s="80">
        <f>1721901.58+211702.2+10077000</f>
        <v>12010603.779999999</v>
      </c>
      <c r="P89" s="80">
        <f>E89+J89</f>
        <v>14556111.83</v>
      </c>
      <c r="Q89" s="266"/>
      <c r="R89" s="155"/>
      <c r="S89" s="155"/>
      <c r="T89" s="155"/>
    </row>
    <row r="90" spans="1:20" s="110" customFormat="1" ht="25.5" customHeight="1" x14ac:dyDescent="0.2">
      <c r="A90" s="81" t="s">
        <v>275</v>
      </c>
      <c r="B90" s="81" t="str">
        <f>'дод. 4'!A216</f>
        <v>7640</v>
      </c>
      <c r="C90" s="81" t="str">
        <f>'дод. 4'!B216</f>
        <v>0470</v>
      </c>
      <c r="D90" s="102" t="str">
        <f>'дод. 4'!C216</f>
        <v>Заходи з енергозбереження</v>
      </c>
      <c r="E90" s="83">
        <f>F90+I90</f>
        <v>790500</v>
      </c>
      <c r="F90" s="83">
        <v>790500</v>
      </c>
      <c r="G90" s="83"/>
      <c r="H90" s="83"/>
      <c r="I90" s="83"/>
      <c r="J90" s="83">
        <f>K90+N90</f>
        <v>12951419</v>
      </c>
      <c r="K90" s="83"/>
      <c r="L90" s="83"/>
      <c r="M90" s="83"/>
      <c r="N90" s="83">
        <f>11768000+900000+283419</f>
        <v>12951419</v>
      </c>
      <c r="O90" s="83">
        <f>11768000+900000+283419</f>
        <v>12951419</v>
      </c>
      <c r="P90" s="83">
        <f>E90+J90</f>
        <v>13741919</v>
      </c>
      <c r="Q90" s="266"/>
      <c r="R90" s="153"/>
      <c r="S90" s="153"/>
      <c r="T90" s="153"/>
    </row>
    <row r="91" spans="1:20" s="110" customFormat="1" ht="27" customHeight="1" x14ac:dyDescent="0.2">
      <c r="A91" s="81" t="s">
        <v>276</v>
      </c>
      <c r="B91" s="81" t="str">
        <f>'дод. 4'!A232</f>
        <v>8340</v>
      </c>
      <c r="C91" s="81" t="str">
        <f>'дод. 4'!B232</f>
        <v>0540</v>
      </c>
      <c r="D91" s="102" t="str">
        <f>'дод. 4'!C232</f>
        <v>Природоохоронні заходи за рахунок цільових фондів</v>
      </c>
      <c r="E91" s="83">
        <f>F91+I91</f>
        <v>0</v>
      </c>
      <c r="F91" s="83"/>
      <c r="G91" s="83"/>
      <c r="H91" s="83"/>
      <c r="I91" s="83"/>
      <c r="J91" s="83">
        <f>K91+N91</f>
        <v>396400</v>
      </c>
      <c r="K91" s="83">
        <f>338000+11400-2800</f>
        <v>346600</v>
      </c>
      <c r="L91" s="83"/>
      <c r="M91" s="83"/>
      <c r="N91" s="83">
        <f>47000+2800</f>
        <v>49800</v>
      </c>
      <c r="O91" s="83"/>
      <c r="P91" s="83">
        <f>E91+J91</f>
        <v>396400</v>
      </c>
      <c r="Q91" s="266"/>
      <c r="R91" s="153"/>
      <c r="S91" s="153"/>
      <c r="T91" s="153"/>
    </row>
    <row r="92" spans="1:20" s="110" customFormat="1" ht="52.5" customHeight="1" x14ac:dyDescent="0.2">
      <c r="A92" s="81" t="s">
        <v>593</v>
      </c>
      <c r="B92" s="81" t="str">
        <f>'дод. 4'!A248</f>
        <v>9800</v>
      </c>
      <c r="C92" s="81" t="str">
        <f>'дод. 4'!B248</f>
        <v>0180</v>
      </c>
      <c r="D92" s="201" t="str">
        <f>'дод. 4'!C248</f>
        <v xml:space="preserve">Субвенція з місцевого бюджету державному бюджету на виконання програм соціально-економічного розвитку регіонів </v>
      </c>
      <c r="E92" s="83">
        <f>F92+I92</f>
        <v>85500</v>
      </c>
      <c r="F92" s="83">
        <v>85500</v>
      </c>
      <c r="G92" s="83"/>
      <c r="H92" s="83"/>
      <c r="I92" s="83"/>
      <c r="J92" s="83">
        <f>K92+N92</f>
        <v>2000000</v>
      </c>
      <c r="K92" s="83"/>
      <c r="L92" s="83"/>
      <c r="M92" s="83"/>
      <c r="N92" s="83">
        <v>2000000</v>
      </c>
      <c r="O92" s="83">
        <v>2000000</v>
      </c>
      <c r="P92" s="83">
        <f>E92+J92</f>
        <v>2085500</v>
      </c>
      <c r="Q92" s="266"/>
      <c r="R92" s="153"/>
      <c r="S92" s="153"/>
      <c r="T92" s="153"/>
    </row>
    <row r="93" spans="1:20" s="107" customFormat="1" ht="21" customHeight="1" x14ac:dyDescent="0.2">
      <c r="A93" s="106" t="s">
        <v>277</v>
      </c>
      <c r="B93" s="36"/>
      <c r="C93" s="36"/>
      <c r="D93" s="35" t="s">
        <v>51</v>
      </c>
      <c r="E93" s="46">
        <f>E94</f>
        <v>352632729</v>
      </c>
      <c r="F93" s="46">
        <f t="shared" ref="F93:P93" si="28">F94</f>
        <v>352632729</v>
      </c>
      <c r="G93" s="46">
        <f t="shared" si="28"/>
        <v>1219700</v>
      </c>
      <c r="H93" s="46">
        <f t="shared" si="28"/>
        <v>32845</v>
      </c>
      <c r="I93" s="46">
        <f t="shared" si="28"/>
        <v>0</v>
      </c>
      <c r="J93" s="46">
        <f t="shared" si="28"/>
        <v>63616117.600000001</v>
      </c>
      <c r="K93" s="46">
        <f t="shared" si="28"/>
        <v>17005749</v>
      </c>
      <c r="L93" s="46">
        <f t="shared" si="28"/>
        <v>0</v>
      </c>
      <c r="M93" s="46">
        <f t="shared" si="28"/>
        <v>0</v>
      </c>
      <c r="N93" s="46">
        <f t="shared" si="28"/>
        <v>46610368.600000001</v>
      </c>
      <c r="O93" s="46">
        <f t="shared" si="28"/>
        <v>46610368.600000001</v>
      </c>
      <c r="P93" s="46">
        <f t="shared" si="28"/>
        <v>416248846.60000002</v>
      </c>
      <c r="Q93" s="266"/>
      <c r="R93" s="151"/>
      <c r="S93" s="151"/>
      <c r="T93" s="151"/>
    </row>
    <row r="94" spans="1:20" s="109" customFormat="1" ht="18.75" customHeight="1" x14ac:dyDescent="0.2">
      <c r="A94" s="108" t="s">
        <v>278</v>
      </c>
      <c r="B94" s="119"/>
      <c r="C94" s="119"/>
      <c r="D94" s="118" t="s">
        <v>51</v>
      </c>
      <c r="E94" s="74">
        <f>E96+E97+E99+E101+E103+E105+E111+E117+E127+E123+E129+E128</f>
        <v>352632729</v>
      </c>
      <c r="F94" s="74">
        <f t="shared" ref="F94:P94" si="29">F96+F97+F99+F101+F103+F105+F111+F117+F127+F123+F129+F128</f>
        <v>352632729</v>
      </c>
      <c r="G94" s="74">
        <f t="shared" si="29"/>
        <v>1219700</v>
      </c>
      <c r="H94" s="74">
        <f>H96+H97+H99+H101+H103+H105+H111+H117+H127+H123+H129+H128</f>
        <v>32845</v>
      </c>
      <c r="I94" s="74">
        <f t="shared" si="29"/>
        <v>0</v>
      </c>
      <c r="J94" s="74">
        <f t="shared" si="29"/>
        <v>63616117.600000001</v>
      </c>
      <c r="K94" s="74">
        <f t="shared" si="29"/>
        <v>17005749</v>
      </c>
      <c r="L94" s="74">
        <f t="shared" si="29"/>
        <v>0</v>
      </c>
      <c r="M94" s="74">
        <f t="shared" si="29"/>
        <v>0</v>
      </c>
      <c r="N94" s="74">
        <f t="shared" si="29"/>
        <v>46610368.600000001</v>
      </c>
      <c r="O94" s="74">
        <f t="shared" si="29"/>
        <v>46610368.600000001</v>
      </c>
      <c r="P94" s="74">
        <f t="shared" si="29"/>
        <v>416248846.60000002</v>
      </c>
      <c r="Q94" s="266"/>
      <c r="R94" s="160"/>
      <c r="S94" s="160"/>
      <c r="T94" s="160"/>
    </row>
    <row r="95" spans="1:20" s="109" customFormat="1" ht="18.75" customHeight="1" x14ac:dyDescent="0.2">
      <c r="A95" s="108"/>
      <c r="B95" s="119"/>
      <c r="C95" s="119"/>
      <c r="D95" s="118" t="s">
        <v>416</v>
      </c>
      <c r="E95" s="74">
        <f>E98+E100+E102+E104+E106+E112+E118+E124</f>
        <v>257802270</v>
      </c>
      <c r="F95" s="74">
        <f t="shared" ref="F95:P95" si="30">F98+F100+F102+F104+F106+F112+F118+F124</f>
        <v>257802270</v>
      </c>
      <c r="G95" s="74">
        <f t="shared" si="30"/>
        <v>0</v>
      </c>
      <c r="H95" s="74">
        <f t="shared" si="30"/>
        <v>0</v>
      </c>
      <c r="I95" s="74">
        <f t="shared" si="30"/>
        <v>0</v>
      </c>
      <c r="J95" s="74">
        <f t="shared" si="30"/>
        <v>4529964.66</v>
      </c>
      <c r="K95" s="74">
        <f t="shared" si="30"/>
        <v>0</v>
      </c>
      <c r="L95" s="74">
        <f t="shared" si="30"/>
        <v>0</v>
      </c>
      <c r="M95" s="74">
        <f t="shared" si="30"/>
        <v>0</v>
      </c>
      <c r="N95" s="74">
        <f t="shared" si="30"/>
        <v>4529964.66</v>
      </c>
      <c r="O95" s="74">
        <f t="shared" si="30"/>
        <v>4529964.66</v>
      </c>
      <c r="P95" s="74">
        <f t="shared" si="30"/>
        <v>262332234.66</v>
      </c>
      <c r="Q95" s="266"/>
      <c r="R95" s="152"/>
      <c r="S95" s="152"/>
      <c r="T95" s="152"/>
    </row>
    <row r="96" spans="1:20" s="4" customFormat="1" ht="45" x14ac:dyDescent="0.2">
      <c r="A96" s="75" t="s">
        <v>279</v>
      </c>
      <c r="B96" s="75" t="str">
        <f>'дод. 4'!A12</f>
        <v>0160</v>
      </c>
      <c r="C96" s="75" t="str">
        <f>'дод. 4'!B12</f>
        <v>0111</v>
      </c>
      <c r="D96" s="76" t="str">
        <f>'дод. 4'!C12</f>
        <v>Керівництво і управління у відповідній сфері у містах (місті Києві), селищах, селах, об’єднаних територіальних громадах</v>
      </c>
      <c r="E96" s="77">
        <f t="shared" ref="E96:E104" si="31">F96+I96</f>
        <v>1591445</v>
      </c>
      <c r="F96" s="77">
        <f>1600900-28800+10000+9345</f>
        <v>1591445</v>
      </c>
      <c r="G96" s="77">
        <v>1219700</v>
      </c>
      <c r="H96" s="77">
        <f>23500+9345</f>
        <v>32845</v>
      </c>
      <c r="I96" s="77"/>
      <c r="J96" s="77">
        <f t="shared" ref="J96:J104" si="32">K96+N96</f>
        <v>0</v>
      </c>
      <c r="K96" s="77"/>
      <c r="L96" s="77"/>
      <c r="M96" s="77"/>
      <c r="N96" s="77">
        <f>20500-20500</f>
        <v>0</v>
      </c>
      <c r="O96" s="77">
        <f>20500-20500</f>
        <v>0</v>
      </c>
      <c r="P96" s="77">
        <f t="shared" ref="P96:P104" si="33">E96+J96</f>
        <v>1591445</v>
      </c>
      <c r="Q96" s="266"/>
      <c r="R96" s="153"/>
      <c r="S96" s="153"/>
      <c r="T96" s="153"/>
    </row>
    <row r="97" spans="1:20" s="4" customFormat="1" ht="31.5" customHeight="1" x14ac:dyDescent="0.2">
      <c r="A97" s="75" t="s">
        <v>280</v>
      </c>
      <c r="B97" s="75" t="str">
        <f>'дод. 4'!A35</f>
        <v>2010</v>
      </c>
      <c r="C97" s="75" t="str">
        <f>'дод. 4'!B35</f>
        <v>0731</v>
      </c>
      <c r="D97" s="104" t="str">
        <f>'дод. 4'!C35</f>
        <v>Багатопрофільна стаціонарна медична допомога населенню</v>
      </c>
      <c r="E97" s="77">
        <f t="shared" si="31"/>
        <v>231448871</v>
      </c>
      <c r="F97" s="77">
        <f>227372854+900000+130790+60000+5000-1161400+1161400+19000-400000+35000+70000+10000+108000+1098309+200000-915000+366000+15000+15000+76000-609280+2592198+300000</f>
        <v>231448871</v>
      </c>
      <c r="G97" s="77"/>
      <c r="H97" s="77"/>
      <c r="I97" s="77"/>
      <c r="J97" s="77">
        <f t="shared" si="32"/>
        <v>39809769</v>
      </c>
      <c r="K97" s="77">
        <f>11318360</f>
        <v>11318360</v>
      </c>
      <c r="L97" s="77"/>
      <c r="M97" s="77"/>
      <c r="N97" s="77">
        <f>20000000+350000+5500000+15000+7000+160000+1302000+214800+12000+181429+15000+950000+144000-264000+15000-95820-15000</f>
        <v>28491409</v>
      </c>
      <c r="O97" s="77">
        <f>20000000+350000+5500000+15000+7000+160000+1302000+214800+12000+181429+15000+950000+144000-264000+15000-95820-15000</f>
        <v>28491409</v>
      </c>
      <c r="P97" s="77">
        <f t="shared" si="33"/>
        <v>271258640</v>
      </c>
      <c r="Q97" s="266"/>
      <c r="R97" s="153"/>
      <c r="S97" s="153"/>
      <c r="T97" s="153"/>
    </row>
    <row r="98" spans="1:20" s="4" customFormat="1" ht="22.5" customHeight="1" x14ac:dyDescent="0.2">
      <c r="A98" s="75"/>
      <c r="B98" s="87"/>
      <c r="C98" s="87"/>
      <c r="D98" s="76" t="s">
        <v>416</v>
      </c>
      <c r="E98" s="77">
        <f t="shared" si="31"/>
        <v>155879126</v>
      </c>
      <c r="F98" s="77">
        <f>156832009-1161400+102963+1020554-915000</f>
        <v>155879126</v>
      </c>
      <c r="G98" s="74"/>
      <c r="H98" s="77"/>
      <c r="I98" s="77"/>
      <c r="J98" s="77">
        <f t="shared" si="32"/>
        <v>0</v>
      </c>
      <c r="K98" s="77"/>
      <c r="L98" s="77"/>
      <c r="M98" s="77"/>
      <c r="N98" s="77"/>
      <c r="O98" s="77"/>
      <c r="P98" s="77">
        <f t="shared" si="33"/>
        <v>155879126</v>
      </c>
      <c r="Q98" s="266"/>
      <c r="R98" s="153"/>
      <c r="S98" s="153"/>
      <c r="T98" s="153"/>
    </row>
    <row r="99" spans="1:20" s="4" customFormat="1" ht="36.75" customHeight="1" x14ac:dyDescent="0.2">
      <c r="A99" s="75" t="s">
        <v>289</v>
      </c>
      <c r="B99" s="75" t="str">
        <f>'дод. 4'!A37</f>
        <v>2030</v>
      </c>
      <c r="C99" s="75" t="str">
        <f>'дод. 4'!B37</f>
        <v>0733</v>
      </c>
      <c r="D99" s="104" t="str">
        <f>'дод. 4'!C37</f>
        <v>Лікарсько-акушерська допомога вагітним, породіллям та новонародженим</v>
      </c>
      <c r="E99" s="77">
        <f t="shared" si="31"/>
        <v>33901542</v>
      </c>
      <c r="F99" s="77">
        <f>34553891+25935+50000+30000+115000+148191-361100-115000-122000-268400-300000+145025</f>
        <v>33901542</v>
      </c>
      <c r="G99" s="77"/>
      <c r="H99" s="77"/>
      <c r="I99" s="77"/>
      <c r="J99" s="77">
        <f t="shared" si="32"/>
        <v>157300</v>
      </c>
      <c r="K99" s="77">
        <v>27300</v>
      </c>
      <c r="L99" s="77"/>
      <c r="M99" s="77"/>
      <c r="N99" s="77">
        <f>15000+115000</f>
        <v>130000</v>
      </c>
      <c r="O99" s="77">
        <f>15000+115000</f>
        <v>130000</v>
      </c>
      <c r="P99" s="77">
        <f t="shared" si="33"/>
        <v>34058842</v>
      </c>
      <c r="Q99" s="266"/>
      <c r="R99" s="153"/>
      <c r="S99" s="153"/>
      <c r="T99" s="153"/>
    </row>
    <row r="100" spans="1:20" s="4" customFormat="1" ht="19.5" customHeight="1" x14ac:dyDescent="0.2">
      <c r="A100" s="75"/>
      <c r="B100" s="87"/>
      <c r="C100" s="87"/>
      <c r="D100" s="76" t="s">
        <v>416</v>
      </c>
      <c r="E100" s="77">
        <f t="shared" si="31"/>
        <v>24253709</v>
      </c>
      <c r="F100" s="77">
        <f>24119993+133716</f>
        <v>24253709</v>
      </c>
      <c r="G100" s="77"/>
      <c r="H100" s="77"/>
      <c r="I100" s="77"/>
      <c r="J100" s="77">
        <f t="shared" si="32"/>
        <v>0</v>
      </c>
      <c r="K100" s="77"/>
      <c r="L100" s="77"/>
      <c r="M100" s="77"/>
      <c r="N100" s="77"/>
      <c r="O100" s="77"/>
      <c r="P100" s="77">
        <f t="shared" si="33"/>
        <v>24253709</v>
      </c>
      <c r="Q100" s="266"/>
      <c r="R100" s="153"/>
      <c r="S100" s="153"/>
      <c r="T100" s="153"/>
    </row>
    <row r="101" spans="1:20" s="4" customFormat="1" ht="33.75" customHeight="1" x14ac:dyDescent="0.2">
      <c r="A101" s="85" t="s">
        <v>288</v>
      </c>
      <c r="B101" s="85" t="str">
        <f>'дод. 4'!A39</f>
        <v>2080</v>
      </c>
      <c r="C101" s="85" t="str">
        <f>'дод. 4'!B39</f>
        <v>0721</v>
      </c>
      <c r="D101" s="103" t="str">
        <f>'дод. 4'!C39</f>
        <v>Амбулаторно-поліклінічна допомога населенню, крім первинної медичної допомоги</v>
      </c>
      <c r="E101" s="77">
        <f t="shared" si="31"/>
        <v>1021389</v>
      </c>
      <c r="F101" s="77">
        <f>1039928+19000-37539</f>
        <v>1021389</v>
      </c>
      <c r="G101" s="77"/>
      <c r="H101" s="77"/>
      <c r="I101" s="77"/>
      <c r="J101" s="77">
        <f t="shared" si="32"/>
        <v>412100</v>
      </c>
      <c r="K101" s="77">
        <v>412100</v>
      </c>
      <c r="L101" s="77"/>
      <c r="M101" s="77"/>
      <c r="N101" s="77"/>
      <c r="O101" s="77"/>
      <c r="P101" s="77">
        <f>E101+J101</f>
        <v>1433489</v>
      </c>
      <c r="Q101" s="266"/>
      <c r="R101" s="153"/>
      <c r="S101" s="153"/>
      <c r="T101" s="153"/>
    </row>
    <row r="102" spans="1:20" s="4" customFormat="1" ht="22.5" customHeight="1" x14ac:dyDescent="0.2">
      <c r="A102" s="85"/>
      <c r="B102" s="100"/>
      <c r="C102" s="100"/>
      <c r="D102" s="76" t="s">
        <v>416</v>
      </c>
      <c r="E102" s="77">
        <f t="shared" si="31"/>
        <v>925907</v>
      </c>
      <c r="F102" s="77">
        <v>925907</v>
      </c>
      <c r="G102" s="77"/>
      <c r="H102" s="77"/>
      <c r="I102" s="77"/>
      <c r="J102" s="77">
        <f t="shared" si="32"/>
        <v>0</v>
      </c>
      <c r="K102" s="77"/>
      <c r="L102" s="77"/>
      <c r="M102" s="77"/>
      <c r="N102" s="77"/>
      <c r="O102" s="77"/>
      <c r="P102" s="77">
        <f t="shared" si="33"/>
        <v>925907</v>
      </c>
      <c r="Q102" s="266"/>
      <c r="R102" s="153"/>
      <c r="S102" s="153"/>
      <c r="T102" s="153"/>
    </row>
    <row r="103" spans="1:20" s="4" customFormat="1" ht="24" customHeight="1" x14ac:dyDescent="0.2">
      <c r="A103" s="75" t="s">
        <v>287</v>
      </c>
      <c r="B103" s="75" t="str">
        <f>'дод. 4'!A41</f>
        <v>2100</v>
      </c>
      <c r="C103" s="75" t="str">
        <f>'дод. 4'!B41</f>
        <v>0722</v>
      </c>
      <c r="D103" s="104" t="str">
        <f>'дод. 4'!C41</f>
        <v>Стоматологічна допомога населенню</v>
      </c>
      <c r="E103" s="77">
        <f t="shared" si="31"/>
        <v>6400304</v>
      </c>
      <c r="F103" s="77">
        <f>5454842+915000+30462</f>
        <v>6400304</v>
      </c>
      <c r="G103" s="77"/>
      <c r="H103" s="77"/>
      <c r="I103" s="77"/>
      <c r="J103" s="77">
        <f t="shared" si="32"/>
        <v>5058989</v>
      </c>
      <c r="K103" s="77">
        <v>5058989</v>
      </c>
      <c r="L103" s="77"/>
      <c r="M103" s="77"/>
      <c r="N103" s="77"/>
      <c r="O103" s="77"/>
      <c r="P103" s="77">
        <f t="shared" si="33"/>
        <v>11459293</v>
      </c>
      <c r="Q103" s="266"/>
      <c r="R103" s="153"/>
      <c r="S103" s="153"/>
      <c r="T103" s="153"/>
    </row>
    <row r="104" spans="1:20" s="4" customFormat="1" ht="24.75" customHeight="1" x14ac:dyDescent="0.2">
      <c r="A104" s="75"/>
      <c r="B104" s="87"/>
      <c r="C104" s="87"/>
      <c r="D104" s="76" t="s">
        <v>416</v>
      </c>
      <c r="E104" s="77">
        <f t="shared" si="31"/>
        <v>5240025</v>
      </c>
      <c r="F104" s="77">
        <f>4325025+915000</f>
        <v>5240025</v>
      </c>
      <c r="G104" s="77"/>
      <c r="H104" s="77"/>
      <c r="I104" s="77"/>
      <c r="J104" s="77">
        <f t="shared" si="32"/>
        <v>0</v>
      </c>
      <c r="K104" s="77"/>
      <c r="L104" s="77"/>
      <c r="M104" s="77"/>
      <c r="N104" s="77"/>
      <c r="O104" s="77"/>
      <c r="P104" s="77">
        <f t="shared" si="33"/>
        <v>5240025</v>
      </c>
      <c r="Q104" s="266">
        <v>28</v>
      </c>
      <c r="R104" s="153"/>
      <c r="S104" s="153"/>
      <c r="T104" s="153"/>
    </row>
    <row r="105" spans="1:20" s="4" customFormat="1" ht="24.75" customHeight="1" x14ac:dyDescent="0.2">
      <c r="A105" s="75" t="s">
        <v>286</v>
      </c>
      <c r="B105" s="75" t="str">
        <f>'дод. 4'!A43</f>
        <v>2110</v>
      </c>
      <c r="C105" s="75">
        <f>'дод. 4'!B43</f>
        <v>0</v>
      </c>
      <c r="D105" s="104" t="str">
        <f>'дод. 4'!C43</f>
        <v>Первинна медична допомога населенню</v>
      </c>
      <c r="E105" s="77">
        <f>E107+E109</f>
        <v>56441730</v>
      </c>
      <c r="F105" s="77">
        <f t="shared" ref="F105:P105" si="34">F107+F109</f>
        <v>56441730</v>
      </c>
      <c r="G105" s="77">
        <f t="shared" si="34"/>
        <v>0</v>
      </c>
      <c r="H105" s="77">
        <f t="shared" si="34"/>
        <v>0</v>
      </c>
      <c r="I105" s="77">
        <f t="shared" si="34"/>
        <v>0</v>
      </c>
      <c r="J105" s="77">
        <f t="shared" si="34"/>
        <v>236600</v>
      </c>
      <c r="K105" s="77">
        <f t="shared" si="34"/>
        <v>167000</v>
      </c>
      <c r="L105" s="77">
        <f t="shared" si="34"/>
        <v>0</v>
      </c>
      <c r="M105" s="77">
        <f t="shared" si="34"/>
        <v>0</v>
      </c>
      <c r="N105" s="77">
        <f t="shared" si="34"/>
        <v>69600</v>
      </c>
      <c r="O105" s="77">
        <f t="shared" si="34"/>
        <v>69600</v>
      </c>
      <c r="P105" s="77">
        <f t="shared" si="34"/>
        <v>56678330</v>
      </c>
      <c r="Q105" s="266"/>
      <c r="R105" s="154"/>
      <c r="S105" s="154"/>
      <c r="T105" s="154"/>
    </row>
    <row r="106" spans="1:20" s="4" customFormat="1" ht="24.75" customHeight="1" x14ac:dyDescent="0.2">
      <c r="A106" s="75"/>
      <c r="B106" s="87"/>
      <c r="C106" s="87"/>
      <c r="D106" s="76" t="s">
        <v>416</v>
      </c>
      <c r="E106" s="77">
        <f>E108+E110</f>
        <v>53666300</v>
      </c>
      <c r="F106" s="77">
        <f t="shared" ref="F106:P106" si="35">F108+F110</f>
        <v>53666300</v>
      </c>
      <c r="G106" s="77"/>
      <c r="H106" s="77">
        <f t="shared" si="35"/>
        <v>0</v>
      </c>
      <c r="I106" s="77">
        <f t="shared" si="35"/>
        <v>0</v>
      </c>
      <c r="J106" s="77">
        <f t="shared" si="35"/>
        <v>0</v>
      </c>
      <c r="K106" s="77">
        <f t="shared" si="35"/>
        <v>0</v>
      </c>
      <c r="L106" s="77">
        <f t="shared" si="35"/>
        <v>0</v>
      </c>
      <c r="M106" s="77">
        <f t="shared" si="35"/>
        <v>0</v>
      </c>
      <c r="N106" s="77">
        <f t="shared" si="35"/>
        <v>0</v>
      </c>
      <c r="O106" s="77">
        <f t="shared" si="35"/>
        <v>0</v>
      </c>
      <c r="P106" s="77">
        <f t="shared" si="35"/>
        <v>53666300</v>
      </c>
      <c r="Q106" s="266"/>
      <c r="R106" s="154"/>
      <c r="S106" s="154"/>
      <c r="T106" s="154"/>
    </row>
    <row r="107" spans="1:20" s="110" customFormat="1" ht="45" customHeight="1" x14ac:dyDescent="0.2">
      <c r="A107" s="78" t="s">
        <v>285</v>
      </c>
      <c r="B107" s="78" t="str">
        <f>'дод. 4'!A45</f>
        <v>2111</v>
      </c>
      <c r="C107" s="78" t="str">
        <f>'дод. 4'!B45</f>
        <v>0726</v>
      </c>
      <c r="D107" s="101" t="str">
        <f>'дод. 4'!C45</f>
        <v>Первинна медична допомога населенню, що надається центрами первинної медичної (медико-санітарної) допомоги</v>
      </c>
      <c r="E107" s="80">
        <f>F107+I107</f>
        <v>24981188</v>
      </c>
      <c r="F107" s="80">
        <f>8672485+65000+361100+13920-97600+55000+5000+15090731+646819+168733</f>
        <v>24981188</v>
      </c>
      <c r="G107" s="80"/>
      <c r="H107" s="80"/>
      <c r="I107" s="80"/>
      <c r="J107" s="80">
        <f>K107+N107</f>
        <v>202000</v>
      </c>
      <c r="K107" s="80">
        <v>167000</v>
      </c>
      <c r="L107" s="80"/>
      <c r="M107" s="80"/>
      <c r="N107" s="80">
        <v>35000</v>
      </c>
      <c r="O107" s="80">
        <v>35000</v>
      </c>
      <c r="P107" s="80">
        <f>E107+J107</f>
        <v>25183188</v>
      </c>
      <c r="Q107" s="266"/>
      <c r="R107" s="155"/>
      <c r="S107" s="155"/>
      <c r="T107" s="155"/>
    </row>
    <row r="108" spans="1:20" s="110" customFormat="1" ht="24" customHeight="1" x14ac:dyDescent="0.2">
      <c r="A108" s="78"/>
      <c r="B108" s="88"/>
      <c r="C108" s="88"/>
      <c r="D108" s="79" t="s">
        <v>416</v>
      </c>
      <c r="E108" s="80">
        <f>F108+I108</f>
        <v>23220330</v>
      </c>
      <c r="F108" s="80">
        <f>7871679+257920+15090731</f>
        <v>23220330</v>
      </c>
      <c r="G108" s="80"/>
      <c r="H108" s="80"/>
      <c r="I108" s="80"/>
      <c r="J108" s="80">
        <f t="shared" ref="J108:J129" si="36">K108+N108</f>
        <v>0</v>
      </c>
      <c r="K108" s="80"/>
      <c r="L108" s="80"/>
      <c r="M108" s="80"/>
      <c r="N108" s="80"/>
      <c r="O108" s="80"/>
      <c r="P108" s="80">
        <f>E108+J108</f>
        <v>23220330</v>
      </c>
      <c r="Q108" s="266"/>
      <c r="R108" s="155"/>
      <c r="S108" s="155"/>
      <c r="T108" s="155"/>
    </row>
    <row r="109" spans="1:20" s="110" customFormat="1" ht="45" x14ac:dyDescent="0.2">
      <c r="A109" s="78" t="s">
        <v>583</v>
      </c>
      <c r="B109" s="78" t="str">
        <f>'дод. 4'!A47</f>
        <v>2113</v>
      </c>
      <c r="C109" s="78" t="str">
        <f>'дод. 4'!B47</f>
        <v>0721</v>
      </c>
      <c r="D109" s="101" t="str">
        <f>'дод. 4'!C47</f>
        <v>Первинна медична допомога населенню, що надається амбулаторно-поліклінічними закладами (відділеннями)</v>
      </c>
      <c r="E109" s="80">
        <f>F109+I109</f>
        <v>31460542</v>
      </c>
      <c r="F109" s="80">
        <f>27905821+20000+335000+5772+3800+372080+20000+2798069</f>
        <v>31460542</v>
      </c>
      <c r="G109" s="80"/>
      <c r="H109" s="80"/>
      <c r="I109" s="80"/>
      <c r="J109" s="80">
        <f>K109+N109</f>
        <v>34600</v>
      </c>
      <c r="K109" s="80"/>
      <c r="L109" s="80"/>
      <c r="M109" s="80"/>
      <c r="N109" s="80">
        <f>22600+12000+20000-20000</f>
        <v>34600</v>
      </c>
      <c r="O109" s="80">
        <f>22600+12000+20000-20000</f>
        <v>34600</v>
      </c>
      <c r="P109" s="80">
        <f>E109+J109</f>
        <v>31495142</v>
      </c>
      <c r="Q109" s="266"/>
      <c r="R109" s="155"/>
      <c r="S109" s="155"/>
      <c r="T109" s="155"/>
    </row>
    <row r="110" spans="1:20" s="110" customFormat="1" x14ac:dyDescent="0.2">
      <c r="A110" s="78"/>
      <c r="B110" s="88"/>
      <c r="C110" s="88"/>
      <c r="D110" s="79" t="s">
        <v>416</v>
      </c>
      <c r="E110" s="80">
        <f>F110+I110</f>
        <v>30445970</v>
      </c>
      <c r="F110" s="80">
        <f>27905821-257920+2798069</f>
        <v>30445970</v>
      </c>
      <c r="G110" s="80"/>
      <c r="H110" s="80"/>
      <c r="I110" s="80"/>
      <c r="J110" s="80">
        <f>K110+N110</f>
        <v>0</v>
      </c>
      <c r="K110" s="80"/>
      <c r="L110" s="80"/>
      <c r="M110" s="80"/>
      <c r="N110" s="80"/>
      <c r="O110" s="80"/>
      <c r="P110" s="80">
        <f>E110+J110</f>
        <v>30445970</v>
      </c>
      <c r="Q110" s="266"/>
      <c r="R110" s="155"/>
      <c r="S110" s="155"/>
      <c r="T110" s="155"/>
    </row>
    <row r="111" spans="1:20" s="4" customFormat="1" ht="30" customHeight="1" x14ac:dyDescent="0.2">
      <c r="A111" s="81" t="s">
        <v>284</v>
      </c>
      <c r="B111" s="86">
        <f>'дод. 4'!A49</f>
        <v>2140</v>
      </c>
      <c r="C111" s="86">
        <f>'дод. 4'!B49</f>
        <v>0</v>
      </c>
      <c r="D111" s="135" t="str">
        <f>'дод. 4'!C49</f>
        <v>Програми і централізовані заходи у галузі охорони здоров’я</v>
      </c>
      <c r="E111" s="83">
        <f t="shared" ref="E111:P111" si="37">E113+E115</f>
        <v>14043000</v>
      </c>
      <c r="F111" s="83">
        <f t="shared" si="37"/>
        <v>14043000</v>
      </c>
      <c r="G111" s="83">
        <f t="shared" si="37"/>
        <v>0</v>
      </c>
      <c r="H111" s="83">
        <f t="shared" si="37"/>
        <v>0</v>
      </c>
      <c r="I111" s="83">
        <f t="shared" si="37"/>
        <v>0</v>
      </c>
      <c r="J111" s="83">
        <f t="shared" si="37"/>
        <v>0</v>
      </c>
      <c r="K111" s="83">
        <f t="shared" si="37"/>
        <v>0</v>
      </c>
      <c r="L111" s="83">
        <f t="shared" si="37"/>
        <v>0</v>
      </c>
      <c r="M111" s="83">
        <f t="shared" si="37"/>
        <v>0</v>
      </c>
      <c r="N111" s="83">
        <f t="shared" si="37"/>
        <v>0</v>
      </c>
      <c r="O111" s="83">
        <f t="shared" si="37"/>
        <v>0</v>
      </c>
      <c r="P111" s="83">
        <f t="shared" si="37"/>
        <v>14043000</v>
      </c>
      <c r="Q111" s="266"/>
      <c r="R111" s="161"/>
      <c r="S111" s="161"/>
      <c r="T111" s="161"/>
    </row>
    <row r="112" spans="1:20" s="113" customFormat="1" ht="24" customHeight="1" x14ac:dyDescent="0.2">
      <c r="A112" s="75"/>
      <c r="B112" s="86">
        <f>'дод. 4'!A50</f>
        <v>0</v>
      </c>
      <c r="C112" s="86">
        <f>'дод. 4'!B50</f>
        <v>0</v>
      </c>
      <c r="D112" s="135" t="str">
        <f>'дод. 4'!C50</f>
        <v>у т.ч. за рахунок субвенцій з держбюджету</v>
      </c>
      <c r="E112" s="83">
        <f t="shared" ref="E112:P112" si="38">E114+E116</f>
        <v>14043000</v>
      </c>
      <c r="F112" s="83">
        <f t="shared" si="38"/>
        <v>14043000</v>
      </c>
      <c r="G112" s="83">
        <f t="shared" si="38"/>
        <v>0</v>
      </c>
      <c r="H112" s="83">
        <f t="shared" si="38"/>
        <v>0</v>
      </c>
      <c r="I112" s="83">
        <f t="shared" si="38"/>
        <v>0</v>
      </c>
      <c r="J112" s="83">
        <f t="shared" si="38"/>
        <v>0</v>
      </c>
      <c r="K112" s="83">
        <f t="shared" si="38"/>
        <v>0</v>
      </c>
      <c r="L112" s="83">
        <f t="shared" si="38"/>
        <v>0</v>
      </c>
      <c r="M112" s="83">
        <f t="shared" si="38"/>
        <v>0</v>
      </c>
      <c r="N112" s="83">
        <f t="shared" si="38"/>
        <v>0</v>
      </c>
      <c r="O112" s="83">
        <f t="shared" si="38"/>
        <v>0</v>
      </c>
      <c r="P112" s="83">
        <f t="shared" si="38"/>
        <v>14043000</v>
      </c>
      <c r="Q112" s="266"/>
      <c r="R112" s="161"/>
      <c r="S112" s="161"/>
      <c r="T112" s="161"/>
    </row>
    <row r="113" spans="1:20" s="110" customFormat="1" ht="32.25" customHeight="1" x14ac:dyDescent="0.2">
      <c r="A113" s="78" t="s">
        <v>283</v>
      </c>
      <c r="B113" s="88">
        <f>'дод. 4'!A51</f>
        <v>2144</v>
      </c>
      <c r="C113" s="88" t="str">
        <f>'дод. 4'!B51</f>
        <v>0763</v>
      </c>
      <c r="D113" s="136" t="str">
        <f>'дод. 4'!C51</f>
        <v>Централізовані заходи з лікування хворих на цукровий та нецукровий діабет</v>
      </c>
      <c r="E113" s="80">
        <f>F113+I113</f>
        <v>7131500</v>
      </c>
      <c r="F113" s="80">
        <v>7131500</v>
      </c>
      <c r="G113" s="80"/>
      <c r="H113" s="80"/>
      <c r="I113" s="80"/>
      <c r="J113" s="80">
        <f t="shared" si="36"/>
        <v>0</v>
      </c>
      <c r="K113" s="80"/>
      <c r="L113" s="80"/>
      <c r="M113" s="80"/>
      <c r="N113" s="80"/>
      <c r="O113" s="80"/>
      <c r="P113" s="80">
        <f t="shared" ref="P113:P129" si="39">E113+J113</f>
        <v>7131500</v>
      </c>
      <c r="Q113" s="266"/>
      <c r="R113" s="155"/>
      <c r="S113" s="155"/>
      <c r="T113" s="155"/>
    </row>
    <row r="114" spans="1:20" s="110" customFormat="1" ht="20.25" customHeight="1" x14ac:dyDescent="0.2">
      <c r="A114" s="78"/>
      <c r="B114" s="88">
        <f>'дод. 4'!A52</f>
        <v>0</v>
      </c>
      <c r="C114" s="88">
        <f>'дод. 4'!B52</f>
        <v>0</v>
      </c>
      <c r="D114" s="136" t="str">
        <f>'дод. 4'!C52</f>
        <v>у т.ч. за рахунок субвенцій з держбюджету</v>
      </c>
      <c r="E114" s="80">
        <f>F114+I114</f>
        <v>7131500</v>
      </c>
      <c r="F114" s="80">
        <v>7131500</v>
      </c>
      <c r="G114" s="80"/>
      <c r="H114" s="80"/>
      <c r="I114" s="80"/>
      <c r="J114" s="80">
        <f t="shared" si="36"/>
        <v>0</v>
      </c>
      <c r="K114" s="80"/>
      <c r="L114" s="80"/>
      <c r="M114" s="80"/>
      <c r="N114" s="80"/>
      <c r="O114" s="80"/>
      <c r="P114" s="80">
        <f t="shared" si="39"/>
        <v>7131500</v>
      </c>
      <c r="Q114" s="266"/>
      <c r="R114" s="155"/>
      <c r="S114" s="155"/>
      <c r="T114" s="155"/>
    </row>
    <row r="115" spans="1:20" s="110" customFormat="1" ht="31.5" customHeight="1" x14ac:dyDescent="0.2">
      <c r="A115" s="78" t="s">
        <v>514</v>
      </c>
      <c r="B115" s="88">
        <f>'дод. 4'!A53</f>
        <v>2146</v>
      </c>
      <c r="C115" s="88" t="str">
        <f>'дод. 4'!B53</f>
        <v>0763</v>
      </c>
      <c r="D115" s="136" t="str">
        <f>'дод. 4'!C53</f>
        <v>Відшкодування вартості лікарських засобів для лікування окремих захворювань</v>
      </c>
      <c r="E115" s="80">
        <f>F115+I115</f>
        <v>6911500</v>
      </c>
      <c r="F115" s="80">
        <v>6911500</v>
      </c>
      <c r="G115" s="80"/>
      <c r="H115" s="80"/>
      <c r="I115" s="80"/>
      <c r="J115" s="80">
        <f t="shared" si="36"/>
        <v>0</v>
      </c>
      <c r="K115" s="80"/>
      <c r="L115" s="80"/>
      <c r="M115" s="80"/>
      <c r="N115" s="80"/>
      <c r="O115" s="80"/>
      <c r="P115" s="80">
        <f t="shared" si="39"/>
        <v>6911500</v>
      </c>
      <c r="Q115" s="266"/>
      <c r="R115" s="155"/>
      <c r="S115" s="155"/>
      <c r="T115" s="155"/>
    </row>
    <row r="116" spans="1:20" s="110" customFormat="1" ht="24.75" customHeight="1" x14ac:dyDescent="0.2">
      <c r="A116" s="78"/>
      <c r="B116" s="88">
        <f>'дод. 4'!A54</f>
        <v>0</v>
      </c>
      <c r="C116" s="88">
        <f>'дод. 4'!B54</f>
        <v>0</v>
      </c>
      <c r="D116" s="136" t="str">
        <f>'дод. 4'!C54</f>
        <v>у т.ч. за рахунок субвенцій з держбюджету</v>
      </c>
      <c r="E116" s="80">
        <f>F116+I116</f>
        <v>6911500</v>
      </c>
      <c r="F116" s="80">
        <v>6911500</v>
      </c>
      <c r="G116" s="80"/>
      <c r="H116" s="80"/>
      <c r="I116" s="80"/>
      <c r="J116" s="80">
        <f t="shared" si="36"/>
        <v>0</v>
      </c>
      <c r="K116" s="80"/>
      <c r="L116" s="80"/>
      <c r="M116" s="80"/>
      <c r="N116" s="80"/>
      <c r="O116" s="80"/>
      <c r="P116" s="80">
        <f t="shared" si="39"/>
        <v>6911500</v>
      </c>
      <c r="Q116" s="266"/>
      <c r="R116" s="155"/>
      <c r="S116" s="155"/>
      <c r="T116" s="155"/>
    </row>
    <row r="117" spans="1:20" s="4" customFormat="1" ht="35.25" customHeight="1" x14ac:dyDescent="0.2">
      <c r="A117" s="81" t="s">
        <v>282</v>
      </c>
      <c r="B117" s="81" t="str">
        <f>'дод. 4'!A55</f>
        <v>2150</v>
      </c>
      <c r="C117" s="81">
        <f>'дод. 4'!B55</f>
        <v>0</v>
      </c>
      <c r="D117" s="102" t="str">
        <f>'дод. 4'!C55</f>
        <v>Інші програми, заклади та заходи у сфері охорони здоров’я</v>
      </c>
      <c r="E117" s="83">
        <f>E119+E121</f>
        <v>6972448</v>
      </c>
      <c r="F117" s="83">
        <f t="shared" ref="F117:O117" si="40">F119+F121</f>
        <v>6972448</v>
      </c>
      <c r="G117" s="83">
        <f t="shared" si="40"/>
        <v>0</v>
      </c>
      <c r="H117" s="83">
        <f t="shared" si="40"/>
        <v>0</v>
      </c>
      <c r="I117" s="83">
        <f t="shared" si="40"/>
        <v>0</v>
      </c>
      <c r="J117" s="77">
        <f t="shared" si="36"/>
        <v>3406496</v>
      </c>
      <c r="K117" s="83">
        <f t="shared" si="40"/>
        <v>0</v>
      </c>
      <c r="L117" s="83">
        <f t="shared" si="40"/>
        <v>0</v>
      </c>
      <c r="M117" s="83">
        <f t="shared" si="40"/>
        <v>0</v>
      </c>
      <c r="N117" s="83">
        <f t="shared" si="40"/>
        <v>3406496</v>
      </c>
      <c r="O117" s="83">
        <f t="shared" si="40"/>
        <v>3406496</v>
      </c>
      <c r="P117" s="77">
        <f t="shared" si="39"/>
        <v>10378944</v>
      </c>
      <c r="Q117" s="266"/>
      <c r="R117" s="154"/>
      <c r="S117" s="154"/>
      <c r="T117" s="154"/>
    </row>
    <row r="118" spans="1:20" s="4" customFormat="1" ht="21.75" customHeight="1" x14ac:dyDescent="0.2">
      <c r="A118" s="81"/>
      <c r="B118" s="86"/>
      <c r="C118" s="86"/>
      <c r="D118" s="82" t="s">
        <v>416</v>
      </c>
      <c r="E118" s="83">
        <f>E120+E122</f>
        <v>3794203</v>
      </c>
      <c r="F118" s="83">
        <f t="shared" ref="F118:O118" si="41">F120+F122</f>
        <v>3794203</v>
      </c>
      <c r="G118" s="83">
        <f t="shared" si="41"/>
        <v>0</v>
      </c>
      <c r="H118" s="83">
        <f t="shared" si="41"/>
        <v>0</v>
      </c>
      <c r="I118" s="83">
        <f t="shared" si="41"/>
        <v>0</v>
      </c>
      <c r="J118" s="80">
        <f t="shared" si="36"/>
        <v>0</v>
      </c>
      <c r="K118" s="83">
        <f t="shared" si="41"/>
        <v>0</v>
      </c>
      <c r="L118" s="83">
        <f t="shared" si="41"/>
        <v>0</v>
      </c>
      <c r="M118" s="83">
        <f t="shared" si="41"/>
        <v>0</v>
      </c>
      <c r="N118" s="83">
        <f t="shared" si="41"/>
        <v>0</v>
      </c>
      <c r="O118" s="83">
        <f t="shared" si="41"/>
        <v>0</v>
      </c>
      <c r="P118" s="77">
        <f t="shared" si="39"/>
        <v>3794203</v>
      </c>
      <c r="Q118" s="266"/>
      <c r="R118" s="154"/>
      <c r="S118" s="154"/>
      <c r="T118" s="154"/>
    </row>
    <row r="119" spans="1:20" s="110" customFormat="1" ht="30" customHeight="1" x14ac:dyDescent="0.2">
      <c r="A119" s="78" t="s">
        <v>604</v>
      </c>
      <c r="B119" s="111" t="str">
        <f>'дод. 4'!A57</f>
        <v>2151</v>
      </c>
      <c r="C119" s="111" t="str">
        <f>'дод. 4'!B57</f>
        <v>0763</v>
      </c>
      <c r="D119" s="101" t="str">
        <f>'дод. 4'!C57</f>
        <v>Забезпечення діяльності інших закладів у сфері охорони здоров’я</v>
      </c>
      <c r="E119" s="80">
        <f>F119+I119</f>
        <v>1975455</v>
      </c>
      <c r="F119" s="80">
        <f>1974877+578</f>
        <v>1975455</v>
      </c>
      <c r="G119" s="80"/>
      <c r="H119" s="80"/>
      <c r="I119" s="80"/>
      <c r="J119" s="80">
        <f t="shared" si="36"/>
        <v>0</v>
      </c>
      <c r="K119" s="80"/>
      <c r="L119" s="80"/>
      <c r="M119" s="80"/>
      <c r="N119" s="80"/>
      <c r="O119" s="80"/>
      <c r="P119" s="80">
        <f t="shared" si="39"/>
        <v>1975455</v>
      </c>
      <c r="Q119" s="266"/>
      <c r="R119" s="155"/>
      <c r="S119" s="155"/>
      <c r="T119" s="155"/>
    </row>
    <row r="120" spans="1:20" s="110" customFormat="1" ht="21.75" customHeight="1" x14ac:dyDescent="0.2">
      <c r="A120" s="78"/>
      <c r="B120" s="111"/>
      <c r="C120" s="111"/>
      <c r="D120" s="79" t="s">
        <v>416</v>
      </c>
      <c r="E120" s="80">
        <f>F120+I120</f>
        <v>1938677</v>
      </c>
      <c r="F120" s="80">
        <v>1938677</v>
      </c>
      <c r="G120" s="80"/>
      <c r="H120" s="80"/>
      <c r="I120" s="80"/>
      <c r="J120" s="80">
        <f t="shared" si="36"/>
        <v>0</v>
      </c>
      <c r="K120" s="80"/>
      <c r="L120" s="80"/>
      <c r="M120" s="80"/>
      <c r="N120" s="80"/>
      <c r="O120" s="80"/>
      <c r="P120" s="80">
        <f t="shared" si="39"/>
        <v>1938677</v>
      </c>
      <c r="Q120" s="266"/>
      <c r="R120" s="155"/>
      <c r="S120" s="155"/>
      <c r="T120" s="155"/>
    </row>
    <row r="121" spans="1:20" s="110" customFormat="1" ht="33" customHeight="1" x14ac:dyDescent="0.2">
      <c r="A121" s="78" t="s">
        <v>605</v>
      </c>
      <c r="B121" s="111" t="str">
        <f>'дод. 4'!A59</f>
        <v>2152</v>
      </c>
      <c r="C121" s="111" t="str">
        <f>'дод. 4'!B59</f>
        <v>0763</v>
      </c>
      <c r="D121" s="112" t="str">
        <f>'дод. 4'!C59</f>
        <v>Інші програми та заходи у сфері охорони здоров’я</v>
      </c>
      <c r="E121" s="80">
        <f>F121+I121</f>
        <v>4996993</v>
      </c>
      <c r="F121" s="80">
        <f>1958489+108000-108000+3093504-55000</f>
        <v>4996993</v>
      </c>
      <c r="G121" s="80"/>
      <c r="H121" s="80"/>
      <c r="I121" s="80"/>
      <c r="J121" s="80">
        <f t="shared" si="36"/>
        <v>3406496</v>
      </c>
      <c r="K121" s="80"/>
      <c r="L121" s="80"/>
      <c r="M121" s="80"/>
      <c r="N121" s="80">
        <v>3406496</v>
      </c>
      <c r="O121" s="80">
        <v>3406496</v>
      </c>
      <c r="P121" s="80">
        <f t="shared" si="39"/>
        <v>8403489</v>
      </c>
      <c r="Q121" s="266"/>
      <c r="R121" s="155"/>
      <c r="S121" s="155"/>
      <c r="T121" s="155"/>
    </row>
    <row r="122" spans="1:20" s="110" customFormat="1" ht="21.75" customHeight="1" x14ac:dyDescent="0.2">
      <c r="A122" s="78"/>
      <c r="B122" s="111"/>
      <c r="C122" s="111"/>
      <c r="D122" s="79" t="s">
        <v>416</v>
      </c>
      <c r="E122" s="80">
        <f>F122+I122</f>
        <v>1855526</v>
      </c>
      <c r="F122" s="80">
        <f>1958489-102963</f>
        <v>1855526</v>
      </c>
      <c r="G122" s="80"/>
      <c r="H122" s="80"/>
      <c r="I122" s="80"/>
      <c r="J122" s="80">
        <f t="shared" si="36"/>
        <v>0</v>
      </c>
      <c r="K122" s="80"/>
      <c r="L122" s="80"/>
      <c r="M122" s="80"/>
      <c r="N122" s="80"/>
      <c r="O122" s="80"/>
      <c r="P122" s="80">
        <f t="shared" si="39"/>
        <v>1855526</v>
      </c>
      <c r="Q122" s="266"/>
      <c r="R122" s="155"/>
      <c r="S122" s="155"/>
      <c r="T122" s="155"/>
    </row>
    <row r="123" spans="1:20" s="4" customFormat="1" ht="30.75" customHeight="1" x14ac:dyDescent="0.2">
      <c r="A123" s="75" t="s">
        <v>606</v>
      </c>
      <c r="B123" s="85" t="str">
        <f>'дод. 4'!A193</f>
        <v>7360</v>
      </c>
      <c r="C123" s="85">
        <f>'дод. 4'!B193</f>
        <v>0</v>
      </c>
      <c r="D123" s="244" t="str">
        <f>'дод. 4'!C193</f>
        <v>Виконання інвестиційних проектів</v>
      </c>
      <c r="E123" s="77">
        <f>E125</f>
        <v>0</v>
      </c>
      <c r="F123" s="77">
        <f t="shared" ref="F123:P124" si="42">F125</f>
        <v>0</v>
      </c>
      <c r="G123" s="77">
        <f t="shared" si="42"/>
        <v>0</v>
      </c>
      <c r="H123" s="77">
        <f t="shared" si="42"/>
        <v>0</v>
      </c>
      <c r="I123" s="77">
        <f t="shared" si="42"/>
        <v>0</v>
      </c>
      <c r="J123" s="77">
        <f t="shared" si="42"/>
        <v>4665863.5999999996</v>
      </c>
      <c r="K123" s="77">
        <f t="shared" si="42"/>
        <v>0</v>
      </c>
      <c r="L123" s="77">
        <f t="shared" si="42"/>
        <v>0</v>
      </c>
      <c r="M123" s="77">
        <f t="shared" si="42"/>
        <v>0</v>
      </c>
      <c r="N123" s="77">
        <f t="shared" si="42"/>
        <v>4665863.5999999996</v>
      </c>
      <c r="O123" s="77">
        <f t="shared" si="42"/>
        <v>4665863.5999999996</v>
      </c>
      <c r="P123" s="77">
        <f t="shared" si="42"/>
        <v>4665863.5999999996</v>
      </c>
      <c r="Q123" s="266"/>
      <c r="R123" s="153"/>
      <c r="S123" s="153"/>
      <c r="T123" s="153"/>
    </row>
    <row r="124" spans="1:20" s="110" customFormat="1" ht="21.75" customHeight="1" x14ac:dyDescent="0.2">
      <c r="A124" s="78"/>
      <c r="B124" s="111"/>
      <c r="C124" s="111"/>
      <c r="D124" s="136" t="str">
        <f>'дод. 4'!C62</f>
        <v>у т.ч. за рахунок субвенцій з держбюджету</v>
      </c>
      <c r="E124" s="80">
        <f>E126</f>
        <v>0</v>
      </c>
      <c r="F124" s="80">
        <f t="shared" si="42"/>
        <v>0</v>
      </c>
      <c r="G124" s="80">
        <f t="shared" si="42"/>
        <v>0</v>
      </c>
      <c r="H124" s="80">
        <f t="shared" si="42"/>
        <v>0</v>
      </c>
      <c r="I124" s="80">
        <f t="shared" si="42"/>
        <v>0</v>
      </c>
      <c r="J124" s="80">
        <f t="shared" si="42"/>
        <v>4529964.66</v>
      </c>
      <c r="K124" s="80">
        <f t="shared" si="42"/>
        <v>0</v>
      </c>
      <c r="L124" s="80">
        <f t="shared" si="42"/>
        <v>0</v>
      </c>
      <c r="M124" s="80">
        <f t="shared" si="42"/>
        <v>0</v>
      </c>
      <c r="N124" s="80">
        <f t="shared" si="42"/>
        <v>4529964.66</v>
      </c>
      <c r="O124" s="80">
        <f t="shared" si="42"/>
        <v>4529964.66</v>
      </c>
      <c r="P124" s="80">
        <f t="shared" si="42"/>
        <v>4529964.66</v>
      </c>
      <c r="Q124" s="266"/>
      <c r="R124" s="155"/>
      <c r="S124" s="155"/>
      <c r="T124" s="155"/>
    </row>
    <row r="125" spans="1:20" s="110" customFormat="1" ht="55.5" customHeight="1" x14ac:dyDescent="0.2">
      <c r="A125" s="78" t="s">
        <v>607</v>
      </c>
      <c r="B125" s="111" t="str">
        <f>'дод. 4'!A196</f>
        <v>7363</v>
      </c>
      <c r="C125" s="111" t="str">
        <f>'дод. 4'!B196</f>
        <v>0490</v>
      </c>
      <c r="D125" s="209" t="str">
        <f>'дод. 4'!C196</f>
        <v>Виконання інвестиційних проектів в рамках здійснення заходів щодо соціально-економічного розвитку окремих територій</v>
      </c>
      <c r="E125" s="80">
        <f>F125+I125</f>
        <v>0</v>
      </c>
      <c r="F125" s="80"/>
      <c r="G125" s="80"/>
      <c r="H125" s="80"/>
      <c r="I125" s="80"/>
      <c r="J125" s="80">
        <f>K125+N125</f>
        <v>4665863.5999999996</v>
      </c>
      <c r="K125" s="80"/>
      <c r="L125" s="80"/>
      <c r="M125" s="80"/>
      <c r="N125" s="80">
        <f>40078.94+1335964.66+95820+3194000</f>
        <v>4665863.5999999996</v>
      </c>
      <c r="O125" s="80">
        <f>40078.94+1335964.66+95820+3194000</f>
        <v>4665863.5999999996</v>
      </c>
      <c r="P125" s="80">
        <f>E125+J125</f>
        <v>4665863.5999999996</v>
      </c>
      <c r="Q125" s="266"/>
      <c r="R125" s="155"/>
      <c r="S125" s="155"/>
      <c r="T125" s="155"/>
    </row>
    <row r="126" spans="1:20" s="110" customFormat="1" ht="26.25" customHeight="1" x14ac:dyDescent="0.2">
      <c r="A126" s="78"/>
      <c r="B126" s="111"/>
      <c r="C126" s="111"/>
      <c r="D126" s="136" t="str">
        <f>'дод. 4'!C64</f>
        <v>у т.ч. за рахунок субвенцій з держбюджету</v>
      </c>
      <c r="E126" s="80">
        <f>F126+I126</f>
        <v>0</v>
      </c>
      <c r="F126" s="80"/>
      <c r="G126" s="80"/>
      <c r="H126" s="80"/>
      <c r="I126" s="80"/>
      <c r="J126" s="80">
        <f>K126+N126</f>
        <v>4529964.66</v>
      </c>
      <c r="K126" s="80"/>
      <c r="L126" s="80"/>
      <c r="M126" s="80"/>
      <c r="N126" s="80">
        <f>1335964.66+3194000</f>
        <v>4529964.66</v>
      </c>
      <c r="O126" s="80">
        <f>1335964.66+3194000</f>
        <v>4529964.66</v>
      </c>
      <c r="P126" s="80">
        <f>E126+J126</f>
        <v>4529964.66</v>
      </c>
      <c r="Q126" s="266"/>
      <c r="R126" s="155"/>
      <c r="S126" s="155"/>
      <c r="T126" s="155"/>
    </row>
    <row r="127" spans="1:20" s="4" customFormat="1" ht="33" customHeight="1" x14ac:dyDescent="0.2">
      <c r="A127" s="81" t="s">
        <v>281</v>
      </c>
      <c r="B127" s="81" t="str">
        <f>'дод. 4'!A216</f>
        <v>7640</v>
      </c>
      <c r="C127" s="81" t="str">
        <f>'дод. 4'!B216</f>
        <v>0470</v>
      </c>
      <c r="D127" s="102" t="str">
        <f>'дод. 4'!C216</f>
        <v>Заходи з енергозбереження</v>
      </c>
      <c r="E127" s="83">
        <f>F127+I127</f>
        <v>792000</v>
      </c>
      <c r="F127" s="83">
        <f>420000+48000+300000+12000+12000</f>
        <v>792000</v>
      </c>
      <c r="G127" s="83"/>
      <c r="H127" s="83"/>
      <c r="I127" s="83"/>
      <c r="J127" s="77">
        <f>K127+N127</f>
        <v>9847000</v>
      </c>
      <c r="K127" s="83"/>
      <c r="L127" s="83"/>
      <c r="M127" s="83"/>
      <c r="N127" s="83">
        <f>6847000+3000000</f>
        <v>9847000</v>
      </c>
      <c r="O127" s="83">
        <f>6847000+3000000</f>
        <v>9847000</v>
      </c>
      <c r="P127" s="83">
        <f>E127+J127</f>
        <v>10639000</v>
      </c>
      <c r="Q127" s="266"/>
      <c r="R127" s="153"/>
      <c r="S127" s="153"/>
      <c r="T127" s="153"/>
    </row>
    <row r="128" spans="1:20" s="4" customFormat="1" ht="33" customHeight="1" x14ac:dyDescent="0.2">
      <c r="A128" s="75" t="s">
        <v>673</v>
      </c>
      <c r="B128" s="75" t="s">
        <v>21</v>
      </c>
      <c r="C128" s="75" t="s">
        <v>139</v>
      </c>
      <c r="D128" s="102" t="s">
        <v>22</v>
      </c>
      <c r="E128" s="83">
        <f>F128+I128</f>
        <v>0</v>
      </c>
      <c r="F128" s="83"/>
      <c r="G128" s="83"/>
      <c r="H128" s="83"/>
      <c r="I128" s="83"/>
      <c r="J128" s="77">
        <f>K128+N128</f>
        <v>22000</v>
      </c>
      <c r="K128" s="83">
        <v>22000</v>
      </c>
      <c r="L128" s="83"/>
      <c r="M128" s="83"/>
      <c r="N128" s="83"/>
      <c r="O128" s="83"/>
      <c r="P128" s="83">
        <f>E128+J128</f>
        <v>22000</v>
      </c>
      <c r="Q128" s="266"/>
      <c r="R128" s="153"/>
      <c r="S128" s="153"/>
      <c r="T128" s="153"/>
    </row>
    <row r="129" spans="1:20" s="4" customFormat="1" ht="33" customHeight="1" x14ac:dyDescent="0.2">
      <c r="A129" s="81" t="s">
        <v>647</v>
      </c>
      <c r="B129" s="81" t="s">
        <v>28</v>
      </c>
      <c r="C129" s="81" t="s">
        <v>648</v>
      </c>
      <c r="D129" s="245" t="s">
        <v>415</v>
      </c>
      <c r="E129" s="83">
        <f>F129+I129</f>
        <v>20000</v>
      </c>
      <c r="F129" s="83">
        <v>20000</v>
      </c>
      <c r="G129" s="83"/>
      <c r="H129" s="83"/>
      <c r="I129" s="83"/>
      <c r="J129" s="80">
        <f t="shared" si="36"/>
        <v>0</v>
      </c>
      <c r="K129" s="83"/>
      <c r="L129" s="83"/>
      <c r="M129" s="83"/>
      <c r="N129" s="83"/>
      <c r="O129" s="83"/>
      <c r="P129" s="83">
        <f t="shared" si="39"/>
        <v>20000</v>
      </c>
      <c r="Q129" s="266"/>
      <c r="R129" s="153"/>
      <c r="S129" s="153"/>
      <c r="T129" s="153"/>
    </row>
    <row r="130" spans="1:20" s="107" customFormat="1" ht="28.5" x14ac:dyDescent="0.2">
      <c r="A130" s="106" t="s">
        <v>290</v>
      </c>
      <c r="B130" s="36"/>
      <c r="C130" s="36"/>
      <c r="D130" s="35" t="s">
        <v>70</v>
      </c>
      <c r="E130" s="46">
        <f>E131</f>
        <v>1282225891.5900002</v>
      </c>
      <c r="F130" s="46">
        <f t="shared" ref="F130:P130" si="43">F131</f>
        <v>1282225891.5900002</v>
      </c>
      <c r="G130" s="46">
        <f t="shared" si="43"/>
        <v>41420650</v>
      </c>
      <c r="H130" s="46">
        <f t="shared" si="43"/>
        <v>1542626</v>
      </c>
      <c r="I130" s="46">
        <f t="shared" si="43"/>
        <v>0</v>
      </c>
      <c r="J130" s="46">
        <f t="shared" si="43"/>
        <v>13856331.68</v>
      </c>
      <c r="K130" s="46">
        <f t="shared" si="43"/>
        <v>57900</v>
      </c>
      <c r="L130" s="46">
        <f t="shared" si="43"/>
        <v>44700</v>
      </c>
      <c r="M130" s="46">
        <f t="shared" si="43"/>
        <v>0</v>
      </c>
      <c r="N130" s="46">
        <f t="shared" si="43"/>
        <v>13798431.68</v>
      </c>
      <c r="O130" s="46">
        <f t="shared" si="43"/>
        <v>13798431.68</v>
      </c>
      <c r="P130" s="46">
        <f t="shared" si="43"/>
        <v>1296082223.2700002</v>
      </c>
      <c r="Q130" s="266"/>
      <c r="R130" s="151"/>
      <c r="S130" s="151"/>
      <c r="T130" s="151"/>
    </row>
    <row r="131" spans="1:20" s="109" customFormat="1" ht="36" customHeight="1" x14ac:dyDescent="0.2">
      <c r="A131" s="108" t="s">
        <v>291</v>
      </c>
      <c r="B131" s="119"/>
      <c r="C131" s="119"/>
      <c r="D131" s="118" t="s">
        <v>70</v>
      </c>
      <c r="E131" s="74">
        <f>E133+E146+E168+E182+E184+E188+E189+E192+E193+E204+E207+E209+E181+E185+E134+E140+E152+E169+E202+E208+E194</f>
        <v>1282225891.5900002</v>
      </c>
      <c r="F131" s="74">
        <f t="shared" ref="F131:P131" si="44">F133+F146+F168+F182+F184+F188+F189+F192+F193+F204+F207+F209+F181+F185+F134+F140+F152+F169+F202+F208+F194</f>
        <v>1282225891.5900002</v>
      </c>
      <c r="G131" s="74">
        <f t="shared" si="44"/>
        <v>41420650</v>
      </c>
      <c r="H131" s="74">
        <f t="shared" si="44"/>
        <v>1542626</v>
      </c>
      <c r="I131" s="74">
        <f t="shared" si="44"/>
        <v>0</v>
      </c>
      <c r="J131" s="74">
        <f t="shared" si="44"/>
        <v>13856331.68</v>
      </c>
      <c r="K131" s="74">
        <f t="shared" si="44"/>
        <v>57900</v>
      </c>
      <c r="L131" s="74">
        <f t="shared" si="44"/>
        <v>44700</v>
      </c>
      <c r="M131" s="74">
        <f t="shared" si="44"/>
        <v>0</v>
      </c>
      <c r="N131" s="74">
        <f t="shared" si="44"/>
        <v>13798431.68</v>
      </c>
      <c r="O131" s="74">
        <f t="shared" si="44"/>
        <v>13798431.68</v>
      </c>
      <c r="P131" s="74">
        <f t="shared" si="44"/>
        <v>1296082223.2700002</v>
      </c>
      <c r="Q131" s="266"/>
      <c r="R131" s="157"/>
      <c r="S131" s="157"/>
      <c r="T131" s="157"/>
    </row>
    <row r="132" spans="1:20" s="109" customFormat="1" ht="23.25" customHeight="1" x14ac:dyDescent="0.2">
      <c r="A132" s="108"/>
      <c r="B132" s="119"/>
      <c r="C132" s="119"/>
      <c r="D132" s="118" t="s">
        <v>416</v>
      </c>
      <c r="E132" s="74">
        <f>E135+E141+E153+E170+E203+E195</f>
        <v>1125471900</v>
      </c>
      <c r="F132" s="74">
        <f t="shared" ref="F132:P132" si="45">F135+F141+F153+F170+F203+F195</f>
        <v>1125471900</v>
      </c>
      <c r="G132" s="74">
        <f t="shared" si="45"/>
        <v>0</v>
      </c>
      <c r="H132" s="74">
        <f t="shared" si="45"/>
        <v>0</v>
      </c>
      <c r="I132" s="74">
        <f t="shared" si="45"/>
        <v>0</v>
      </c>
      <c r="J132" s="74">
        <f t="shared" si="45"/>
        <v>12613549.68</v>
      </c>
      <c r="K132" s="74">
        <f t="shared" si="45"/>
        <v>0</v>
      </c>
      <c r="L132" s="74">
        <f t="shared" si="45"/>
        <v>0</v>
      </c>
      <c r="M132" s="74">
        <f t="shared" si="45"/>
        <v>0</v>
      </c>
      <c r="N132" s="74">
        <f t="shared" si="45"/>
        <v>12613549.68</v>
      </c>
      <c r="O132" s="74">
        <f t="shared" si="45"/>
        <v>12613549.68</v>
      </c>
      <c r="P132" s="74">
        <f t="shared" si="45"/>
        <v>1138085449.6800001</v>
      </c>
      <c r="Q132" s="266"/>
      <c r="R132" s="157"/>
      <c r="S132" s="157"/>
      <c r="T132" s="157"/>
    </row>
    <row r="133" spans="1:20" s="4" customFormat="1" ht="52.5" customHeight="1" x14ac:dyDescent="0.2">
      <c r="A133" s="75" t="s">
        <v>292</v>
      </c>
      <c r="B133" s="75" t="str">
        <f>'дод. 4'!A12</f>
        <v>0160</v>
      </c>
      <c r="C133" s="75" t="str">
        <f>'дод. 4'!B12</f>
        <v>0111</v>
      </c>
      <c r="D133" s="76" t="str">
        <f>'дод. 4'!C12</f>
        <v>Керівництво і управління у відповідній сфері у містах (місті Києві), селищах, селах, об’єднаних територіальних громадах</v>
      </c>
      <c r="E133" s="77">
        <f>F133+I133</f>
        <v>40067818</v>
      </c>
      <c r="F133" s="77">
        <f>40471900-288000+100000-287082+50000+21000</f>
        <v>40067818</v>
      </c>
      <c r="G133" s="77">
        <f>31781350-235313</f>
        <v>31546037</v>
      </c>
      <c r="H133" s="77">
        <v>676100</v>
      </c>
      <c r="I133" s="77"/>
      <c r="J133" s="77">
        <f>K133+N133</f>
        <v>572000</v>
      </c>
      <c r="K133" s="77"/>
      <c r="L133" s="77"/>
      <c r="M133" s="77"/>
      <c r="N133" s="77">
        <f>700000-128000</f>
        <v>572000</v>
      </c>
      <c r="O133" s="77">
        <f>700000-128000</f>
        <v>572000</v>
      </c>
      <c r="P133" s="77">
        <f>E133+J133</f>
        <v>40639818</v>
      </c>
      <c r="Q133" s="266"/>
      <c r="R133" s="153"/>
      <c r="S133" s="153"/>
      <c r="T133" s="153"/>
    </row>
    <row r="134" spans="1:20" s="4" customFormat="1" ht="78" customHeight="1" x14ac:dyDescent="0.2">
      <c r="A134" s="75" t="s">
        <v>527</v>
      </c>
      <c r="B134" s="132" t="str">
        <f>'дод. 4'!A63</f>
        <v>3010</v>
      </c>
      <c r="C134" s="132">
        <f>'дод. 4'!B63</f>
        <v>0</v>
      </c>
      <c r="D134" s="104" t="str">
        <f>'дод. 4'!C63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</c>
      <c r="E134" s="77">
        <f t="shared" ref="E134:P134" si="46">E136+E138</f>
        <v>772232100</v>
      </c>
      <c r="F134" s="77">
        <f>F136+F138</f>
        <v>772232100</v>
      </c>
      <c r="G134" s="77">
        <f t="shared" si="46"/>
        <v>0</v>
      </c>
      <c r="H134" s="77">
        <f t="shared" si="46"/>
        <v>0</v>
      </c>
      <c r="I134" s="77">
        <f t="shared" si="46"/>
        <v>0</v>
      </c>
      <c r="J134" s="77">
        <f t="shared" si="46"/>
        <v>0</v>
      </c>
      <c r="K134" s="77">
        <f t="shared" si="46"/>
        <v>0</v>
      </c>
      <c r="L134" s="77">
        <f t="shared" si="46"/>
        <v>0</v>
      </c>
      <c r="M134" s="77">
        <f t="shared" si="46"/>
        <v>0</v>
      </c>
      <c r="N134" s="77">
        <f t="shared" si="46"/>
        <v>0</v>
      </c>
      <c r="O134" s="77">
        <f t="shared" si="46"/>
        <v>0</v>
      </c>
      <c r="P134" s="77">
        <f t="shared" si="46"/>
        <v>772232100</v>
      </c>
      <c r="Q134" s="266"/>
      <c r="R134" s="158"/>
      <c r="S134" s="158"/>
      <c r="T134" s="158"/>
    </row>
    <row r="135" spans="1:20" s="4" customFormat="1" x14ac:dyDescent="0.2">
      <c r="A135" s="75"/>
      <c r="B135" s="132">
        <f>'дод. 4'!A64</f>
        <v>0</v>
      </c>
      <c r="C135" s="132">
        <f>'дод. 4'!B64</f>
        <v>0</v>
      </c>
      <c r="D135" s="104" t="str">
        <f>'дод. 4'!C64</f>
        <v>у т.ч. за рахунок субвенцій з держбюджету</v>
      </c>
      <c r="E135" s="77">
        <f t="shared" ref="E135:P135" si="47">E137+E139</f>
        <v>772232100</v>
      </c>
      <c r="F135" s="77">
        <f t="shared" si="47"/>
        <v>772232100</v>
      </c>
      <c r="G135" s="77">
        <f t="shared" si="47"/>
        <v>0</v>
      </c>
      <c r="H135" s="77">
        <f t="shared" si="47"/>
        <v>0</v>
      </c>
      <c r="I135" s="77">
        <f t="shared" si="47"/>
        <v>0</v>
      </c>
      <c r="J135" s="77">
        <f t="shared" si="47"/>
        <v>0</v>
      </c>
      <c r="K135" s="77">
        <f t="shared" si="47"/>
        <v>0</v>
      </c>
      <c r="L135" s="77">
        <f t="shared" si="47"/>
        <v>0</v>
      </c>
      <c r="M135" s="77">
        <f t="shared" si="47"/>
        <v>0</v>
      </c>
      <c r="N135" s="77">
        <f t="shared" si="47"/>
        <v>0</v>
      </c>
      <c r="O135" s="77">
        <f t="shared" si="47"/>
        <v>0</v>
      </c>
      <c r="P135" s="77">
        <f t="shared" si="47"/>
        <v>772232100</v>
      </c>
      <c r="Q135" s="266"/>
      <c r="R135" s="158"/>
      <c r="S135" s="158"/>
      <c r="T135" s="158"/>
    </row>
    <row r="136" spans="1:20" s="110" customFormat="1" ht="45" customHeight="1" x14ac:dyDescent="0.2">
      <c r="A136" s="78" t="s">
        <v>528</v>
      </c>
      <c r="B136" s="137" t="str">
        <f>'дод. 4'!A65</f>
        <v>3011</v>
      </c>
      <c r="C136" s="137">
        <f>'дод. 4'!B65</f>
        <v>1030</v>
      </c>
      <c r="D136" s="101" t="str">
        <f>'дод. 4'!C65</f>
        <v xml:space="preserve">Надання пільг на оплату житлово-комунальних послуг окремим категоріям громадян відповідно до законодавства </v>
      </c>
      <c r="E136" s="80">
        <f>F136+I136</f>
        <v>66261200</v>
      </c>
      <c r="F136" s="80">
        <v>66261200</v>
      </c>
      <c r="G136" s="80"/>
      <c r="H136" s="80"/>
      <c r="I136" s="80"/>
      <c r="J136" s="80">
        <f>K136+N136</f>
        <v>0</v>
      </c>
      <c r="K136" s="80"/>
      <c r="L136" s="80"/>
      <c r="M136" s="80"/>
      <c r="N136" s="80"/>
      <c r="O136" s="80"/>
      <c r="P136" s="80">
        <f>E136+J136</f>
        <v>66261200</v>
      </c>
      <c r="Q136" s="266"/>
      <c r="R136" s="155"/>
      <c r="S136" s="155"/>
      <c r="T136" s="155"/>
    </row>
    <row r="137" spans="1:20" s="110" customFormat="1" x14ac:dyDescent="0.2">
      <c r="A137" s="78"/>
      <c r="B137" s="137">
        <f>'дод. 4'!A66</f>
        <v>0</v>
      </c>
      <c r="C137" s="137">
        <f>'дод. 4'!B66</f>
        <v>0</v>
      </c>
      <c r="D137" s="101" t="str">
        <f>'дод. 4'!C66</f>
        <v>у т.ч. за рахунок субвенцій з держбюджету</v>
      </c>
      <c r="E137" s="80">
        <f>F137+I137</f>
        <v>66261200</v>
      </c>
      <c r="F137" s="80">
        <v>66261200</v>
      </c>
      <c r="G137" s="80"/>
      <c r="H137" s="80"/>
      <c r="I137" s="80"/>
      <c r="J137" s="80">
        <f>K137+N137</f>
        <v>0</v>
      </c>
      <c r="K137" s="80"/>
      <c r="L137" s="80"/>
      <c r="M137" s="80"/>
      <c r="N137" s="80"/>
      <c r="O137" s="80"/>
      <c r="P137" s="80">
        <f>E137+J137</f>
        <v>66261200</v>
      </c>
      <c r="Q137" s="266"/>
      <c r="R137" s="155"/>
      <c r="S137" s="155"/>
      <c r="T137" s="155"/>
    </row>
    <row r="138" spans="1:20" s="110" customFormat="1" ht="37.5" customHeight="1" x14ac:dyDescent="0.2">
      <c r="A138" s="78" t="s">
        <v>529</v>
      </c>
      <c r="B138" s="137" t="str">
        <f>'дод. 4'!A67</f>
        <v>3012</v>
      </c>
      <c r="C138" s="137">
        <f>'дод. 4'!B67</f>
        <v>1060</v>
      </c>
      <c r="D138" s="101" t="str">
        <f>'дод. 4'!C67</f>
        <v>Надання субсидій населенню для відшкодування витрат на оплату житлово-комунальних послуг</v>
      </c>
      <c r="E138" s="80">
        <f>F138+I138</f>
        <v>705970900</v>
      </c>
      <c r="F138" s="80">
        <v>705970900</v>
      </c>
      <c r="G138" s="80"/>
      <c r="H138" s="80"/>
      <c r="I138" s="80"/>
      <c r="J138" s="80">
        <f>K138+N138</f>
        <v>0</v>
      </c>
      <c r="K138" s="80"/>
      <c r="L138" s="80"/>
      <c r="M138" s="80"/>
      <c r="N138" s="80"/>
      <c r="O138" s="80"/>
      <c r="P138" s="80">
        <f>E138+J138</f>
        <v>705970900</v>
      </c>
      <c r="Q138" s="266"/>
      <c r="R138" s="155"/>
      <c r="S138" s="155"/>
      <c r="T138" s="155"/>
    </row>
    <row r="139" spans="1:20" s="110" customFormat="1" ht="18" customHeight="1" x14ac:dyDescent="0.2">
      <c r="A139" s="78"/>
      <c r="B139" s="137">
        <f>'дод. 4'!A68</f>
        <v>0</v>
      </c>
      <c r="C139" s="137">
        <f>'дод. 4'!B68</f>
        <v>0</v>
      </c>
      <c r="D139" s="101" t="str">
        <f>'дод. 4'!C68</f>
        <v>у т.ч. за рахунок субвенцій з держбюджету</v>
      </c>
      <c r="E139" s="80">
        <f>F139+I139</f>
        <v>705970900</v>
      </c>
      <c r="F139" s="80">
        <v>705970900</v>
      </c>
      <c r="G139" s="80"/>
      <c r="H139" s="80"/>
      <c r="I139" s="80"/>
      <c r="J139" s="80">
        <f>K139+N139</f>
        <v>0</v>
      </c>
      <c r="K139" s="80"/>
      <c r="L139" s="80"/>
      <c r="M139" s="80"/>
      <c r="N139" s="80"/>
      <c r="O139" s="80"/>
      <c r="P139" s="80">
        <f>E139+J139</f>
        <v>705970900</v>
      </c>
      <c r="Q139" s="266"/>
      <c r="R139" s="155"/>
      <c r="S139" s="155"/>
      <c r="T139" s="155"/>
    </row>
    <row r="140" spans="1:20" s="4" customFormat="1" ht="45" customHeight="1" x14ac:dyDescent="0.2">
      <c r="A140" s="75" t="s">
        <v>530</v>
      </c>
      <c r="B140" s="132" t="str">
        <f>'дод. 4'!A69</f>
        <v>3020</v>
      </c>
      <c r="C140" s="132">
        <f>'дод. 4'!B69</f>
        <v>0</v>
      </c>
      <c r="D140" s="102" t="str">
        <f>'дод. 4'!C69</f>
        <v>Надання пільг та субсидій населенню на придбання твердого та рідкого пічного побутового палива і скрапленого газу</v>
      </c>
      <c r="E140" s="77">
        <f t="shared" ref="E140:P140" si="48">E142+E144</f>
        <v>375400</v>
      </c>
      <c r="F140" s="77">
        <f t="shared" si="48"/>
        <v>375400</v>
      </c>
      <c r="G140" s="77">
        <f t="shared" si="48"/>
        <v>0</v>
      </c>
      <c r="H140" s="77">
        <f t="shared" si="48"/>
        <v>0</v>
      </c>
      <c r="I140" s="77">
        <f t="shared" si="48"/>
        <v>0</v>
      </c>
      <c r="J140" s="77">
        <f t="shared" si="48"/>
        <v>0</v>
      </c>
      <c r="K140" s="77">
        <f t="shared" si="48"/>
        <v>0</v>
      </c>
      <c r="L140" s="77">
        <f t="shared" si="48"/>
        <v>0</v>
      </c>
      <c r="M140" s="77">
        <f t="shared" si="48"/>
        <v>0</v>
      </c>
      <c r="N140" s="77">
        <f t="shared" si="48"/>
        <v>0</v>
      </c>
      <c r="O140" s="77">
        <f t="shared" si="48"/>
        <v>0</v>
      </c>
      <c r="P140" s="77">
        <f t="shared" si="48"/>
        <v>375400</v>
      </c>
      <c r="Q140" s="266">
        <v>29</v>
      </c>
      <c r="R140" s="158"/>
      <c r="S140" s="158"/>
      <c r="T140" s="158"/>
    </row>
    <row r="141" spans="1:20" s="4" customFormat="1" x14ac:dyDescent="0.2">
      <c r="A141" s="75"/>
      <c r="B141" s="132">
        <f>'дод. 4'!A70</f>
        <v>0</v>
      </c>
      <c r="C141" s="132">
        <f>'дод. 4'!B70</f>
        <v>0</v>
      </c>
      <c r="D141" s="102" t="str">
        <f>'дод. 4'!C70</f>
        <v>у т.ч. за рахунок субвенцій з держбюджету</v>
      </c>
      <c r="E141" s="77">
        <f t="shared" ref="E141:P141" si="49">E143+E145</f>
        <v>375400</v>
      </c>
      <c r="F141" s="77">
        <f t="shared" si="49"/>
        <v>375400</v>
      </c>
      <c r="G141" s="77">
        <f t="shared" si="49"/>
        <v>0</v>
      </c>
      <c r="H141" s="77">
        <f t="shared" si="49"/>
        <v>0</v>
      </c>
      <c r="I141" s="77">
        <f t="shared" si="49"/>
        <v>0</v>
      </c>
      <c r="J141" s="77">
        <f t="shared" si="49"/>
        <v>0</v>
      </c>
      <c r="K141" s="77">
        <f t="shared" si="49"/>
        <v>0</v>
      </c>
      <c r="L141" s="77">
        <f t="shared" si="49"/>
        <v>0</v>
      </c>
      <c r="M141" s="77">
        <f t="shared" si="49"/>
        <v>0</v>
      </c>
      <c r="N141" s="77">
        <f t="shared" si="49"/>
        <v>0</v>
      </c>
      <c r="O141" s="77">
        <f t="shared" si="49"/>
        <v>0</v>
      </c>
      <c r="P141" s="77">
        <f t="shared" si="49"/>
        <v>375400</v>
      </c>
      <c r="Q141" s="266"/>
      <c r="R141" s="158"/>
      <c r="S141" s="158"/>
      <c r="T141" s="158"/>
    </row>
    <row r="142" spans="1:20" s="110" customFormat="1" ht="59.25" customHeight="1" x14ac:dyDescent="0.2">
      <c r="A142" s="78" t="s">
        <v>531</v>
      </c>
      <c r="B142" s="137" t="str">
        <f>'дод. 4'!A71</f>
        <v>3021</v>
      </c>
      <c r="C142" s="137">
        <f>'дод. 4'!B71</f>
        <v>1030</v>
      </c>
      <c r="D142" s="101" t="str">
        <f>'дод. 4'!C71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42" s="80">
        <f>F142+I142</f>
        <v>57630</v>
      </c>
      <c r="F142" s="80">
        <v>57630</v>
      </c>
      <c r="G142" s="80"/>
      <c r="H142" s="80"/>
      <c r="I142" s="80"/>
      <c r="J142" s="80">
        <f>K142+N142</f>
        <v>0</v>
      </c>
      <c r="K142" s="80"/>
      <c r="L142" s="80"/>
      <c r="M142" s="80"/>
      <c r="N142" s="80"/>
      <c r="O142" s="80"/>
      <c r="P142" s="80">
        <f>E142+J142</f>
        <v>57630</v>
      </c>
      <c r="Q142" s="266"/>
      <c r="R142" s="155"/>
      <c r="S142" s="155"/>
      <c r="T142" s="155"/>
    </row>
    <row r="143" spans="1:20" s="110" customFormat="1" x14ac:dyDescent="0.2">
      <c r="A143" s="78"/>
      <c r="B143" s="137">
        <f>'дод. 4'!A72</f>
        <v>0</v>
      </c>
      <c r="C143" s="137">
        <f>'дод. 4'!B72</f>
        <v>0</v>
      </c>
      <c r="D143" s="101" t="str">
        <f>'дод. 4'!C72</f>
        <v>у т.ч. за рахунок субвенцій з держбюджету</v>
      </c>
      <c r="E143" s="80">
        <f>F143+I143</f>
        <v>57630</v>
      </c>
      <c r="F143" s="80">
        <v>57630</v>
      </c>
      <c r="G143" s="80"/>
      <c r="H143" s="80"/>
      <c r="I143" s="80"/>
      <c r="J143" s="80">
        <f>K143+N143</f>
        <v>0</v>
      </c>
      <c r="K143" s="80"/>
      <c r="L143" s="80"/>
      <c r="M143" s="80"/>
      <c r="N143" s="80"/>
      <c r="O143" s="80"/>
      <c r="P143" s="80">
        <f>E143+J143</f>
        <v>57630</v>
      </c>
      <c r="Q143" s="266"/>
      <c r="R143" s="155"/>
      <c r="S143" s="155"/>
      <c r="T143" s="155"/>
    </row>
    <row r="144" spans="1:20" s="110" customFormat="1" ht="49.5" customHeight="1" x14ac:dyDescent="0.2">
      <c r="A144" s="78" t="s">
        <v>532</v>
      </c>
      <c r="B144" s="137" t="str">
        <f>'дод. 4'!A73</f>
        <v>3022</v>
      </c>
      <c r="C144" s="137">
        <f>'дод. 4'!B73</f>
        <v>1060</v>
      </c>
      <c r="D144" s="101" t="str">
        <f>'дод. 4'!C73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44" s="80">
        <f>F144+I144</f>
        <v>317770</v>
      </c>
      <c r="F144" s="80">
        <v>317770</v>
      </c>
      <c r="G144" s="80"/>
      <c r="H144" s="80"/>
      <c r="I144" s="80"/>
      <c r="J144" s="80">
        <f>K144+N144</f>
        <v>0</v>
      </c>
      <c r="K144" s="80"/>
      <c r="L144" s="80"/>
      <c r="M144" s="80"/>
      <c r="N144" s="80"/>
      <c r="O144" s="80"/>
      <c r="P144" s="80">
        <f>E144+J144</f>
        <v>317770</v>
      </c>
      <c r="Q144" s="266"/>
      <c r="R144" s="155"/>
      <c r="S144" s="155"/>
      <c r="T144" s="155"/>
    </row>
    <row r="145" spans="1:21" s="110" customFormat="1" x14ac:dyDescent="0.2">
      <c r="A145" s="78"/>
      <c r="B145" s="137">
        <f>'дод. 4'!A74</f>
        <v>0</v>
      </c>
      <c r="C145" s="137">
        <f>'дод. 4'!B74</f>
        <v>0</v>
      </c>
      <c r="D145" s="101" t="str">
        <f>'дод. 4'!C74</f>
        <v>у т.ч. за рахунок субвенцій з держбюджету</v>
      </c>
      <c r="E145" s="80">
        <f>F145+I145</f>
        <v>317770</v>
      </c>
      <c r="F145" s="80">
        <v>317770</v>
      </c>
      <c r="G145" s="80"/>
      <c r="H145" s="80"/>
      <c r="I145" s="80"/>
      <c r="J145" s="80">
        <f>K145+N145</f>
        <v>0</v>
      </c>
      <c r="K145" s="80"/>
      <c r="L145" s="80"/>
      <c r="M145" s="80"/>
      <c r="N145" s="80"/>
      <c r="O145" s="80"/>
      <c r="P145" s="80">
        <f>E145+J145</f>
        <v>317770</v>
      </c>
      <c r="Q145" s="266"/>
      <c r="R145" s="155"/>
      <c r="S145" s="155"/>
      <c r="T145" s="155"/>
    </row>
    <row r="146" spans="1:21" s="120" customFormat="1" ht="60" x14ac:dyDescent="0.2">
      <c r="A146" s="81" t="s">
        <v>293</v>
      </c>
      <c r="B146" s="81" t="str">
        <f>'дод. 4'!A75</f>
        <v>3030</v>
      </c>
      <c r="C146" s="81">
        <f>'дод. 4'!B75</f>
        <v>0</v>
      </c>
      <c r="D146" s="102" t="str">
        <f>'дод. 4'!C75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46" s="83">
        <f>E147+E148+E149+E151+E150</f>
        <v>57559724.890000001</v>
      </c>
      <c r="F146" s="83">
        <f t="shared" ref="F146:P146" si="50">F147+F148+F149+F151+F150</f>
        <v>57559724.890000001</v>
      </c>
      <c r="G146" s="83">
        <f t="shared" si="50"/>
        <v>0</v>
      </c>
      <c r="H146" s="83">
        <f t="shared" si="50"/>
        <v>0</v>
      </c>
      <c r="I146" s="83">
        <f t="shared" si="50"/>
        <v>0</v>
      </c>
      <c r="J146" s="83">
        <f t="shared" si="50"/>
        <v>214000</v>
      </c>
      <c r="K146" s="83">
        <f t="shared" si="50"/>
        <v>0</v>
      </c>
      <c r="L146" s="83">
        <f t="shared" si="50"/>
        <v>0</v>
      </c>
      <c r="M146" s="83">
        <f t="shared" si="50"/>
        <v>0</v>
      </c>
      <c r="N146" s="83">
        <f t="shared" si="50"/>
        <v>214000</v>
      </c>
      <c r="O146" s="83">
        <f t="shared" si="50"/>
        <v>214000</v>
      </c>
      <c r="P146" s="83">
        <f t="shared" si="50"/>
        <v>57773724.890000001</v>
      </c>
      <c r="Q146" s="266"/>
      <c r="R146" s="154"/>
      <c r="S146" s="154"/>
      <c r="T146" s="154"/>
      <c r="U146" s="125"/>
    </row>
    <row r="147" spans="1:21" s="121" customFormat="1" ht="36" customHeight="1" x14ac:dyDescent="0.2">
      <c r="A147" s="78" t="s">
        <v>294</v>
      </c>
      <c r="B147" s="78" t="str">
        <f>'дод. 4'!A76</f>
        <v>3031</v>
      </c>
      <c r="C147" s="78" t="str">
        <f>'дод. 4'!B76</f>
        <v>1030</v>
      </c>
      <c r="D147" s="101" t="str">
        <f>'дод. 4'!C76</f>
        <v>Надання інших пільг окремим категоріям громадян відповідно до законодавства</v>
      </c>
      <c r="E147" s="80">
        <f>F147+I147</f>
        <v>471502</v>
      </c>
      <c r="F147" s="80">
        <f>371502+100000</f>
        <v>471502</v>
      </c>
      <c r="G147" s="80"/>
      <c r="H147" s="80"/>
      <c r="I147" s="80"/>
      <c r="J147" s="80">
        <f>K147+N147</f>
        <v>214000</v>
      </c>
      <c r="K147" s="80"/>
      <c r="L147" s="80"/>
      <c r="M147" s="80"/>
      <c r="N147" s="80">
        <v>214000</v>
      </c>
      <c r="O147" s="80">
        <v>214000</v>
      </c>
      <c r="P147" s="80">
        <f>E147+J147</f>
        <v>685502</v>
      </c>
      <c r="Q147" s="266"/>
      <c r="R147" s="155"/>
      <c r="S147" s="155"/>
      <c r="T147" s="155"/>
    </row>
    <row r="148" spans="1:21" s="121" customFormat="1" ht="30" x14ac:dyDescent="0.2">
      <c r="A148" s="78" t="s">
        <v>295</v>
      </c>
      <c r="B148" s="78" t="str">
        <f>'дод. 4'!A77</f>
        <v>3032</v>
      </c>
      <c r="C148" s="78" t="str">
        <f>'дод. 4'!B77</f>
        <v>1070</v>
      </c>
      <c r="D148" s="101" t="str">
        <f>'дод. 4'!C77</f>
        <v>Надання пільг окремим категоріям громадян з оплати послуг зв'язку</v>
      </c>
      <c r="E148" s="80">
        <f>F148+I148</f>
        <v>1541402</v>
      </c>
      <c r="F148" s="80">
        <v>1541402</v>
      </c>
      <c r="G148" s="80"/>
      <c r="H148" s="80"/>
      <c r="I148" s="80"/>
      <c r="J148" s="80">
        <f>K148+N148</f>
        <v>0</v>
      </c>
      <c r="K148" s="80"/>
      <c r="L148" s="80"/>
      <c r="M148" s="80"/>
      <c r="N148" s="80"/>
      <c r="O148" s="80"/>
      <c r="P148" s="80">
        <f>E148+J148</f>
        <v>1541402</v>
      </c>
      <c r="Q148" s="266"/>
      <c r="R148" s="155"/>
      <c r="S148" s="155"/>
      <c r="T148" s="155"/>
    </row>
    <row r="149" spans="1:21" s="121" customFormat="1" ht="45" x14ac:dyDescent="0.2">
      <c r="A149" s="78" t="s">
        <v>296</v>
      </c>
      <c r="B149" s="78" t="str">
        <f>'дод. 4'!A78</f>
        <v>3033</v>
      </c>
      <c r="C149" s="78" t="str">
        <f>'дод. 4'!B78</f>
        <v>1070</v>
      </c>
      <c r="D149" s="101" t="str">
        <f>'дод. 4'!C78</f>
        <v>Компенсаційні виплати на пільговий проїзд автомобільним транспортом окремим категоріям громадян</v>
      </c>
      <c r="E149" s="80">
        <f>F149+I149</f>
        <v>17865394.890000001</v>
      </c>
      <c r="F149" s="80">
        <f>9466596+101200+4000000+491337.34+250976.55+126285+3429000</f>
        <v>17865394.890000001</v>
      </c>
      <c r="G149" s="80"/>
      <c r="H149" s="80"/>
      <c r="I149" s="80"/>
      <c r="J149" s="80">
        <f>K149+N149</f>
        <v>0</v>
      </c>
      <c r="K149" s="80"/>
      <c r="L149" s="80"/>
      <c r="M149" s="80"/>
      <c r="N149" s="80"/>
      <c r="O149" s="80"/>
      <c r="P149" s="80">
        <f>E149+J149</f>
        <v>17865394.890000001</v>
      </c>
      <c r="Q149" s="266"/>
      <c r="R149" s="155"/>
      <c r="S149" s="155"/>
      <c r="T149" s="155"/>
    </row>
    <row r="150" spans="1:21" s="121" customFormat="1" ht="30" x14ac:dyDescent="0.2">
      <c r="A150" s="78" t="s">
        <v>596</v>
      </c>
      <c r="B150" s="78" t="str">
        <f>'дод. 4'!A79</f>
        <v>3035</v>
      </c>
      <c r="C150" s="78" t="str">
        <f>'дод. 4'!B79</f>
        <v>1070</v>
      </c>
      <c r="D150" s="101" t="str">
        <f>'дод. 4'!C79</f>
        <v>Компенсаційні виплати за пільговий проїзд окремих категорій громадян на залізничному транспорті</v>
      </c>
      <c r="E150" s="80">
        <f>F150+I150</f>
        <v>3000000</v>
      </c>
      <c r="F150" s="80">
        <f>1000000+1000000+1000000</f>
        <v>3000000</v>
      </c>
      <c r="G150" s="80"/>
      <c r="H150" s="80"/>
      <c r="I150" s="80"/>
      <c r="J150" s="80">
        <f>K150+N150</f>
        <v>0</v>
      </c>
      <c r="K150" s="80"/>
      <c r="L150" s="80"/>
      <c r="M150" s="80"/>
      <c r="N150" s="80"/>
      <c r="O150" s="80"/>
      <c r="P150" s="80">
        <f>E150+J150</f>
        <v>3000000</v>
      </c>
      <c r="Q150" s="266"/>
      <c r="R150" s="155"/>
      <c r="S150" s="155"/>
      <c r="T150" s="155"/>
    </row>
    <row r="151" spans="1:21" s="121" customFormat="1" ht="49.5" customHeight="1" x14ac:dyDescent="0.2">
      <c r="A151" s="78" t="s">
        <v>297</v>
      </c>
      <c r="B151" s="78" t="str">
        <f>'дод. 4'!A80</f>
        <v>3036</v>
      </c>
      <c r="C151" s="78" t="str">
        <f>'дод. 4'!B80</f>
        <v>1070</v>
      </c>
      <c r="D151" s="101" t="str">
        <f>'дод. 4'!C80</f>
        <v>Компенсаційні виплати на пільговий проїзд електротранспортом окремим категоріям громадян</v>
      </c>
      <c r="E151" s="80">
        <f>F151+I151</f>
        <v>34681426</v>
      </c>
      <c r="F151" s="80">
        <f>27193426+6000000+1488000</f>
        <v>34681426</v>
      </c>
      <c r="G151" s="80"/>
      <c r="H151" s="80"/>
      <c r="I151" s="80"/>
      <c r="J151" s="80">
        <f>K151+N151</f>
        <v>0</v>
      </c>
      <c r="K151" s="80"/>
      <c r="L151" s="80"/>
      <c r="M151" s="80"/>
      <c r="N151" s="80"/>
      <c r="O151" s="80"/>
      <c r="P151" s="80">
        <f>E151+J151</f>
        <v>34681426</v>
      </c>
      <c r="Q151" s="266"/>
      <c r="R151" s="155"/>
      <c r="S151" s="155"/>
      <c r="T151" s="155"/>
    </row>
    <row r="152" spans="1:21" s="130" customFormat="1" ht="51.75" customHeight="1" x14ac:dyDescent="0.2">
      <c r="A152" s="132" t="s">
        <v>549</v>
      </c>
      <c r="B152" s="132" t="str">
        <f>'дод. 4'!A81</f>
        <v>3040</v>
      </c>
      <c r="C152" s="132">
        <f>'дод. 4'!B81</f>
        <v>0</v>
      </c>
      <c r="D152" s="102" t="str">
        <f>'дод. 4'!C81</f>
        <v>Надання допомоги сім'ям з дітьми, малозабезпеченим сім’ям, тимчасової допомоги дітям</v>
      </c>
      <c r="E152" s="77">
        <f t="shared" ref="E152:P152" si="51">E154+E156+E158+E160+E162+E164+E166</f>
        <v>257256180</v>
      </c>
      <c r="F152" s="77">
        <f t="shared" si="51"/>
        <v>257256180</v>
      </c>
      <c r="G152" s="77">
        <f t="shared" si="51"/>
        <v>0</v>
      </c>
      <c r="H152" s="77">
        <f t="shared" si="51"/>
        <v>0</v>
      </c>
      <c r="I152" s="77">
        <f t="shared" si="51"/>
        <v>0</v>
      </c>
      <c r="J152" s="77">
        <f t="shared" si="51"/>
        <v>0</v>
      </c>
      <c r="K152" s="77">
        <f t="shared" si="51"/>
        <v>0</v>
      </c>
      <c r="L152" s="77">
        <f t="shared" si="51"/>
        <v>0</v>
      </c>
      <c r="M152" s="77">
        <f t="shared" si="51"/>
        <v>0</v>
      </c>
      <c r="N152" s="77">
        <f t="shared" si="51"/>
        <v>0</v>
      </c>
      <c r="O152" s="77">
        <f t="shared" si="51"/>
        <v>0</v>
      </c>
      <c r="P152" s="77">
        <f t="shared" si="51"/>
        <v>257256180</v>
      </c>
      <c r="Q152" s="266"/>
      <c r="R152" s="158"/>
      <c r="S152" s="158"/>
      <c r="T152" s="158"/>
    </row>
    <row r="153" spans="1:21" s="130" customFormat="1" ht="19.5" customHeight="1" x14ac:dyDescent="0.2">
      <c r="A153" s="132"/>
      <c r="B153" s="132">
        <f>'дод. 4'!A82</f>
        <v>0</v>
      </c>
      <c r="C153" s="132">
        <f>'дод. 4'!B82</f>
        <v>0</v>
      </c>
      <c r="D153" s="102" t="str">
        <f>'дод. 4'!C82</f>
        <v>у т.ч. за рахунок субвенцій з держбюджету</v>
      </c>
      <c r="E153" s="77">
        <f t="shared" ref="E153:P153" si="52">E155+E157+E159+E161+E163+E165+E167</f>
        <v>257256180</v>
      </c>
      <c r="F153" s="77">
        <f t="shared" si="52"/>
        <v>257256180</v>
      </c>
      <c r="G153" s="77">
        <f t="shared" si="52"/>
        <v>0</v>
      </c>
      <c r="H153" s="77">
        <f t="shared" si="52"/>
        <v>0</v>
      </c>
      <c r="I153" s="77">
        <f t="shared" si="52"/>
        <v>0</v>
      </c>
      <c r="J153" s="77">
        <f t="shared" si="52"/>
        <v>0</v>
      </c>
      <c r="K153" s="77">
        <f t="shared" si="52"/>
        <v>0</v>
      </c>
      <c r="L153" s="77">
        <f t="shared" si="52"/>
        <v>0</v>
      </c>
      <c r="M153" s="77">
        <f t="shared" si="52"/>
        <v>0</v>
      </c>
      <c r="N153" s="77">
        <f t="shared" si="52"/>
        <v>0</v>
      </c>
      <c r="O153" s="77">
        <f t="shared" si="52"/>
        <v>0</v>
      </c>
      <c r="P153" s="77">
        <f t="shared" si="52"/>
        <v>257256180</v>
      </c>
      <c r="Q153" s="266"/>
      <c r="R153" s="158"/>
      <c r="S153" s="158"/>
      <c r="T153" s="158"/>
    </row>
    <row r="154" spans="1:21" s="121" customFormat="1" ht="27" customHeight="1" x14ac:dyDescent="0.2">
      <c r="A154" s="137" t="s">
        <v>550</v>
      </c>
      <c r="B154" s="137" t="str">
        <f>'дод. 4'!A83</f>
        <v>3041</v>
      </c>
      <c r="C154" s="137" t="str">
        <f>'дод. 4'!B83</f>
        <v>1040</v>
      </c>
      <c r="D154" s="101" t="str">
        <f>'дод. 4'!C83</f>
        <v>Надання допомоги у зв'язку з вагітністю і пологами</v>
      </c>
      <c r="E154" s="80">
        <f t="shared" ref="E154:E168" si="53">F154+I154</f>
        <v>3598320</v>
      </c>
      <c r="F154" s="80">
        <v>3598320</v>
      </c>
      <c r="G154" s="80"/>
      <c r="H154" s="80"/>
      <c r="I154" s="80"/>
      <c r="J154" s="80">
        <f>K154+N154</f>
        <v>0</v>
      </c>
      <c r="K154" s="80"/>
      <c r="L154" s="80"/>
      <c r="M154" s="80"/>
      <c r="N154" s="80"/>
      <c r="O154" s="80"/>
      <c r="P154" s="80">
        <f t="shared" ref="P154:P168" si="54">E154+J154</f>
        <v>3598320</v>
      </c>
      <c r="Q154" s="266"/>
      <c r="R154" s="155"/>
      <c r="S154" s="155"/>
      <c r="T154" s="155"/>
    </row>
    <row r="155" spans="1:21" s="121" customFormat="1" ht="19.5" customHeight="1" x14ac:dyDescent="0.2">
      <c r="A155" s="137"/>
      <c r="B155" s="137">
        <f>'дод. 4'!A84</f>
        <v>0</v>
      </c>
      <c r="C155" s="137">
        <f>'дод. 4'!B84</f>
        <v>0</v>
      </c>
      <c r="D155" s="101" t="str">
        <f>'дод. 4'!C84</f>
        <v>у т.ч. за рахунок субвенцій з держбюджету</v>
      </c>
      <c r="E155" s="80">
        <f t="shared" si="53"/>
        <v>3598320</v>
      </c>
      <c r="F155" s="80">
        <v>3598320</v>
      </c>
      <c r="G155" s="80"/>
      <c r="H155" s="80"/>
      <c r="I155" s="80"/>
      <c r="J155" s="80">
        <f t="shared" ref="J155:J167" si="55">K155+N155</f>
        <v>0</v>
      </c>
      <c r="K155" s="80"/>
      <c r="L155" s="80"/>
      <c r="M155" s="80"/>
      <c r="N155" s="80"/>
      <c r="O155" s="80"/>
      <c r="P155" s="80">
        <f t="shared" si="54"/>
        <v>3598320</v>
      </c>
      <c r="Q155" s="266"/>
      <c r="R155" s="155"/>
      <c r="S155" s="155"/>
      <c r="T155" s="155"/>
    </row>
    <row r="156" spans="1:21" s="121" customFormat="1" ht="21" customHeight="1" x14ac:dyDescent="0.2">
      <c r="A156" s="137" t="s">
        <v>551</v>
      </c>
      <c r="B156" s="137" t="str">
        <f>'дод. 4'!A85</f>
        <v>3042</v>
      </c>
      <c r="C156" s="137" t="str">
        <f>'дод. 4'!B85</f>
        <v>1040</v>
      </c>
      <c r="D156" s="101" t="str">
        <f>'дод. 4'!C85</f>
        <v>Надання допомоги при усиновленні дитини</v>
      </c>
      <c r="E156" s="80">
        <f t="shared" si="53"/>
        <v>392160</v>
      </c>
      <c r="F156" s="80">
        <v>392160</v>
      </c>
      <c r="G156" s="80"/>
      <c r="H156" s="80"/>
      <c r="I156" s="80"/>
      <c r="J156" s="80">
        <f t="shared" si="55"/>
        <v>0</v>
      </c>
      <c r="K156" s="80"/>
      <c r="L156" s="80"/>
      <c r="M156" s="80"/>
      <c r="N156" s="80"/>
      <c r="O156" s="80"/>
      <c r="P156" s="80">
        <f t="shared" si="54"/>
        <v>392160</v>
      </c>
      <c r="Q156" s="266"/>
      <c r="R156" s="155"/>
      <c r="S156" s="155"/>
      <c r="T156" s="155"/>
    </row>
    <row r="157" spans="1:21" s="121" customFormat="1" ht="19.5" customHeight="1" x14ac:dyDescent="0.2">
      <c r="A157" s="137"/>
      <c r="B157" s="137">
        <f>'дод. 4'!A86</f>
        <v>0</v>
      </c>
      <c r="C157" s="137">
        <f>'дод. 4'!B86</f>
        <v>0</v>
      </c>
      <c r="D157" s="101" t="str">
        <f>'дод. 4'!C86</f>
        <v>у т.ч. за рахунок субвенцій з держбюджету</v>
      </c>
      <c r="E157" s="80">
        <f t="shared" si="53"/>
        <v>392160</v>
      </c>
      <c r="F157" s="80">
        <v>392160</v>
      </c>
      <c r="G157" s="80"/>
      <c r="H157" s="80"/>
      <c r="I157" s="80"/>
      <c r="J157" s="80">
        <f t="shared" si="55"/>
        <v>0</v>
      </c>
      <c r="K157" s="80"/>
      <c r="L157" s="80"/>
      <c r="M157" s="80"/>
      <c r="N157" s="80"/>
      <c r="O157" s="80"/>
      <c r="P157" s="80">
        <f t="shared" si="54"/>
        <v>392160</v>
      </c>
      <c r="Q157" s="266"/>
      <c r="R157" s="155"/>
      <c r="S157" s="155"/>
      <c r="T157" s="155"/>
    </row>
    <row r="158" spans="1:21" s="121" customFormat="1" ht="19.5" customHeight="1" x14ac:dyDescent="0.2">
      <c r="A158" s="137" t="s">
        <v>552</v>
      </c>
      <c r="B158" s="137" t="str">
        <f>'дод. 4'!A87</f>
        <v>3043</v>
      </c>
      <c r="C158" s="137" t="str">
        <f>'дод. 4'!B87</f>
        <v>1040</v>
      </c>
      <c r="D158" s="101" t="str">
        <f>'дод. 4'!C87</f>
        <v>Надання допомоги при народженні дитини</v>
      </c>
      <c r="E158" s="80">
        <f t="shared" si="53"/>
        <v>134165700</v>
      </c>
      <c r="F158" s="80">
        <v>134165700</v>
      </c>
      <c r="G158" s="80"/>
      <c r="H158" s="80"/>
      <c r="I158" s="80"/>
      <c r="J158" s="80">
        <f t="shared" si="55"/>
        <v>0</v>
      </c>
      <c r="K158" s="80"/>
      <c r="L158" s="80"/>
      <c r="M158" s="80"/>
      <c r="N158" s="80"/>
      <c r="O158" s="80"/>
      <c r="P158" s="80">
        <f t="shared" si="54"/>
        <v>134165700</v>
      </c>
      <c r="Q158" s="266"/>
      <c r="R158" s="155"/>
      <c r="S158" s="155"/>
      <c r="T158" s="155"/>
    </row>
    <row r="159" spans="1:21" s="121" customFormat="1" ht="19.5" customHeight="1" x14ac:dyDescent="0.2">
      <c r="A159" s="137"/>
      <c r="B159" s="137">
        <f>'дод. 4'!A88</f>
        <v>0</v>
      </c>
      <c r="C159" s="137">
        <f>'дод. 4'!B88</f>
        <v>0</v>
      </c>
      <c r="D159" s="101" t="str">
        <f>'дод. 4'!C88</f>
        <v>у т.ч. за рахунок субвенцій з держбюджету</v>
      </c>
      <c r="E159" s="80">
        <f t="shared" si="53"/>
        <v>134165700</v>
      </c>
      <c r="F159" s="80">
        <v>134165700</v>
      </c>
      <c r="G159" s="80"/>
      <c r="H159" s="80"/>
      <c r="I159" s="80"/>
      <c r="J159" s="80">
        <f t="shared" si="55"/>
        <v>0</v>
      </c>
      <c r="K159" s="80"/>
      <c r="L159" s="80"/>
      <c r="M159" s="80"/>
      <c r="N159" s="80"/>
      <c r="O159" s="80"/>
      <c r="P159" s="80">
        <f t="shared" si="54"/>
        <v>134165700</v>
      </c>
      <c r="Q159" s="266"/>
      <c r="R159" s="155"/>
      <c r="S159" s="155"/>
      <c r="T159" s="155"/>
    </row>
    <row r="160" spans="1:21" s="121" customFormat="1" ht="30.75" customHeight="1" x14ac:dyDescent="0.2">
      <c r="A160" s="137" t="s">
        <v>553</v>
      </c>
      <c r="B160" s="137" t="str">
        <f>'дод. 4'!A89</f>
        <v>3044</v>
      </c>
      <c r="C160" s="137" t="str">
        <f>'дод. 4'!B89</f>
        <v>1040</v>
      </c>
      <c r="D160" s="101" t="str">
        <f>'дод. 4'!C89</f>
        <v>Надання допомоги на дітей, над якими встановлено опіку чи піклування</v>
      </c>
      <c r="E160" s="80">
        <f t="shared" si="53"/>
        <v>10265200</v>
      </c>
      <c r="F160" s="80">
        <v>10265200</v>
      </c>
      <c r="G160" s="80"/>
      <c r="H160" s="80"/>
      <c r="I160" s="80"/>
      <c r="J160" s="80">
        <f t="shared" si="55"/>
        <v>0</v>
      </c>
      <c r="K160" s="80"/>
      <c r="L160" s="80"/>
      <c r="M160" s="80"/>
      <c r="N160" s="80"/>
      <c r="O160" s="80"/>
      <c r="P160" s="80">
        <f t="shared" si="54"/>
        <v>10265200</v>
      </c>
      <c r="Q160" s="266"/>
      <c r="R160" s="155"/>
      <c r="S160" s="155"/>
      <c r="T160" s="155"/>
    </row>
    <row r="161" spans="1:20" s="121" customFormat="1" ht="19.5" customHeight="1" x14ac:dyDescent="0.2">
      <c r="A161" s="137"/>
      <c r="B161" s="137">
        <f>'дод. 4'!A90</f>
        <v>0</v>
      </c>
      <c r="C161" s="137">
        <f>'дод. 4'!B90</f>
        <v>0</v>
      </c>
      <c r="D161" s="101" t="str">
        <f>'дод. 4'!C90</f>
        <v>у т.ч. за рахунок субвенцій з держбюджету</v>
      </c>
      <c r="E161" s="80">
        <f t="shared" si="53"/>
        <v>10265200</v>
      </c>
      <c r="F161" s="80">
        <v>10265200</v>
      </c>
      <c r="G161" s="80"/>
      <c r="H161" s="80"/>
      <c r="I161" s="80"/>
      <c r="J161" s="80">
        <f t="shared" si="55"/>
        <v>0</v>
      </c>
      <c r="K161" s="80"/>
      <c r="L161" s="80"/>
      <c r="M161" s="80"/>
      <c r="N161" s="80"/>
      <c r="O161" s="80"/>
      <c r="P161" s="80">
        <f t="shared" si="54"/>
        <v>10265200</v>
      </c>
      <c r="Q161" s="266"/>
      <c r="R161" s="155"/>
      <c r="S161" s="155"/>
      <c r="T161" s="155"/>
    </row>
    <row r="162" spans="1:20" s="121" customFormat="1" ht="22.5" customHeight="1" x14ac:dyDescent="0.2">
      <c r="A162" s="137" t="s">
        <v>554</v>
      </c>
      <c r="B162" s="137" t="str">
        <f>'дод. 4'!A91</f>
        <v>3045</v>
      </c>
      <c r="C162" s="137" t="str">
        <f>'дод. 4'!B91</f>
        <v>1040</v>
      </c>
      <c r="D162" s="101" t="str">
        <f>'дод. 4'!C91</f>
        <v>Надання допомоги на дітей одиноким матерям</v>
      </c>
      <c r="E162" s="80">
        <f t="shared" si="53"/>
        <v>50558840</v>
      </c>
      <c r="F162" s="80">
        <v>50558840</v>
      </c>
      <c r="G162" s="80"/>
      <c r="H162" s="80"/>
      <c r="I162" s="80"/>
      <c r="J162" s="80">
        <f t="shared" si="55"/>
        <v>0</v>
      </c>
      <c r="K162" s="80"/>
      <c r="L162" s="80"/>
      <c r="M162" s="80"/>
      <c r="N162" s="80"/>
      <c r="O162" s="80"/>
      <c r="P162" s="80">
        <f t="shared" si="54"/>
        <v>50558840</v>
      </c>
      <c r="Q162" s="266"/>
      <c r="R162" s="155"/>
      <c r="S162" s="155"/>
      <c r="T162" s="155"/>
    </row>
    <row r="163" spans="1:20" s="121" customFormat="1" ht="19.5" customHeight="1" x14ac:dyDescent="0.2">
      <c r="A163" s="137"/>
      <c r="B163" s="137">
        <f>'дод. 4'!A92</f>
        <v>0</v>
      </c>
      <c r="C163" s="137">
        <f>'дод. 4'!B92</f>
        <v>0</v>
      </c>
      <c r="D163" s="101" t="str">
        <f>'дод. 4'!C92</f>
        <v>у т.ч. за рахунок субвенцій з держбюджету</v>
      </c>
      <c r="E163" s="80">
        <f t="shared" si="53"/>
        <v>50558840</v>
      </c>
      <c r="F163" s="80">
        <v>50558840</v>
      </c>
      <c r="G163" s="80"/>
      <c r="H163" s="80"/>
      <c r="I163" s="80"/>
      <c r="J163" s="80">
        <f t="shared" si="55"/>
        <v>0</v>
      </c>
      <c r="K163" s="80"/>
      <c r="L163" s="80"/>
      <c r="M163" s="80"/>
      <c r="N163" s="80"/>
      <c r="O163" s="80"/>
      <c r="P163" s="80">
        <f t="shared" si="54"/>
        <v>50558840</v>
      </c>
      <c r="Q163" s="266"/>
      <c r="R163" s="155"/>
      <c r="S163" s="155"/>
      <c r="T163" s="155"/>
    </row>
    <row r="164" spans="1:20" s="121" customFormat="1" ht="22.5" customHeight="1" x14ac:dyDescent="0.2">
      <c r="A164" s="137" t="s">
        <v>555</v>
      </c>
      <c r="B164" s="137" t="str">
        <f>'дод. 4'!A93</f>
        <v>3046</v>
      </c>
      <c r="C164" s="137" t="str">
        <f>'дод. 4'!B93</f>
        <v>1040</v>
      </c>
      <c r="D164" s="101" t="str">
        <f>'дод. 4'!C93</f>
        <v>Надання тимчасової державної допомоги дітям</v>
      </c>
      <c r="E164" s="80">
        <f t="shared" si="53"/>
        <v>2245360</v>
      </c>
      <c r="F164" s="80">
        <v>2245360</v>
      </c>
      <c r="G164" s="80"/>
      <c r="H164" s="80"/>
      <c r="I164" s="80"/>
      <c r="J164" s="80">
        <f t="shared" si="55"/>
        <v>0</v>
      </c>
      <c r="K164" s="80"/>
      <c r="L164" s="80"/>
      <c r="M164" s="80"/>
      <c r="N164" s="80"/>
      <c r="O164" s="80"/>
      <c r="P164" s="80">
        <f t="shared" si="54"/>
        <v>2245360</v>
      </c>
      <c r="Q164" s="266"/>
      <c r="R164" s="155"/>
      <c r="S164" s="155"/>
      <c r="T164" s="155"/>
    </row>
    <row r="165" spans="1:20" s="121" customFormat="1" ht="19.5" customHeight="1" x14ac:dyDescent="0.2">
      <c r="A165" s="137"/>
      <c r="B165" s="137">
        <f>'дод. 4'!A94</f>
        <v>0</v>
      </c>
      <c r="C165" s="137">
        <f>'дод. 4'!B94</f>
        <v>0</v>
      </c>
      <c r="D165" s="101" t="str">
        <f>'дод. 4'!C94</f>
        <v>у т.ч. за рахунок субвенцій з держбюджету</v>
      </c>
      <c r="E165" s="80">
        <f t="shared" si="53"/>
        <v>2245360</v>
      </c>
      <c r="F165" s="80">
        <v>2245360</v>
      </c>
      <c r="G165" s="80"/>
      <c r="H165" s="80"/>
      <c r="I165" s="80"/>
      <c r="J165" s="80">
        <f t="shared" si="55"/>
        <v>0</v>
      </c>
      <c r="K165" s="80"/>
      <c r="L165" s="80"/>
      <c r="M165" s="80"/>
      <c r="N165" s="80"/>
      <c r="O165" s="80"/>
      <c r="P165" s="80">
        <f t="shared" si="54"/>
        <v>2245360</v>
      </c>
      <c r="Q165" s="266"/>
      <c r="R165" s="155"/>
      <c r="S165" s="155"/>
      <c r="T165" s="155"/>
    </row>
    <row r="166" spans="1:20" s="121" customFormat="1" ht="31.5" customHeight="1" x14ac:dyDescent="0.2">
      <c r="A166" s="137" t="s">
        <v>556</v>
      </c>
      <c r="B166" s="137" t="str">
        <f>'дод. 4'!A95</f>
        <v>3047</v>
      </c>
      <c r="C166" s="137" t="str">
        <f>'дод. 4'!B95</f>
        <v>1040</v>
      </c>
      <c r="D166" s="101" t="str">
        <f>'дод. 4'!C95</f>
        <v>Надання державної соціальної допомоги малозабезпеченим сім’ям</v>
      </c>
      <c r="E166" s="80">
        <f t="shared" si="53"/>
        <v>56030600</v>
      </c>
      <c r="F166" s="80">
        <v>56030600</v>
      </c>
      <c r="G166" s="80"/>
      <c r="H166" s="80"/>
      <c r="I166" s="80"/>
      <c r="J166" s="80">
        <f t="shared" si="55"/>
        <v>0</v>
      </c>
      <c r="K166" s="80"/>
      <c r="L166" s="80"/>
      <c r="M166" s="80"/>
      <c r="N166" s="80"/>
      <c r="O166" s="80"/>
      <c r="P166" s="80">
        <f t="shared" si="54"/>
        <v>56030600</v>
      </c>
      <c r="Q166" s="266"/>
      <c r="R166" s="155"/>
      <c r="S166" s="155"/>
      <c r="T166" s="155"/>
    </row>
    <row r="167" spans="1:20" s="121" customFormat="1" ht="19.5" customHeight="1" x14ac:dyDescent="0.2">
      <c r="A167" s="137"/>
      <c r="B167" s="137">
        <f>'дод. 4'!A96</f>
        <v>0</v>
      </c>
      <c r="C167" s="137">
        <f>'дод. 4'!B96</f>
        <v>0</v>
      </c>
      <c r="D167" s="101" t="str">
        <f>'дод. 4'!C96</f>
        <v>у т.ч. за рахунок субвенцій з держбюджету</v>
      </c>
      <c r="E167" s="80">
        <f t="shared" si="53"/>
        <v>56030600</v>
      </c>
      <c r="F167" s="80">
        <v>56030600</v>
      </c>
      <c r="G167" s="80"/>
      <c r="H167" s="80"/>
      <c r="I167" s="80"/>
      <c r="J167" s="80">
        <f t="shared" si="55"/>
        <v>0</v>
      </c>
      <c r="K167" s="80"/>
      <c r="L167" s="80"/>
      <c r="M167" s="80"/>
      <c r="N167" s="80"/>
      <c r="O167" s="80"/>
      <c r="P167" s="80">
        <f t="shared" si="54"/>
        <v>56030600</v>
      </c>
      <c r="Q167" s="266"/>
      <c r="R167" s="155"/>
      <c r="S167" s="155"/>
      <c r="T167" s="155"/>
    </row>
    <row r="168" spans="1:20" s="4" customFormat="1" ht="45.75" customHeight="1" x14ac:dyDescent="0.2">
      <c r="A168" s="81" t="s">
        <v>298</v>
      </c>
      <c r="B168" s="81" t="str">
        <f>'дод. 4'!A97</f>
        <v>3050</v>
      </c>
      <c r="C168" s="81" t="str">
        <f>'дод. 4'!B97</f>
        <v>1070</v>
      </c>
      <c r="D168" s="102" t="str">
        <f>'дод. 4'!C97</f>
        <v>Пільгове медичне обслуговування осіб, які постраждали внаслідок Чорнобильської катастрофи</v>
      </c>
      <c r="E168" s="83">
        <f t="shared" si="53"/>
        <v>625100</v>
      </c>
      <c r="F168" s="83">
        <f>578335+625100-578335</f>
        <v>625100</v>
      </c>
      <c r="G168" s="83"/>
      <c r="H168" s="83"/>
      <c r="I168" s="83"/>
      <c r="J168" s="83">
        <f>K168+N168</f>
        <v>0</v>
      </c>
      <c r="K168" s="83"/>
      <c r="L168" s="83"/>
      <c r="M168" s="83"/>
      <c r="N168" s="83"/>
      <c r="O168" s="83"/>
      <c r="P168" s="83">
        <f t="shared" si="54"/>
        <v>625100</v>
      </c>
      <c r="Q168" s="266"/>
      <c r="R168" s="153"/>
      <c r="S168" s="153"/>
      <c r="T168" s="153"/>
    </row>
    <row r="169" spans="1:20" s="4" customFormat="1" ht="153.75" customHeight="1" x14ac:dyDescent="0.2">
      <c r="A169" s="81" t="s">
        <v>571</v>
      </c>
      <c r="B169" s="81" t="str">
        <f>'дод. 4'!A98</f>
        <v>3080</v>
      </c>
      <c r="C169" s="81">
        <f>'дод. 4'!B98</f>
        <v>0</v>
      </c>
      <c r="D169" s="82" t="s">
        <v>563</v>
      </c>
      <c r="E169" s="83">
        <f t="shared" ref="E169:P169" si="56">E171+E173+E175+E177+E179</f>
        <v>93112520</v>
      </c>
      <c r="F169" s="83">
        <f t="shared" si="56"/>
        <v>93112520</v>
      </c>
      <c r="G169" s="83">
        <f t="shared" si="56"/>
        <v>0</v>
      </c>
      <c r="H169" s="83">
        <f t="shared" si="56"/>
        <v>0</v>
      </c>
      <c r="I169" s="83">
        <f t="shared" si="56"/>
        <v>0</v>
      </c>
      <c r="J169" s="83">
        <f t="shared" si="56"/>
        <v>0</v>
      </c>
      <c r="K169" s="83">
        <f t="shared" si="56"/>
        <v>0</v>
      </c>
      <c r="L169" s="83">
        <f t="shared" si="56"/>
        <v>0</v>
      </c>
      <c r="M169" s="83">
        <f t="shared" si="56"/>
        <v>0</v>
      </c>
      <c r="N169" s="83">
        <f t="shared" si="56"/>
        <v>0</v>
      </c>
      <c r="O169" s="83">
        <f t="shared" si="56"/>
        <v>0</v>
      </c>
      <c r="P169" s="83">
        <f t="shared" si="56"/>
        <v>93112520</v>
      </c>
      <c r="Q169" s="266"/>
      <c r="R169" s="161"/>
      <c r="S169" s="161"/>
      <c r="T169" s="161"/>
    </row>
    <row r="170" spans="1:20" s="4" customFormat="1" ht="24.75" customHeight="1" x14ac:dyDescent="0.2">
      <c r="A170" s="81"/>
      <c r="B170" s="81">
        <f>'дод. 4'!A99</f>
        <v>0</v>
      </c>
      <c r="C170" s="81">
        <f>'дод. 4'!B99</f>
        <v>0</v>
      </c>
      <c r="D170" s="102" t="str">
        <f>'дод. 4'!C99</f>
        <v>у т.ч. за рахунок субвенцій з держбюджету</v>
      </c>
      <c r="E170" s="83">
        <f t="shared" ref="E170:P170" si="57">E172+E174+E176+E178+E180</f>
        <v>93112520</v>
      </c>
      <c r="F170" s="83">
        <f t="shared" si="57"/>
        <v>93112520</v>
      </c>
      <c r="G170" s="83">
        <f t="shared" si="57"/>
        <v>0</v>
      </c>
      <c r="H170" s="83">
        <f t="shared" si="57"/>
        <v>0</v>
      </c>
      <c r="I170" s="83">
        <f t="shared" si="57"/>
        <v>0</v>
      </c>
      <c r="J170" s="83">
        <f t="shared" si="57"/>
        <v>0</v>
      </c>
      <c r="K170" s="83">
        <f t="shared" si="57"/>
        <v>0</v>
      </c>
      <c r="L170" s="83">
        <f t="shared" si="57"/>
        <v>0</v>
      </c>
      <c r="M170" s="83">
        <f t="shared" si="57"/>
        <v>0</v>
      </c>
      <c r="N170" s="83">
        <f t="shared" si="57"/>
        <v>0</v>
      </c>
      <c r="O170" s="83">
        <f t="shared" si="57"/>
        <v>0</v>
      </c>
      <c r="P170" s="83">
        <f t="shared" si="57"/>
        <v>93112520</v>
      </c>
      <c r="Q170" s="252"/>
      <c r="R170" s="161"/>
      <c r="S170" s="161"/>
      <c r="T170" s="161"/>
    </row>
    <row r="171" spans="1:20" s="110" customFormat="1" ht="48.75" customHeight="1" x14ac:dyDescent="0.2">
      <c r="A171" s="78" t="s">
        <v>572</v>
      </c>
      <c r="B171" s="78" t="str">
        <f>'дод. 4'!A100</f>
        <v>3081</v>
      </c>
      <c r="C171" s="78" t="str">
        <f>'дод. 4'!B100</f>
        <v>1010</v>
      </c>
      <c r="D171" s="101" t="str">
        <f>'дод. 4'!C100</f>
        <v>Надання державної соціальної допомоги особам з інвалідністю з дитинства та дітям з інвалідністю</v>
      </c>
      <c r="E171" s="80">
        <f t="shared" ref="E171:E181" si="58">F171+I171</f>
        <v>62044050</v>
      </c>
      <c r="F171" s="80">
        <v>62044050</v>
      </c>
      <c r="G171" s="80"/>
      <c r="H171" s="80"/>
      <c r="I171" s="80"/>
      <c r="J171" s="80">
        <f>K171+N171</f>
        <v>0</v>
      </c>
      <c r="K171" s="80"/>
      <c r="L171" s="80"/>
      <c r="M171" s="80"/>
      <c r="N171" s="80"/>
      <c r="O171" s="80"/>
      <c r="P171" s="80">
        <f t="shared" ref="P171:P181" si="59">E171+J171</f>
        <v>62044050</v>
      </c>
      <c r="Q171" s="266">
        <v>30</v>
      </c>
      <c r="R171" s="155"/>
      <c r="S171" s="155"/>
      <c r="T171" s="155"/>
    </row>
    <row r="172" spans="1:20" s="110" customFormat="1" ht="25.5" customHeight="1" x14ac:dyDescent="0.2">
      <c r="A172" s="78"/>
      <c r="B172" s="78">
        <f>'дод. 4'!A101</f>
        <v>0</v>
      </c>
      <c r="C172" s="78">
        <f>'дод. 4'!B101</f>
        <v>0</v>
      </c>
      <c r="D172" s="101" t="str">
        <f>'дод. 4'!C101</f>
        <v>у т.ч. за рахунок субвенцій з держбюджету</v>
      </c>
      <c r="E172" s="80">
        <f t="shared" si="58"/>
        <v>62044050</v>
      </c>
      <c r="F172" s="80">
        <v>62044050</v>
      </c>
      <c r="G172" s="80"/>
      <c r="H172" s="80"/>
      <c r="I172" s="80"/>
      <c r="J172" s="80">
        <f t="shared" ref="J172:J180" si="60">K172+N172</f>
        <v>0</v>
      </c>
      <c r="K172" s="80"/>
      <c r="L172" s="80"/>
      <c r="M172" s="80"/>
      <c r="N172" s="80"/>
      <c r="O172" s="80"/>
      <c r="P172" s="80">
        <f t="shared" si="59"/>
        <v>62044050</v>
      </c>
      <c r="Q172" s="266"/>
      <c r="R172" s="155"/>
      <c r="S172" s="155"/>
      <c r="T172" s="155"/>
    </row>
    <row r="173" spans="1:20" s="110" customFormat="1" ht="63" customHeight="1" x14ac:dyDescent="0.2">
      <c r="A173" s="78" t="s">
        <v>573</v>
      </c>
      <c r="B173" s="78" t="str">
        <f>'дод. 4'!A102</f>
        <v>3082</v>
      </c>
      <c r="C173" s="78" t="str">
        <f>'дод. 4'!B102</f>
        <v>1010</v>
      </c>
      <c r="D173" s="101" t="str">
        <f>'дод. 4'!C102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73" s="80">
        <f t="shared" si="58"/>
        <v>12251650</v>
      </c>
      <c r="F173" s="80">
        <v>12251650</v>
      </c>
      <c r="G173" s="80"/>
      <c r="H173" s="80"/>
      <c r="I173" s="80"/>
      <c r="J173" s="80">
        <f t="shared" si="60"/>
        <v>0</v>
      </c>
      <c r="K173" s="80"/>
      <c r="L173" s="80"/>
      <c r="M173" s="80"/>
      <c r="N173" s="80"/>
      <c r="O173" s="80"/>
      <c r="P173" s="80">
        <f t="shared" si="59"/>
        <v>12251650</v>
      </c>
      <c r="Q173" s="266"/>
      <c r="R173" s="155"/>
      <c r="S173" s="155"/>
      <c r="T173" s="155"/>
    </row>
    <row r="174" spans="1:20" s="110" customFormat="1" ht="21" customHeight="1" x14ac:dyDescent="0.2">
      <c r="A174" s="78"/>
      <c r="B174" s="78">
        <f>'дод. 4'!A103</f>
        <v>0</v>
      </c>
      <c r="C174" s="78">
        <f>'дод. 4'!B103</f>
        <v>0</v>
      </c>
      <c r="D174" s="101" t="str">
        <f>'дод. 4'!C103</f>
        <v>у т.ч. за рахунок субвенцій з держбюджету</v>
      </c>
      <c r="E174" s="80">
        <f t="shared" si="58"/>
        <v>12251650</v>
      </c>
      <c r="F174" s="80">
        <v>12251650</v>
      </c>
      <c r="G174" s="80"/>
      <c r="H174" s="80"/>
      <c r="I174" s="80"/>
      <c r="J174" s="80">
        <f t="shared" si="60"/>
        <v>0</v>
      </c>
      <c r="K174" s="80"/>
      <c r="L174" s="80"/>
      <c r="M174" s="80"/>
      <c r="N174" s="80"/>
      <c r="O174" s="80"/>
      <c r="P174" s="80">
        <f t="shared" si="59"/>
        <v>12251650</v>
      </c>
      <c r="Q174" s="266"/>
      <c r="R174" s="155"/>
      <c r="S174" s="155"/>
      <c r="T174" s="155"/>
    </row>
    <row r="175" spans="1:20" s="110" customFormat="1" ht="51.75" customHeight="1" x14ac:dyDescent="0.2">
      <c r="A175" s="78" t="s">
        <v>574</v>
      </c>
      <c r="B175" s="78" t="str">
        <f>'дод. 4'!A104</f>
        <v>3083</v>
      </c>
      <c r="C175" s="78" t="str">
        <f>'дод. 4'!B104</f>
        <v>1010</v>
      </c>
      <c r="D175" s="101" t="str">
        <f>'дод. 4'!C104</f>
        <v>Надання допомоги по догляду за особами з інвалідністю I чи II групи внаслідок психічного розладу</v>
      </c>
      <c r="E175" s="80">
        <f t="shared" si="58"/>
        <v>11516480</v>
      </c>
      <c r="F175" s="80">
        <v>11516480</v>
      </c>
      <c r="G175" s="80"/>
      <c r="H175" s="80"/>
      <c r="I175" s="80"/>
      <c r="J175" s="80">
        <f t="shared" si="60"/>
        <v>0</v>
      </c>
      <c r="K175" s="80"/>
      <c r="L175" s="80"/>
      <c r="M175" s="80"/>
      <c r="N175" s="80"/>
      <c r="O175" s="80"/>
      <c r="P175" s="80">
        <f>E175+J175</f>
        <v>11516480</v>
      </c>
      <c r="Q175" s="266"/>
      <c r="R175" s="155"/>
      <c r="S175" s="155"/>
      <c r="T175" s="155"/>
    </row>
    <row r="176" spans="1:20" s="110" customFormat="1" ht="22.5" customHeight="1" x14ac:dyDescent="0.2">
      <c r="A176" s="78"/>
      <c r="B176" s="78">
        <f>'дод. 4'!A105</f>
        <v>0</v>
      </c>
      <c r="C176" s="78">
        <f>'дод. 4'!B105</f>
        <v>0</v>
      </c>
      <c r="D176" s="101" t="str">
        <f>'дод. 4'!C105</f>
        <v>у т.ч. за рахунок субвенцій з держбюджету</v>
      </c>
      <c r="E176" s="80">
        <f t="shared" si="58"/>
        <v>11516480</v>
      </c>
      <c r="F176" s="80">
        <v>11516480</v>
      </c>
      <c r="G176" s="80"/>
      <c r="H176" s="80"/>
      <c r="I176" s="80"/>
      <c r="J176" s="80">
        <f t="shared" si="60"/>
        <v>0</v>
      </c>
      <c r="K176" s="80"/>
      <c r="L176" s="80"/>
      <c r="M176" s="80"/>
      <c r="N176" s="80"/>
      <c r="O176" s="80"/>
      <c r="P176" s="80">
        <f>E176+J176</f>
        <v>11516480</v>
      </c>
      <c r="Q176" s="266"/>
      <c r="R176" s="155"/>
      <c r="S176" s="155"/>
      <c r="T176" s="155"/>
    </row>
    <row r="177" spans="1:20" s="110" customFormat="1" ht="62.25" customHeight="1" x14ac:dyDescent="0.2">
      <c r="A177" s="78" t="s">
        <v>575</v>
      </c>
      <c r="B177" s="78" t="str">
        <f>'дод. 4'!A106</f>
        <v>3084</v>
      </c>
      <c r="C177" s="78" t="str">
        <f>'дод. 4'!B106</f>
        <v>1040</v>
      </c>
      <c r="D177" s="101" t="str">
        <f>'дод. 4'!C106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77" s="80">
        <f t="shared" si="58"/>
        <v>7152070</v>
      </c>
      <c r="F177" s="80">
        <f>11267070-4115000</f>
        <v>7152070</v>
      </c>
      <c r="G177" s="80"/>
      <c r="H177" s="80"/>
      <c r="I177" s="80"/>
      <c r="J177" s="80">
        <f t="shared" si="60"/>
        <v>0</v>
      </c>
      <c r="K177" s="80"/>
      <c r="L177" s="80"/>
      <c r="M177" s="80"/>
      <c r="N177" s="80"/>
      <c r="O177" s="80"/>
      <c r="P177" s="80">
        <f>E177+J177</f>
        <v>7152070</v>
      </c>
      <c r="Q177" s="266"/>
      <c r="R177" s="155"/>
      <c r="S177" s="155"/>
      <c r="T177" s="155"/>
    </row>
    <row r="178" spans="1:20" s="110" customFormat="1" ht="27.75" customHeight="1" x14ac:dyDescent="0.2">
      <c r="A178" s="78"/>
      <c r="B178" s="78">
        <f>'дод. 4'!A107</f>
        <v>0</v>
      </c>
      <c r="C178" s="78">
        <f>'дод. 4'!B107</f>
        <v>0</v>
      </c>
      <c r="D178" s="101" t="str">
        <f>'дод. 4'!C107</f>
        <v>у т.ч. за рахунок субвенцій з держбюджету</v>
      </c>
      <c r="E178" s="80">
        <f t="shared" si="58"/>
        <v>7152070</v>
      </c>
      <c r="F178" s="80">
        <f>11267070-4115000</f>
        <v>7152070</v>
      </c>
      <c r="G178" s="80"/>
      <c r="H178" s="80"/>
      <c r="I178" s="80"/>
      <c r="J178" s="80">
        <f t="shared" si="60"/>
        <v>0</v>
      </c>
      <c r="K178" s="80"/>
      <c r="L178" s="80"/>
      <c r="M178" s="80"/>
      <c r="N178" s="80"/>
      <c r="O178" s="80"/>
      <c r="P178" s="80">
        <f>E178+J178</f>
        <v>7152070</v>
      </c>
      <c r="Q178" s="266"/>
      <c r="R178" s="155"/>
      <c r="S178" s="155"/>
      <c r="T178" s="155"/>
    </row>
    <row r="179" spans="1:20" s="110" customFormat="1" ht="60.75" customHeight="1" x14ac:dyDescent="0.2">
      <c r="A179" s="78" t="s">
        <v>576</v>
      </c>
      <c r="B179" s="78" t="str">
        <f>'дод. 4'!A108</f>
        <v>3085</v>
      </c>
      <c r="C179" s="78" t="str">
        <f>'дод. 4'!B108</f>
        <v>1010</v>
      </c>
      <c r="D179" s="101" t="str">
        <f>'дод. 4'!C108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79" s="80">
        <f t="shared" si="58"/>
        <v>148270</v>
      </c>
      <c r="F179" s="80">
        <v>148270</v>
      </c>
      <c r="G179" s="80"/>
      <c r="H179" s="80"/>
      <c r="I179" s="80"/>
      <c r="J179" s="80">
        <f t="shared" si="60"/>
        <v>0</v>
      </c>
      <c r="K179" s="80"/>
      <c r="L179" s="80"/>
      <c r="M179" s="80"/>
      <c r="N179" s="80"/>
      <c r="O179" s="80"/>
      <c r="P179" s="80">
        <f t="shared" si="59"/>
        <v>148270</v>
      </c>
      <c r="Q179" s="266"/>
      <c r="R179" s="155"/>
      <c r="S179" s="155"/>
      <c r="T179" s="155"/>
    </row>
    <row r="180" spans="1:20" s="110" customFormat="1" ht="24.75" customHeight="1" x14ac:dyDescent="0.2">
      <c r="A180" s="78"/>
      <c r="B180" s="78">
        <f>'дод. 4'!A109</f>
        <v>0</v>
      </c>
      <c r="C180" s="78">
        <f>'дод. 4'!B109</f>
        <v>0</v>
      </c>
      <c r="D180" s="101" t="str">
        <f>'дод. 4'!C109</f>
        <v>у т.ч. за рахунок субвенцій з держбюджету</v>
      </c>
      <c r="E180" s="80">
        <f t="shared" si="58"/>
        <v>148270</v>
      </c>
      <c r="F180" s="80">
        <v>148270</v>
      </c>
      <c r="G180" s="80"/>
      <c r="H180" s="80"/>
      <c r="I180" s="80"/>
      <c r="J180" s="80">
        <f t="shared" si="60"/>
        <v>0</v>
      </c>
      <c r="K180" s="80"/>
      <c r="L180" s="80"/>
      <c r="M180" s="80"/>
      <c r="N180" s="80"/>
      <c r="O180" s="80"/>
      <c r="P180" s="80">
        <f t="shared" si="59"/>
        <v>148270</v>
      </c>
      <c r="Q180" s="266"/>
      <c r="R180" s="155"/>
      <c r="S180" s="155"/>
      <c r="T180" s="155"/>
    </row>
    <row r="181" spans="1:20" s="4" customFormat="1" ht="30.75" customHeight="1" x14ac:dyDescent="0.2">
      <c r="A181" s="81" t="s">
        <v>501</v>
      </c>
      <c r="B181" s="81" t="str">
        <f>'дод. 4'!A110</f>
        <v>3090</v>
      </c>
      <c r="C181" s="81" t="str">
        <f>'дод. 4'!B110</f>
        <v>1030</v>
      </c>
      <c r="D181" s="102" t="str">
        <f>'дод. 4'!C110</f>
        <v>Видатки на поховання учасників бойових дій та осіб з інвалідністю внаслідок війни</v>
      </c>
      <c r="E181" s="83">
        <f t="shared" si="58"/>
        <v>200700</v>
      </c>
      <c r="F181" s="83">
        <v>200700</v>
      </c>
      <c r="G181" s="83"/>
      <c r="H181" s="83"/>
      <c r="I181" s="83"/>
      <c r="J181" s="83">
        <f>K181+N181</f>
        <v>0</v>
      </c>
      <c r="K181" s="83"/>
      <c r="L181" s="83"/>
      <c r="M181" s="83"/>
      <c r="N181" s="83"/>
      <c r="O181" s="83"/>
      <c r="P181" s="83">
        <f t="shared" si="59"/>
        <v>200700</v>
      </c>
      <c r="Q181" s="266"/>
      <c r="R181" s="153"/>
      <c r="S181" s="153"/>
      <c r="T181" s="153"/>
    </row>
    <row r="182" spans="1:20" s="4" customFormat="1" ht="62.25" customHeight="1" x14ac:dyDescent="0.2">
      <c r="A182" s="81" t="s">
        <v>299</v>
      </c>
      <c r="B182" s="81" t="str">
        <f>'дод. 4'!A111</f>
        <v>3100</v>
      </c>
      <c r="C182" s="81">
        <f>'дод. 4'!B111</f>
        <v>0</v>
      </c>
      <c r="D182" s="102" t="str">
        <f>'дод. 4'!C111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182" s="83">
        <f>E183</f>
        <v>9337375</v>
      </c>
      <c r="F182" s="83">
        <f t="shared" ref="F182:P182" si="61">F183</f>
        <v>9337375</v>
      </c>
      <c r="G182" s="83">
        <f t="shared" si="61"/>
        <v>7009500</v>
      </c>
      <c r="H182" s="83">
        <f t="shared" si="61"/>
        <v>193245</v>
      </c>
      <c r="I182" s="83">
        <f t="shared" si="61"/>
        <v>0</v>
      </c>
      <c r="J182" s="83">
        <f t="shared" si="61"/>
        <v>76400</v>
      </c>
      <c r="K182" s="83">
        <f t="shared" si="61"/>
        <v>57900</v>
      </c>
      <c r="L182" s="83">
        <f t="shared" si="61"/>
        <v>44700</v>
      </c>
      <c r="M182" s="83">
        <f t="shared" si="61"/>
        <v>0</v>
      </c>
      <c r="N182" s="83">
        <f t="shared" si="61"/>
        <v>18500</v>
      </c>
      <c r="O182" s="83">
        <f t="shared" si="61"/>
        <v>18500</v>
      </c>
      <c r="P182" s="83">
        <f t="shared" si="61"/>
        <v>9413775</v>
      </c>
      <c r="Q182" s="266"/>
      <c r="R182" s="154"/>
      <c r="S182" s="154"/>
      <c r="T182" s="154"/>
    </row>
    <row r="183" spans="1:20" s="110" customFormat="1" ht="60" x14ac:dyDescent="0.2">
      <c r="A183" s="78" t="s">
        <v>300</v>
      </c>
      <c r="B183" s="78" t="str">
        <f>'дод. 4'!A112</f>
        <v>3104</v>
      </c>
      <c r="C183" s="78" t="str">
        <f>'дод. 4'!B112</f>
        <v>1020</v>
      </c>
      <c r="D183" s="101" t="str">
        <f>'дод. 4'!C112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83" s="80">
        <f>F183+I183</f>
        <v>9337375</v>
      </c>
      <c r="F183" s="80">
        <f>9191915+74560+36400+15000+5000+5000+7000+2500</f>
        <v>9337375</v>
      </c>
      <c r="G183" s="80">
        <f>6946900+62600</f>
        <v>7009500</v>
      </c>
      <c r="H183" s="80">
        <v>193245</v>
      </c>
      <c r="I183" s="80"/>
      <c r="J183" s="80">
        <f>K183+N183</f>
        <v>76400</v>
      </c>
      <c r="K183" s="80">
        <v>57900</v>
      </c>
      <c r="L183" s="80">
        <v>44700</v>
      </c>
      <c r="M183" s="80"/>
      <c r="N183" s="80">
        <v>18500</v>
      </c>
      <c r="O183" s="80">
        <v>18500</v>
      </c>
      <c r="P183" s="80">
        <f>E183+J183</f>
        <v>9413775</v>
      </c>
      <c r="Q183" s="266"/>
      <c r="R183" s="155"/>
      <c r="S183" s="155"/>
      <c r="T183" s="155"/>
    </row>
    <row r="184" spans="1:20" s="4" customFormat="1" ht="81.75" customHeight="1" x14ac:dyDescent="0.2">
      <c r="A184" s="81" t="s">
        <v>301</v>
      </c>
      <c r="B184" s="81" t="str">
        <f>'дод. 4'!A120</f>
        <v>3160</v>
      </c>
      <c r="C184" s="81">
        <f>'дод. 4'!B120</f>
        <v>1010</v>
      </c>
      <c r="D184" s="102" t="str">
        <f>'дод. 4'!C120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84" s="83">
        <f>F184+I184</f>
        <v>1673920</v>
      </c>
      <c r="F184" s="83">
        <v>1673920</v>
      </c>
      <c r="G184" s="83"/>
      <c r="H184" s="83"/>
      <c r="I184" s="83"/>
      <c r="J184" s="83">
        <f>O184</f>
        <v>0</v>
      </c>
      <c r="K184" s="83"/>
      <c r="L184" s="83"/>
      <c r="M184" s="83"/>
      <c r="N184" s="83"/>
      <c r="O184" s="83">
        <v>0</v>
      </c>
      <c r="P184" s="83">
        <f>J184+E184</f>
        <v>1673920</v>
      </c>
      <c r="Q184" s="266"/>
      <c r="R184" s="153"/>
      <c r="S184" s="153"/>
      <c r="T184" s="153"/>
    </row>
    <row r="185" spans="1:20" s="4" customFormat="1" ht="36" customHeight="1" x14ac:dyDescent="0.2">
      <c r="A185" s="81" t="s">
        <v>510</v>
      </c>
      <c r="B185" s="81" t="str">
        <f>'дод. 4'!A121</f>
        <v>3170</v>
      </c>
      <c r="C185" s="81">
        <f>'дод. 4'!B121</f>
        <v>0</v>
      </c>
      <c r="D185" s="102" t="str">
        <f>'дод. 4'!C121</f>
        <v>Забезпечення реалізації окремих програм для осіб з інвалідністю</v>
      </c>
      <c r="E185" s="83">
        <f t="shared" ref="E185:P185" si="62">E186+E187</f>
        <v>188864</v>
      </c>
      <c r="F185" s="83">
        <f t="shared" si="62"/>
        <v>188864</v>
      </c>
      <c r="G185" s="83">
        <f t="shared" si="62"/>
        <v>0</v>
      </c>
      <c r="H185" s="83">
        <f t="shared" si="62"/>
        <v>0</v>
      </c>
      <c r="I185" s="83">
        <f t="shared" si="62"/>
        <v>0</v>
      </c>
      <c r="J185" s="83">
        <f t="shared" si="62"/>
        <v>0</v>
      </c>
      <c r="K185" s="83">
        <f t="shared" si="62"/>
        <v>0</v>
      </c>
      <c r="L185" s="83">
        <f t="shared" si="62"/>
        <v>0</v>
      </c>
      <c r="M185" s="83">
        <f t="shared" si="62"/>
        <v>0</v>
      </c>
      <c r="N185" s="83">
        <f t="shared" si="62"/>
        <v>0</v>
      </c>
      <c r="O185" s="83">
        <f t="shared" si="62"/>
        <v>0</v>
      </c>
      <c r="P185" s="83">
        <f t="shared" si="62"/>
        <v>188864</v>
      </c>
      <c r="Q185" s="266"/>
      <c r="R185" s="161"/>
      <c r="S185" s="161"/>
      <c r="T185" s="161"/>
    </row>
    <row r="186" spans="1:20" s="110" customFormat="1" ht="62.25" customHeight="1" x14ac:dyDescent="0.2">
      <c r="A186" s="78" t="s">
        <v>511</v>
      </c>
      <c r="B186" s="81" t="str">
        <f>'дод. 4'!A122</f>
        <v>3171</v>
      </c>
      <c r="C186" s="81">
        <f>'дод. 4'!B122</f>
        <v>1010</v>
      </c>
      <c r="D186" s="101" t="str">
        <f>'дод. 4'!C122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86" s="80">
        <f>F186+I186</f>
        <v>188024</v>
      </c>
      <c r="F186" s="80">
        <v>188024</v>
      </c>
      <c r="G186" s="80"/>
      <c r="H186" s="80"/>
      <c r="I186" s="80"/>
      <c r="J186" s="80">
        <f>K186+N186</f>
        <v>0</v>
      </c>
      <c r="K186" s="80"/>
      <c r="L186" s="80"/>
      <c r="M186" s="80"/>
      <c r="N186" s="80"/>
      <c r="O186" s="80"/>
      <c r="P186" s="80">
        <f>E186+J186</f>
        <v>188024</v>
      </c>
      <c r="Q186" s="266"/>
      <c r="R186" s="155"/>
      <c r="S186" s="155"/>
      <c r="T186" s="155"/>
    </row>
    <row r="187" spans="1:20" s="110" customFormat="1" ht="33.75" customHeight="1" x14ac:dyDescent="0.2">
      <c r="A187" s="78" t="s">
        <v>512</v>
      </c>
      <c r="B187" s="81" t="str">
        <f>'дод. 4'!A123</f>
        <v>3172</v>
      </c>
      <c r="C187" s="81">
        <f>'дод. 4'!B123</f>
        <v>1010</v>
      </c>
      <c r="D187" s="101" t="str">
        <f>'дод. 4'!C123</f>
        <v>Встановлення телефонів особам з інвалідністю I і II груп</v>
      </c>
      <c r="E187" s="80">
        <f>F187+I187</f>
        <v>840</v>
      </c>
      <c r="F187" s="80">
        <v>840</v>
      </c>
      <c r="G187" s="80"/>
      <c r="H187" s="80"/>
      <c r="I187" s="80"/>
      <c r="J187" s="80">
        <f>K187+N187</f>
        <v>0</v>
      </c>
      <c r="K187" s="80"/>
      <c r="L187" s="80"/>
      <c r="M187" s="80"/>
      <c r="N187" s="80"/>
      <c r="O187" s="80"/>
      <c r="P187" s="80">
        <f>E187+J187</f>
        <v>840</v>
      </c>
      <c r="Q187" s="266"/>
      <c r="R187" s="155"/>
      <c r="S187" s="155"/>
      <c r="T187" s="155"/>
    </row>
    <row r="188" spans="1:20" s="4" customFormat="1" ht="79.5" customHeight="1" x14ac:dyDescent="0.2">
      <c r="A188" s="81" t="s">
        <v>302</v>
      </c>
      <c r="B188" s="81" t="str">
        <f>'дод. 4'!A124</f>
        <v>3180</v>
      </c>
      <c r="C188" s="81" t="str">
        <f>'дод. 4'!B124</f>
        <v>1060</v>
      </c>
      <c r="D188" s="102" t="str">
        <f>'дод. 4'!C124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v>
      </c>
      <c r="E188" s="83">
        <f>F188+I188</f>
        <v>1282391</v>
      </c>
      <c r="F188" s="83">
        <f>1242491+39900</f>
        <v>1282391</v>
      </c>
      <c r="G188" s="83"/>
      <c r="H188" s="83"/>
      <c r="I188" s="83"/>
      <c r="J188" s="83">
        <f>K188+N188</f>
        <v>0</v>
      </c>
      <c r="K188" s="83"/>
      <c r="L188" s="83"/>
      <c r="M188" s="83"/>
      <c r="N188" s="83"/>
      <c r="O188" s="83"/>
      <c r="P188" s="83">
        <f>E188+J188</f>
        <v>1282391</v>
      </c>
      <c r="Q188" s="266"/>
      <c r="R188" s="153"/>
      <c r="S188" s="153"/>
      <c r="T188" s="153"/>
    </row>
    <row r="189" spans="1:20" s="4" customFormat="1" ht="31.5" customHeight="1" x14ac:dyDescent="0.2">
      <c r="A189" s="81" t="s">
        <v>485</v>
      </c>
      <c r="B189" s="81" t="str">
        <f>'дод. 4'!A125</f>
        <v>3190</v>
      </c>
      <c r="C189" s="81">
        <f>'дод. 4'!B125</f>
        <v>0</v>
      </c>
      <c r="D189" s="102" t="str">
        <f>'дод. 4'!C125</f>
        <v>Соціальний захист ветеранів війни та праці</v>
      </c>
      <c r="E189" s="83">
        <f>E190+E191</f>
        <v>3209214</v>
      </c>
      <c r="F189" s="83">
        <f t="shared" ref="F189:O189" si="63">F190+F191</f>
        <v>3209214</v>
      </c>
      <c r="G189" s="83">
        <f t="shared" si="63"/>
        <v>0</v>
      </c>
      <c r="H189" s="83">
        <f t="shared" si="63"/>
        <v>0</v>
      </c>
      <c r="I189" s="83">
        <f t="shared" si="63"/>
        <v>0</v>
      </c>
      <c r="J189" s="83">
        <f t="shared" si="63"/>
        <v>0</v>
      </c>
      <c r="K189" s="83">
        <f t="shared" si="63"/>
        <v>0</v>
      </c>
      <c r="L189" s="83">
        <f t="shared" si="63"/>
        <v>0</v>
      </c>
      <c r="M189" s="83">
        <f t="shared" si="63"/>
        <v>0</v>
      </c>
      <c r="N189" s="83">
        <f t="shared" si="63"/>
        <v>0</v>
      </c>
      <c r="O189" s="83">
        <f t="shared" si="63"/>
        <v>0</v>
      </c>
      <c r="P189" s="83">
        <f>P190+P191</f>
        <v>3209214</v>
      </c>
      <c r="Q189" s="266"/>
      <c r="R189" s="154"/>
      <c r="S189" s="154"/>
      <c r="T189" s="154"/>
    </row>
    <row r="190" spans="1:20" s="110" customFormat="1" ht="30" x14ac:dyDescent="0.2">
      <c r="A190" s="78" t="s">
        <v>486</v>
      </c>
      <c r="B190" s="78" t="str">
        <f>'дод. 4'!A126</f>
        <v>3191</v>
      </c>
      <c r="C190" s="78" t="str">
        <f>'дод. 4'!B126</f>
        <v>1030</v>
      </c>
      <c r="D190" s="101" t="str">
        <f>'дод. 4'!C126</f>
        <v>Інші видатки на соціальний захист ветеранів війни та праці</v>
      </c>
      <c r="E190" s="80">
        <f>F190+I190</f>
        <v>1937114</v>
      </c>
      <c r="F190" s="80">
        <f>1736305-10378+22407+188780</f>
        <v>1937114</v>
      </c>
      <c r="G190" s="80"/>
      <c r="H190" s="80"/>
      <c r="I190" s="80"/>
      <c r="J190" s="80">
        <f t="shared" ref="J190:J209" si="64">K190+N190</f>
        <v>0</v>
      </c>
      <c r="K190" s="80"/>
      <c r="L190" s="80"/>
      <c r="M190" s="80"/>
      <c r="N190" s="80"/>
      <c r="O190" s="80"/>
      <c r="P190" s="80">
        <f t="shared" ref="P190:P203" si="65">E190+J190</f>
        <v>1937114</v>
      </c>
      <c r="Q190" s="266"/>
      <c r="R190" s="155"/>
      <c r="S190" s="155"/>
      <c r="T190" s="155"/>
    </row>
    <row r="191" spans="1:20" s="110" customFormat="1" ht="45" x14ac:dyDescent="0.2">
      <c r="A191" s="78" t="s">
        <v>487</v>
      </c>
      <c r="B191" s="78" t="str">
        <f>'дод. 4'!A127</f>
        <v>3192</v>
      </c>
      <c r="C191" s="78" t="str">
        <f>'дод. 4'!B127</f>
        <v>1030</v>
      </c>
      <c r="D191" s="101" t="str">
        <f>'дод. 4'!C127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91" s="80">
        <f>F191+I191</f>
        <v>1272100</v>
      </c>
      <c r="F191" s="80">
        <f>1192100+80000</f>
        <v>1272100</v>
      </c>
      <c r="G191" s="80"/>
      <c r="H191" s="80"/>
      <c r="I191" s="80"/>
      <c r="J191" s="80">
        <f t="shared" si="64"/>
        <v>0</v>
      </c>
      <c r="K191" s="80"/>
      <c r="L191" s="80"/>
      <c r="M191" s="80"/>
      <c r="N191" s="80"/>
      <c r="O191" s="80"/>
      <c r="P191" s="80">
        <f t="shared" si="65"/>
        <v>1272100</v>
      </c>
      <c r="Q191" s="266"/>
      <c r="R191" s="155"/>
      <c r="S191" s="155"/>
      <c r="T191" s="155"/>
    </row>
    <row r="192" spans="1:20" s="4" customFormat="1" ht="41.25" customHeight="1" x14ac:dyDescent="0.2">
      <c r="A192" s="81" t="s">
        <v>303</v>
      </c>
      <c r="B192" s="81" t="str">
        <f>'дод. 4'!A128</f>
        <v>3200</v>
      </c>
      <c r="C192" s="81" t="str">
        <f>'дод. 4'!B128</f>
        <v>1090</v>
      </c>
      <c r="D192" s="102" t="str">
        <f>'дод. 4'!C128</f>
        <v xml:space="preserve">Забезпечення обробки інформації з нарахування та виплати допомог і компенсацій </v>
      </c>
      <c r="E192" s="83">
        <f>F192+I192</f>
        <v>75000</v>
      </c>
      <c r="F192" s="83">
        <v>75000</v>
      </c>
      <c r="G192" s="83"/>
      <c r="H192" s="83"/>
      <c r="I192" s="83"/>
      <c r="J192" s="83">
        <f t="shared" si="64"/>
        <v>0</v>
      </c>
      <c r="K192" s="83"/>
      <c r="L192" s="83"/>
      <c r="M192" s="83"/>
      <c r="N192" s="83"/>
      <c r="O192" s="83"/>
      <c r="P192" s="83">
        <f t="shared" si="65"/>
        <v>75000</v>
      </c>
      <c r="Q192" s="266"/>
      <c r="R192" s="153"/>
      <c r="S192" s="153"/>
      <c r="T192" s="153"/>
    </row>
    <row r="193" spans="1:20" s="4" customFormat="1" ht="19.5" customHeight="1" x14ac:dyDescent="0.2">
      <c r="A193" s="84" t="s">
        <v>488</v>
      </c>
      <c r="B193" s="84" t="str">
        <f>'дод. 4'!A129</f>
        <v>3210</v>
      </c>
      <c r="C193" s="84" t="str">
        <f>'дод. 4'!B129</f>
        <v>1050</v>
      </c>
      <c r="D193" s="105" t="str">
        <f>'дод. 4'!C129</f>
        <v>Організація та проведення громадських робіт</v>
      </c>
      <c r="E193" s="83">
        <f>F193+I193</f>
        <v>330000</v>
      </c>
      <c r="F193" s="83">
        <f>300000+30000</f>
        <v>330000</v>
      </c>
      <c r="G193" s="83">
        <f>245902+24590</f>
        <v>270492</v>
      </c>
      <c r="H193" s="83"/>
      <c r="I193" s="83"/>
      <c r="J193" s="83">
        <f t="shared" si="64"/>
        <v>0</v>
      </c>
      <c r="K193" s="83"/>
      <c r="L193" s="83"/>
      <c r="M193" s="83"/>
      <c r="N193" s="83"/>
      <c r="O193" s="83"/>
      <c r="P193" s="83">
        <f t="shared" si="65"/>
        <v>330000</v>
      </c>
      <c r="Q193" s="266"/>
      <c r="R193" s="153"/>
      <c r="S193" s="153"/>
      <c r="T193" s="153"/>
    </row>
    <row r="194" spans="1:20" s="4" customFormat="1" ht="30" customHeight="1" x14ac:dyDescent="0.2">
      <c r="A194" s="84" t="s">
        <v>658</v>
      </c>
      <c r="B194" s="84" t="s">
        <v>654</v>
      </c>
      <c r="C194" s="84"/>
      <c r="D194" s="105" t="s">
        <v>657</v>
      </c>
      <c r="E194" s="83">
        <f>E196</f>
        <v>0</v>
      </c>
      <c r="F194" s="83">
        <f>F196</f>
        <v>0</v>
      </c>
      <c r="G194" s="83"/>
      <c r="H194" s="83"/>
      <c r="I194" s="83"/>
      <c r="J194" s="83">
        <f t="shared" ref="J194:J201" si="66">K194+N194</f>
        <v>12613549.68</v>
      </c>
      <c r="K194" s="83">
        <f t="shared" ref="K194:M195" si="67">K196</f>
        <v>0</v>
      </c>
      <c r="L194" s="83">
        <f t="shared" si="67"/>
        <v>0</v>
      </c>
      <c r="M194" s="83">
        <f t="shared" si="67"/>
        <v>0</v>
      </c>
      <c r="N194" s="83">
        <f>N196+N198+N200</f>
        <v>12613549.68</v>
      </c>
      <c r="O194" s="83">
        <f>O196+O198+O200</f>
        <v>12613549.68</v>
      </c>
      <c r="P194" s="83">
        <f>E194+J194</f>
        <v>12613549.68</v>
      </c>
      <c r="Q194" s="266"/>
      <c r="R194" s="153"/>
      <c r="S194" s="153"/>
      <c r="T194" s="153"/>
    </row>
    <row r="195" spans="1:20" s="4" customFormat="1" ht="15" customHeight="1" x14ac:dyDescent="0.2">
      <c r="A195" s="85"/>
      <c r="B195" s="85"/>
      <c r="C195" s="85"/>
      <c r="D195" s="13" t="s">
        <v>416</v>
      </c>
      <c r="E195" s="77">
        <f>E197</f>
        <v>0</v>
      </c>
      <c r="F195" s="77">
        <f>F197</f>
        <v>0</v>
      </c>
      <c r="G195" s="77">
        <f>G197</f>
        <v>0</v>
      </c>
      <c r="H195" s="77">
        <f>H197</f>
        <v>0</v>
      </c>
      <c r="I195" s="77">
        <f>I197</f>
        <v>0</v>
      </c>
      <c r="J195" s="77">
        <f t="shared" si="66"/>
        <v>12613549.68</v>
      </c>
      <c r="K195" s="77">
        <f t="shared" si="67"/>
        <v>0</v>
      </c>
      <c r="L195" s="77">
        <f t="shared" si="67"/>
        <v>0</v>
      </c>
      <c r="M195" s="77">
        <f t="shared" si="67"/>
        <v>0</v>
      </c>
      <c r="N195" s="77">
        <f>N194</f>
        <v>12613549.68</v>
      </c>
      <c r="O195" s="77">
        <f>O194</f>
        <v>12613549.68</v>
      </c>
      <c r="P195" s="77">
        <f t="shared" si="65"/>
        <v>12613549.68</v>
      </c>
      <c r="Q195" s="266"/>
      <c r="R195" s="153"/>
      <c r="S195" s="153"/>
      <c r="T195" s="153"/>
    </row>
    <row r="196" spans="1:20" s="4" customFormat="1" ht="165.75" customHeight="1" x14ac:dyDescent="0.2">
      <c r="A196" s="111" t="s">
        <v>659</v>
      </c>
      <c r="B196" s="111" t="s">
        <v>655</v>
      </c>
      <c r="C196" s="111" t="s">
        <v>88</v>
      </c>
      <c r="D196" s="249" t="s">
        <v>656</v>
      </c>
      <c r="E196" s="83">
        <f>F196+I196</f>
        <v>0</v>
      </c>
      <c r="F196" s="83"/>
      <c r="G196" s="83"/>
      <c r="H196" s="83"/>
      <c r="I196" s="83"/>
      <c r="J196" s="80">
        <f t="shared" si="66"/>
        <v>6547535.21</v>
      </c>
      <c r="K196" s="83"/>
      <c r="L196" s="83"/>
      <c r="M196" s="83"/>
      <c r="N196" s="83">
        <f>4839581.21+1707954</f>
        <v>6547535.21</v>
      </c>
      <c r="O196" s="83">
        <f>4839581.21+1707954</f>
        <v>6547535.21</v>
      </c>
      <c r="P196" s="83">
        <f t="shared" ref="P196:P201" si="68">E196+J196</f>
        <v>6547535.21</v>
      </c>
      <c r="Q196" s="266">
        <v>31</v>
      </c>
      <c r="R196" s="153"/>
      <c r="S196" s="153"/>
      <c r="T196" s="153"/>
    </row>
    <row r="197" spans="1:20" s="110" customFormat="1" ht="19.5" customHeight="1" x14ac:dyDescent="0.2">
      <c r="A197" s="111"/>
      <c r="B197" s="111"/>
      <c r="C197" s="111"/>
      <c r="D197" s="112" t="str">
        <f>'дод. 4'!C133</f>
        <v>у т.ч. за рахунок субвенцій з держбюджету</v>
      </c>
      <c r="E197" s="80">
        <f>F197+I197</f>
        <v>0</v>
      </c>
      <c r="F197" s="80"/>
      <c r="G197" s="80"/>
      <c r="H197" s="80"/>
      <c r="I197" s="80"/>
      <c r="J197" s="80">
        <f t="shared" si="66"/>
        <v>6547535.21</v>
      </c>
      <c r="K197" s="80"/>
      <c r="L197" s="80"/>
      <c r="M197" s="80"/>
      <c r="N197" s="80">
        <f>4839581.21+1707954</f>
        <v>6547535.21</v>
      </c>
      <c r="O197" s="80">
        <f>4839581.21+1707954</f>
        <v>6547535.21</v>
      </c>
      <c r="P197" s="80">
        <f t="shared" si="68"/>
        <v>6547535.21</v>
      </c>
      <c r="Q197" s="266"/>
      <c r="R197" s="155"/>
      <c r="S197" s="155"/>
      <c r="T197" s="155"/>
    </row>
    <row r="198" spans="1:20" s="110" customFormat="1" ht="183.75" customHeight="1" x14ac:dyDescent="0.2">
      <c r="A198" s="111" t="s">
        <v>662</v>
      </c>
      <c r="B198" s="111" t="s">
        <v>665</v>
      </c>
      <c r="C198" s="111" t="s">
        <v>88</v>
      </c>
      <c r="D198" s="249" t="s">
        <v>664</v>
      </c>
      <c r="E198" s="83">
        <f>F198+I198</f>
        <v>0</v>
      </c>
      <c r="F198" s="80"/>
      <c r="G198" s="80"/>
      <c r="H198" s="80"/>
      <c r="I198" s="80"/>
      <c r="J198" s="80">
        <f t="shared" si="66"/>
        <v>2544480</v>
      </c>
      <c r="K198" s="80"/>
      <c r="L198" s="80"/>
      <c r="M198" s="80"/>
      <c r="N198" s="80">
        <v>2544480</v>
      </c>
      <c r="O198" s="80">
        <v>2544480</v>
      </c>
      <c r="P198" s="80">
        <f t="shared" si="68"/>
        <v>2544480</v>
      </c>
      <c r="Q198" s="266"/>
      <c r="R198" s="155"/>
      <c r="S198" s="155"/>
      <c r="T198" s="155"/>
    </row>
    <row r="199" spans="1:20" s="110" customFormat="1" ht="19.5" customHeight="1" x14ac:dyDescent="0.2">
      <c r="A199" s="111"/>
      <c r="B199" s="111"/>
      <c r="C199" s="111"/>
      <c r="D199" s="112" t="str">
        <f>'дод. 4'!C139</f>
        <v>у т.ч. за рахунок субвенцій з держбюджету</v>
      </c>
      <c r="E199" s="80"/>
      <c r="F199" s="80"/>
      <c r="G199" s="80"/>
      <c r="H199" s="80"/>
      <c r="I199" s="80"/>
      <c r="J199" s="80">
        <f t="shared" si="66"/>
        <v>2544480</v>
      </c>
      <c r="K199" s="80"/>
      <c r="L199" s="80"/>
      <c r="M199" s="80"/>
      <c r="N199" s="80">
        <v>2544480</v>
      </c>
      <c r="O199" s="80">
        <v>2544480</v>
      </c>
      <c r="P199" s="80">
        <f t="shared" si="68"/>
        <v>2544480</v>
      </c>
      <c r="Q199" s="266"/>
      <c r="R199" s="155"/>
      <c r="S199" s="155"/>
      <c r="T199" s="155"/>
    </row>
    <row r="200" spans="1:20" s="110" customFormat="1" ht="181.5" customHeight="1" x14ac:dyDescent="0.2">
      <c r="A200" s="111" t="s">
        <v>663</v>
      </c>
      <c r="B200" s="111" t="s">
        <v>667</v>
      </c>
      <c r="C200" s="111" t="s">
        <v>88</v>
      </c>
      <c r="D200" s="249" t="s">
        <v>666</v>
      </c>
      <c r="E200" s="83">
        <f>F200+I200</f>
        <v>0</v>
      </c>
      <c r="F200" s="80"/>
      <c r="G200" s="80"/>
      <c r="H200" s="80"/>
      <c r="I200" s="80"/>
      <c r="J200" s="80">
        <f t="shared" si="66"/>
        <v>3521534.4699999997</v>
      </c>
      <c r="K200" s="80"/>
      <c r="L200" s="80"/>
      <c r="M200" s="80"/>
      <c r="N200" s="80">
        <f>447711.09+3073823.38</f>
        <v>3521534.4699999997</v>
      </c>
      <c r="O200" s="80">
        <f>447711.09+3073823.38</f>
        <v>3521534.4699999997</v>
      </c>
      <c r="P200" s="80">
        <f t="shared" si="68"/>
        <v>3521534.4699999997</v>
      </c>
      <c r="Q200" s="266"/>
      <c r="R200" s="155"/>
      <c r="S200" s="155"/>
      <c r="T200" s="155"/>
    </row>
    <row r="201" spans="1:20" s="110" customFormat="1" ht="21.75" customHeight="1" x14ac:dyDescent="0.2">
      <c r="A201" s="111"/>
      <c r="B201" s="111"/>
      <c r="C201" s="111"/>
      <c r="D201" s="14" t="s">
        <v>416</v>
      </c>
      <c r="E201" s="80"/>
      <c r="F201" s="80"/>
      <c r="G201" s="80"/>
      <c r="H201" s="80"/>
      <c r="I201" s="80"/>
      <c r="J201" s="80">
        <f t="shared" si="66"/>
        <v>3521534.4699999997</v>
      </c>
      <c r="K201" s="80"/>
      <c r="L201" s="80"/>
      <c r="M201" s="80"/>
      <c r="N201" s="80">
        <f>447711.09+3073823.38</f>
        <v>3521534.4699999997</v>
      </c>
      <c r="O201" s="80">
        <f>447711.09+3073823.38</f>
        <v>3521534.4699999997</v>
      </c>
      <c r="P201" s="80">
        <f t="shared" si="68"/>
        <v>3521534.4699999997</v>
      </c>
      <c r="Q201" s="266"/>
      <c r="R201" s="155"/>
      <c r="S201" s="155"/>
      <c r="T201" s="155"/>
    </row>
    <row r="202" spans="1:20" s="4" customFormat="1" ht="157.5" customHeight="1" x14ac:dyDescent="0.2">
      <c r="A202" s="84" t="s">
        <v>577</v>
      </c>
      <c r="B202" s="139" t="str">
        <f>'дод. 4'!A138</f>
        <v>3230</v>
      </c>
      <c r="C202" s="139" t="str">
        <f>'дод. 4'!B138</f>
        <v>1040</v>
      </c>
      <c r="D202" s="82" t="s">
        <v>565</v>
      </c>
      <c r="E202" s="83">
        <f>F202+I202</f>
        <v>2495700</v>
      </c>
      <c r="F202" s="83">
        <f>2695700-200000</f>
        <v>2495700</v>
      </c>
      <c r="G202" s="83"/>
      <c r="H202" s="83"/>
      <c r="I202" s="83"/>
      <c r="J202" s="83">
        <f t="shared" si="64"/>
        <v>0</v>
      </c>
      <c r="K202" s="83"/>
      <c r="L202" s="83"/>
      <c r="M202" s="83"/>
      <c r="N202" s="83"/>
      <c r="O202" s="83"/>
      <c r="P202" s="83">
        <f t="shared" si="65"/>
        <v>2495700</v>
      </c>
      <c r="Q202" s="266"/>
      <c r="R202" s="153"/>
      <c r="S202" s="153"/>
      <c r="T202" s="153"/>
    </row>
    <row r="203" spans="1:20" s="4" customFormat="1" ht="19.5" customHeight="1" x14ac:dyDescent="0.2">
      <c r="A203" s="84"/>
      <c r="B203" s="139">
        <f>'дод. 4'!A139</f>
        <v>0</v>
      </c>
      <c r="C203" s="139">
        <f>'дод. 4'!B139</f>
        <v>0</v>
      </c>
      <c r="D203" s="105" t="str">
        <f>'дод. 4'!C139</f>
        <v>у т.ч. за рахунок субвенцій з держбюджету</v>
      </c>
      <c r="E203" s="83">
        <f>F203+I203</f>
        <v>2495700</v>
      </c>
      <c r="F203" s="83">
        <f>2695700-200000</f>
        <v>2495700</v>
      </c>
      <c r="G203" s="83"/>
      <c r="H203" s="83"/>
      <c r="I203" s="83"/>
      <c r="J203" s="83">
        <f t="shared" si="64"/>
        <v>0</v>
      </c>
      <c r="K203" s="83"/>
      <c r="L203" s="83"/>
      <c r="M203" s="83"/>
      <c r="N203" s="83"/>
      <c r="O203" s="83"/>
      <c r="P203" s="83">
        <f t="shared" si="65"/>
        <v>2495700</v>
      </c>
      <c r="Q203" s="266"/>
      <c r="R203" s="153"/>
      <c r="S203" s="153"/>
      <c r="T203" s="153"/>
    </row>
    <row r="204" spans="1:20" s="4" customFormat="1" ht="22.5" customHeight="1" x14ac:dyDescent="0.2">
      <c r="A204" s="81" t="s">
        <v>483</v>
      </c>
      <c r="B204" s="81" t="str">
        <f>'дод. 4'!A140</f>
        <v>3240</v>
      </c>
      <c r="C204" s="81">
        <f>'дод. 4'!B140</f>
        <v>0</v>
      </c>
      <c r="D204" s="102" t="str">
        <f>'дод. 4'!C140</f>
        <v>Інші заклади та заходи</v>
      </c>
      <c r="E204" s="83">
        <f>E205+E206</f>
        <v>40961134.700000003</v>
      </c>
      <c r="F204" s="83">
        <f t="shared" ref="F204:P204" si="69">F205+F206</f>
        <v>40961134.700000003</v>
      </c>
      <c r="G204" s="83">
        <f t="shared" si="69"/>
        <v>2594621</v>
      </c>
      <c r="H204" s="83">
        <f t="shared" si="69"/>
        <v>673281</v>
      </c>
      <c r="I204" s="83">
        <f t="shared" si="69"/>
        <v>0</v>
      </c>
      <c r="J204" s="83">
        <f t="shared" si="69"/>
        <v>380382</v>
      </c>
      <c r="K204" s="83">
        <f t="shared" si="69"/>
        <v>0</v>
      </c>
      <c r="L204" s="83">
        <f t="shared" si="69"/>
        <v>0</v>
      </c>
      <c r="M204" s="83">
        <f t="shared" si="69"/>
        <v>0</v>
      </c>
      <c r="N204" s="83">
        <f t="shared" si="69"/>
        <v>380382</v>
      </c>
      <c r="O204" s="83">
        <f t="shared" si="69"/>
        <v>380382</v>
      </c>
      <c r="P204" s="83">
        <f t="shared" si="69"/>
        <v>41341516.700000003</v>
      </c>
      <c r="Q204" s="266"/>
      <c r="R204" s="154"/>
      <c r="S204" s="154"/>
      <c r="T204" s="154"/>
    </row>
    <row r="205" spans="1:20" s="32" customFormat="1" ht="31.5" customHeight="1" x14ac:dyDescent="0.2">
      <c r="A205" s="78" t="s">
        <v>482</v>
      </c>
      <c r="B205" s="78" t="str">
        <f>'дод. 4'!A141</f>
        <v>3241</v>
      </c>
      <c r="C205" s="78" t="str">
        <f>'дод. 4'!B141</f>
        <v>1090</v>
      </c>
      <c r="D205" s="101" t="str">
        <f>'дод. 4'!C141</f>
        <v>Забезпечення діяльності інших закладів у сфері соціального захисту і соціального забезпечення</v>
      </c>
      <c r="E205" s="80">
        <f>F205+I205</f>
        <v>4304345</v>
      </c>
      <c r="F205" s="80">
        <f>4241010+52335+11000</f>
        <v>4304345</v>
      </c>
      <c r="G205" s="80">
        <f>2332125+43090+219406</f>
        <v>2594621</v>
      </c>
      <c r="H205" s="80">
        <v>673281</v>
      </c>
      <c r="I205" s="80"/>
      <c r="J205" s="80">
        <f t="shared" si="64"/>
        <v>305382</v>
      </c>
      <c r="K205" s="80"/>
      <c r="L205" s="80"/>
      <c r="M205" s="80"/>
      <c r="N205" s="80">
        <f>300000+5382</f>
        <v>305382</v>
      </c>
      <c r="O205" s="80">
        <f>300000+5382</f>
        <v>305382</v>
      </c>
      <c r="P205" s="80">
        <f>E205+J205</f>
        <v>4609727</v>
      </c>
      <c r="Q205" s="266"/>
      <c r="R205" s="155"/>
      <c r="S205" s="155"/>
      <c r="T205" s="155"/>
    </row>
    <row r="206" spans="1:20" s="32" customFormat="1" ht="33" customHeight="1" x14ac:dyDescent="0.2">
      <c r="A206" s="78" t="s">
        <v>484</v>
      </c>
      <c r="B206" s="78" t="str">
        <f>'дод. 4'!A142</f>
        <v>3242</v>
      </c>
      <c r="C206" s="78" t="str">
        <f>'дод. 4'!B142</f>
        <v>1090</v>
      </c>
      <c r="D206" s="101" t="str">
        <f>'дод. 4'!C142</f>
        <v>Інші заходи у сфері соціального захисту і соціального забезпечення</v>
      </c>
      <c r="E206" s="80">
        <f>F206+I206</f>
        <v>36656789.700000003</v>
      </c>
      <c r="F206" s="80">
        <f>11768030+16000000-4024-26631+175000+401100+353011+150000+274200+23310+76000+319750+1301500+10000-14400+445455+578335+190000+514525.7+22000+5000+10000+5000+10000+200000+280903+5000+5000+1100000+171900+40555+20000+290000+47000+11000+20000+6237+563763+153270+1155000</f>
        <v>36656789.700000003</v>
      </c>
      <c r="G206" s="80"/>
      <c r="H206" s="80"/>
      <c r="I206" s="80"/>
      <c r="J206" s="80">
        <f t="shared" si="64"/>
        <v>75000</v>
      </c>
      <c r="K206" s="80"/>
      <c r="L206" s="80"/>
      <c r="M206" s="80"/>
      <c r="N206" s="80">
        <f>75000</f>
        <v>75000</v>
      </c>
      <c r="O206" s="80">
        <f>75000</f>
        <v>75000</v>
      </c>
      <c r="P206" s="80">
        <f>E206+J206</f>
        <v>36731789.700000003</v>
      </c>
      <c r="Q206" s="266"/>
      <c r="R206" s="155"/>
      <c r="S206" s="155"/>
      <c r="T206" s="155"/>
    </row>
    <row r="207" spans="1:20" s="110" customFormat="1" ht="19.5" customHeight="1" x14ac:dyDescent="0.2">
      <c r="A207" s="81" t="s">
        <v>304</v>
      </c>
      <c r="B207" s="81" t="str">
        <f>'дод. 4'!A216</f>
        <v>7640</v>
      </c>
      <c r="C207" s="81" t="str">
        <f>'дод. 4'!B216</f>
        <v>0470</v>
      </c>
      <c r="D207" s="102" t="str">
        <f>'дод. 4'!C216</f>
        <v>Заходи з енергозбереження</v>
      </c>
      <c r="E207" s="83">
        <f>F207+I207</f>
        <v>29000</v>
      </c>
      <c r="F207" s="83">
        <v>29000</v>
      </c>
      <c r="G207" s="83"/>
      <c r="H207" s="83"/>
      <c r="I207" s="83"/>
      <c r="J207" s="83">
        <f t="shared" si="64"/>
        <v>0</v>
      </c>
      <c r="K207" s="83"/>
      <c r="L207" s="83"/>
      <c r="M207" s="83"/>
      <c r="N207" s="83"/>
      <c r="O207" s="83"/>
      <c r="P207" s="83">
        <f>E207+J207</f>
        <v>29000</v>
      </c>
      <c r="Q207" s="266"/>
      <c r="R207" s="153"/>
      <c r="S207" s="153"/>
      <c r="T207" s="153"/>
    </row>
    <row r="208" spans="1:20" s="110" customFormat="1" ht="42" customHeight="1" x14ac:dyDescent="0.2">
      <c r="A208" s="81" t="s">
        <v>623</v>
      </c>
      <c r="B208" s="81" t="str">
        <f>'дод. 4'!A226</f>
        <v>8110</v>
      </c>
      <c r="C208" s="81" t="str">
        <f>'дод. 4'!B226</f>
        <v>0320</v>
      </c>
      <c r="D208" s="102" t="str">
        <f>'дод. 4'!C226</f>
        <v>Заходи із запобігання та ліквідації надзвичайних ситуацій та наслідків стихійного лиха</v>
      </c>
      <c r="E208" s="83">
        <f>F208+I208</f>
        <v>202750</v>
      </c>
      <c r="F208" s="83">
        <f>201950+800</f>
        <v>202750</v>
      </c>
      <c r="G208" s="83"/>
      <c r="H208" s="83"/>
      <c r="I208" s="83"/>
      <c r="J208" s="83">
        <f t="shared" si="64"/>
        <v>0</v>
      </c>
      <c r="K208" s="83"/>
      <c r="L208" s="83"/>
      <c r="M208" s="83"/>
      <c r="N208" s="83"/>
      <c r="O208" s="83"/>
      <c r="P208" s="83">
        <f>E208+J208</f>
        <v>202750</v>
      </c>
      <c r="Q208" s="266"/>
      <c r="R208" s="153"/>
      <c r="S208" s="153"/>
      <c r="T208" s="153"/>
    </row>
    <row r="209" spans="1:20" s="110" customFormat="1" ht="23.25" customHeight="1" x14ac:dyDescent="0.2">
      <c r="A209" s="81" t="s">
        <v>414</v>
      </c>
      <c r="B209" s="81" t="str">
        <f>'дод. 4'!A246</f>
        <v>9770</v>
      </c>
      <c r="C209" s="81" t="str">
        <f>'дод. 4'!B246</f>
        <v>0180</v>
      </c>
      <c r="D209" s="102" t="str">
        <f>'дод. 4'!C246</f>
        <v xml:space="preserve">Інші субвенції з місцевого бюджету </v>
      </c>
      <c r="E209" s="83">
        <f>F209+I209</f>
        <v>1011000</v>
      </c>
      <c r="F209" s="83">
        <f>611000+400000</f>
        <v>1011000</v>
      </c>
      <c r="G209" s="83"/>
      <c r="H209" s="83"/>
      <c r="I209" s="83"/>
      <c r="J209" s="83">
        <f t="shared" si="64"/>
        <v>0</v>
      </c>
      <c r="K209" s="83"/>
      <c r="L209" s="83"/>
      <c r="M209" s="83"/>
      <c r="N209" s="83"/>
      <c r="O209" s="83"/>
      <c r="P209" s="83">
        <f>E209+J209</f>
        <v>1011000</v>
      </c>
      <c r="Q209" s="266"/>
      <c r="R209" s="153"/>
      <c r="S209" s="153"/>
      <c r="T209" s="153"/>
    </row>
    <row r="210" spans="1:20" s="107" customFormat="1" ht="21" customHeight="1" x14ac:dyDescent="0.2">
      <c r="A210" s="114" t="s">
        <v>305</v>
      </c>
      <c r="B210" s="115"/>
      <c r="C210" s="115"/>
      <c r="D210" s="35" t="s">
        <v>59</v>
      </c>
      <c r="E210" s="46">
        <f>E211</f>
        <v>3809191</v>
      </c>
      <c r="F210" s="46">
        <f t="shared" ref="F210:P210" si="70">F211</f>
        <v>3809191</v>
      </c>
      <c r="G210" s="46">
        <f t="shared" si="70"/>
        <v>2969000</v>
      </c>
      <c r="H210" s="46">
        <f t="shared" si="70"/>
        <v>42411</v>
      </c>
      <c r="I210" s="46">
        <f t="shared" si="70"/>
        <v>0</v>
      </c>
      <c r="J210" s="46">
        <f t="shared" si="70"/>
        <v>809800</v>
      </c>
      <c r="K210" s="46">
        <f t="shared" si="70"/>
        <v>0</v>
      </c>
      <c r="L210" s="46">
        <f t="shared" si="70"/>
        <v>0</v>
      </c>
      <c r="M210" s="46">
        <f t="shared" si="70"/>
        <v>0</v>
      </c>
      <c r="N210" s="46">
        <f t="shared" si="70"/>
        <v>809800</v>
      </c>
      <c r="O210" s="46">
        <f t="shared" si="70"/>
        <v>809800</v>
      </c>
      <c r="P210" s="46">
        <f t="shared" si="70"/>
        <v>4618991</v>
      </c>
      <c r="Q210" s="266"/>
      <c r="R210" s="151"/>
      <c r="S210" s="151"/>
      <c r="T210" s="151"/>
    </row>
    <row r="211" spans="1:20" s="109" customFormat="1" ht="21.75" customHeight="1" x14ac:dyDescent="0.2">
      <c r="A211" s="116" t="s">
        <v>306</v>
      </c>
      <c r="B211" s="117"/>
      <c r="C211" s="117"/>
      <c r="D211" s="118" t="s">
        <v>59</v>
      </c>
      <c r="E211" s="74">
        <f>E212+E213+E215</f>
        <v>3809191</v>
      </c>
      <c r="F211" s="74">
        <f>F212+F213+F215</f>
        <v>3809191</v>
      </c>
      <c r="G211" s="74">
        <f>G212+G213</f>
        <v>2969000</v>
      </c>
      <c r="H211" s="74">
        <f>H212+H213</f>
        <v>42411</v>
      </c>
      <c r="I211" s="74">
        <f>I212+I213</f>
        <v>0</v>
      </c>
      <c r="J211" s="74">
        <f t="shared" ref="J211:P211" si="71">J212+J213+J215</f>
        <v>809800</v>
      </c>
      <c r="K211" s="74">
        <f t="shared" si="71"/>
        <v>0</v>
      </c>
      <c r="L211" s="74">
        <f t="shared" si="71"/>
        <v>0</v>
      </c>
      <c r="M211" s="74">
        <f t="shared" si="71"/>
        <v>0</v>
      </c>
      <c r="N211" s="74">
        <f t="shared" si="71"/>
        <v>809800</v>
      </c>
      <c r="O211" s="74">
        <f t="shared" si="71"/>
        <v>809800</v>
      </c>
      <c r="P211" s="74">
        <f t="shared" si="71"/>
        <v>4618991</v>
      </c>
      <c r="Q211" s="266"/>
      <c r="R211" s="160"/>
      <c r="S211" s="160"/>
      <c r="T211" s="160"/>
    </row>
    <row r="212" spans="1:20" s="4" customFormat="1" ht="45" x14ac:dyDescent="0.2">
      <c r="A212" s="75" t="s">
        <v>307</v>
      </c>
      <c r="B212" s="75" t="str">
        <f>'дод. 4'!A12</f>
        <v>0160</v>
      </c>
      <c r="C212" s="75" t="str">
        <f>'дод. 4'!B12</f>
        <v>0111</v>
      </c>
      <c r="D212" s="76" t="str">
        <f>'дод. 4'!C12</f>
        <v>Керівництво і управління у відповідній сфері у містах (місті Києві), селищах, селах, об’єднаних територіальних громадах</v>
      </c>
      <c r="E212" s="77">
        <f>F212+I212</f>
        <v>3729191</v>
      </c>
      <c r="F212" s="77">
        <f>3538900+211500-26400+5191</f>
        <v>3729191</v>
      </c>
      <c r="G212" s="77">
        <v>2969000</v>
      </c>
      <c r="H212" s="77">
        <f>37220+5191</f>
        <v>42411</v>
      </c>
      <c r="I212" s="77"/>
      <c r="J212" s="77">
        <f>K212+N212</f>
        <v>0</v>
      </c>
      <c r="K212" s="77"/>
      <c r="L212" s="77"/>
      <c r="M212" s="77"/>
      <c r="N212" s="77">
        <f>27000-27000</f>
        <v>0</v>
      </c>
      <c r="O212" s="77">
        <f>27000-27000</f>
        <v>0</v>
      </c>
      <c r="P212" s="77">
        <f>E212+J212</f>
        <v>3729191</v>
      </c>
      <c r="Q212" s="266"/>
      <c r="R212" s="153"/>
      <c r="S212" s="153"/>
      <c r="T212" s="153"/>
    </row>
    <row r="213" spans="1:20" s="4" customFormat="1" ht="30.75" customHeight="1" x14ac:dyDescent="0.2">
      <c r="A213" s="75" t="s">
        <v>308</v>
      </c>
      <c r="B213" s="75" t="str">
        <f>'дод. 4'!A113</f>
        <v>3110</v>
      </c>
      <c r="C213" s="75">
        <f>'дод. 4'!B113</f>
        <v>0</v>
      </c>
      <c r="D213" s="104" t="str">
        <f>'дод. 4'!C113</f>
        <v>Заклади і заходи з питань дітей та їх соціального захисту</v>
      </c>
      <c r="E213" s="77">
        <f>E214</f>
        <v>80000</v>
      </c>
      <c r="F213" s="77">
        <f t="shared" ref="F213:P213" si="72">F214</f>
        <v>80000</v>
      </c>
      <c r="G213" s="77">
        <f t="shared" si="72"/>
        <v>0</v>
      </c>
      <c r="H213" s="77">
        <f t="shared" si="72"/>
        <v>0</v>
      </c>
      <c r="I213" s="77">
        <f t="shared" si="72"/>
        <v>0</v>
      </c>
      <c r="J213" s="77">
        <f t="shared" si="72"/>
        <v>0</v>
      </c>
      <c r="K213" s="77">
        <f t="shared" si="72"/>
        <v>0</v>
      </c>
      <c r="L213" s="77">
        <f t="shared" si="72"/>
        <v>0</v>
      </c>
      <c r="M213" s="77">
        <f t="shared" si="72"/>
        <v>0</v>
      </c>
      <c r="N213" s="77">
        <f t="shared" si="72"/>
        <v>0</v>
      </c>
      <c r="O213" s="77">
        <f t="shared" si="72"/>
        <v>0</v>
      </c>
      <c r="P213" s="77">
        <f t="shared" si="72"/>
        <v>80000</v>
      </c>
      <c r="Q213" s="266"/>
      <c r="R213" s="154">
        <f>R214</f>
        <v>0</v>
      </c>
      <c r="S213" s="154">
        <f>S214</f>
        <v>0</v>
      </c>
      <c r="T213" s="154"/>
    </row>
    <row r="214" spans="1:20" s="110" customFormat="1" ht="36.75" customHeight="1" x14ac:dyDescent="0.2">
      <c r="A214" s="78" t="s">
        <v>309</v>
      </c>
      <c r="B214" s="78" t="str">
        <f>'дод. 4'!A114</f>
        <v>3112</v>
      </c>
      <c r="C214" s="78" t="str">
        <f>'дод. 4'!B114</f>
        <v>1040</v>
      </c>
      <c r="D214" s="101" t="str">
        <f>'дод. 4'!C114</f>
        <v>Заходи державної політики з питань дітей та їх соціального захисту</v>
      </c>
      <c r="E214" s="80">
        <f>F214+I214</f>
        <v>80000</v>
      </c>
      <c r="F214" s="80">
        <v>80000</v>
      </c>
      <c r="G214" s="80"/>
      <c r="H214" s="80"/>
      <c r="I214" s="80"/>
      <c r="J214" s="80">
        <f>K214+N214</f>
        <v>0</v>
      </c>
      <c r="K214" s="80"/>
      <c r="L214" s="80"/>
      <c r="M214" s="80"/>
      <c r="N214" s="80"/>
      <c r="O214" s="80"/>
      <c r="P214" s="80">
        <f>E214+J214</f>
        <v>80000</v>
      </c>
      <c r="Q214" s="266">
        <v>32</v>
      </c>
      <c r="R214" s="155"/>
      <c r="S214" s="155"/>
      <c r="T214" s="155"/>
    </row>
    <row r="215" spans="1:20" s="110" customFormat="1" ht="36.75" customHeight="1" x14ac:dyDescent="0.2">
      <c r="A215" s="75" t="s">
        <v>671</v>
      </c>
      <c r="B215" s="75" t="s">
        <v>226</v>
      </c>
      <c r="C215" s="78"/>
      <c r="D215" s="76" t="s">
        <v>227</v>
      </c>
      <c r="E215" s="80">
        <f>E216</f>
        <v>0</v>
      </c>
      <c r="F215" s="80">
        <f t="shared" ref="F215:P215" si="73">F216</f>
        <v>0</v>
      </c>
      <c r="G215" s="80">
        <f t="shared" si="73"/>
        <v>0</v>
      </c>
      <c r="H215" s="80">
        <f t="shared" si="73"/>
        <v>0</v>
      </c>
      <c r="I215" s="80">
        <f t="shared" si="73"/>
        <v>0</v>
      </c>
      <c r="J215" s="80">
        <f t="shared" si="73"/>
        <v>809800</v>
      </c>
      <c r="K215" s="80">
        <f t="shared" si="73"/>
        <v>0</v>
      </c>
      <c r="L215" s="80">
        <f t="shared" si="73"/>
        <v>0</v>
      </c>
      <c r="M215" s="80">
        <f t="shared" si="73"/>
        <v>0</v>
      </c>
      <c r="N215" s="80">
        <f t="shared" si="73"/>
        <v>809800</v>
      </c>
      <c r="O215" s="80">
        <f t="shared" si="73"/>
        <v>809800</v>
      </c>
      <c r="P215" s="80">
        <f t="shared" si="73"/>
        <v>809800</v>
      </c>
      <c r="Q215" s="266"/>
      <c r="R215" s="155"/>
      <c r="S215" s="155"/>
      <c r="T215" s="155"/>
    </row>
    <row r="216" spans="1:20" s="110" customFormat="1" ht="73.5" customHeight="1" x14ac:dyDescent="0.2">
      <c r="A216" s="75" t="s">
        <v>668</v>
      </c>
      <c r="B216" s="78" t="s">
        <v>670</v>
      </c>
      <c r="C216" s="78" t="s">
        <v>109</v>
      </c>
      <c r="D216" s="101" t="s">
        <v>669</v>
      </c>
      <c r="E216" s="80">
        <f>F216+I216</f>
        <v>0</v>
      </c>
      <c r="F216" s="80"/>
      <c r="G216" s="80"/>
      <c r="H216" s="80"/>
      <c r="I216" s="80"/>
      <c r="J216" s="80">
        <f>K216+N216</f>
        <v>809800</v>
      </c>
      <c r="K216" s="80"/>
      <c r="L216" s="80"/>
      <c r="M216" s="80"/>
      <c r="N216" s="80">
        <v>809800</v>
      </c>
      <c r="O216" s="80">
        <v>809800</v>
      </c>
      <c r="P216" s="80">
        <f>J216+E216</f>
        <v>809800</v>
      </c>
      <c r="Q216" s="266"/>
      <c r="R216" s="155"/>
      <c r="S216" s="155"/>
      <c r="T216" s="155"/>
    </row>
    <row r="217" spans="1:20" s="110" customFormat="1" ht="27.75" customHeight="1" x14ac:dyDescent="0.2">
      <c r="A217" s="75"/>
      <c r="B217" s="78"/>
      <c r="C217" s="78"/>
      <c r="D217" s="104" t="s">
        <v>416</v>
      </c>
      <c r="E217" s="80"/>
      <c r="F217" s="80"/>
      <c r="G217" s="80"/>
      <c r="H217" s="80"/>
      <c r="I217" s="80"/>
      <c r="J217" s="80">
        <f>J216</f>
        <v>809800</v>
      </c>
      <c r="K217" s="80"/>
      <c r="L217" s="80"/>
      <c r="M217" s="80"/>
      <c r="N217" s="80">
        <f>N216</f>
        <v>809800</v>
      </c>
      <c r="O217" s="80">
        <f>O216</f>
        <v>809800</v>
      </c>
      <c r="P217" s="80">
        <f>J217+E217</f>
        <v>809800</v>
      </c>
      <c r="Q217" s="266"/>
      <c r="R217" s="155"/>
      <c r="S217" s="155"/>
      <c r="T217" s="155"/>
    </row>
    <row r="218" spans="1:20" s="107" customFormat="1" ht="37.5" customHeight="1" x14ac:dyDescent="0.2">
      <c r="A218" s="106" t="s">
        <v>50</v>
      </c>
      <c r="B218" s="36"/>
      <c r="C218" s="36"/>
      <c r="D218" s="35" t="s">
        <v>61</v>
      </c>
      <c r="E218" s="46">
        <f>E219</f>
        <v>51713939</v>
      </c>
      <c r="F218" s="46">
        <f t="shared" ref="F218:P218" si="74">F219</f>
        <v>51713939</v>
      </c>
      <c r="G218" s="46">
        <f t="shared" si="74"/>
        <v>36885629</v>
      </c>
      <c r="H218" s="46">
        <f t="shared" si="74"/>
        <v>1962624</v>
      </c>
      <c r="I218" s="46">
        <f t="shared" si="74"/>
        <v>0</v>
      </c>
      <c r="J218" s="46">
        <f t="shared" si="74"/>
        <v>5791000</v>
      </c>
      <c r="K218" s="46">
        <f t="shared" si="74"/>
        <v>2135830</v>
      </c>
      <c r="L218" s="46">
        <f t="shared" si="74"/>
        <v>1726450</v>
      </c>
      <c r="M218" s="46">
        <f t="shared" si="74"/>
        <v>0</v>
      </c>
      <c r="N218" s="46">
        <f t="shared" si="74"/>
        <v>3655170</v>
      </c>
      <c r="O218" s="46">
        <f t="shared" si="74"/>
        <v>3650450</v>
      </c>
      <c r="P218" s="46">
        <f t="shared" si="74"/>
        <v>57504939</v>
      </c>
      <c r="Q218" s="266"/>
      <c r="R218" s="151">
        <f>R221+R222+R223+R225+R226+R231</f>
        <v>0</v>
      </c>
      <c r="S218" s="151">
        <f>S221+S222+S223+S225+S226+S231</f>
        <v>0</v>
      </c>
      <c r="T218" s="151"/>
    </row>
    <row r="219" spans="1:20" s="109" customFormat="1" ht="24.75" customHeight="1" x14ac:dyDescent="0.2">
      <c r="A219" s="108" t="s">
        <v>310</v>
      </c>
      <c r="B219" s="119"/>
      <c r="C219" s="119"/>
      <c r="D219" s="118" t="s">
        <v>61</v>
      </c>
      <c r="E219" s="74">
        <f>E221+E222+E223+E224+E231+E227</f>
        <v>51713939</v>
      </c>
      <c r="F219" s="74">
        <f>F221+F222+F223+F224+F231+F227</f>
        <v>51713939</v>
      </c>
      <c r="G219" s="74">
        <f>G221+G222+G223+G224+G231+G227</f>
        <v>36885629</v>
      </c>
      <c r="H219" s="74">
        <f>H221+H222+H223+H224+H231+H227</f>
        <v>1962624</v>
      </c>
      <c r="I219" s="74">
        <f>I221+I222+I223+I224+I231</f>
        <v>0</v>
      </c>
      <c r="J219" s="74">
        <f>J221+J222+J223+J224+J231+J227</f>
        <v>5791000</v>
      </c>
      <c r="K219" s="74">
        <f>K221+K222+K223+K224+K231+K227</f>
        <v>2135830</v>
      </c>
      <c r="L219" s="74">
        <f>L221+L222+L223+L224+L231+L227</f>
        <v>1726450</v>
      </c>
      <c r="M219" s="74">
        <f>M221+M222+M223+M224+M231</f>
        <v>0</v>
      </c>
      <c r="N219" s="74">
        <f>N221+N222+N223+N224+N231+N227</f>
        <v>3655170</v>
      </c>
      <c r="O219" s="74">
        <f>O221+O222+O223+O224+O231+O227</f>
        <v>3650450</v>
      </c>
      <c r="P219" s="74">
        <f>P221+P222+P223+P224+P231+P227</f>
        <v>57504939</v>
      </c>
      <c r="Q219" s="266"/>
      <c r="R219" s="160">
        <f>R221+R222+R223+R224+R231</f>
        <v>0</v>
      </c>
      <c r="S219" s="160">
        <f>S221+S222+S223+S224+S231</f>
        <v>0</v>
      </c>
      <c r="T219" s="160"/>
    </row>
    <row r="220" spans="1:20" s="109" customFormat="1" ht="24.75" customHeight="1" x14ac:dyDescent="0.2">
      <c r="A220" s="108"/>
      <c r="B220" s="119"/>
      <c r="C220" s="119"/>
      <c r="D220" s="118" t="s">
        <v>416</v>
      </c>
      <c r="E220" s="74">
        <f>E230</f>
        <v>0</v>
      </c>
      <c r="F220" s="74">
        <f t="shared" ref="F220:P220" si="75">F230</f>
        <v>0</v>
      </c>
      <c r="G220" s="74">
        <f t="shared" si="75"/>
        <v>0</v>
      </c>
      <c r="H220" s="74">
        <f t="shared" si="75"/>
        <v>0</v>
      </c>
      <c r="I220" s="74">
        <f t="shared" si="75"/>
        <v>0</v>
      </c>
      <c r="J220" s="74">
        <f t="shared" si="75"/>
        <v>500000</v>
      </c>
      <c r="K220" s="74">
        <f t="shared" si="75"/>
        <v>0</v>
      </c>
      <c r="L220" s="74">
        <f t="shared" si="75"/>
        <v>0</v>
      </c>
      <c r="M220" s="74">
        <f t="shared" si="75"/>
        <v>0</v>
      </c>
      <c r="N220" s="74">
        <f t="shared" si="75"/>
        <v>500000</v>
      </c>
      <c r="O220" s="74">
        <f t="shared" si="75"/>
        <v>500000</v>
      </c>
      <c r="P220" s="74">
        <f t="shared" si="75"/>
        <v>500000</v>
      </c>
      <c r="Q220" s="266"/>
      <c r="R220" s="160"/>
      <c r="S220" s="160"/>
      <c r="T220" s="160"/>
    </row>
    <row r="221" spans="1:20" s="4" customFormat="1" ht="51" customHeight="1" x14ac:dyDescent="0.2">
      <c r="A221" s="75" t="s">
        <v>220</v>
      </c>
      <c r="B221" s="75" t="str">
        <f>'дод. 4'!A12</f>
        <v>0160</v>
      </c>
      <c r="C221" s="75" t="str">
        <f>'дод. 4'!B12</f>
        <v>0111</v>
      </c>
      <c r="D221" s="76" t="str">
        <f>'дод. 4'!C12</f>
        <v>Керівництво і управління у відповідній сфері у містах (місті Києві), селищах, селах, об’єднаних територіальних громадах</v>
      </c>
      <c r="E221" s="77">
        <f>F221+I221</f>
        <v>1423100</v>
      </c>
      <c r="F221" s="77">
        <f>1461500-38400</f>
        <v>1423100</v>
      </c>
      <c r="G221" s="77">
        <v>1101670</v>
      </c>
      <c r="H221" s="77">
        <v>14960</v>
      </c>
      <c r="I221" s="77"/>
      <c r="J221" s="77">
        <f t="shared" ref="J221:J231" si="76">K221+N221</f>
        <v>10850</v>
      </c>
      <c r="K221" s="77"/>
      <c r="L221" s="77"/>
      <c r="M221" s="77"/>
      <c r="N221" s="77">
        <f>10000+850</f>
        <v>10850</v>
      </c>
      <c r="O221" s="77">
        <f>10000+850</f>
        <v>10850</v>
      </c>
      <c r="P221" s="77">
        <f>E221+J221</f>
        <v>1433950</v>
      </c>
      <c r="Q221" s="266"/>
      <c r="R221" s="153"/>
      <c r="S221" s="153"/>
      <c r="T221" s="153"/>
    </row>
    <row r="222" spans="1:20" s="4" customFormat="1" ht="48.75" customHeight="1" x14ac:dyDescent="0.2">
      <c r="A222" s="75" t="s">
        <v>351</v>
      </c>
      <c r="B222" s="75" t="str">
        <f>'дод. 4'!A24</f>
        <v>1100</v>
      </c>
      <c r="C222" s="75" t="str">
        <f>'дод. 4'!B24</f>
        <v>0960</v>
      </c>
      <c r="D222" s="104" t="str">
        <f>'дод. 4'!C24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222" s="77">
        <f>F222+I222</f>
        <v>29930652</v>
      </c>
      <c r="F222" s="77">
        <f>29741300+75000+45968+20000+10000+5000+10000+23384</f>
        <v>29930652</v>
      </c>
      <c r="G222" s="77">
        <v>23498774</v>
      </c>
      <c r="H222" s="77">
        <f>711900+23384</f>
        <v>735284</v>
      </c>
      <c r="I222" s="77"/>
      <c r="J222" s="77">
        <f t="shared" si="76"/>
        <v>2310850</v>
      </c>
      <c r="K222" s="77">
        <f>2108830</f>
        <v>2108830</v>
      </c>
      <c r="L222" s="77">
        <v>1721450</v>
      </c>
      <c r="M222" s="77"/>
      <c r="N222" s="77">
        <f>200000+4720+12300-15000</f>
        <v>202020</v>
      </c>
      <c r="O222" s="77">
        <f>200000+12300-15000</f>
        <v>197300</v>
      </c>
      <c r="P222" s="77">
        <f>E222+J222</f>
        <v>32241502</v>
      </c>
      <c r="Q222" s="266"/>
      <c r="R222" s="153"/>
      <c r="S222" s="153"/>
      <c r="T222" s="153"/>
    </row>
    <row r="223" spans="1:20" s="4" customFormat="1" ht="21" customHeight="1" x14ac:dyDescent="0.2">
      <c r="A223" s="75" t="s">
        <v>311</v>
      </c>
      <c r="B223" s="75" t="str">
        <f>'дод. 4'!A144</f>
        <v>4030</v>
      </c>
      <c r="C223" s="75" t="str">
        <f>'дод. 4'!B144</f>
        <v>0824</v>
      </c>
      <c r="D223" s="104" t="str">
        <f>'дод. 4'!C144</f>
        <v>Забезпечення діяльності бібліотек</v>
      </c>
      <c r="E223" s="77">
        <f>F223+I223</f>
        <v>16455555</v>
      </c>
      <c r="F223" s="77">
        <f>15733720+338000+149950+1000+4500+57000+56376-5000+12000+15000+10000+6000+77009</f>
        <v>16455555</v>
      </c>
      <c r="G223" s="77">
        <v>11407051</v>
      </c>
      <c r="H223" s="77">
        <f>1115260+77009</f>
        <v>1192269</v>
      </c>
      <c r="I223" s="77"/>
      <c r="J223" s="77">
        <f t="shared" si="76"/>
        <v>1257150</v>
      </c>
      <c r="K223" s="77">
        <f>27000</f>
        <v>27000</v>
      </c>
      <c r="L223" s="77">
        <v>5000</v>
      </c>
      <c r="M223" s="77"/>
      <c r="N223" s="77">
        <f>300000+850050+23000+47100+10000</f>
        <v>1230150</v>
      </c>
      <c r="O223" s="77">
        <f>300000+850050+23000+47100+10000</f>
        <v>1230150</v>
      </c>
      <c r="P223" s="77">
        <f>E223+J223</f>
        <v>17712705</v>
      </c>
      <c r="Q223" s="266"/>
      <c r="R223" s="153"/>
      <c r="S223" s="153"/>
      <c r="T223" s="153"/>
    </row>
    <row r="224" spans="1:20" s="4" customFormat="1" ht="38.25" customHeight="1" x14ac:dyDescent="0.2">
      <c r="A224" s="75" t="s">
        <v>312</v>
      </c>
      <c r="B224" s="75" t="str">
        <f>'дод. 4'!A146</f>
        <v>4080</v>
      </c>
      <c r="C224" s="75">
        <f>'дод. 4'!B146</f>
        <v>0</v>
      </c>
      <c r="D224" s="104" t="str">
        <f>'дод. 4'!C146</f>
        <v>Інші заклади та заходи в галузі культури і мистецтва</v>
      </c>
      <c r="E224" s="77">
        <f>E225+E226</f>
        <v>3844632</v>
      </c>
      <c r="F224" s="77">
        <f t="shared" ref="F224:P224" si="77">F225+F226</f>
        <v>3844632</v>
      </c>
      <c r="G224" s="77">
        <f t="shared" si="77"/>
        <v>878134</v>
      </c>
      <c r="H224" s="77">
        <f t="shared" si="77"/>
        <v>20111</v>
      </c>
      <c r="I224" s="77">
        <f t="shared" si="77"/>
        <v>0</v>
      </c>
      <c r="J224" s="77">
        <f t="shared" si="77"/>
        <v>49150</v>
      </c>
      <c r="K224" s="77">
        <f t="shared" si="77"/>
        <v>0</v>
      </c>
      <c r="L224" s="77">
        <f t="shared" si="77"/>
        <v>0</v>
      </c>
      <c r="M224" s="77">
        <f t="shared" si="77"/>
        <v>0</v>
      </c>
      <c r="N224" s="77">
        <f t="shared" si="77"/>
        <v>49150</v>
      </c>
      <c r="O224" s="77">
        <f t="shared" si="77"/>
        <v>49150</v>
      </c>
      <c r="P224" s="77">
        <f t="shared" si="77"/>
        <v>3893782</v>
      </c>
      <c r="Q224" s="266"/>
      <c r="R224" s="154"/>
      <c r="S224" s="154"/>
      <c r="T224" s="154"/>
    </row>
    <row r="225" spans="1:20" s="110" customFormat="1" ht="33.75" customHeight="1" x14ac:dyDescent="0.2">
      <c r="A225" s="88">
        <v>1014081</v>
      </c>
      <c r="B225" s="78" t="str">
        <f>'дод. 4'!A147</f>
        <v>4081</v>
      </c>
      <c r="C225" s="78" t="str">
        <f>'дод. 4'!B147</f>
        <v>0829</v>
      </c>
      <c r="D225" s="101" t="str">
        <f>'дод. 4'!C147</f>
        <v xml:space="preserve">Забезпечення діяльності інших закладів в галузі культури і мистецтва </v>
      </c>
      <c r="E225" s="80">
        <f>F225+I225</f>
        <v>1212180</v>
      </c>
      <c r="F225" s="80">
        <v>1212180</v>
      </c>
      <c r="G225" s="80">
        <v>878134</v>
      </c>
      <c r="H225" s="80">
        <v>20111</v>
      </c>
      <c r="I225" s="80"/>
      <c r="J225" s="80">
        <f t="shared" si="76"/>
        <v>49150</v>
      </c>
      <c r="K225" s="80"/>
      <c r="L225" s="80"/>
      <c r="M225" s="80"/>
      <c r="N225" s="80">
        <f>50000-850</f>
        <v>49150</v>
      </c>
      <c r="O225" s="80">
        <f>50000-850</f>
        <v>49150</v>
      </c>
      <c r="P225" s="80">
        <f>E225+J225</f>
        <v>1261330</v>
      </c>
      <c r="Q225" s="266"/>
      <c r="R225" s="155"/>
      <c r="S225" s="155"/>
      <c r="T225" s="155"/>
    </row>
    <row r="226" spans="1:20" s="110" customFormat="1" ht="25.5" customHeight="1" x14ac:dyDescent="0.2">
      <c r="A226" s="88">
        <v>1014082</v>
      </c>
      <c r="B226" s="78" t="str">
        <f>'дод. 4'!A148</f>
        <v>4082</v>
      </c>
      <c r="C226" s="78" t="str">
        <f>'дод. 4'!B148</f>
        <v>0829</v>
      </c>
      <c r="D226" s="101" t="str">
        <f>'дод. 4'!C148</f>
        <v>Інші заходи в галузі культури і мистецтва</v>
      </c>
      <c r="E226" s="80">
        <f>F226+I226</f>
        <v>2632452</v>
      </c>
      <c r="F226" s="80">
        <f>1900000+193952+7500+186000+50000+70000+5000+10000+210000</f>
        <v>2632452</v>
      </c>
      <c r="G226" s="80"/>
      <c r="H226" s="80"/>
      <c r="I226" s="80"/>
      <c r="J226" s="80">
        <f t="shared" si="76"/>
        <v>0</v>
      </c>
      <c r="K226" s="80"/>
      <c r="L226" s="80"/>
      <c r="M226" s="80"/>
      <c r="N226" s="80"/>
      <c r="O226" s="80"/>
      <c r="P226" s="80">
        <f>E226+J226</f>
        <v>2632452</v>
      </c>
      <c r="Q226" s="266"/>
      <c r="R226" s="155"/>
      <c r="S226" s="155"/>
      <c r="T226" s="155"/>
    </row>
    <row r="227" spans="1:20" s="110" customFormat="1" ht="25.5" customHeight="1" x14ac:dyDescent="0.2">
      <c r="A227" s="5" t="s">
        <v>660</v>
      </c>
      <c r="B227" s="75" t="s">
        <v>598</v>
      </c>
      <c r="C227" s="78"/>
      <c r="D227" s="104" t="s">
        <v>600</v>
      </c>
      <c r="E227" s="80">
        <f>E229</f>
        <v>0</v>
      </c>
      <c r="F227" s="80">
        <f t="shared" ref="F227:P227" si="78">F229</f>
        <v>0</v>
      </c>
      <c r="G227" s="80">
        <f t="shared" si="78"/>
        <v>0</v>
      </c>
      <c r="H227" s="80">
        <f t="shared" si="78"/>
        <v>0</v>
      </c>
      <c r="I227" s="80">
        <f t="shared" si="78"/>
        <v>0</v>
      </c>
      <c r="J227" s="77">
        <f t="shared" si="78"/>
        <v>515000</v>
      </c>
      <c r="K227" s="80">
        <f t="shared" si="78"/>
        <v>0</v>
      </c>
      <c r="L227" s="80">
        <f t="shared" si="78"/>
        <v>0</v>
      </c>
      <c r="M227" s="80">
        <f t="shared" si="78"/>
        <v>0</v>
      </c>
      <c r="N227" s="77">
        <f t="shared" si="78"/>
        <v>515000</v>
      </c>
      <c r="O227" s="77">
        <f t="shared" si="78"/>
        <v>515000</v>
      </c>
      <c r="P227" s="77">
        <f t="shared" si="78"/>
        <v>515000</v>
      </c>
      <c r="Q227" s="266"/>
      <c r="R227" s="155"/>
      <c r="S227" s="155"/>
      <c r="T227" s="155"/>
    </row>
    <row r="228" spans="1:20" s="110" customFormat="1" ht="25.5" customHeight="1" x14ac:dyDescent="0.2">
      <c r="A228" s="88"/>
      <c r="B228" s="78"/>
      <c r="C228" s="78"/>
      <c r="D228" s="104" t="s">
        <v>416</v>
      </c>
      <c r="E228" s="80">
        <f>E230</f>
        <v>0</v>
      </c>
      <c r="F228" s="80">
        <f t="shared" ref="F228:P228" si="79">F230</f>
        <v>0</v>
      </c>
      <c r="G228" s="80">
        <f t="shared" si="79"/>
        <v>0</v>
      </c>
      <c r="H228" s="80">
        <f t="shared" si="79"/>
        <v>0</v>
      </c>
      <c r="I228" s="80">
        <f t="shared" si="79"/>
        <v>0</v>
      </c>
      <c r="J228" s="80">
        <f t="shared" si="79"/>
        <v>500000</v>
      </c>
      <c r="K228" s="80">
        <f t="shared" si="79"/>
        <v>0</v>
      </c>
      <c r="L228" s="80">
        <f t="shared" si="79"/>
        <v>0</v>
      </c>
      <c r="M228" s="80">
        <f t="shared" si="79"/>
        <v>0</v>
      </c>
      <c r="N228" s="80">
        <f t="shared" si="79"/>
        <v>500000</v>
      </c>
      <c r="O228" s="80">
        <f t="shared" si="79"/>
        <v>500000</v>
      </c>
      <c r="P228" s="80">
        <f t="shared" si="79"/>
        <v>500000</v>
      </c>
      <c r="Q228" s="266"/>
      <c r="R228" s="155"/>
      <c r="S228" s="155"/>
      <c r="T228" s="155"/>
    </row>
    <row r="229" spans="1:20" s="110" customFormat="1" ht="29.45" customHeight="1" x14ac:dyDescent="0.2">
      <c r="A229" s="7" t="s">
        <v>661</v>
      </c>
      <c r="B229" s="78" t="s">
        <v>599</v>
      </c>
      <c r="C229" s="78" t="s">
        <v>126</v>
      </c>
      <c r="D229" s="101" t="s">
        <v>601</v>
      </c>
      <c r="E229" s="80"/>
      <c r="F229" s="80"/>
      <c r="G229" s="80"/>
      <c r="H229" s="80"/>
      <c r="I229" s="80"/>
      <c r="J229" s="80">
        <f>K229+N229</f>
        <v>515000</v>
      </c>
      <c r="K229" s="80"/>
      <c r="L229" s="80"/>
      <c r="M229" s="80"/>
      <c r="N229" s="80">
        <f>15000+500000</f>
        <v>515000</v>
      </c>
      <c r="O229" s="80">
        <f>15000+500000</f>
        <v>515000</v>
      </c>
      <c r="P229" s="80">
        <f>J229+E229</f>
        <v>515000</v>
      </c>
      <c r="Q229" s="266"/>
      <c r="R229" s="155"/>
      <c r="S229" s="155"/>
      <c r="T229" s="155"/>
    </row>
    <row r="230" spans="1:20" s="110" customFormat="1" ht="25.5" customHeight="1" x14ac:dyDescent="0.2">
      <c r="A230" s="88"/>
      <c r="B230" s="78"/>
      <c r="C230" s="78"/>
      <c r="D230" s="101" t="s">
        <v>416</v>
      </c>
      <c r="E230" s="80"/>
      <c r="F230" s="80"/>
      <c r="G230" s="80"/>
      <c r="H230" s="80"/>
      <c r="I230" s="80"/>
      <c r="J230" s="80">
        <f>N230+K230</f>
        <v>500000</v>
      </c>
      <c r="K230" s="80"/>
      <c r="L230" s="80"/>
      <c r="M230" s="80"/>
      <c r="N230" s="80">
        <v>500000</v>
      </c>
      <c r="O230" s="80">
        <v>500000</v>
      </c>
      <c r="P230" s="80">
        <f>J230+E230</f>
        <v>500000</v>
      </c>
      <c r="Q230" s="266"/>
      <c r="R230" s="155"/>
      <c r="S230" s="155"/>
      <c r="T230" s="155"/>
    </row>
    <row r="231" spans="1:20" s="4" customFormat="1" ht="22.5" customHeight="1" x14ac:dyDescent="0.2">
      <c r="A231" s="75" t="s">
        <v>233</v>
      </c>
      <c r="B231" s="75" t="str">
        <f>'дод. 4'!A216</f>
        <v>7640</v>
      </c>
      <c r="C231" s="75" t="str">
        <f>'дод. 4'!B216</f>
        <v>0470</v>
      </c>
      <c r="D231" s="102" t="str">
        <f>'дод. 4'!C216</f>
        <v>Заходи з енергозбереження</v>
      </c>
      <c r="E231" s="77">
        <f>F231+I231</f>
        <v>60000</v>
      </c>
      <c r="F231" s="77">
        <v>60000</v>
      </c>
      <c r="G231" s="77"/>
      <c r="H231" s="77"/>
      <c r="I231" s="77"/>
      <c r="J231" s="77">
        <f t="shared" si="76"/>
        <v>1648000</v>
      </c>
      <c r="K231" s="77"/>
      <c r="L231" s="77"/>
      <c r="M231" s="77"/>
      <c r="N231" s="77">
        <v>1648000</v>
      </c>
      <c r="O231" s="77">
        <v>1648000</v>
      </c>
      <c r="P231" s="77">
        <f>E231+J231</f>
        <v>1708000</v>
      </c>
      <c r="Q231" s="266"/>
      <c r="R231" s="153"/>
      <c r="S231" s="153"/>
      <c r="T231" s="153"/>
    </row>
    <row r="232" spans="1:20" s="107" customFormat="1" ht="28.5" x14ac:dyDescent="0.2">
      <c r="A232" s="106" t="s">
        <v>313</v>
      </c>
      <c r="B232" s="36"/>
      <c r="C232" s="36"/>
      <c r="D232" s="35" t="s">
        <v>63</v>
      </c>
      <c r="E232" s="46">
        <f>E233</f>
        <v>97154758.099999994</v>
      </c>
      <c r="F232" s="46">
        <f t="shared" ref="F232:P232" si="80">F233</f>
        <v>77053357.949999988</v>
      </c>
      <c r="G232" s="46">
        <f t="shared" si="80"/>
        <v>7603186.0999999996</v>
      </c>
      <c r="H232" s="46">
        <f t="shared" si="80"/>
        <v>18800601</v>
      </c>
      <c r="I232" s="46">
        <f t="shared" si="80"/>
        <v>20101400.149999999</v>
      </c>
      <c r="J232" s="46">
        <f t="shared" si="80"/>
        <v>176572737.5</v>
      </c>
      <c r="K232" s="46">
        <f t="shared" si="80"/>
        <v>2057124.01</v>
      </c>
      <c r="L232" s="46">
        <f t="shared" si="80"/>
        <v>0</v>
      </c>
      <c r="M232" s="46">
        <f t="shared" si="80"/>
        <v>0</v>
      </c>
      <c r="N232" s="46">
        <f t="shared" si="80"/>
        <v>174515613.49000001</v>
      </c>
      <c r="O232" s="46">
        <f t="shared" si="80"/>
        <v>155741788.94</v>
      </c>
      <c r="P232" s="46">
        <f t="shared" si="80"/>
        <v>273727495.60000002</v>
      </c>
      <c r="Q232" s="266"/>
      <c r="R232" s="151"/>
      <c r="S232" s="151"/>
      <c r="T232" s="151"/>
    </row>
    <row r="233" spans="1:20" s="109" customFormat="1" ht="30" x14ac:dyDescent="0.2">
      <c r="A233" s="108" t="s">
        <v>314</v>
      </c>
      <c r="B233" s="119"/>
      <c r="C233" s="119"/>
      <c r="D233" s="118" t="s">
        <v>63</v>
      </c>
      <c r="E233" s="74">
        <f>E235+E236+E237+E243+E244+E245+E251+E252+E253+E259+E260+E262+E263+E264+E254+E250+E246</f>
        <v>97154758.099999994</v>
      </c>
      <c r="F233" s="74">
        <f t="shared" ref="F233:P233" si="81">F235+F236+F237+F243+F244+F245+F251+F252+F253+F259+F260+F262+F263+F264+F254+F250+F246</f>
        <v>77053357.949999988</v>
      </c>
      <c r="G233" s="74">
        <f t="shared" si="81"/>
        <v>7603186.0999999996</v>
      </c>
      <c r="H233" s="74">
        <f t="shared" si="81"/>
        <v>18800601</v>
      </c>
      <c r="I233" s="74">
        <f t="shared" si="81"/>
        <v>20101400.149999999</v>
      </c>
      <c r="J233" s="74">
        <f t="shared" si="81"/>
        <v>176572737.5</v>
      </c>
      <c r="K233" s="74">
        <f t="shared" si="81"/>
        <v>2057124.01</v>
      </c>
      <c r="L233" s="74">
        <f t="shared" si="81"/>
        <v>0</v>
      </c>
      <c r="M233" s="74">
        <f t="shared" si="81"/>
        <v>0</v>
      </c>
      <c r="N233" s="74">
        <f t="shared" si="81"/>
        <v>174515613.49000001</v>
      </c>
      <c r="O233" s="74">
        <f t="shared" si="81"/>
        <v>155741788.94</v>
      </c>
      <c r="P233" s="74">
        <f t="shared" si="81"/>
        <v>273727495.60000002</v>
      </c>
      <c r="Q233" s="266"/>
      <c r="R233" s="160"/>
      <c r="S233" s="160"/>
      <c r="T233" s="160"/>
    </row>
    <row r="234" spans="1:20" s="109" customFormat="1" ht="21" customHeight="1" x14ac:dyDescent="0.2">
      <c r="A234" s="108"/>
      <c r="B234" s="119"/>
      <c r="C234" s="119"/>
      <c r="D234" s="118" t="s">
        <v>416</v>
      </c>
      <c r="E234" s="74">
        <f>E255+E247</f>
        <v>0</v>
      </c>
      <c r="F234" s="74">
        <f t="shared" ref="F234:P234" si="82">F255+F247</f>
        <v>0</v>
      </c>
      <c r="G234" s="74">
        <f t="shared" si="82"/>
        <v>0</v>
      </c>
      <c r="H234" s="74">
        <f t="shared" si="82"/>
        <v>0</v>
      </c>
      <c r="I234" s="74">
        <f t="shared" si="82"/>
        <v>0</v>
      </c>
      <c r="J234" s="74">
        <f t="shared" si="82"/>
        <v>17947868.850000001</v>
      </c>
      <c r="K234" s="74">
        <f t="shared" si="82"/>
        <v>0</v>
      </c>
      <c r="L234" s="74">
        <f t="shared" si="82"/>
        <v>0</v>
      </c>
      <c r="M234" s="74">
        <f t="shared" si="82"/>
        <v>0</v>
      </c>
      <c r="N234" s="74">
        <f t="shared" si="82"/>
        <v>17947868.850000001</v>
      </c>
      <c r="O234" s="74">
        <f t="shared" si="82"/>
        <v>4242868.8499999996</v>
      </c>
      <c r="P234" s="74">
        <f t="shared" si="82"/>
        <v>17947868.850000001</v>
      </c>
      <c r="Q234" s="266"/>
      <c r="R234" s="160"/>
      <c r="S234" s="160"/>
      <c r="T234" s="160"/>
    </row>
    <row r="235" spans="1:20" s="4" customFormat="1" ht="45" x14ac:dyDescent="0.2">
      <c r="A235" s="75" t="s">
        <v>315</v>
      </c>
      <c r="B235" s="75" t="str">
        <f>'дод. 4'!A12</f>
        <v>0160</v>
      </c>
      <c r="C235" s="75" t="str">
        <f>'дод. 4'!B12</f>
        <v>0111</v>
      </c>
      <c r="D235" s="76" t="str">
        <f>'дод. 4'!C12</f>
        <v>Керівництво і управління у відповідній сфері у містах (місті Києві), селищах, селах, об’єднаних територіальних громадах</v>
      </c>
      <c r="E235" s="77">
        <f>F235+I235</f>
        <v>9709681</v>
      </c>
      <c r="F235" s="77">
        <f>9793300-93600+9981</f>
        <v>9709681</v>
      </c>
      <c r="G235" s="77">
        <v>7590891</v>
      </c>
      <c r="H235" s="77">
        <f>102300+9981</f>
        <v>112281</v>
      </c>
      <c r="I235" s="77"/>
      <c r="J235" s="77">
        <f>K235+N235</f>
        <v>62500</v>
      </c>
      <c r="K235" s="77"/>
      <c r="L235" s="77"/>
      <c r="M235" s="77"/>
      <c r="N235" s="77">
        <f>200000-137500</f>
        <v>62500</v>
      </c>
      <c r="O235" s="77">
        <f>200000-137500</f>
        <v>62500</v>
      </c>
      <c r="P235" s="77">
        <f>E235+J235</f>
        <v>9772181</v>
      </c>
      <c r="Q235" s="266"/>
      <c r="R235" s="153"/>
      <c r="S235" s="153"/>
      <c r="T235" s="153"/>
    </row>
    <row r="236" spans="1:20" s="4" customFormat="1" ht="19.5" customHeight="1" x14ac:dyDescent="0.2">
      <c r="A236" s="85" t="s">
        <v>474</v>
      </c>
      <c r="B236" s="85" t="str">
        <f>'дод. 4'!A129</f>
        <v>3210</v>
      </c>
      <c r="C236" s="85" t="str">
        <f>'дод. 4'!B129</f>
        <v>1050</v>
      </c>
      <c r="D236" s="103" t="str">
        <f>'дод. 4'!C129</f>
        <v>Організація та проведення громадських робіт</v>
      </c>
      <c r="E236" s="77">
        <f>F236+I236</f>
        <v>565000</v>
      </c>
      <c r="F236" s="77">
        <v>565000</v>
      </c>
      <c r="G236" s="77">
        <v>12295.1</v>
      </c>
      <c r="H236" s="77"/>
      <c r="I236" s="77"/>
      <c r="J236" s="77">
        <f t="shared" ref="J236:J264" si="83">K236+N236</f>
        <v>0</v>
      </c>
      <c r="K236" s="77"/>
      <c r="L236" s="77"/>
      <c r="M236" s="77"/>
      <c r="N236" s="77"/>
      <c r="O236" s="77"/>
      <c r="P236" s="77">
        <f>E236+J236</f>
        <v>565000</v>
      </c>
      <c r="Q236" s="266"/>
      <c r="R236" s="153"/>
      <c r="S236" s="153"/>
      <c r="T236" s="153"/>
    </row>
    <row r="237" spans="1:20" s="4" customFormat="1" ht="32.25" customHeight="1" x14ac:dyDescent="0.2">
      <c r="A237" s="75" t="s">
        <v>316</v>
      </c>
      <c r="B237" s="75" t="str">
        <f>'дод. 4'!A161</f>
        <v>6010</v>
      </c>
      <c r="C237" s="75">
        <f>'дод. 4'!B161</f>
        <v>0</v>
      </c>
      <c r="D237" s="104" t="str">
        <f>'дод. 4'!C161</f>
        <v>Утримання та ефективна експлуатація об’єктів житлово-комунального господарства</v>
      </c>
      <c r="E237" s="77">
        <f>E238+E239+E240+E242+E241</f>
        <v>13671362</v>
      </c>
      <c r="F237" s="77">
        <f t="shared" ref="F237:P237" si="84">F238+F239+F240+F242+F241</f>
        <v>1815220</v>
      </c>
      <c r="G237" s="77">
        <f t="shared" si="84"/>
        <v>0</v>
      </c>
      <c r="H237" s="77">
        <f t="shared" si="84"/>
        <v>0</v>
      </c>
      <c r="I237" s="77">
        <f t="shared" si="84"/>
        <v>11856142</v>
      </c>
      <c r="J237" s="77">
        <f t="shared" si="84"/>
        <v>65678760</v>
      </c>
      <c r="K237" s="77">
        <f t="shared" si="84"/>
        <v>0</v>
      </c>
      <c r="L237" s="77">
        <f t="shared" si="84"/>
        <v>0</v>
      </c>
      <c r="M237" s="77">
        <f t="shared" si="84"/>
        <v>0</v>
      </c>
      <c r="N237" s="77">
        <f t="shared" si="84"/>
        <v>65678760</v>
      </c>
      <c r="O237" s="77">
        <f t="shared" si="84"/>
        <v>65678760</v>
      </c>
      <c r="P237" s="77">
        <f t="shared" si="84"/>
        <v>79350122</v>
      </c>
      <c r="Q237" s="266"/>
      <c r="R237" s="154"/>
      <c r="S237" s="154"/>
      <c r="T237" s="154"/>
    </row>
    <row r="238" spans="1:20" s="110" customFormat="1" ht="30" x14ac:dyDescent="0.2">
      <c r="A238" s="78" t="s">
        <v>317</v>
      </c>
      <c r="B238" s="78" t="str">
        <f>'дод. 4'!A162</f>
        <v>6011</v>
      </c>
      <c r="C238" s="78" t="str">
        <f>'дод. 4'!B162</f>
        <v>0620</v>
      </c>
      <c r="D238" s="101" t="str">
        <f>'дод. 4'!C162</f>
        <v>Експлуатація та технічне обслуговування житлового фонду</v>
      </c>
      <c r="E238" s="80">
        <f t="shared" ref="E238:E259" si="85">F238+I238</f>
        <v>0</v>
      </c>
      <c r="F238" s="80"/>
      <c r="G238" s="80"/>
      <c r="H238" s="80"/>
      <c r="I238" s="80"/>
      <c r="J238" s="80">
        <f t="shared" si="83"/>
        <v>33000738</v>
      </c>
      <c r="K238" s="80"/>
      <c r="L238" s="80"/>
      <c r="M238" s="80"/>
      <c r="N238" s="80">
        <f>20000000+15000000-150000-4100000+20000+350000+2000+2000+92000+35000+83268+60000+70000+1480000+25000-38060+73000-8470+5000</f>
        <v>33000738</v>
      </c>
      <c r="O238" s="80">
        <f>20000000+15000000-150000-4100000+20000+350000+2000+2000+92000+35000+83268+60000+70000+1480000+25000-38060+73000-8470+5000</f>
        <v>33000738</v>
      </c>
      <c r="P238" s="80">
        <f t="shared" ref="P238:P259" si="86">E238+J238</f>
        <v>33000738</v>
      </c>
      <c r="Q238" s="266"/>
      <c r="R238" s="155"/>
      <c r="S238" s="155"/>
      <c r="T238" s="155"/>
    </row>
    <row r="239" spans="1:20" s="110" customFormat="1" ht="30" x14ac:dyDescent="0.2">
      <c r="A239" s="78" t="s">
        <v>318</v>
      </c>
      <c r="B239" s="78" t="str">
        <f>'дод. 4'!A163</f>
        <v>6013</v>
      </c>
      <c r="C239" s="78" t="str">
        <f>'дод. 4'!B163</f>
        <v>0620</v>
      </c>
      <c r="D239" s="101" t="str">
        <f>'дод. 4'!C163</f>
        <v>Забезпечення діяльності водопровідно-каналізаційного господарства</v>
      </c>
      <c r="E239" s="80">
        <f t="shared" si="85"/>
        <v>12756142</v>
      </c>
      <c r="F239" s="80">
        <f>200000+90000+550000+60000</f>
        <v>900000</v>
      </c>
      <c r="G239" s="80"/>
      <c r="H239" s="80"/>
      <c r="I239" s="80">
        <f>3096000+3760142+662656+1337344+3000000</f>
        <v>11856142</v>
      </c>
      <c r="J239" s="80">
        <f t="shared" si="83"/>
        <v>542622</v>
      </c>
      <c r="K239" s="80"/>
      <c r="L239" s="80"/>
      <c r="M239" s="80"/>
      <c r="N239" s="80">
        <f>222622+320000</f>
        <v>542622</v>
      </c>
      <c r="O239" s="80">
        <f>222622+320000</f>
        <v>542622</v>
      </c>
      <c r="P239" s="80">
        <f t="shared" si="86"/>
        <v>13298764</v>
      </c>
      <c r="Q239" s="266"/>
      <c r="R239" s="155"/>
      <c r="S239" s="155"/>
      <c r="T239" s="155"/>
    </row>
    <row r="240" spans="1:20" s="110" customFormat="1" ht="35.25" customHeight="1" x14ac:dyDescent="0.2">
      <c r="A240" s="78" t="s">
        <v>405</v>
      </c>
      <c r="B240" s="78" t="str">
        <f>'дод. 4'!A164</f>
        <v>6015</v>
      </c>
      <c r="C240" s="78" t="str">
        <f>'дод. 4'!B164</f>
        <v>0620</v>
      </c>
      <c r="D240" s="101" t="str">
        <f>'дод. 4'!C164</f>
        <v>Забезпечення надійної та безперебійної експлуатації ліфтів</v>
      </c>
      <c r="E240" s="80">
        <f t="shared" si="85"/>
        <v>510520</v>
      </c>
      <c r="F240" s="80">
        <f>350000+153000+3000+4520</f>
        <v>510520</v>
      </c>
      <c r="G240" s="80"/>
      <c r="H240" s="80"/>
      <c r="I240" s="80"/>
      <c r="J240" s="80">
        <f>K240+N240</f>
        <v>29957400</v>
      </c>
      <c r="K240" s="80"/>
      <c r="L240" s="80"/>
      <c r="M240" s="80"/>
      <c r="N240" s="80">
        <f>20000000+10000000-35000-7600</f>
        <v>29957400</v>
      </c>
      <c r="O240" s="80">
        <f>20000000+10000000-35000-7600</f>
        <v>29957400</v>
      </c>
      <c r="P240" s="80">
        <f t="shared" si="86"/>
        <v>30467920</v>
      </c>
      <c r="Q240" s="266"/>
      <c r="R240" s="155"/>
      <c r="S240" s="155"/>
      <c r="T240" s="155"/>
    </row>
    <row r="241" spans="1:20" s="110" customFormat="1" ht="46.5" customHeight="1" x14ac:dyDescent="0.2">
      <c r="A241" s="78" t="s">
        <v>610</v>
      </c>
      <c r="B241" s="78" t="str">
        <f>'дод. 4'!A165</f>
        <v>6016</v>
      </c>
      <c r="C241" s="78" t="str">
        <f>'дод. 4'!B165</f>
        <v>0620</v>
      </c>
      <c r="D241" s="101" t="str">
        <f>'дод. 4'!C165</f>
        <v>Впровадження засобів обліку витрат та регулювання споживання води та теплової енергії</v>
      </c>
      <c r="E241" s="80">
        <f t="shared" si="85"/>
        <v>0</v>
      </c>
      <c r="F241" s="80"/>
      <c r="G241" s="80"/>
      <c r="H241" s="80"/>
      <c r="I241" s="80"/>
      <c r="J241" s="80">
        <f>K241+N241</f>
        <v>2178000</v>
      </c>
      <c r="K241" s="80"/>
      <c r="L241" s="80"/>
      <c r="M241" s="80"/>
      <c r="N241" s="80">
        <v>2178000</v>
      </c>
      <c r="O241" s="80">
        <v>2178000</v>
      </c>
      <c r="P241" s="80">
        <f t="shared" si="86"/>
        <v>2178000</v>
      </c>
      <c r="Q241" s="266"/>
      <c r="R241" s="155"/>
      <c r="S241" s="155"/>
      <c r="T241" s="155"/>
    </row>
    <row r="242" spans="1:20" s="110" customFormat="1" ht="38.25" customHeight="1" x14ac:dyDescent="0.2">
      <c r="A242" s="78" t="s">
        <v>408</v>
      </c>
      <c r="B242" s="78" t="str">
        <f>'дод. 4'!A166</f>
        <v>6017</v>
      </c>
      <c r="C242" s="78" t="str">
        <f>'дод. 4'!B166</f>
        <v>0620</v>
      </c>
      <c r="D242" s="101" t="str">
        <f>'дод. 4'!C166</f>
        <v xml:space="preserve">Інша діяльність, пов’язана з експлуатацією об’єктів житлово-комунального господарства </v>
      </c>
      <c r="E242" s="80">
        <f t="shared" si="85"/>
        <v>404700</v>
      </c>
      <c r="F242" s="80">
        <f>1000000-595300</f>
        <v>404700</v>
      </c>
      <c r="G242" s="80"/>
      <c r="H242" s="80"/>
      <c r="I242" s="80"/>
      <c r="J242" s="80">
        <f t="shared" si="83"/>
        <v>0</v>
      </c>
      <c r="K242" s="80"/>
      <c r="L242" s="80"/>
      <c r="M242" s="80"/>
      <c r="N242" s="80"/>
      <c r="O242" s="80"/>
      <c r="P242" s="80">
        <f t="shared" si="86"/>
        <v>404700</v>
      </c>
      <c r="Q242" s="266"/>
      <c r="R242" s="155"/>
      <c r="S242" s="155"/>
      <c r="T242" s="155"/>
    </row>
    <row r="243" spans="1:20" s="110" customFormat="1" ht="45" x14ac:dyDescent="0.2">
      <c r="A243" s="81" t="s">
        <v>319</v>
      </c>
      <c r="B243" s="81" t="str">
        <f>'дод. 4'!A167</f>
        <v>6020</v>
      </c>
      <c r="C243" s="81" t="str">
        <f>'дод. 4'!B167</f>
        <v>0620</v>
      </c>
      <c r="D243" s="102" t="str">
        <f>'дод. 4'!C167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43" s="83">
        <f t="shared" si="85"/>
        <v>6422960.7000000002</v>
      </c>
      <c r="F243" s="83"/>
      <c r="G243" s="83"/>
      <c r="H243" s="83"/>
      <c r="I243" s="83">
        <f>300000+6102960.7+20000</f>
        <v>6422960.7000000002</v>
      </c>
      <c r="J243" s="83">
        <f t="shared" si="83"/>
        <v>0</v>
      </c>
      <c r="K243" s="83"/>
      <c r="L243" s="83"/>
      <c r="M243" s="83"/>
      <c r="N243" s="83"/>
      <c r="O243" s="83"/>
      <c r="P243" s="83">
        <f t="shared" si="86"/>
        <v>6422960.7000000002</v>
      </c>
      <c r="Q243" s="266"/>
      <c r="R243" s="153"/>
      <c r="S243" s="153"/>
      <c r="T243" s="153"/>
    </row>
    <row r="244" spans="1:20" s="4" customFormat="1" ht="21.75" customHeight="1" x14ac:dyDescent="0.2">
      <c r="A244" s="81" t="s">
        <v>320</v>
      </c>
      <c r="B244" s="81" t="str">
        <f>'дод. 4'!A168</f>
        <v>6030</v>
      </c>
      <c r="C244" s="81" t="str">
        <f>'дод. 4'!B168</f>
        <v>0620</v>
      </c>
      <c r="D244" s="102" t="str">
        <f>'дод. 4'!C168</f>
        <v>Організація благоустрою населених пунктів</v>
      </c>
      <c r="E244" s="83">
        <f t="shared" si="85"/>
        <v>60382452.399999999</v>
      </c>
      <c r="F244" s="83">
        <f>51058210+4128000+3150000+2000000-428011-345568+1075722-757130-547750-1567100-10000+2800000-247489+500000-1440655.7-102277-5000-10000-5000-164200+500000-412000-2000-321786.35-150000-5000-5000-10000-11000+500000-20000-25000+200000+101300+59000-5000-60000+272435+55000+459000</f>
        <v>60201699.949999996</v>
      </c>
      <c r="G244" s="83"/>
      <c r="H244" s="83">
        <f>16966320+500000+723000+459000</f>
        <v>18648320</v>
      </c>
      <c r="I244" s="83">
        <f>180000+752.45</f>
        <v>180752.45</v>
      </c>
      <c r="J244" s="83">
        <f t="shared" si="83"/>
        <v>42433460.350000001</v>
      </c>
      <c r="K244" s="83"/>
      <c r="L244" s="83"/>
      <c r="M244" s="83"/>
      <c r="N244" s="83">
        <f>37188104+9000000+9000000+3150000-1000000-312300+497824+499005+500000-8558834-150000-56000-137000-434845-198030-185395-186000-488774-4920-175600-75000-15116.65-297115-824004-46555-130000-500000-559000-1480000-99475-77000-494000-116000+494000-37410-283300-59000-8470-55000-48000-627609-175720</f>
        <v>42433460.350000001</v>
      </c>
      <c r="O244" s="83">
        <f>37188104+9000000+9000000+3150000-1000000-312300+497824+499005+500000-8558834-150000-56000-137000-434845-198030-185395-186000-488774-4920-175600-75000-15116.65-297115-824004-46555-130000-500000-559000-1480000-99475-77000-494000-116000+494000-37410-283300-59000-8470-55000-48000-627609-175720</f>
        <v>42433460.350000001</v>
      </c>
      <c r="P244" s="83">
        <f t="shared" si="86"/>
        <v>102815912.75</v>
      </c>
      <c r="Q244" s="266"/>
      <c r="R244" s="153"/>
      <c r="S244" s="153"/>
      <c r="T244" s="162"/>
    </row>
    <row r="245" spans="1:20" s="4" customFormat="1" ht="31.5" customHeight="1" x14ac:dyDescent="0.2">
      <c r="A245" s="81" t="s">
        <v>396</v>
      </c>
      <c r="B245" s="81" t="str">
        <f>'дод. 4'!A179</f>
        <v>6090</v>
      </c>
      <c r="C245" s="81" t="str">
        <f>'дод. 4'!B179</f>
        <v>0640</v>
      </c>
      <c r="D245" s="102" t="str">
        <f>'дод. 4'!C179</f>
        <v>Інша діяльність у сфері житлово-комунального господарства</v>
      </c>
      <c r="E245" s="83">
        <f t="shared" si="85"/>
        <v>3576032</v>
      </c>
      <c r="F245" s="83">
        <f>391104+1450191+670875-160875+89982+150000+33880</f>
        <v>2625157</v>
      </c>
      <c r="G245" s="83"/>
      <c r="H245" s="83">
        <f>30000+10000</f>
        <v>40000</v>
      </c>
      <c r="I245" s="83">
        <f>160875+790000</f>
        <v>950875</v>
      </c>
      <c r="J245" s="83">
        <f t="shared" si="83"/>
        <v>0</v>
      </c>
      <c r="K245" s="83"/>
      <c r="L245" s="83"/>
      <c r="M245" s="83"/>
      <c r="N245" s="83"/>
      <c r="O245" s="83"/>
      <c r="P245" s="83">
        <f t="shared" si="86"/>
        <v>3576032</v>
      </c>
      <c r="Q245" s="266"/>
      <c r="R245" s="153"/>
      <c r="S245" s="153"/>
      <c r="T245" s="153"/>
    </row>
    <row r="246" spans="1:20" s="4" customFormat="1" ht="31.5" customHeight="1" x14ac:dyDescent="0.2">
      <c r="A246" s="81" t="s">
        <v>639</v>
      </c>
      <c r="B246" s="81" t="str">
        <f>'дод. 4'!A169</f>
        <v>6070</v>
      </c>
      <c r="C246" s="81">
        <f>'дод. 4'!B169</f>
        <v>0</v>
      </c>
      <c r="D246" s="102" t="str">
        <f>'дод. 4'!C169</f>
        <v>Регулювання цін/тарифів на житлово-комунальні послуги</v>
      </c>
      <c r="E246" s="83">
        <f>E248</f>
        <v>0</v>
      </c>
      <c r="F246" s="83">
        <f t="shared" ref="F246:P247" si="87">F248</f>
        <v>0</v>
      </c>
      <c r="G246" s="83">
        <f t="shared" si="87"/>
        <v>0</v>
      </c>
      <c r="H246" s="83">
        <f t="shared" si="87"/>
        <v>0</v>
      </c>
      <c r="I246" s="83">
        <f t="shared" si="87"/>
        <v>0</v>
      </c>
      <c r="J246" s="83">
        <f t="shared" si="87"/>
        <v>13705000</v>
      </c>
      <c r="K246" s="83">
        <f t="shared" si="87"/>
        <v>0</v>
      </c>
      <c r="L246" s="83">
        <f t="shared" si="87"/>
        <v>0</v>
      </c>
      <c r="M246" s="83">
        <f t="shared" si="87"/>
        <v>0</v>
      </c>
      <c r="N246" s="83">
        <f t="shared" si="87"/>
        <v>13705000</v>
      </c>
      <c r="O246" s="83">
        <f t="shared" si="87"/>
        <v>0</v>
      </c>
      <c r="P246" s="83">
        <f t="shared" si="87"/>
        <v>13705000</v>
      </c>
      <c r="Q246" s="266">
        <v>33</v>
      </c>
      <c r="R246" s="153"/>
      <c r="S246" s="153"/>
      <c r="T246" s="153"/>
    </row>
    <row r="247" spans="1:20" s="4" customFormat="1" ht="18.75" customHeight="1" x14ac:dyDescent="0.2">
      <c r="A247" s="81"/>
      <c r="B247" s="81"/>
      <c r="C247" s="81"/>
      <c r="D247" s="102" t="s">
        <v>416</v>
      </c>
      <c r="E247" s="83">
        <f>E249</f>
        <v>0</v>
      </c>
      <c r="F247" s="83">
        <f t="shared" si="87"/>
        <v>0</v>
      </c>
      <c r="G247" s="83">
        <f t="shared" si="87"/>
        <v>0</v>
      </c>
      <c r="H247" s="83">
        <f t="shared" si="87"/>
        <v>0</v>
      </c>
      <c r="I247" s="83">
        <f t="shared" si="87"/>
        <v>0</v>
      </c>
      <c r="J247" s="83">
        <f t="shared" si="87"/>
        <v>13705000</v>
      </c>
      <c r="K247" s="83">
        <f t="shared" si="87"/>
        <v>0</v>
      </c>
      <c r="L247" s="83">
        <f t="shared" si="87"/>
        <v>0</v>
      </c>
      <c r="M247" s="83">
        <f t="shared" si="87"/>
        <v>0</v>
      </c>
      <c r="N247" s="83">
        <f t="shared" si="87"/>
        <v>13705000</v>
      </c>
      <c r="O247" s="83">
        <f t="shared" si="87"/>
        <v>0</v>
      </c>
      <c r="P247" s="83">
        <f t="shared" si="87"/>
        <v>13705000</v>
      </c>
      <c r="Q247" s="266"/>
      <c r="R247" s="153"/>
      <c r="S247" s="153"/>
      <c r="T247" s="153"/>
    </row>
    <row r="248" spans="1:20" s="110" customFormat="1" ht="216.75" customHeight="1" x14ac:dyDescent="0.2">
      <c r="A248" s="78" t="s">
        <v>640</v>
      </c>
      <c r="B248" s="78" t="str">
        <f>'дод. 4'!A171</f>
        <v>6072</v>
      </c>
      <c r="C248" s="78" t="str">
        <f>'дод. 4'!B171</f>
        <v>0640</v>
      </c>
      <c r="D248" s="79" t="s">
        <v>638</v>
      </c>
      <c r="E248" s="80">
        <f>F248+I248</f>
        <v>0</v>
      </c>
      <c r="F248" s="80"/>
      <c r="G248" s="80"/>
      <c r="H248" s="80"/>
      <c r="I248" s="80"/>
      <c r="J248" s="80">
        <f>K248+N248</f>
        <v>13705000</v>
      </c>
      <c r="K248" s="80"/>
      <c r="L248" s="80"/>
      <c r="M248" s="80"/>
      <c r="N248" s="80">
        <v>13705000</v>
      </c>
      <c r="O248" s="80"/>
      <c r="P248" s="80">
        <f>E248+J248</f>
        <v>13705000</v>
      </c>
      <c r="Q248" s="266"/>
      <c r="R248" s="155"/>
      <c r="S248" s="155"/>
      <c r="T248" s="155"/>
    </row>
    <row r="249" spans="1:20" s="110" customFormat="1" ht="18" customHeight="1" x14ac:dyDescent="0.2">
      <c r="A249" s="78"/>
      <c r="B249" s="78"/>
      <c r="C249" s="78"/>
      <c r="D249" s="102" t="s">
        <v>416</v>
      </c>
      <c r="E249" s="80"/>
      <c r="F249" s="80"/>
      <c r="G249" s="80"/>
      <c r="H249" s="80"/>
      <c r="I249" s="80"/>
      <c r="J249" s="80">
        <f>K249+N249</f>
        <v>13705000</v>
      </c>
      <c r="K249" s="80"/>
      <c r="L249" s="80"/>
      <c r="M249" s="80"/>
      <c r="N249" s="80">
        <v>13705000</v>
      </c>
      <c r="O249" s="80"/>
      <c r="P249" s="80">
        <f>E249+J249</f>
        <v>13705000</v>
      </c>
      <c r="Q249" s="266"/>
      <c r="R249" s="155"/>
      <c r="S249" s="155"/>
      <c r="T249" s="155"/>
    </row>
    <row r="250" spans="1:20" s="4" customFormat="1" ht="31.5" customHeight="1" x14ac:dyDescent="0.2">
      <c r="A250" s="81" t="s">
        <v>630</v>
      </c>
      <c r="B250" s="81" t="str">
        <f>'дод. 4'!A182</f>
        <v>7130</v>
      </c>
      <c r="C250" s="81" t="str">
        <f>'дод. 4'!B182</f>
        <v>0421</v>
      </c>
      <c r="D250" s="102" t="str">
        <f>'дод. 4'!C182</f>
        <v>Здійснення  заходів із землеустрою</v>
      </c>
      <c r="E250" s="83">
        <f t="shared" si="85"/>
        <v>490670</v>
      </c>
      <c r="F250" s="83"/>
      <c r="G250" s="83"/>
      <c r="H250" s="83"/>
      <c r="I250" s="83">
        <v>490670</v>
      </c>
      <c r="J250" s="83">
        <f t="shared" si="83"/>
        <v>0</v>
      </c>
      <c r="K250" s="83"/>
      <c r="L250" s="83"/>
      <c r="M250" s="83"/>
      <c r="N250" s="83"/>
      <c r="O250" s="83"/>
      <c r="P250" s="83">
        <f t="shared" si="86"/>
        <v>490670</v>
      </c>
      <c r="Q250" s="266"/>
      <c r="R250" s="153"/>
      <c r="S250" s="153"/>
      <c r="T250" s="153"/>
    </row>
    <row r="251" spans="1:20" s="4" customFormat="1" ht="36.75" customHeight="1" x14ac:dyDescent="0.2">
      <c r="A251" s="81" t="s">
        <v>424</v>
      </c>
      <c r="B251" s="81" t="str">
        <f>'дод. 4'!A185</f>
        <v>7310</v>
      </c>
      <c r="C251" s="81" t="str">
        <f>'дод. 4'!B185</f>
        <v>0443</v>
      </c>
      <c r="D251" s="102" t="str">
        <f>'дод. 4'!C185</f>
        <v>Будівництво об'єктів житлово-комунального господарства</v>
      </c>
      <c r="E251" s="83">
        <f t="shared" si="85"/>
        <v>0</v>
      </c>
      <c r="F251" s="83"/>
      <c r="G251" s="83"/>
      <c r="H251" s="83"/>
      <c r="I251" s="83"/>
      <c r="J251" s="83">
        <f>K251+N251</f>
        <v>25499974.129999999</v>
      </c>
      <c r="K251" s="83"/>
      <c r="L251" s="83"/>
      <c r="M251" s="83"/>
      <c r="N251" s="83">
        <f>2000000+500000+2000000+18725194.13+1595000-1500000+269000+1980000+20000+2120000+200000-1337344-21000-1519000-8470+476594</f>
        <v>25499974.129999999</v>
      </c>
      <c r="O251" s="83">
        <f>2000000+500000+2000000+18725194.13+1595000-1500000+269000+1980000+20000+2120000+200000-1337344-21000-1519000-8470+476594</f>
        <v>25499974.129999999</v>
      </c>
      <c r="P251" s="83">
        <f t="shared" si="86"/>
        <v>25499974.129999999</v>
      </c>
      <c r="Q251" s="266"/>
      <c r="R251" s="153"/>
      <c r="S251" s="153"/>
      <c r="T251" s="153"/>
    </row>
    <row r="252" spans="1:20" s="4" customFormat="1" ht="40.5" customHeight="1" x14ac:dyDescent="0.2">
      <c r="A252" s="81" t="s">
        <v>426</v>
      </c>
      <c r="B252" s="81" t="str">
        <f>'дод. 4'!A190</f>
        <v>7330</v>
      </c>
      <c r="C252" s="81" t="str">
        <f>'дод. 4'!B190</f>
        <v>0443</v>
      </c>
      <c r="D252" s="102" t="str">
        <f>'дод. 4'!C190</f>
        <v>Будівництво інших об'єктів соціальної та виробничої інфраструктури комунальної власності</v>
      </c>
      <c r="E252" s="83">
        <f t="shared" si="85"/>
        <v>0</v>
      </c>
      <c r="F252" s="83"/>
      <c r="G252" s="83"/>
      <c r="H252" s="83"/>
      <c r="I252" s="83"/>
      <c r="J252" s="83">
        <f>K252+N252</f>
        <v>7280330</v>
      </c>
      <c r="K252" s="83"/>
      <c r="L252" s="83"/>
      <c r="M252" s="83"/>
      <c r="N252" s="83">
        <f>1000000+4100000+250000+376800+700000-885000+20000+94000+30000-8470+200000+1403000</f>
        <v>7280330</v>
      </c>
      <c r="O252" s="83">
        <f>1000000+4100000+250000+376800+700000-885000+20000+94000+30000-8470+200000+1403000</f>
        <v>7280330</v>
      </c>
      <c r="P252" s="83">
        <f t="shared" si="86"/>
        <v>7280330</v>
      </c>
      <c r="Q252" s="266"/>
      <c r="R252" s="153"/>
      <c r="S252" s="153"/>
      <c r="T252" s="153"/>
    </row>
    <row r="253" spans="1:20" s="4" customFormat="1" ht="36" customHeight="1" x14ac:dyDescent="0.2">
      <c r="A253" s="81" t="s">
        <v>321</v>
      </c>
      <c r="B253" s="81" t="str">
        <f>'дод. 4'!A191</f>
        <v>7340</v>
      </c>
      <c r="C253" s="81" t="str">
        <f>'дод. 4'!B191</f>
        <v>0443</v>
      </c>
      <c r="D253" s="102" t="str">
        <f>'дод. 4'!C191</f>
        <v>Проектування, реставрація та охорона пам'яток архітектури</v>
      </c>
      <c r="E253" s="83">
        <f t="shared" si="85"/>
        <v>0</v>
      </c>
      <c r="F253" s="83"/>
      <c r="G253" s="83"/>
      <c r="H253" s="83"/>
      <c r="I253" s="83"/>
      <c r="J253" s="83">
        <f t="shared" si="83"/>
        <v>2253802</v>
      </c>
      <c r="K253" s="83"/>
      <c r="L253" s="83"/>
      <c r="M253" s="83"/>
      <c r="N253" s="83">
        <f>1200000+2000000+1000000-1000000-946198</f>
        <v>2253802</v>
      </c>
      <c r="O253" s="83">
        <f>1200000+2000000+1000000-1000000-946198</f>
        <v>2253802</v>
      </c>
      <c r="P253" s="83">
        <f t="shared" si="86"/>
        <v>2253802</v>
      </c>
      <c r="Q253" s="266"/>
      <c r="R253" s="153"/>
      <c r="S253" s="153"/>
      <c r="T253" s="153"/>
    </row>
    <row r="254" spans="1:20" s="4" customFormat="1" ht="24.75" customHeight="1" x14ac:dyDescent="0.2">
      <c r="A254" s="81" t="s">
        <v>611</v>
      </c>
      <c r="B254" s="81" t="str">
        <f>'дод. 4'!A193</f>
        <v>7360</v>
      </c>
      <c r="C254" s="81">
        <f>'дод. 4'!B193</f>
        <v>0</v>
      </c>
      <c r="D254" s="102" t="str">
        <f>'дод. 4'!C193</f>
        <v>Виконання інвестиційних проектів</v>
      </c>
      <c r="E254" s="83">
        <f>E257+E256</f>
        <v>0</v>
      </c>
      <c r="F254" s="83">
        <f t="shared" ref="F254:P254" si="88">F257+F256</f>
        <v>0</v>
      </c>
      <c r="G254" s="83">
        <f t="shared" si="88"/>
        <v>0</v>
      </c>
      <c r="H254" s="83">
        <f t="shared" si="88"/>
        <v>0</v>
      </c>
      <c r="I254" s="83">
        <f t="shared" si="88"/>
        <v>0</v>
      </c>
      <c r="J254" s="83">
        <f t="shared" si="88"/>
        <v>11312962.460000001</v>
      </c>
      <c r="K254" s="83">
        <f t="shared" si="88"/>
        <v>0</v>
      </c>
      <c r="L254" s="83">
        <f t="shared" si="88"/>
        <v>0</v>
      </c>
      <c r="M254" s="83">
        <f t="shared" si="88"/>
        <v>0</v>
      </c>
      <c r="N254" s="83">
        <f t="shared" si="88"/>
        <v>11312962.460000001</v>
      </c>
      <c r="O254" s="83">
        <f t="shared" si="88"/>
        <v>11312962.460000001</v>
      </c>
      <c r="P254" s="83">
        <f t="shared" si="88"/>
        <v>11312962.460000001</v>
      </c>
      <c r="Q254" s="266"/>
      <c r="R254" s="153"/>
      <c r="S254" s="153"/>
      <c r="T254" s="153"/>
    </row>
    <row r="255" spans="1:20" s="4" customFormat="1" ht="22.5" customHeight="1" x14ac:dyDescent="0.2">
      <c r="A255" s="81"/>
      <c r="B255" s="81"/>
      <c r="C255" s="81"/>
      <c r="D255" s="82" t="s">
        <v>416</v>
      </c>
      <c r="E255" s="83">
        <f>E258</f>
        <v>0</v>
      </c>
      <c r="F255" s="83">
        <f t="shared" ref="F255:P255" si="89">F258</f>
        <v>0</v>
      </c>
      <c r="G255" s="83">
        <f t="shared" si="89"/>
        <v>0</v>
      </c>
      <c r="H255" s="83">
        <f t="shared" si="89"/>
        <v>0</v>
      </c>
      <c r="I255" s="83">
        <f t="shared" si="89"/>
        <v>0</v>
      </c>
      <c r="J255" s="83">
        <f t="shared" si="89"/>
        <v>4242868.8499999996</v>
      </c>
      <c r="K255" s="83">
        <f t="shared" si="89"/>
        <v>0</v>
      </c>
      <c r="L255" s="83">
        <f t="shared" si="89"/>
        <v>0</v>
      </c>
      <c r="M255" s="83">
        <f t="shared" si="89"/>
        <v>0</v>
      </c>
      <c r="N255" s="83">
        <f t="shared" si="89"/>
        <v>4242868.8499999996</v>
      </c>
      <c r="O255" s="83">
        <f t="shared" si="89"/>
        <v>4242868.8499999996</v>
      </c>
      <c r="P255" s="83">
        <f t="shared" si="89"/>
        <v>4242868.8499999996</v>
      </c>
      <c r="Q255" s="266"/>
      <c r="R255" s="153"/>
      <c r="S255" s="153"/>
      <c r="T255" s="153"/>
    </row>
    <row r="256" spans="1:20" s="110" customFormat="1" ht="48" customHeight="1" x14ac:dyDescent="0.2">
      <c r="A256" s="78" t="s">
        <v>624</v>
      </c>
      <c r="B256" s="78" t="str">
        <f>'дод. 4'!A195</f>
        <v>7361</v>
      </c>
      <c r="C256" s="78" t="str">
        <f>'дод. 4'!B195</f>
        <v>0490</v>
      </c>
      <c r="D256" s="101" t="str">
        <f>'дод. 4'!C195</f>
        <v>Співфінансування інвестиційних проектів, що реалізуються за рахунок коштів державного фонду регіонального розвитку</v>
      </c>
      <c r="E256" s="80">
        <f>F256+I256</f>
        <v>0</v>
      </c>
      <c r="F256" s="80"/>
      <c r="G256" s="80"/>
      <c r="H256" s="80"/>
      <c r="I256" s="80"/>
      <c r="J256" s="80">
        <f>K256+N256</f>
        <v>426739</v>
      </c>
      <c r="K256" s="80"/>
      <c r="L256" s="80"/>
      <c r="M256" s="80"/>
      <c r="N256" s="80">
        <v>426739</v>
      </c>
      <c r="O256" s="80">
        <v>426739</v>
      </c>
      <c r="P256" s="80">
        <f>E256+J256</f>
        <v>426739</v>
      </c>
      <c r="Q256" s="266"/>
      <c r="R256" s="155"/>
      <c r="S256" s="155"/>
      <c r="T256" s="155"/>
    </row>
    <row r="257" spans="1:20" s="110" customFormat="1" ht="54.75" customHeight="1" x14ac:dyDescent="0.2">
      <c r="A257" s="78" t="s">
        <v>612</v>
      </c>
      <c r="B257" s="78" t="str">
        <f>'дод. 4'!A196</f>
        <v>7363</v>
      </c>
      <c r="C257" s="78" t="str">
        <f>'дод. 4'!B196</f>
        <v>0490</v>
      </c>
      <c r="D257" s="101" t="str">
        <f>'дод. 4'!C196</f>
        <v>Виконання інвестиційних проектів в рамках здійснення заходів щодо соціально-економічного розвитку окремих територій</v>
      </c>
      <c r="E257" s="80">
        <f>F257+I257</f>
        <v>0</v>
      </c>
      <c r="F257" s="80"/>
      <c r="G257" s="80"/>
      <c r="H257" s="80"/>
      <c r="I257" s="80"/>
      <c r="J257" s="80">
        <f>K257+N257</f>
        <v>10886223.460000001</v>
      </c>
      <c r="K257" s="80"/>
      <c r="L257" s="80"/>
      <c r="M257" s="80"/>
      <c r="N257" s="80">
        <f>20284.61+773868.85+104070+1519000+3469000+5000000</f>
        <v>10886223.460000001</v>
      </c>
      <c r="O257" s="80">
        <f>20284.61+773868.85+104070+1519000+3469000+5000000</f>
        <v>10886223.460000001</v>
      </c>
      <c r="P257" s="80">
        <f>E257+J257</f>
        <v>10886223.460000001</v>
      </c>
      <c r="Q257" s="266"/>
      <c r="R257" s="155"/>
      <c r="S257" s="155"/>
      <c r="T257" s="155"/>
    </row>
    <row r="258" spans="1:20" s="110" customFormat="1" ht="18.75" customHeight="1" x14ac:dyDescent="0.2">
      <c r="A258" s="78"/>
      <c r="B258" s="78"/>
      <c r="C258" s="78"/>
      <c r="D258" s="79" t="s">
        <v>416</v>
      </c>
      <c r="E258" s="80">
        <f>F258+I258</f>
        <v>0</v>
      </c>
      <c r="F258" s="80"/>
      <c r="G258" s="80"/>
      <c r="H258" s="80"/>
      <c r="I258" s="80"/>
      <c r="J258" s="80">
        <f>K258+N258</f>
        <v>4242868.8499999996</v>
      </c>
      <c r="K258" s="80"/>
      <c r="L258" s="80"/>
      <c r="M258" s="80"/>
      <c r="N258" s="80">
        <f>773868.85+3469000</f>
        <v>4242868.8499999996</v>
      </c>
      <c r="O258" s="80">
        <f>773868.85+3469000</f>
        <v>4242868.8499999996</v>
      </c>
      <c r="P258" s="80">
        <f>E258+J258</f>
        <v>4242868.8499999996</v>
      </c>
      <c r="Q258" s="266"/>
      <c r="R258" s="155"/>
      <c r="S258" s="155"/>
      <c r="T258" s="155"/>
    </row>
    <row r="259" spans="1:20" s="4" customFormat="1" ht="24" customHeight="1" x14ac:dyDescent="0.2">
      <c r="A259" s="81" t="s">
        <v>322</v>
      </c>
      <c r="B259" s="81" t="str">
        <f>'дод. 4'!A216</f>
        <v>7640</v>
      </c>
      <c r="C259" s="81" t="str">
        <f>'дод. 4'!B216</f>
        <v>0470</v>
      </c>
      <c r="D259" s="102" t="str">
        <f>'дод. 4'!C216</f>
        <v>Заходи з енергозбереження</v>
      </c>
      <c r="E259" s="83">
        <f t="shared" si="85"/>
        <v>1500000</v>
      </c>
      <c r="F259" s="83">
        <v>1300000</v>
      </c>
      <c r="G259" s="83"/>
      <c r="H259" s="83"/>
      <c r="I259" s="83">
        <v>200000</v>
      </c>
      <c r="J259" s="83">
        <f t="shared" si="83"/>
        <v>0</v>
      </c>
      <c r="K259" s="83"/>
      <c r="L259" s="83"/>
      <c r="M259" s="83"/>
      <c r="N259" s="83">
        <f>2000000-2000000</f>
        <v>0</v>
      </c>
      <c r="O259" s="83">
        <f>2000000-2000000</f>
        <v>0</v>
      </c>
      <c r="P259" s="83">
        <f t="shared" si="86"/>
        <v>1500000</v>
      </c>
      <c r="Q259" s="266"/>
      <c r="R259" s="153"/>
      <c r="S259" s="153"/>
      <c r="T259" s="153"/>
    </row>
    <row r="260" spans="1:20" s="4" customFormat="1" ht="21.75" customHeight="1" x14ac:dyDescent="0.2">
      <c r="A260" s="81" t="s">
        <v>323</v>
      </c>
      <c r="B260" s="81" t="str">
        <f>'дод. 4'!A221</f>
        <v>7690</v>
      </c>
      <c r="C260" s="81">
        <f>'дод. 4'!B221</f>
        <v>0</v>
      </c>
      <c r="D260" s="102" t="str">
        <f>'дод. 4'!C221</f>
        <v>Інша економічна діяльність</v>
      </c>
      <c r="E260" s="83">
        <f>E261</f>
        <v>0</v>
      </c>
      <c r="F260" s="83">
        <f t="shared" ref="F260:P260" si="90">F261</f>
        <v>0</v>
      </c>
      <c r="G260" s="83">
        <f t="shared" si="90"/>
        <v>0</v>
      </c>
      <c r="H260" s="83">
        <f t="shared" si="90"/>
        <v>0</v>
      </c>
      <c r="I260" s="83">
        <f t="shared" si="90"/>
        <v>0</v>
      </c>
      <c r="J260" s="83">
        <f t="shared" si="90"/>
        <v>938334.69000000006</v>
      </c>
      <c r="K260" s="83">
        <f t="shared" si="90"/>
        <v>138332.01</v>
      </c>
      <c r="L260" s="83">
        <f t="shared" si="90"/>
        <v>0</v>
      </c>
      <c r="M260" s="83">
        <f t="shared" si="90"/>
        <v>0</v>
      </c>
      <c r="N260" s="83">
        <f t="shared" si="90"/>
        <v>800002.68</v>
      </c>
      <c r="O260" s="83">
        <f t="shared" si="90"/>
        <v>0</v>
      </c>
      <c r="P260" s="83">
        <f t="shared" si="90"/>
        <v>938334.69000000006</v>
      </c>
      <c r="Q260" s="266"/>
      <c r="R260" s="154"/>
      <c r="S260" s="154"/>
      <c r="T260" s="154"/>
    </row>
    <row r="261" spans="1:20" s="110" customFormat="1" ht="123.75" customHeight="1" x14ac:dyDescent="0.2">
      <c r="A261" s="111" t="s">
        <v>472</v>
      </c>
      <c r="B261" s="99">
        <v>7691</v>
      </c>
      <c r="C261" s="99" t="s">
        <v>126</v>
      </c>
      <c r="D261" s="79" t="s">
        <v>499</v>
      </c>
      <c r="E261" s="80">
        <f>F261+I261</f>
        <v>0</v>
      </c>
      <c r="F261" s="80"/>
      <c r="G261" s="80"/>
      <c r="H261" s="80"/>
      <c r="I261" s="80"/>
      <c r="J261" s="80">
        <f t="shared" si="83"/>
        <v>938334.69000000006</v>
      </c>
      <c r="K261" s="80">
        <f>80000+58332.01</f>
        <v>138332.01</v>
      </c>
      <c r="L261" s="80"/>
      <c r="M261" s="80"/>
      <c r="N261" s="80">
        <f>800000+2.68</f>
        <v>800002.68</v>
      </c>
      <c r="O261" s="80"/>
      <c r="P261" s="80">
        <f>E261+J261</f>
        <v>938334.69000000006</v>
      </c>
      <c r="Q261" s="266"/>
      <c r="R261" s="155"/>
      <c r="S261" s="155"/>
      <c r="T261" s="155"/>
    </row>
    <row r="262" spans="1:20" s="4" customFormat="1" ht="21.75" customHeight="1" x14ac:dyDescent="0.2">
      <c r="A262" s="81" t="s">
        <v>324</v>
      </c>
      <c r="B262" s="81" t="str">
        <f>'дод. 4'!A231</f>
        <v>8320</v>
      </c>
      <c r="C262" s="81" t="str">
        <f>'дод. 4'!B231</f>
        <v>0520</v>
      </c>
      <c r="D262" s="102" t="str">
        <f>'дод. 4'!C231</f>
        <v>Збереження природно-заповідного фонду</v>
      </c>
      <c r="E262" s="83">
        <f>F262+I262</f>
        <v>76600</v>
      </c>
      <c r="F262" s="83">
        <v>76600</v>
      </c>
      <c r="G262" s="83"/>
      <c r="H262" s="83"/>
      <c r="I262" s="83"/>
      <c r="J262" s="83">
        <f t="shared" si="83"/>
        <v>0</v>
      </c>
      <c r="K262" s="83"/>
      <c r="L262" s="83"/>
      <c r="M262" s="83"/>
      <c r="N262" s="83"/>
      <c r="O262" s="83"/>
      <c r="P262" s="83">
        <f>E262+J262</f>
        <v>76600</v>
      </c>
      <c r="Q262" s="266"/>
      <c r="R262" s="153"/>
      <c r="S262" s="153"/>
      <c r="T262" s="153"/>
    </row>
    <row r="263" spans="1:20" s="4" customFormat="1" ht="36" customHeight="1" x14ac:dyDescent="0.2">
      <c r="A263" s="81" t="s">
        <v>325</v>
      </c>
      <c r="B263" s="81" t="str">
        <f>'дод. 4'!A232</f>
        <v>8340</v>
      </c>
      <c r="C263" s="81" t="str">
        <f>'дод. 4'!B232</f>
        <v>0540</v>
      </c>
      <c r="D263" s="102" t="str">
        <f>'дод. 4'!C232</f>
        <v>Природоохоронні заходи за рахунок цільових фондів</v>
      </c>
      <c r="E263" s="83">
        <f>F263+I263</f>
        <v>0</v>
      </c>
      <c r="F263" s="83"/>
      <c r="G263" s="83"/>
      <c r="H263" s="83"/>
      <c r="I263" s="83"/>
      <c r="J263" s="83">
        <f t="shared" si="83"/>
        <v>6187613.8700000001</v>
      </c>
      <c r="K263" s="83">
        <f>1711500+207292</f>
        <v>1918792</v>
      </c>
      <c r="L263" s="83"/>
      <c r="M263" s="83"/>
      <c r="N263" s="83">
        <f>1540000-1000000+1000000+1950821.87+778000</f>
        <v>4268821.87</v>
      </c>
      <c r="O263" s="83"/>
      <c r="P263" s="83">
        <f>E263+J263</f>
        <v>6187613.8700000001</v>
      </c>
      <c r="Q263" s="266"/>
      <c r="R263" s="153"/>
      <c r="S263" s="153"/>
      <c r="T263" s="153"/>
    </row>
    <row r="264" spans="1:20" s="4" customFormat="1" ht="24.75" customHeight="1" x14ac:dyDescent="0.2">
      <c r="A264" s="81" t="s">
        <v>326</v>
      </c>
      <c r="B264" s="81" t="str">
        <f>'дод. 4'!A246</f>
        <v>9770</v>
      </c>
      <c r="C264" s="81" t="str">
        <f>'дод. 4'!B246</f>
        <v>0180</v>
      </c>
      <c r="D264" s="102" t="str">
        <f>'дод. 4'!C246</f>
        <v xml:space="preserve">Інші субвенції з місцевого бюджету </v>
      </c>
      <c r="E264" s="83">
        <f>F264+I264</f>
        <v>760000</v>
      </c>
      <c r="F264" s="83">
        <v>760000</v>
      </c>
      <c r="G264" s="83"/>
      <c r="H264" s="83"/>
      <c r="I264" s="83"/>
      <c r="J264" s="83">
        <f t="shared" si="83"/>
        <v>1220000</v>
      </c>
      <c r="K264" s="83"/>
      <c r="L264" s="83"/>
      <c r="M264" s="83"/>
      <c r="N264" s="83">
        <v>1220000</v>
      </c>
      <c r="O264" s="83">
        <v>1220000</v>
      </c>
      <c r="P264" s="83">
        <f>E264+J264</f>
        <v>1980000</v>
      </c>
      <c r="Q264" s="266"/>
      <c r="R264" s="153"/>
      <c r="S264" s="153"/>
      <c r="T264" s="153"/>
    </row>
    <row r="265" spans="1:20" s="107" customFormat="1" ht="28.5" customHeight="1" x14ac:dyDescent="0.2">
      <c r="A265" s="106" t="s">
        <v>52</v>
      </c>
      <c r="B265" s="36"/>
      <c r="C265" s="36"/>
      <c r="D265" s="35" t="s">
        <v>66</v>
      </c>
      <c r="E265" s="46">
        <f>E266</f>
        <v>4614000</v>
      </c>
      <c r="F265" s="46">
        <f t="shared" ref="F265:P265" si="91">F266</f>
        <v>4614000</v>
      </c>
      <c r="G265" s="46">
        <f t="shared" si="91"/>
        <v>3515000</v>
      </c>
      <c r="H265" s="46">
        <f t="shared" si="91"/>
        <v>81850</v>
      </c>
      <c r="I265" s="46">
        <f t="shared" si="91"/>
        <v>0</v>
      </c>
      <c r="J265" s="46">
        <f t="shared" si="91"/>
        <v>40000</v>
      </c>
      <c r="K265" s="46">
        <f t="shared" si="91"/>
        <v>0</v>
      </c>
      <c r="L265" s="46">
        <f t="shared" si="91"/>
        <v>0</v>
      </c>
      <c r="M265" s="46">
        <f t="shared" si="91"/>
        <v>0</v>
      </c>
      <c r="N265" s="46">
        <f t="shared" si="91"/>
        <v>40000</v>
      </c>
      <c r="O265" s="46">
        <f t="shared" si="91"/>
        <v>40000</v>
      </c>
      <c r="P265" s="46">
        <f t="shared" si="91"/>
        <v>4654000</v>
      </c>
      <c r="Q265" s="266"/>
      <c r="R265" s="151"/>
      <c r="S265" s="151"/>
      <c r="T265" s="151"/>
    </row>
    <row r="266" spans="1:20" s="109" customFormat="1" ht="33" customHeight="1" x14ac:dyDescent="0.2">
      <c r="A266" s="108" t="s">
        <v>179</v>
      </c>
      <c r="B266" s="119"/>
      <c r="C266" s="119"/>
      <c r="D266" s="118" t="s">
        <v>66</v>
      </c>
      <c r="E266" s="74">
        <f>E267+E268</f>
        <v>4614000</v>
      </c>
      <c r="F266" s="74">
        <f t="shared" ref="F266:P266" si="92">F267+F268</f>
        <v>4614000</v>
      </c>
      <c r="G266" s="74">
        <f t="shared" si="92"/>
        <v>3515000</v>
      </c>
      <c r="H266" s="74">
        <f t="shared" si="92"/>
        <v>81850</v>
      </c>
      <c r="I266" s="74">
        <f t="shared" si="92"/>
        <v>0</v>
      </c>
      <c r="J266" s="74">
        <f t="shared" si="92"/>
        <v>40000</v>
      </c>
      <c r="K266" s="74">
        <f t="shared" si="92"/>
        <v>0</v>
      </c>
      <c r="L266" s="74">
        <f t="shared" si="92"/>
        <v>0</v>
      </c>
      <c r="M266" s="74">
        <f t="shared" si="92"/>
        <v>0</v>
      </c>
      <c r="N266" s="74">
        <f t="shared" si="92"/>
        <v>40000</v>
      </c>
      <c r="O266" s="74">
        <f t="shared" si="92"/>
        <v>40000</v>
      </c>
      <c r="P266" s="74">
        <f t="shared" si="92"/>
        <v>4654000</v>
      </c>
      <c r="Q266" s="266"/>
      <c r="R266" s="160"/>
      <c r="S266" s="160"/>
      <c r="T266" s="160"/>
    </row>
    <row r="267" spans="1:20" s="4" customFormat="1" ht="58.5" customHeight="1" x14ac:dyDescent="0.2">
      <c r="A267" s="75" t="s">
        <v>0</v>
      </c>
      <c r="B267" s="75" t="str">
        <f>'дод. 4'!A12</f>
        <v>0160</v>
      </c>
      <c r="C267" s="75" t="str">
        <f>'дод. 4'!B12</f>
        <v>0111</v>
      </c>
      <c r="D267" s="76" t="str">
        <f>'дод. 4'!C12</f>
        <v>Керівництво і управління у відповідній сфері у містах (місті Києві), селищах, селах, об’єднаних територіальних громадах</v>
      </c>
      <c r="E267" s="77">
        <f>F267+I267</f>
        <v>4614000</v>
      </c>
      <c r="F267" s="77">
        <f>4516800-52800+50000+100000</f>
        <v>4614000</v>
      </c>
      <c r="G267" s="77">
        <v>3515000</v>
      </c>
      <c r="H267" s="77">
        <v>81850</v>
      </c>
      <c r="I267" s="77"/>
      <c r="J267" s="77">
        <f>K267+N267</f>
        <v>40000</v>
      </c>
      <c r="K267" s="77"/>
      <c r="L267" s="77"/>
      <c r="M267" s="77"/>
      <c r="N267" s="77">
        <f>20000-10000+30000</f>
        <v>40000</v>
      </c>
      <c r="O267" s="77">
        <f>20000-10000+30000</f>
        <v>40000</v>
      </c>
      <c r="P267" s="77">
        <f>E267+J267</f>
        <v>4654000</v>
      </c>
      <c r="Q267" s="266"/>
      <c r="R267" s="153"/>
      <c r="S267" s="153"/>
      <c r="T267" s="153"/>
    </row>
    <row r="268" spans="1:20" s="4" customFormat="1" ht="37.5" hidden="1" customHeight="1" x14ac:dyDescent="0.2">
      <c r="A268" s="75" t="s">
        <v>404</v>
      </c>
      <c r="B268" s="75" t="str">
        <f>'дод. 4'!A179</f>
        <v>6090</v>
      </c>
      <c r="C268" s="75" t="str">
        <f>'дод. 4'!B179</f>
        <v>0640</v>
      </c>
      <c r="D268" s="104" t="str">
        <f>'дод. 4'!C179</f>
        <v>Інша діяльність у сфері житлово-комунального господарства</v>
      </c>
      <c r="E268" s="77">
        <f>F268+I268</f>
        <v>0</v>
      </c>
      <c r="F268" s="77">
        <f>540000-140000-50000-93888-256112</f>
        <v>0</v>
      </c>
      <c r="G268" s="77"/>
      <c r="H268" s="77"/>
      <c r="I268" s="77"/>
      <c r="J268" s="77">
        <f>K268+N268</f>
        <v>0</v>
      </c>
      <c r="K268" s="77"/>
      <c r="L268" s="77"/>
      <c r="M268" s="77"/>
      <c r="N268" s="77"/>
      <c r="O268" s="77"/>
      <c r="P268" s="77">
        <f>E268+J268</f>
        <v>0</v>
      </c>
      <c r="Q268" s="266"/>
      <c r="R268" s="153"/>
      <c r="S268" s="153"/>
      <c r="T268" s="153"/>
    </row>
    <row r="269" spans="1:20" s="107" customFormat="1" ht="31.5" customHeight="1" x14ac:dyDescent="0.2">
      <c r="A269" s="106" t="s">
        <v>54</v>
      </c>
      <c r="B269" s="36"/>
      <c r="C269" s="36"/>
      <c r="D269" s="35" t="s">
        <v>65</v>
      </c>
      <c r="E269" s="46">
        <f>E270</f>
        <v>99614067.349999994</v>
      </c>
      <c r="F269" s="46">
        <f t="shared" ref="F269:P269" si="93">F270</f>
        <v>99529155</v>
      </c>
      <c r="G269" s="46">
        <f t="shared" si="93"/>
        <v>0</v>
      </c>
      <c r="H269" s="46">
        <f t="shared" si="93"/>
        <v>0</v>
      </c>
      <c r="I269" s="46">
        <f t="shared" si="93"/>
        <v>84912.35</v>
      </c>
      <c r="J269" s="46">
        <f t="shared" si="93"/>
        <v>233241001.94999999</v>
      </c>
      <c r="K269" s="46">
        <f>K270</f>
        <v>14150000</v>
      </c>
      <c r="L269" s="46">
        <f t="shared" si="93"/>
        <v>1725540</v>
      </c>
      <c r="M269" s="46">
        <f t="shared" si="93"/>
        <v>46200</v>
      </c>
      <c r="N269" s="46">
        <f t="shared" si="93"/>
        <v>219091001.94999999</v>
      </c>
      <c r="O269" s="46">
        <f t="shared" si="93"/>
        <v>187702934</v>
      </c>
      <c r="P269" s="46">
        <f t="shared" si="93"/>
        <v>332855069.29999995</v>
      </c>
      <c r="Q269" s="266"/>
      <c r="R269" s="151"/>
      <c r="S269" s="151"/>
      <c r="T269" s="151"/>
    </row>
    <row r="270" spans="1:20" s="109" customFormat="1" ht="38.25" customHeight="1" x14ac:dyDescent="0.2">
      <c r="A270" s="108" t="s">
        <v>55</v>
      </c>
      <c r="B270" s="119"/>
      <c r="C270" s="119"/>
      <c r="D270" s="118" t="s">
        <v>65</v>
      </c>
      <c r="E270" s="74">
        <f>E272+E273+E274+E277+E278+E282+E294+E283+E284+E295+E288+E290</f>
        <v>99614067.349999994</v>
      </c>
      <c r="F270" s="74">
        <f t="shared" ref="F270:P270" si="94">F272+F273+F274+F277+F278+F282+F294+F283+F284+F295+F288+F290</f>
        <v>99529155</v>
      </c>
      <c r="G270" s="74">
        <f t="shared" si="94"/>
        <v>0</v>
      </c>
      <c r="H270" s="74">
        <f t="shared" si="94"/>
        <v>0</v>
      </c>
      <c r="I270" s="74">
        <f t="shared" si="94"/>
        <v>84912.35</v>
      </c>
      <c r="J270" s="74">
        <f>J272+J273+J274+J277+J278+J282+J294+J283+J284+J295+J288+J290</f>
        <v>233241001.94999999</v>
      </c>
      <c r="K270" s="74">
        <f>K272+K273+K274+K277+K278+K282+K294+K283+K284+K295+K288+K290</f>
        <v>14150000</v>
      </c>
      <c r="L270" s="74">
        <f t="shared" si="94"/>
        <v>1725540</v>
      </c>
      <c r="M270" s="74">
        <f t="shared" si="94"/>
        <v>46200</v>
      </c>
      <c r="N270" s="74">
        <f t="shared" si="94"/>
        <v>219091001.94999999</v>
      </c>
      <c r="O270" s="74">
        <f t="shared" si="94"/>
        <v>187702934</v>
      </c>
      <c r="P270" s="74">
        <f t="shared" si="94"/>
        <v>332855069.29999995</v>
      </c>
      <c r="Q270" s="266"/>
      <c r="R270" s="157"/>
      <c r="S270" s="157"/>
      <c r="T270" s="157"/>
    </row>
    <row r="271" spans="1:20" s="109" customFormat="1" ht="25.5" customHeight="1" x14ac:dyDescent="0.2">
      <c r="A271" s="108"/>
      <c r="B271" s="119"/>
      <c r="C271" s="119"/>
      <c r="D271" s="118" t="s">
        <v>416</v>
      </c>
      <c r="E271" s="74">
        <f>E285+E291</f>
        <v>0</v>
      </c>
      <c r="F271" s="74">
        <f t="shared" ref="F271:P271" si="95">F285+F291</f>
        <v>0</v>
      </c>
      <c r="G271" s="74">
        <f t="shared" si="95"/>
        <v>0</v>
      </c>
      <c r="H271" s="74">
        <f t="shared" si="95"/>
        <v>0</v>
      </c>
      <c r="I271" s="74">
        <f t="shared" si="95"/>
        <v>0</v>
      </c>
      <c r="J271" s="74">
        <f t="shared" si="95"/>
        <v>42234946</v>
      </c>
      <c r="K271" s="74">
        <f t="shared" si="95"/>
        <v>11900000</v>
      </c>
      <c r="L271" s="74">
        <f t="shared" si="95"/>
        <v>0</v>
      </c>
      <c r="M271" s="74">
        <f t="shared" si="95"/>
        <v>0</v>
      </c>
      <c r="N271" s="74">
        <f t="shared" si="95"/>
        <v>30334946</v>
      </c>
      <c r="O271" s="74">
        <f t="shared" si="95"/>
        <v>300091</v>
      </c>
      <c r="P271" s="74">
        <f t="shared" si="95"/>
        <v>42234946</v>
      </c>
      <c r="Q271" s="266"/>
      <c r="R271" s="157"/>
      <c r="S271" s="157"/>
      <c r="T271" s="157"/>
    </row>
    <row r="272" spans="1:20" s="4" customFormat="1" ht="45" x14ac:dyDescent="0.2">
      <c r="A272" s="75" t="s">
        <v>221</v>
      </c>
      <c r="B272" s="75" t="str">
        <f>'дод. 4'!A12</f>
        <v>0160</v>
      </c>
      <c r="C272" s="75" t="str">
        <f>'дод. 4'!B12</f>
        <v>0111</v>
      </c>
      <c r="D272" s="76" t="str">
        <f>'дод. 4'!C12</f>
        <v>Керівництво і управління у відповідній сфері у містах (місті Києві), селищах, селах, об’єднаних територіальних громадах</v>
      </c>
      <c r="E272" s="77">
        <f>F272+I272</f>
        <v>0</v>
      </c>
      <c r="F272" s="77"/>
      <c r="G272" s="77"/>
      <c r="H272" s="77"/>
      <c r="I272" s="77"/>
      <c r="J272" s="77">
        <f>K272+N272</f>
        <v>2600000</v>
      </c>
      <c r="K272" s="77">
        <f>2250000</f>
        <v>2250000</v>
      </c>
      <c r="L272" s="77">
        <f>1725540</f>
        <v>1725540</v>
      </c>
      <c r="M272" s="77">
        <f>46200</f>
        <v>46200</v>
      </c>
      <c r="N272" s="77">
        <f>350000</f>
        <v>350000</v>
      </c>
      <c r="O272" s="77"/>
      <c r="P272" s="77">
        <f>E272+J272</f>
        <v>2600000</v>
      </c>
      <c r="Q272" s="266">
        <v>34</v>
      </c>
      <c r="R272" s="153"/>
      <c r="S272" s="153"/>
      <c r="T272" s="153"/>
    </row>
    <row r="273" spans="1:21" s="4" customFormat="1" ht="22.5" customHeight="1" x14ac:dyDescent="0.2">
      <c r="A273" s="75" t="s">
        <v>327</v>
      </c>
      <c r="B273" s="75" t="str">
        <f>'дод. 4'!A168</f>
        <v>6030</v>
      </c>
      <c r="C273" s="75" t="str">
        <f>'дод. 4'!B168</f>
        <v>0620</v>
      </c>
      <c r="D273" s="104" t="str">
        <f>'дод. 4'!C168</f>
        <v>Організація благоустрою населених пунктів</v>
      </c>
      <c r="E273" s="77">
        <f>F273+I273</f>
        <v>99000000</v>
      </c>
      <c r="F273" s="77">
        <f>40000000+20000000-2000000+20000000+15000000+13000000-10000000+3000000</f>
        <v>99000000</v>
      </c>
      <c r="G273" s="77"/>
      <c r="H273" s="77"/>
      <c r="I273" s="77"/>
      <c r="J273" s="77">
        <f>K273+N273</f>
        <v>97015500</v>
      </c>
      <c r="K273" s="77"/>
      <c r="L273" s="77"/>
      <c r="M273" s="77"/>
      <c r="N273" s="77">
        <f>60000000+30000000-3248000+263500+1000000+7000000+2000000</f>
        <v>97015500</v>
      </c>
      <c r="O273" s="77">
        <f>60000000+30000000-3248000+263500+1000000+7000000+2000000</f>
        <v>97015500</v>
      </c>
      <c r="P273" s="77">
        <f>E273+J273</f>
        <v>196015500</v>
      </c>
      <c r="Q273" s="266"/>
      <c r="R273" s="153"/>
      <c r="S273" s="153"/>
      <c r="T273" s="162"/>
    </row>
    <row r="274" spans="1:21" s="4" customFormat="1" ht="33" customHeight="1" x14ac:dyDescent="0.2">
      <c r="A274" s="85" t="s">
        <v>328</v>
      </c>
      <c r="B274" s="85" t="str">
        <f>'дод. 4'!A173</f>
        <v>6080</v>
      </c>
      <c r="C274" s="85">
        <f>'дод. 4'!B173</f>
        <v>0</v>
      </c>
      <c r="D274" s="103" t="str">
        <f>'дод. 4'!C173</f>
        <v xml:space="preserve">Реалізація державних та місцевих житлових програм </v>
      </c>
      <c r="E274" s="77">
        <f>E276+E275</f>
        <v>84912.35</v>
      </c>
      <c r="F274" s="77">
        <f t="shared" ref="F274:P274" si="96">F276+F275</f>
        <v>0</v>
      </c>
      <c r="G274" s="77">
        <f t="shared" si="96"/>
        <v>0</v>
      </c>
      <c r="H274" s="77">
        <f t="shared" si="96"/>
        <v>0</v>
      </c>
      <c r="I274" s="77">
        <f t="shared" si="96"/>
        <v>84912.35</v>
      </c>
      <c r="J274" s="77">
        <f t="shared" si="96"/>
        <v>557740.68999999994</v>
      </c>
      <c r="K274" s="77">
        <f t="shared" si="96"/>
        <v>0</v>
      </c>
      <c r="L274" s="77">
        <f t="shared" si="96"/>
        <v>0</v>
      </c>
      <c r="M274" s="77">
        <f t="shared" si="96"/>
        <v>0</v>
      </c>
      <c r="N274" s="77">
        <f t="shared" si="96"/>
        <v>557740.68999999994</v>
      </c>
      <c r="O274" s="77">
        <f t="shared" si="96"/>
        <v>500000</v>
      </c>
      <c r="P274" s="77">
        <f t="shared" si="96"/>
        <v>642653.04</v>
      </c>
      <c r="Q274" s="266"/>
      <c r="R274" s="154"/>
      <c r="S274" s="154"/>
      <c r="T274" s="154"/>
      <c r="U274" s="143"/>
    </row>
    <row r="275" spans="1:21" s="110" customFormat="1" ht="33" customHeight="1" x14ac:dyDescent="0.2">
      <c r="A275" s="78" t="s">
        <v>629</v>
      </c>
      <c r="B275" s="78" t="str">
        <f>'дод. 4'!A175</f>
        <v>6082</v>
      </c>
      <c r="C275" s="78" t="str">
        <f>'дод. 4'!B175</f>
        <v>0610</v>
      </c>
      <c r="D275" s="101" t="str">
        <f>'дод. 4'!C175</f>
        <v>Придбання житла для окремих категорій населення відповідно до законодавства</v>
      </c>
      <c r="E275" s="80">
        <f>F275+I275</f>
        <v>0</v>
      </c>
      <c r="F275" s="80"/>
      <c r="G275" s="80"/>
      <c r="H275" s="80"/>
      <c r="I275" s="80"/>
      <c r="J275" s="80">
        <f>K275+N275</f>
        <v>500000</v>
      </c>
      <c r="K275" s="80"/>
      <c r="L275" s="80"/>
      <c r="M275" s="80"/>
      <c r="N275" s="80">
        <f>250000+250000</f>
        <v>500000</v>
      </c>
      <c r="O275" s="80">
        <f>250000+250000</f>
        <v>500000</v>
      </c>
      <c r="P275" s="80">
        <f>E275+J275</f>
        <v>500000</v>
      </c>
      <c r="Q275" s="266"/>
      <c r="R275" s="213"/>
      <c r="S275" s="213"/>
      <c r="T275" s="213"/>
      <c r="U275" s="214"/>
    </row>
    <row r="276" spans="1:21" s="110" customFormat="1" ht="68.25" customHeight="1" x14ac:dyDescent="0.2">
      <c r="A276" s="78" t="s">
        <v>329</v>
      </c>
      <c r="B276" s="78" t="str">
        <f>'дод. 4'!A178</f>
        <v>6084</v>
      </c>
      <c r="C276" s="78" t="str">
        <f>'дод. 4'!B178</f>
        <v>0610</v>
      </c>
      <c r="D276" s="101" t="str">
        <f>'дод. 4'!C178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76" s="80">
        <f>F276+I276</f>
        <v>84912.35</v>
      </c>
      <c r="F276" s="80"/>
      <c r="G276" s="80"/>
      <c r="H276" s="80"/>
      <c r="I276" s="80">
        <f>84906+6.35</f>
        <v>84912.35</v>
      </c>
      <c r="J276" s="80">
        <f>K276+N276</f>
        <v>57740.69</v>
      </c>
      <c r="K276" s="80"/>
      <c r="L276" s="80"/>
      <c r="M276" s="80"/>
      <c r="N276" s="80">
        <f>39048+18692.69</f>
        <v>57740.69</v>
      </c>
      <c r="O276" s="80"/>
      <c r="P276" s="80">
        <f>E276+J276</f>
        <v>142653.04</v>
      </c>
      <c r="Q276" s="266"/>
      <c r="R276" s="155"/>
      <c r="S276" s="155"/>
      <c r="T276" s="155"/>
    </row>
    <row r="277" spans="1:21" s="4" customFormat="1" ht="36" customHeight="1" x14ac:dyDescent="0.2">
      <c r="A277" s="75" t="s">
        <v>428</v>
      </c>
      <c r="B277" s="75" t="str">
        <f>'дод. 4'!A185</f>
        <v>7310</v>
      </c>
      <c r="C277" s="75" t="str">
        <f>'дод. 4'!B185</f>
        <v>0443</v>
      </c>
      <c r="D277" s="102" t="str">
        <f>'дод. 4'!C185</f>
        <v>Будівництво об'єктів житлово-комунального господарства</v>
      </c>
      <c r="E277" s="77">
        <f>F277+I277</f>
        <v>0</v>
      </c>
      <c r="F277" s="77"/>
      <c r="G277" s="77"/>
      <c r="H277" s="77"/>
      <c r="I277" s="77"/>
      <c r="J277" s="77">
        <f>K277+N277</f>
        <v>9527865</v>
      </c>
      <c r="K277" s="77"/>
      <c r="L277" s="77"/>
      <c r="M277" s="77"/>
      <c r="N277" s="77">
        <f>9900000+42500+8500+50000-400000-100000+2000000-2000000-38200+65065</f>
        <v>9527865</v>
      </c>
      <c r="O277" s="77">
        <f>9900000+42500+8500+50000-400000-100000+2000000-2000000-38200+65065</f>
        <v>9527865</v>
      </c>
      <c r="P277" s="77">
        <f>E277+J277</f>
        <v>9527865</v>
      </c>
      <c r="Q277" s="266"/>
      <c r="R277" s="153"/>
      <c r="S277" s="153"/>
      <c r="T277" s="162"/>
    </row>
    <row r="278" spans="1:21" s="4" customFormat="1" ht="36" customHeight="1" x14ac:dyDescent="0.2">
      <c r="A278" s="75" t="s">
        <v>429</v>
      </c>
      <c r="B278" s="75" t="str">
        <f>'дод. 4'!A186</f>
        <v>7320</v>
      </c>
      <c r="C278" s="75">
        <f>'дод. 4'!B186</f>
        <v>0</v>
      </c>
      <c r="D278" s="102" t="str">
        <f>'дод. 4'!C186</f>
        <v>Будівництво об'єктів соціально-культурного призначення</v>
      </c>
      <c r="E278" s="77">
        <f>E279+E280+E281</f>
        <v>0</v>
      </c>
      <c r="F278" s="77">
        <f t="shared" ref="F278:P278" si="97">F279+F280+F281</f>
        <v>0</v>
      </c>
      <c r="G278" s="77">
        <f t="shared" si="97"/>
        <v>0</v>
      </c>
      <c r="H278" s="77">
        <f t="shared" si="97"/>
        <v>0</v>
      </c>
      <c r="I278" s="77">
        <f t="shared" si="97"/>
        <v>0</v>
      </c>
      <c r="J278" s="77">
        <f t="shared" si="97"/>
        <v>16411932</v>
      </c>
      <c r="K278" s="77">
        <f t="shared" si="97"/>
        <v>0</v>
      </c>
      <c r="L278" s="77">
        <f t="shared" si="97"/>
        <v>0</v>
      </c>
      <c r="M278" s="77">
        <f t="shared" si="97"/>
        <v>0</v>
      </c>
      <c r="N278" s="77">
        <f t="shared" si="97"/>
        <v>16411932</v>
      </c>
      <c r="O278" s="77">
        <f t="shared" si="97"/>
        <v>16411932</v>
      </c>
      <c r="P278" s="77">
        <f t="shared" si="97"/>
        <v>16411932</v>
      </c>
      <c r="Q278" s="266"/>
      <c r="R278" s="154"/>
      <c r="S278" s="154"/>
      <c r="T278" s="154"/>
    </row>
    <row r="279" spans="1:21" s="110" customFormat="1" ht="25.5" customHeight="1" x14ac:dyDescent="0.2">
      <c r="A279" s="78" t="s">
        <v>431</v>
      </c>
      <c r="B279" s="78" t="str">
        <f>'дод. 4'!A187</f>
        <v>7321</v>
      </c>
      <c r="C279" s="78" t="str">
        <f>'дод. 4'!B187</f>
        <v>0443</v>
      </c>
      <c r="D279" s="101" t="str">
        <f>'дод. 4'!C187</f>
        <v>Будівництво освітніх установ та закладів</v>
      </c>
      <c r="E279" s="80">
        <f>F279+I279</f>
        <v>0</v>
      </c>
      <c r="F279" s="80"/>
      <c r="G279" s="80"/>
      <c r="H279" s="80"/>
      <c r="I279" s="80"/>
      <c r="J279" s="80">
        <f>K279+N279</f>
        <v>6670932</v>
      </c>
      <c r="K279" s="80"/>
      <c r="L279" s="80"/>
      <c r="M279" s="80"/>
      <c r="N279" s="80">
        <f>3741000+7000000+221500+603037+318+125500+500000+100000-3000000-50000+400000-60600-3500000+30000+490000+500000-487000+70000-12823</f>
        <v>6670932</v>
      </c>
      <c r="O279" s="80">
        <f>3741000+7000000+221500+603037+318+125500+500000+100000-3000000-50000+400000-60600-3500000+30000+490000+500000-487000+70000-12823</f>
        <v>6670932</v>
      </c>
      <c r="P279" s="80">
        <f>E279+J279</f>
        <v>6670932</v>
      </c>
      <c r="Q279" s="266"/>
      <c r="R279" s="155"/>
      <c r="S279" s="155"/>
      <c r="T279" s="156"/>
    </row>
    <row r="280" spans="1:21" s="110" customFormat="1" ht="25.5" customHeight="1" x14ac:dyDescent="0.2">
      <c r="A280" s="78" t="s">
        <v>433</v>
      </c>
      <c r="B280" s="78" t="str">
        <f>'дод. 4'!A188</f>
        <v>7322</v>
      </c>
      <c r="C280" s="78" t="str">
        <f>'дод. 4'!B188</f>
        <v>0443</v>
      </c>
      <c r="D280" s="101" t="str">
        <f>'дод. 4'!C188</f>
        <v>Будівництво медичних установ та закладів</v>
      </c>
      <c r="E280" s="80">
        <f>F280+I280</f>
        <v>0</v>
      </c>
      <c r="F280" s="80"/>
      <c r="G280" s="80"/>
      <c r="H280" s="80"/>
      <c r="I280" s="80"/>
      <c r="J280" s="80">
        <f>K280+N280</f>
        <v>4980000</v>
      </c>
      <c r="K280" s="80"/>
      <c r="L280" s="80"/>
      <c r="M280" s="80"/>
      <c r="N280" s="80">
        <f>5500000+259000-150000-37000-12000-480000-100000</f>
        <v>4980000</v>
      </c>
      <c r="O280" s="80">
        <f>5500000+259000-150000-37000-12000-480000-100000</f>
        <v>4980000</v>
      </c>
      <c r="P280" s="80">
        <f>E280+J280</f>
        <v>4980000</v>
      </c>
      <c r="Q280" s="266"/>
      <c r="R280" s="155"/>
      <c r="S280" s="155"/>
      <c r="T280" s="155"/>
    </row>
    <row r="281" spans="1:21" s="110" customFormat="1" ht="36" customHeight="1" x14ac:dyDescent="0.2">
      <c r="A281" s="78" t="s">
        <v>435</v>
      </c>
      <c r="B281" s="78" t="str">
        <f>'дод. 4'!A189</f>
        <v>7325</v>
      </c>
      <c r="C281" s="78" t="str">
        <f>'дод. 4'!B189</f>
        <v>0443</v>
      </c>
      <c r="D281" s="101" t="str">
        <f>'дод. 4'!C189</f>
        <v>Будівництво споруд, установ та закладів фізичної культури і спорту</v>
      </c>
      <c r="E281" s="80">
        <f>F281+I281</f>
        <v>0</v>
      </c>
      <c r="F281" s="80"/>
      <c r="G281" s="80"/>
      <c r="H281" s="80"/>
      <c r="I281" s="80"/>
      <c r="J281" s="80">
        <f>K281+N281</f>
        <v>4761000</v>
      </c>
      <c r="K281" s="80"/>
      <c r="L281" s="80"/>
      <c r="M281" s="80"/>
      <c r="N281" s="80">
        <f>8500000-125000-580000-234000+100000-2900000</f>
        <v>4761000</v>
      </c>
      <c r="O281" s="80">
        <f>8500000-125000-580000-234000+100000-2900000</f>
        <v>4761000</v>
      </c>
      <c r="P281" s="80">
        <f>E281+J281</f>
        <v>4761000</v>
      </c>
      <c r="Q281" s="266"/>
      <c r="R281" s="155"/>
      <c r="S281" s="155"/>
      <c r="T281" s="155"/>
    </row>
    <row r="282" spans="1:21" s="4" customFormat="1" ht="36" customHeight="1" x14ac:dyDescent="0.2">
      <c r="A282" s="75" t="s">
        <v>437</v>
      </c>
      <c r="B282" s="75" t="str">
        <f>'дод. 4'!A190</f>
        <v>7330</v>
      </c>
      <c r="C282" s="75" t="str">
        <f>'дод. 4'!B190</f>
        <v>0443</v>
      </c>
      <c r="D282" s="102" t="str">
        <f>'дод. 4'!C190</f>
        <v>Будівництво інших об'єктів соціальної та виробничої інфраструктури комунальної власності</v>
      </c>
      <c r="E282" s="77">
        <f>F282+I282</f>
        <v>0</v>
      </c>
      <c r="F282" s="77"/>
      <c r="G282" s="77"/>
      <c r="H282" s="77"/>
      <c r="I282" s="77"/>
      <c r="J282" s="77">
        <f>K282+N282</f>
        <v>42362944</v>
      </c>
      <c r="K282" s="77"/>
      <c r="L282" s="77"/>
      <c r="M282" s="77"/>
      <c r="N282" s="77">
        <f>30359000+870000-1111500+240000+300000+998900+425207+489680+498116+409160+482174+998774+468130+100000+1000+8500-448500+100000+234845+600000+1000000+215000+1741000+127400-800000-33200+255800-500000+4000000+75000+200000+75000-29000+275000-9000-2570000+2460000+100000-513000+48000+235500-14042</f>
        <v>42362944</v>
      </c>
      <c r="O282" s="77">
        <f>30359000+870000-1111500+240000+300000+998900+425207+489680+498116+409160+482174+998774+468130+100000+1000+8500-448500+100000+234845+600000+1000000+215000+1741000+127400-800000-33200+255800-500000+4000000+75000+200000+75000-29000+275000-9000-2570000+2460000+100000-513000+48000+235500-14042</f>
        <v>42362944</v>
      </c>
      <c r="P282" s="77">
        <f>E282+J282</f>
        <v>42362944</v>
      </c>
      <c r="Q282" s="266"/>
      <c r="R282" s="153"/>
      <c r="S282" s="153"/>
      <c r="T282" s="153"/>
    </row>
    <row r="283" spans="1:21" s="4" customFormat="1" ht="36" customHeight="1" x14ac:dyDescent="0.2">
      <c r="A283" s="75" t="s">
        <v>585</v>
      </c>
      <c r="B283" s="75" t="str">
        <f>'дод. 4'!A191</f>
        <v>7340</v>
      </c>
      <c r="C283" s="75" t="str">
        <f>'дод. 4'!B191</f>
        <v>0443</v>
      </c>
      <c r="D283" s="102" t="str">
        <f>'дод. 4'!C191</f>
        <v>Проектування, реставрація та охорона пам'яток архітектури</v>
      </c>
      <c r="E283" s="77">
        <f>F283+I283</f>
        <v>0</v>
      </c>
      <c r="F283" s="77"/>
      <c r="G283" s="77"/>
      <c r="H283" s="77"/>
      <c r="I283" s="77"/>
      <c r="J283" s="77">
        <f>K283+N283</f>
        <v>2200000</v>
      </c>
      <c r="K283" s="77"/>
      <c r="L283" s="77"/>
      <c r="M283" s="77"/>
      <c r="N283" s="77">
        <f>650000-150000+500000+1200000</f>
        <v>2200000</v>
      </c>
      <c r="O283" s="77">
        <f>650000-150000+500000+1200000</f>
        <v>2200000</v>
      </c>
      <c r="P283" s="77">
        <f>E283+J283</f>
        <v>2200000</v>
      </c>
      <c r="Q283" s="266"/>
      <c r="R283" s="153"/>
      <c r="S283" s="153"/>
      <c r="T283" s="153"/>
    </row>
    <row r="284" spans="1:21" s="4" customFormat="1" ht="24" customHeight="1" x14ac:dyDescent="0.2">
      <c r="A284" s="75" t="s">
        <v>613</v>
      </c>
      <c r="B284" s="75" t="str">
        <f>'дод. 4'!A193</f>
        <v>7360</v>
      </c>
      <c r="C284" s="75">
        <f>'дод. 4'!B193</f>
        <v>0</v>
      </c>
      <c r="D284" s="102" t="str">
        <f>'дод. 4'!C193</f>
        <v>Виконання інвестиційних проектів</v>
      </c>
      <c r="E284" s="77">
        <f>E286</f>
        <v>0</v>
      </c>
      <c r="F284" s="77">
        <f t="shared" ref="F284:P285" si="98">F286</f>
        <v>0</v>
      </c>
      <c r="G284" s="77">
        <f t="shared" si="98"/>
        <v>0</v>
      </c>
      <c r="H284" s="77">
        <f t="shared" si="98"/>
        <v>0</v>
      </c>
      <c r="I284" s="77">
        <f t="shared" si="98"/>
        <v>0</v>
      </c>
      <c r="J284" s="77">
        <f t="shared" si="98"/>
        <v>633393</v>
      </c>
      <c r="K284" s="77">
        <f t="shared" si="98"/>
        <v>0</v>
      </c>
      <c r="L284" s="77">
        <f t="shared" si="98"/>
        <v>0</v>
      </c>
      <c r="M284" s="77">
        <f t="shared" si="98"/>
        <v>0</v>
      </c>
      <c r="N284" s="77">
        <f t="shared" si="98"/>
        <v>633393</v>
      </c>
      <c r="O284" s="77">
        <f t="shared" si="98"/>
        <v>598538</v>
      </c>
      <c r="P284" s="77">
        <f t="shared" si="98"/>
        <v>633393</v>
      </c>
      <c r="Q284" s="266"/>
      <c r="R284" s="153"/>
      <c r="S284" s="153"/>
      <c r="T284" s="153"/>
    </row>
    <row r="285" spans="1:21" s="4" customFormat="1" ht="17.25" customHeight="1" x14ac:dyDescent="0.2">
      <c r="A285" s="75"/>
      <c r="B285" s="75"/>
      <c r="C285" s="75"/>
      <c r="D285" s="82" t="s">
        <v>416</v>
      </c>
      <c r="E285" s="77">
        <f>E287</f>
        <v>0</v>
      </c>
      <c r="F285" s="77">
        <f t="shared" si="98"/>
        <v>0</v>
      </c>
      <c r="G285" s="77">
        <f t="shared" si="98"/>
        <v>0</v>
      </c>
      <c r="H285" s="77">
        <f t="shared" si="98"/>
        <v>0</v>
      </c>
      <c r="I285" s="77">
        <f t="shared" si="98"/>
        <v>0</v>
      </c>
      <c r="J285" s="77">
        <f t="shared" si="98"/>
        <v>334946</v>
      </c>
      <c r="K285" s="77">
        <f t="shared" si="98"/>
        <v>0</v>
      </c>
      <c r="L285" s="77">
        <f t="shared" si="98"/>
        <v>0</v>
      </c>
      <c r="M285" s="77">
        <f t="shared" si="98"/>
        <v>0</v>
      </c>
      <c r="N285" s="77">
        <f t="shared" si="98"/>
        <v>334946</v>
      </c>
      <c r="O285" s="77">
        <f t="shared" si="98"/>
        <v>300091</v>
      </c>
      <c r="P285" s="77">
        <f t="shared" si="98"/>
        <v>334946</v>
      </c>
      <c r="Q285" s="266"/>
      <c r="R285" s="153"/>
      <c r="S285" s="153"/>
      <c r="T285" s="153"/>
    </row>
    <row r="286" spans="1:21" s="110" customFormat="1" ht="48.75" customHeight="1" x14ac:dyDescent="0.2">
      <c r="A286" s="78" t="s">
        <v>614</v>
      </c>
      <c r="B286" s="78" t="str">
        <f>'дод. 4'!A196</f>
        <v>7363</v>
      </c>
      <c r="C286" s="78" t="str">
        <f>'дод. 4'!B196</f>
        <v>0490</v>
      </c>
      <c r="D286" s="101" t="str">
        <f>'дод. 4'!C196</f>
        <v>Виконання інвестиційних проектів в рамках здійснення заходів щодо соціально-економічного розвитку окремих територій</v>
      </c>
      <c r="E286" s="80">
        <f>F286+I286</f>
        <v>0</v>
      </c>
      <c r="F286" s="80"/>
      <c r="G286" s="80"/>
      <c r="H286" s="80"/>
      <c r="I286" s="80"/>
      <c r="J286" s="80">
        <f>K286+N286</f>
        <v>633393</v>
      </c>
      <c r="K286" s="80"/>
      <c r="L286" s="80"/>
      <c r="M286" s="80"/>
      <c r="N286" s="80">
        <f>289447+34946+9000+300000</f>
        <v>633393</v>
      </c>
      <c r="O286" s="80">
        <f>289447+91+9000+300000</f>
        <v>598538</v>
      </c>
      <c r="P286" s="80">
        <f>E286+J286</f>
        <v>633393</v>
      </c>
      <c r="Q286" s="266"/>
      <c r="R286" s="155"/>
      <c r="S286" s="155"/>
      <c r="T286" s="155"/>
    </row>
    <row r="287" spans="1:21" s="110" customFormat="1" ht="22.5" customHeight="1" x14ac:dyDescent="0.2">
      <c r="A287" s="78"/>
      <c r="B287" s="78"/>
      <c r="C287" s="78"/>
      <c r="D287" s="79" t="s">
        <v>416</v>
      </c>
      <c r="E287" s="80">
        <f>F287+I287</f>
        <v>0</v>
      </c>
      <c r="F287" s="80"/>
      <c r="G287" s="80"/>
      <c r="H287" s="80"/>
      <c r="I287" s="80"/>
      <c r="J287" s="80">
        <f>K287+N287</f>
        <v>334946</v>
      </c>
      <c r="K287" s="80"/>
      <c r="L287" s="80"/>
      <c r="M287" s="80"/>
      <c r="N287" s="80">
        <f>34946+300000</f>
        <v>334946</v>
      </c>
      <c r="O287" s="80">
        <f>91+300000</f>
        <v>300091</v>
      </c>
      <c r="P287" s="80">
        <f>E287+J287</f>
        <v>334946</v>
      </c>
      <c r="Q287" s="266"/>
      <c r="R287" s="155"/>
      <c r="S287" s="155"/>
      <c r="T287" s="155"/>
    </row>
    <row r="288" spans="1:21" s="4" customFormat="1" ht="27.75" customHeight="1" x14ac:dyDescent="0.2">
      <c r="A288" s="75" t="s">
        <v>621</v>
      </c>
      <c r="B288" s="75" t="str">
        <f>'дод. 4'!A205</f>
        <v>7440</v>
      </c>
      <c r="C288" s="75">
        <f>'дод. 4'!B205</f>
        <v>0</v>
      </c>
      <c r="D288" s="102" t="str">
        <f>'дод. 4'!C205</f>
        <v>Утримання та розвиток транспортної інфраструктури</v>
      </c>
      <c r="E288" s="77">
        <f>E289</f>
        <v>0</v>
      </c>
      <c r="F288" s="77">
        <f t="shared" ref="F288:P288" si="99">F289</f>
        <v>0</v>
      </c>
      <c r="G288" s="77">
        <f t="shared" si="99"/>
        <v>0</v>
      </c>
      <c r="H288" s="77">
        <f t="shared" si="99"/>
        <v>0</v>
      </c>
      <c r="I288" s="77">
        <f t="shared" si="99"/>
        <v>0</v>
      </c>
      <c r="J288" s="77">
        <f t="shared" si="99"/>
        <v>73389.14</v>
      </c>
      <c r="K288" s="77">
        <f t="shared" si="99"/>
        <v>0</v>
      </c>
      <c r="L288" s="77">
        <f t="shared" si="99"/>
        <v>0</v>
      </c>
      <c r="M288" s="77">
        <f t="shared" si="99"/>
        <v>0</v>
      </c>
      <c r="N288" s="77">
        <f t="shared" si="99"/>
        <v>73389.14</v>
      </c>
      <c r="O288" s="77">
        <f t="shared" si="99"/>
        <v>0</v>
      </c>
      <c r="P288" s="77">
        <f t="shared" si="99"/>
        <v>73389.14</v>
      </c>
      <c r="Q288" s="266"/>
      <c r="R288" s="153"/>
      <c r="S288" s="153"/>
      <c r="T288" s="153"/>
    </row>
    <row r="289" spans="1:21" s="110" customFormat="1" ht="36" customHeight="1" x14ac:dyDescent="0.2">
      <c r="A289" s="78" t="s">
        <v>622</v>
      </c>
      <c r="B289" s="78" t="str">
        <f>'дод. 4'!A206</f>
        <v>7442</v>
      </c>
      <c r="C289" s="78" t="str">
        <f>'дод. 4'!B206</f>
        <v>0456</v>
      </c>
      <c r="D289" s="101" t="str">
        <f>'дод. 4'!C206</f>
        <v>Утримання та розвиток інших об’єктів транспортної інфраструктури</v>
      </c>
      <c r="E289" s="80">
        <f>F289+I289</f>
        <v>0</v>
      </c>
      <c r="F289" s="80"/>
      <c r="G289" s="80"/>
      <c r="H289" s="80"/>
      <c r="I289" s="80"/>
      <c r="J289" s="80">
        <f>K289+N289</f>
        <v>73389.14</v>
      </c>
      <c r="K289" s="80"/>
      <c r="L289" s="80"/>
      <c r="M289" s="80"/>
      <c r="N289" s="80">
        <v>73389.14</v>
      </c>
      <c r="O289" s="80"/>
      <c r="P289" s="80">
        <f>E289+J289</f>
        <v>73389.14</v>
      </c>
      <c r="Q289" s="266"/>
      <c r="R289" s="155"/>
      <c r="S289" s="155"/>
      <c r="T289" s="155"/>
    </row>
    <row r="290" spans="1:21" s="110" customFormat="1" ht="36" customHeight="1" x14ac:dyDescent="0.25">
      <c r="A290" s="75" t="s">
        <v>641</v>
      </c>
      <c r="B290" s="87" t="s">
        <v>642</v>
      </c>
      <c r="C290" s="88"/>
      <c r="D290" s="232" t="s">
        <v>643</v>
      </c>
      <c r="E290" s="83">
        <f>F290+I290</f>
        <v>0</v>
      </c>
      <c r="F290" s="80"/>
      <c r="G290" s="80"/>
      <c r="H290" s="80"/>
      <c r="I290" s="80"/>
      <c r="J290" s="80">
        <f>J292</f>
        <v>41900000</v>
      </c>
      <c r="K290" s="80">
        <f t="shared" ref="K290:P290" si="100">K292</f>
        <v>11900000</v>
      </c>
      <c r="L290" s="80">
        <f t="shared" si="100"/>
        <v>0</v>
      </c>
      <c r="M290" s="80">
        <f t="shared" si="100"/>
        <v>0</v>
      </c>
      <c r="N290" s="80">
        <f t="shared" si="100"/>
        <v>30000000</v>
      </c>
      <c r="O290" s="80">
        <f t="shared" si="100"/>
        <v>0</v>
      </c>
      <c r="P290" s="80">
        <f t="shared" si="100"/>
        <v>41900000</v>
      </c>
      <c r="Q290" s="266"/>
      <c r="R290" s="159"/>
      <c r="S290" s="159"/>
      <c r="T290" s="159"/>
    </row>
    <row r="291" spans="1:21" s="110" customFormat="1" ht="18.75" customHeight="1" x14ac:dyDescent="0.25">
      <c r="A291" s="75"/>
      <c r="B291" s="87"/>
      <c r="C291" s="88"/>
      <c r="D291" s="233" t="str">
        <f t="shared" ref="D291:I291" si="101">D293</f>
        <v>у т.ч. за рахунок субвенцій з держбюджету</v>
      </c>
      <c r="E291" s="83">
        <f t="shared" si="101"/>
        <v>0</v>
      </c>
      <c r="F291" s="83">
        <f t="shared" si="101"/>
        <v>0</v>
      </c>
      <c r="G291" s="83">
        <f t="shared" si="101"/>
        <v>0</v>
      </c>
      <c r="H291" s="83">
        <f t="shared" si="101"/>
        <v>0</v>
      </c>
      <c r="I291" s="83">
        <f t="shared" si="101"/>
        <v>0</v>
      </c>
      <c r="J291" s="83">
        <f>J293</f>
        <v>41900000</v>
      </c>
      <c r="K291" s="83">
        <f t="shared" ref="K291:P291" si="102">K293</f>
        <v>11900000</v>
      </c>
      <c r="L291" s="83">
        <f t="shared" si="102"/>
        <v>0</v>
      </c>
      <c r="M291" s="83">
        <f t="shared" si="102"/>
        <v>0</v>
      </c>
      <c r="N291" s="83">
        <f t="shared" si="102"/>
        <v>30000000</v>
      </c>
      <c r="O291" s="83">
        <f t="shared" si="102"/>
        <v>0</v>
      </c>
      <c r="P291" s="83">
        <f t="shared" si="102"/>
        <v>41900000</v>
      </c>
      <c r="Q291" s="266"/>
      <c r="R291" s="159"/>
      <c r="S291" s="159"/>
      <c r="T291" s="159"/>
    </row>
    <row r="292" spans="1:21" s="110" customFormat="1" ht="50.45" customHeight="1" x14ac:dyDescent="0.25">
      <c r="A292" s="78" t="s">
        <v>644</v>
      </c>
      <c r="B292" s="88" t="s">
        <v>645</v>
      </c>
      <c r="C292" s="99" t="s">
        <v>493</v>
      </c>
      <c r="D292" s="231" t="s">
        <v>646</v>
      </c>
      <c r="E292" s="83">
        <f>F292+I292</f>
        <v>0</v>
      </c>
      <c r="F292" s="80"/>
      <c r="G292" s="80"/>
      <c r="H292" s="80"/>
      <c r="I292" s="80"/>
      <c r="J292" s="80">
        <f>K292+N292</f>
        <v>41900000</v>
      </c>
      <c r="K292" s="80">
        <f>15900000-4000000</f>
        <v>11900000</v>
      </c>
      <c r="L292" s="80"/>
      <c r="M292" s="80"/>
      <c r="N292" s="80">
        <v>30000000</v>
      </c>
      <c r="O292" s="80"/>
      <c r="P292" s="80">
        <f>E292+J292</f>
        <v>41900000</v>
      </c>
      <c r="Q292" s="266"/>
      <c r="R292" s="159"/>
      <c r="S292" s="159"/>
      <c r="T292" s="159"/>
    </row>
    <row r="293" spans="1:21" s="110" customFormat="1" ht="24" customHeight="1" x14ac:dyDescent="0.2">
      <c r="A293" s="78"/>
      <c r="B293" s="78"/>
      <c r="C293" s="111"/>
      <c r="D293" s="79" t="s">
        <v>416</v>
      </c>
      <c r="E293" s="80">
        <f>F293+I293</f>
        <v>0</v>
      </c>
      <c r="F293" s="80"/>
      <c r="G293" s="80"/>
      <c r="H293" s="80"/>
      <c r="I293" s="80"/>
      <c r="J293" s="80">
        <f>K293+N293</f>
        <v>41900000</v>
      </c>
      <c r="K293" s="80">
        <f>15900000-4000000</f>
        <v>11900000</v>
      </c>
      <c r="L293" s="80"/>
      <c r="M293" s="80"/>
      <c r="N293" s="80">
        <v>30000000</v>
      </c>
      <c r="O293" s="80"/>
      <c r="P293" s="80">
        <f>J293+E293</f>
        <v>41900000</v>
      </c>
      <c r="Q293" s="266"/>
      <c r="R293" s="159"/>
      <c r="S293" s="159"/>
      <c r="T293" s="159"/>
    </row>
    <row r="294" spans="1:21" s="4" customFormat="1" ht="28.5" customHeight="1" x14ac:dyDescent="0.2">
      <c r="A294" s="81" t="s">
        <v>234</v>
      </c>
      <c r="B294" s="81" t="str">
        <f>'дод. 4'!A216</f>
        <v>7640</v>
      </c>
      <c r="C294" s="81" t="str">
        <f>'дод. 4'!B216</f>
        <v>0470</v>
      </c>
      <c r="D294" s="102" t="str">
        <f>'дод. 4'!C216</f>
        <v>Заходи з енергозбереження</v>
      </c>
      <c r="E294" s="83">
        <f>F294+I294</f>
        <v>529155</v>
      </c>
      <c r="F294" s="83">
        <f>529155+160000-160000</f>
        <v>529155</v>
      </c>
      <c r="G294" s="83"/>
      <c r="H294" s="83"/>
      <c r="I294" s="83"/>
      <c r="J294" s="83">
        <f>K294+N294</f>
        <v>19086155</v>
      </c>
      <c r="K294" s="83"/>
      <c r="L294" s="83"/>
      <c r="M294" s="83"/>
      <c r="N294" s="83">
        <f>18557000+529155-160000+160000</f>
        <v>19086155</v>
      </c>
      <c r="O294" s="83">
        <f>18557000+529155-160000+160000</f>
        <v>19086155</v>
      </c>
      <c r="P294" s="83">
        <f>E294+J294</f>
        <v>19615310</v>
      </c>
      <c r="Q294" s="266"/>
      <c r="R294" s="153"/>
      <c r="S294" s="153"/>
      <c r="T294" s="162"/>
    </row>
    <row r="295" spans="1:21" s="4" customFormat="1" ht="30" customHeight="1" x14ac:dyDescent="0.2">
      <c r="A295" s="81" t="s">
        <v>615</v>
      </c>
      <c r="B295" s="81" t="str">
        <f>'дод. 4'!A221</f>
        <v>7690</v>
      </c>
      <c r="C295" s="81">
        <f>'дод. 4'!B221</f>
        <v>0</v>
      </c>
      <c r="D295" s="102" t="str">
        <f>'дод. 4'!C221</f>
        <v>Інша економічна діяльність</v>
      </c>
      <c r="E295" s="83">
        <f>E296</f>
        <v>0</v>
      </c>
      <c r="F295" s="83">
        <f t="shared" ref="F295:P295" si="103">F296</f>
        <v>0</v>
      </c>
      <c r="G295" s="83">
        <f t="shared" si="103"/>
        <v>0</v>
      </c>
      <c r="H295" s="83">
        <f t="shared" si="103"/>
        <v>0</v>
      </c>
      <c r="I295" s="83">
        <f t="shared" si="103"/>
        <v>0</v>
      </c>
      <c r="J295" s="83">
        <f t="shared" si="103"/>
        <v>872083.12</v>
      </c>
      <c r="K295" s="83">
        <f t="shared" si="103"/>
        <v>0</v>
      </c>
      <c r="L295" s="83">
        <f t="shared" si="103"/>
        <v>0</v>
      </c>
      <c r="M295" s="83">
        <f t="shared" si="103"/>
        <v>0</v>
      </c>
      <c r="N295" s="83">
        <f t="shared" si="103"/>
        <v>872083.12</v>
      </c>
      <c r="O295" s="83">
        <f t="shared" si="103"/>
        <v>0</v>
      </c>
      <c r="P295" s="83">
        <f t="shared" si="103"/>
        <v>872083.12</v>
      </c>
      <c r="Q295" s="266"/>
      <c r="R295" s="153"/>
      <c r="S295" s="153"/>
      <c r="T295" s="162"/>
    </row>
    <row r="296" spans="1:21" s="110" customFormat="1" ht="108.75" customHeight="1" x14ac:dyDescent="0.2">
      <c r="A296" s="78" t="s">
        <v>616</v>
      </c>
      <c r="B296" s="78" t="str">
        <f>'дод. 4'!A222</f>
        <v>7691</v>
      </c>
      <c r="C296" s="78" t="str">
        <f>'дод. 4'!B222</f>
        <v>0490</v>
      </c>
      <c r="D296" s="79" t="s">
        <v>499</v>
      </c>
      <c r="E296" s="80">
        <f>F296+I296</f>
        <v>0</v>
      </c>
      <c r="F296" s="80"/>
      <c r="G296" s="80"/>
      <c r="H296" s="80"/>
      <c r="I296" s="80"/>
      <c r="J296" s="80">
        <f>K296+N296</f>
        <v>872083.12</v>
      </c>
      <c r="K296" s="80"/>
      <c r="L296" s="80"/>
      <c r="M296" s="80"/>
      <c r="N296" s="80">
        <v>872083.12</v>
      </c>
      <c r="O296" s="80"/>
      <c r="P296" s="80">
        <f>E296+J296</f>
        <v>872083.12</v>
      </c>
      <c r="Q296" s="266"/>
      <c r="R296" s="155"/>
      <c r="S296" s="155"/>
      <c r="T296" s="156"/>
    </row>
    <row r="297" spans="1:21" s="109" customFormat="1" ht="28.5" customHeight="1" x14ac:dyDescent="0.2">
      <c r="A297" s="106" t="s">
        <v>330</v>
      </c>
      <c r="B297" s="36"/>
      <c r="C297" s="36"/>
      <c r="D297" s="35" t="s">
        <v>72</v>
      </c>
      <c r="E297" s="46">
        <f>E298</f>
        <v>6397940</v>
      </c>
      <c r="F297" s="46">
        <f t="shared" ref="F297:P297" si="104">F298</f>
        <v>6397940</v>
      </c>
      <c r="G297" s="46">
        <f t="shared" si="104"/>
        <v>4858230</v>
      </c>
      <c r="H297" s="46">
        <f t="shared" si="104"/>
        <v>89540</v>
      </c>
      <c r="I297" s="46">
        <f t="shared" si="104"/>
        <v>0</v>
      </c>
      <c r="J297" s="46">
        <f t="shared" si="104"/>
        <v>1263974.04</v>
      </c>
      <c r="K297" s="46">
        <f t="shared" si="104"/>
        <v>1123974.04</v>
      </c>
      <c r="L297" s="46">
        <f t="shared" si="104"/>
        <v>0</v>
      </c>
      <c r="M297" s="46">
        <f t="shared" si="104"/>
        <v>0</v>
      </c>
      <c r="N297" s="46">
        <f t="shared" si="104"/>
        <v>140000</v>
      </c>
      <c r="O297" s="46">
        <f t="shared" si="104"/>
        <v>140000</v>
      </c>
      <c r="P297" s="46">
        <f t="shared" si="104"/>
        <v>7661914.04</v>
      </c>
      <c r="Q297" s="266"/>
      <c r="R297" s="151"/>
      <c r="S297" s="151"/>
      <c r="T297" s="151"/>
    </row>
    <row r="298" spans="1:21" s="109" customFormat="1" ht="30" x14ac:dyDescent="0.2">
      <c r="A298" s="108" t="s">
        <v>331</v>
      </c>
      <c r="B298" s="119"/>
      <c r="C298" s="119"/>
      <c r="D298" s="118" t="s">
        <v>72</v>
      </c>
      <c r="E298" s="74">
        <f>E299+E302+E300+E301</f>
        <v>6397940</v>
      </c>
      <c r="F298" s="74">
        <f t="shared" ref="F298:P298" si="105">F299+F302+F300+F301</f>
        <v>6397940</v>
      </c>
      <c r="G298" s="74">
        <f t="shared" si="105"/>
        <v>4858230</v>
      </c>
      <c r="H298" s="74">
        <f t="shared" si="105"/>
        <v>89540</v>
      </c>
      <c r="I298" s="74">
        <f t="shared" si="105"/>
        <v>0</v>
      </c>
      <c r="J298" s="74">
        <f t="shared" si="105"/>
        <v>1263974.04</v>
      </c>
      <c r="K298" s="74">
        <f t="shared" si="105"/>
        <v>1123974.04</v>
      </c>
      <c r="L298" s="74">
        <f t="shared" si="105"/>
        <v>0</v>
      </c>
      <c r="M298" s="74">
        <f t="shared" si="105"/>
        <v>0</v>
      </c>
      <c r="N298" s="74">
        <f t="shared" si="105"/>
        <v>140000</v>
      </c>
      <c r="O298" s="74">
        <f t="shared" si="105"/>
        <v>140000</v>
      </c>
      <c r="P298" s="74">
        <f t="shared" si="105"/>
        <v>7661914.04</v>
      </c>
      <c r="Q298" s="266"/>
      <c r="R298" s="160"/>
      <c r="S298" s="160"/>
      <c r="T298" s="160"/>
      <c r="U298" s="144"/>
    </row>
    <row r="299" spans="1:21" s="4" customFormat="1" ht="45" x14ac:dyDescent="0.2">
      <c r="A299" s="75" t="s">
        <v>332</v>
      </c>
      <c r="B299" s="75" t="str">
        <f>'дод. 4'!A12</f>
        <v>0160</v>
      </c>
      <c r="C299" s="75" t="str">
        <f>'дод. 4'!B12</f>
        <v>0111</v>
      </c>
      <c r="D299" s="76" t="str">
        <f>'дод. 4'!C12</f>
        <v>Керівництво і управління у відповідній сфері у містах (місті Києві), селищах, селах, об’єднаних територіальних громадах</v>
      </c>
      <c r="E299" s="77">
        <f>F299+I299</f>
        <v>6197940</v>
      </c>
      <c r="F299" s="77">
        <f>6208400-28800+10000+8340</f>
        <v>6197940</v>
      </c>
      <c r="G299" s="77">
        <v>4858230</v>
      </c>
      <c r="H299" s="77">
        <f>81200+8340</f>
        <v>89540</v>
      </c>
      <c r="I299" s="77"/>
      <c r="J299" s="77">
        <f>K299+N299</f>
        <v>0</v>
      </c>
      <c r="K299" s="77"/>
      <c r="L299" s="77"/>
      <c r="M299" s="77"/>
      <c r="N299" s="77">
        <f>20000-20000</f>
        <v>0</v>
      </c>
      <c r="O299" s="77">
        <f>20000-20000</f>
        <v>0</v>
      </c>
      <c r="P299" s="77">
        <f>E299+J299</f>
        <v>6197940</v>
      </c>
      <c r="Q299" s="266"/>
      <c r="R299" s="153"/>
      <c r="S299" s="153"/>
      <c r="T299" s="153"/>
    </row>
    <row r="300" spans="1:21" s="4" customFormat="1" ht="32.25" customHeight="1" x14ac:dyDescent="0.2">
      <c r="A300" s="75" t="s">
        <v>489</v>
      </c>
      <c r="B300" s="132" t="str">
        <f>'дод. 4'!A179</f>
        <v>6090</v>
      </c>
      <c r="C300" s="132" t="str">
        <f>'дод. 4'!B179</f>
        <v>0640</v>
      </c>
      <c r="D300" s="104" t="str">
        <f>'дод. 4'!C179</f>
        <v>Інша діяльність у сфері житлово-комунального господарства</v>
      </c>
      <c r="E300" s="77">
        <f>F300+I300</f>
        <v>200000</v>
      </c>
      <c r="F300" s="77">
        <f>150000+50000</f>
        <v>200000</v>
      </c>
      <c r="G300" s="77"/>
      <c r="H300" s="77"/>
      <c r="I300" s="77"/>
      <c r="J300" s="77">
        <f>K300+N300</f>
        <v>0</v>
      </c>
      <c r="K300" s="77"/>
      <c r="L300" s="77"/>
      <c r="M300" s="77"/>
      <c r="N300" s="77"/>
      <c r="O300" s="77"/>
      <c r="P300" s="77">
        <f>E300+J300</f>
        <v>200000</v>
      </c>
      <c r="Q300" s="266"/>
      <c r="R300" s="153"/>
      <c r="S300" s="153"/>
      <c r="T300" s="153"/>
    </row>
    <row r="301" spans="1:21" s="4" customFormat="1" ht="32.25" customHeight="1" x14ac:dyDescent="0.2">
      <c r="A301" s="75" t="s">
        <v>632</v>
      </c>
      <c r="B301" s="132" t="str">
        <f>'дод. 4'!A192</f>
        <v>7350</v>
      </c>
      <c r="C301" s="132" t="str">
        <f>'дод. 4'!B192</f>
        <v>0443</v>
      </c>
      <c r="D301" s="104" t="str">
        <f>'дод. 4'!C192</f>
        <v>Розроблення схем планування та забудови територій (містобудівної документації)</v>
      </c>
      <c r="E301" s="77">
        <f>F301+I301</f>
        <v>0</v>
      </c>
      <c r="F301" s="77"/>
      <c r="G301" s="77"/>
      <c r="H301" s="77"/>
      <c r="I301" s="77"/>
      <c r="J301" s="77">
        <f>K301+N301</f>
        <v>140000</v>
      </c>
      <c r="K301" s="77"/>
      <c r="L301" s="77"/>
      <c r="M301" s="77"/>
      <c r="N301" s="77">
        <v>140000</v>
      </c>
      <c r="O301" s="77">
        <v>140000</v>
      </c>
      <c r="P301" s="77">
        <f>E301+J301</f>
        <v>140000</v>
      </c>
      <c r="Q301" s="266"/>
      <c r="R301" s="153"/>
      <c r="S301" s="153"/>
      <c r="T301" s="153"/>
    </row>
    <row r="302" spans="1:21" s="4" customFormat="1" ht="18.75" customHeight="1" x14ac:dyDescent="0.2">
      <c r="A302" s="85" t="s">
        <v>333</v>
      </c>
      <c r="B302" s="85" t="str">
        <f>'дод. 4'!A221</f>
        <v>7690</v>
      </c>
      <c r="C302" s="85">
        <f>'дод. 4'!B221</f>
        <v>0</v>
      </c>
      <c r="D302" s="103" t="str">
        <f>'дод. 4'!C221</f>
        <v>Інша економічна діяльність</v>
      </c>
      <c r="E302" s="77">
        <f>E303</f>
        <v>0</v>
      </c>
      <c r="F302" s="77">
        <f t="shared" ref="F302:P302" si="106">F303</f>
        <v>0</v>
      </c>
      <c r="G302" s="77">
        <f t="shared" si="106"/>
        <v>0</v>
      </c>
      <c r="H302" s="77">
        <f t="shared" si="106"/>
        <v>0</v>
      </c>
      <c r="I302" s="77">
        <f t="shared" si="106"/>
        <v>0</v>
      </c>
      <c r="J302" s="77">
        <f t="shared" si="106"/>
        <v>1123974.04</v>
      </c>
      <c r="K302" s="77">
        <f t="shared" si="106"/>
        <v>1123974.04</v>
      </c>
      <c r="L302" s="77">
        <f t="shared" si="106"/>
        <v>0</v>
      </c>
      <c r="M302" s="77">
        <f t="shared" si="106"/>
        <v>0</v>
      </c>
      <c r="N302" s="77">
        <f t="shared" si="106"/>
        <v>0</v>
      </c>
      <c r="O302" s="77">
        <f t="shared" si="106"/>
        <v>0</v>
      </c>
      <c r="P302" s="77">
        <f t="shared" si="106"/>
        <v>1123974.04</v>
      </c>
      <c r="Q302" s="266">
        <v>35</v>
      </c>
      <c r="R302" s="154"/>
      <c r="S302" s="154"/>
      <c r="T302" s="154"/>
    </row>
    <row r="303" spans="1:21" s="110" customFormat="1" ht="110.25" customHeight="1" x14ac:dyDescent="0.2">
      <c r="A303" s="111" t="s">
        <v>471</v>
      </c>
      <c r="B303" s="133" t="str">
        <f>'дод. 4'!A222</f>
        <v>7691</v>
      </c>
      <c r="C303" s="133" t="str">
        <f>'дод. 4'!B222</f>
        <v>0490</v>
      </c>
      <c r="D303" s="79" t="s">
        <v>499</v>
      </c>
      <c r="E303" s="80">
        <f>F303+I303</f>
        <v>0</v>
      </c>
      <c r="F303" s="80"/>
      <c r="G303" s="80"/>
      <c r="H303" s="80"/>
      <c r="I303" s="80"/>
      <c r="J303" s="80">
        <f>K303+N303</f>
        <v>1123974.04</v>
      </c>
      <c r="K303" s="80">
        <f>341539+752435.04+30000</f>
        <v>1123974.04</v>
      </c>
      <c r="L303" s="80"/>
      <c r="M303" s="80"/>
      <c r="N303" s="80"/>
      <c r="O303" s="80"/>
      <c r="P303" s="80">
        <f>E303+J303</f>
        <v>1123974.04</v>
      </c>
      <c r="Q303" s="266"/>
      <c r="R303" s="155"/>
      <c r="S303" s="155"/>
      <c r="T303" s="155"/>
    </row>
    <row r="304" spans="1:21" s="109" customFormat="1" ht="36.75" customHeight="1" x14ac:dyDescent="0.2">
      <c r="A304" s="106" t="s">
        <v>336</v>
      </c>
      <c r="B304" s="36"/>
      <c r="C304" s="36"/>
      <c r="D304" s="35" t="s">
        <v>75</v>
      </c>
      <c r="E304" s="46">
        <f>E305</f>
        <v>3660035</v>
      </c>
      <c r="F304" s="46">
        <f t="shared" ref="F304:P305" si="107">F305</f>
        <v>3660035</v>
      </c>
      <c r="G304" s="46">
        <f t="shared" si="107"/>
        <v>2745200</v>
      </c>
      <c r="H304" s="46">
        <f t="shared" si="107"/>
        <v>39635</v>
      </c>
      <c r="I304" s="46">
        <f t="shared" si="107"/>
        <v>0</v>
      </c>
      <c r="J304" s="46">
        <f t="shared" si="107"/>
        <v>40000</v>
      </c>
      <c r="K304" s="46">
        <f t="shared" si="107"/>
        <v>0</v>
      </c>
      <c r="L304" s="46">
        <f t="shared" si="107"/>
        <v>0</v>
      </c>
      <c r="M304" s="46">
        <f t="shared" si="107"/>
        <v>0</v>
      </c>
      <c r="N304" s="46">
        <f t="shared" si="107"/>
        <v>40000</v>
      </c>
      <c r="O304" s="46">
        <f t="shared" si="107"/>
        <v>40000</v>
      </c>
      <c r="P304" s="46">
        <f t="shared" si="107"/>
        <v>3700035</v>
      </c>
      <c r="Q304" s="266"/>
      <c r="R304" s="151"/>
      <c r="S304" s="151"/>
      <c r="T304" s="151"/>
    </row>
    <row r="305" spans="1:20" s="109" customFormat="1" ht="41.25" customHeight="1" x14ac:dyDescent="0.2">
      <c r="A305" s="108" t="s">
        <v>334</v>
      </c>
      <c r="B305" s="119"/>
      <c r="C305" s="119"/>
      <c r="D305" s="118" t="s">
        <v>75</v>
      </c>
      <c r="E305" s="74">
        <f>E306</f>
        <v>3660035</v>
      </c>
      <c r="F305" s="74">
        <f t="shared" si="107"/>
        <v>3660035</v>
      </c>
      <c r="G305" s="74">
        <f t="shared" si="107"/>
        <v>2745200</v>
      </c>
      <c r="H305" s="74">
        <f t="shared" si="107"/>
        <v>39635</v>
      </c>
      <c r="I305" s="74">
        <f t="shared" si="107"/>
        <v>0</v>
      </c>
      <c r="J305" s="74">
        <f t="shared" si="107"/>
        <v>40000</v>
      </c>
      <c r="K305" s="74">
        <f t="shared" si="107"/>
        <v>0</v>
      </c>
      <c r="L305" s="74">
        <f t="shared" si="107"/>
        <v>0</v>
      </c>
      <c r="M305" s="74">
        <f t="shared" si="107"/>
        <v>0</v>
      </c>
      <c r="N305" s="74">
        <f t="shared" si="107"/>
        <v>40000</v>
      </c>
      <c r="O305" s="74">
        <f t="shared" si="107"/>
        <v>40000</v>
      </c>
      <c r="P305" s="74">
        <f t="shared" si="107"/>
        <v>3700035</v>
      </c>
      <c r="Q305" s="266"/>
      <c r="R305" s="152"/>
      <c r="S305" s="152"/>
      <c r="T305" s="152"/>
    </row>
    <row r="306" spans="1:20" s="110" customFormat="1" ht="47.25" customHeight="1" x14ac:dyDescent="0.2">
      <c r="A306" s="75" t="s">
        <v>335</v>
      </c>
      <c r="B306" s="75" t="str">
        <f>'дод. 4'!A12</f>
        <v>0160</v>
      </c>
      <c r="C306" s="75" t="str">
        <f>'дод. 4'!B12</f>
        <v>0111</v>
      </c>
      <c r="D306" s="76" t="str">
        <f>'дод. 4'!C12</f>
        <v>Керівництво і управління у відповідній сфері у містах (місті Києві), селищах, селах, об’єднаних територіальних громадах</v>
      </c>
      <c r="E306" s="77">
        <f>F306+I306</f>
        <v>3660035</v>
      </c>
      <c r="F306" s="77">
        <f>3525900-19200+150000+3335</f>
        <v>3660035</v>
      </c>
      <c r="G306" s="77">
        <v>2745200</v>
      </c>
      <c r="H306" s="77">
        <f>36300+3335</f>
        <v>39635</v>
      </c>
      <c r="I306" s="77"/>
      <c r="J306" s="77">
        <f>K306+N306</f>
        <v>40000</v>
      </c>
      <c r="K306" s="77"/>
      <c r="L306" s="77"/>
      <c r="M306" s="77"/>
      <c r="N306" s="77">
        <v>40000</v>
      </c>
      <c r="O306" s="77">
        <v>40000</v>
      </c>
      <c r="P306" s="77">
        <f>E306+J306</f>
        <v>3700035</v>
      </c>
      <c r="Q306" s="266"/>
      <c r="R306" s="153"/>
      <c r="S306" s="153"/>
      <c r="T306" s="153"/>
    </row>
    <row r="307" spans="1:20" s="107" customFormat="1" ht="28.5" x14ac:dyDescent="0.2">
      <c r="A307" s="106" t="s">
        <v>337</v>
      </c>
      <c r="B307" s="36"/>
      <c r="C307" s="36"/>
      <c r="D307" s="35" t="s">
        <v>71</v>
      </c>
      <c r="E307" s="46">
        <f>E308</f>
        <v>17567206</v>
      </c>
      <c r="F307" s="46">
        <f t="shared" ref="F307:P307" si="108">F308</f>
        <v>16667206</v>
      </c>
      <c r="G307" s="46">
        <f t="shared" si="108"/>
        <v>11700000</v>
      </c>
      <c r="H307" s="46">
        <f t="shared" si="108"/>
        <v>328583.65000000002</v>
      </c>
      <c r="I307" s="46">
        <f t="shared" si="108"/>
        <v>900000</v>
      </c>
      <c r="J307" s="46">
        <f t="shared" si="108"/>
        <v>287843.33</v>
      </c>
      <c r="K307" s="46">
        <f t="shared" si="108"/>
        <v>14343.33</v>
      </c>
      <c r="L307" s="46">
        <f t="shared" si="108"/>
        <v>0</v>
      </c>
      <c r="M307" s="46">
        <f t="shared" si="108"/>
        <v>0</v>
      </c>
      <c r="N307" s="46">
        <f t="shared" si="108"/>
        <v>273500</v>
      </c>
      <c r="O307" s="46">
        <f t="shared" si="108"/>
        <v>273500</v>
      </c>
      <c r="P307" s="46">
        <f t="shared" si="108"/>
        <v>17855049.329999998</v>
      </c>
      <c r="Q307" s="266"/>
      <c r="R307" s="151"/>
      <c r="S307" s="151"/>
      <c r="T307" s="151"/>
    </row>
    <row r="308" spans="1:20" s="109" customFormat="1" ht="30.75" customHeight="1" x14ac:dyDescent="0.2">
      <c r="A308" s="108" t="s">
        <v>338</v>
      </c>
      <c r="B308" s="119"/>
      <c r="C308" s="119"/>
      <c r="D308" s="118" t="s">
        <v>71</v>
      </c>
      <c r="E308" s="74">
        <f>E309+E310+E311+E312+E313+E314+E316</f>
        <v>17567206</v>
      </c>
      <c r="F308" s="74">
        <f>F309+F310+F311+F312+F313+F314+F316</f>
        <v>16667206</v>
      </c>
      <c r="G308" s="74">
        <f t="shared" ref="G308:O308" si="109">G309+G310+G311+G312+G313+G314+G316</f>
        <v>11700000</v>
      </c>
      <c r="H308" s="74">
        <f t="shared" si="109"/>
        <v>328583.65000000002</v>
      </c>
      <c r="I308" s="74">
        <f t="shared" si="109"/>
        <v>900000</v>
      </c>
      <c r="J308" s="74">
        <f t="shared" si="109"/>
        <v>287843.33</v>
      </c>
      <c r="K308" s="74">
        <f t="shared" si="109"/>
        <v>14343.33</v>
      </c>
      <c r="L308" s="74">
        <f t="shared" si="109"/>
        <v>0</v>
      </c>
      <c r="M308" s="74">
        <f t="shared" si="109"/>
        <v>0</v>
      </c>
      <c r="N308" s="74">
        <f t="shared" si="109"/>
        <v>273500</v>
      </c>
      <c r="O308" s="74">
        <f t="shared" si="109"/>
        <v>273500</v>
      </c>
      <c r="P308" s="74">
        <f>P309+P310+P311+P312+P313+P314+P316</f>
        <v>17855049.329999998</v>
      </c>
      <c r="Q308" s="266"/>
      <c r="R308" s="160"/>
      <c r="S308" s="160"/>
      <c r="T308" s="160"/>
    </row>
    <row r="309" spans="1:20" s="107" customFormat="1" ht="54" customHeight="1" x14ac:dyDescent="0.2">
      <c r="A309" s="75" t="s">
        <v>339</v>
      </c>
      <c r="B309" s="75" t="str">
        <f>'дод. 4'!A12</f>
        <v>0160</v>
      </c>
      <c r="C309" s="75" t="str">
        <f>'дод. 4'!B12</f>
        <v>0111</v>
      </c>
      <c r="D309" s="76" t="str">
        <f>'дод. 4'!C12</f>
        <v>Керівництво і управління у відповідній сфері у містах (місті Києві), селищах, селах, об’єднаних територіальних громадах</v>
      </c>
      <c r="E309" s="77">
        <f>F309+I309</f>
        <v>15143300</v>
      </c>
      <c r="F309" s="77">
        <f>15102100-88800+130000</f>
        <v>15143300</v>
      </c>
      <c r="G309" s="77">
        <v>11700000</v>
      </c>
      <c r="H309" s="77">
        <v>250267</v>
      </c>
      <c r="I309" s="77"/>
      <c r="J309" s="77">
        <f>K309+N309</f>
        <v>19500</v>
      </c>
      <c r="K309" s="77"/>
      <c r="L309" s="77"/>
      <c r="M309" s="77"/>
      <c r="N309" s="77">
        <f>150000-130500</f>
        <v>19500</v>
      </c>
      <c r="O309" s="77">
        <f>150000-130500</f>
        <v>19500</v>
      </c>
      <c r="P309" s="77">
        <f>E309+J309</f>
        <v>15162800</v>
      </c>
      <c r="Q309" s="266"/>
      <c r="R309" s="153"/>
      <c r="S309" s="153"/>
      <c r="T309" s="153"/>
    </row>
    <row r="310" spans="1:20" s="124" customFormat="1" ht="29.25" customHeight="1" x14ac:dyDescent="0.2">
      <c r="A310" s="75" t="s">
        <v>340</v>
      </c>
      <c r="B310" s="75" t="str">
        <f>'дод. 4'!A182</f>
        <v>7130</v>
      </c>
      <c r="C310" s="75" t="str">
        <f>'дод. 4'!B182</f>
        <v>0421</v>
      </c>
      <c r="D310" s="104" t="str">
        <f>'дод. 4'!C182</f>
        <v>Здійснення  заходів із землеустрою</v>
      </c>
      <c r="E310" s="77">
        <f>F310+I310</f>
        <v>520000</v>
      </c>
      <c r="F310" s="122">
        <f>50000+500000+50000+50000-130000</f>
        <v>520000</v>
      </c>
      <c r="G310" s="123"/>
      <c r="H310" s="123"/>
      <c r="I310" s="123"/>
      <c r="J310" s="77">
        <f>K310+N310</f>
        <v>14343.33</v>
      </c>
      <c r="K310" s="123">
        <v>14343.33</v>
      </c>
      <c r="L310" s="123"/>
      <c r="M310" s="123"/>
      <c r="N310" s="123"/>
      <c r="O310" s="123"/>
      <c r="P310" s="77">
        <f>E310+J310</f>
        <v>534343.32999999996</v>
      </c>
      <c r="Q310" s="266"/>
      <c r="R310" s="153"/>
      <c r="S310" s="153"/>
      <c r="T310" s="153"/>
    </row>
    <row r="311" spans="1:20" s="4" customFormat="1" ht="15" customHeight="1" x14ac:dyDescent="0.2">
      <c r="A311" s="85" t="s">
        <v>341</v>
      </c>
      <c r="B311" s="85" t="str">
        <f>'дод. 4'!A215</f>
        <v>7610</v>
      </c>
      <c r="C311" s="85" t="str">
        <f>'дод. 4'!B215</f>
        <v>0411</v>
      </c>
      <c r="D311" s="103" t="str">
        <f>'дод. 4'!C215</f>
        <v>Сприяння розвитку малого та середнього підприємництва</v>
      </c>
      <c r="E311" s="77">
        <f>F311+I311</f>
        <v>1152000</v>
      </c>
      <c r="F311" s="77">
        <f>185000+67000</f>
        <v>252000</v>
      </c>
      <c r="G311" s="77"/>
      <c r="H311" s="77"/>
      <c r="I311" s="77">
        <v>900000</v>
      </c>
      <c r="J311" s="77">
        <f>K311+N311</f>
        <v>0</v>
      </c>
      <c r="K311" s="77"/>
      <c r="L311" s="77"/>
      <c r="M311" s="77"/>
      <c r="N311" s="77"/>
      <c r="O311" s="77"/>
      <c r="P311" s="77">
        <f>E311+J311</f>
        <v>1152000</v>
      </c>
      <c r="Q311" s="266"/>
      <c r="R311" s="153"/>
      <c r="S311" s="153"/>
      <c r="T311" s="153"/>
    </row>
    <row r="312" spans="1:20" s="113" customFormat="1" ht="37.5" customHeight="1" x14ac:dyDescent="0.2">
      <c r="A312" s="85" t="s">
        <v>417</v>
      </c>
      <c r="B312" s="85" t="str">
        <f>'дод. 4'!A217</f>
        <v>7650</v>
      </c>
      <c r="C312" s="85" t="str">
        <f>'дод. 4'!B217</f>
        <v>0490</v>
      </c>
      <c r="D312" s="103" t="str">
        <f>'дод. 4'!C217</f>
        <v>Проведення експертної  грошової  оцінки  земельної ділянки чи права на неї</v>
      </c>
      <c r="E312" s="77">
        <f>F312+I312</f>
        <v>0</v>
      </c>
      <c r="F312" s="77"/>
      <c r="G312" s="77"/>
      <c r="H312" s="77"/>
      <c r="I312" s="77"/>
      <c r="J312" s="77">
        <f>K312+N312</f>
        <v>50000</v>
      </c>
      <c r="K312" s="77"/>
      <c r="L312" s="77"/>
      <c r="M312" s="77"/>
      <c r="N312" s="77">
        <f>25000+25000</f>
        <v>50000</v>
      </c>
      <c r="O312" s="77">
        <f>25000+25000</f>
        <v>50000</v>
      </c>
      <c r="P312" s="77">
        <f>E312+J312</f>
        <v>50000</v>
      </c>
      <c r="Q312" s="266"/>
      <c r="R312" s="153"/>
      <c r="S312" s="153"/>
      <c r="T312" s="153"/>
    </row>
    <row r="313" spans="1:20" s="113" customFormat="1" ht="45" customHeight="1" x14ac:dyDescent="0.2">
      <c r="A313" s="85" t="s">
        <v>419</v>
      </c>
      <c r="B313" s="85" t="str">
        <f>'дод. 4'!A218</f>
        <v>7660</v>
      </c>
      <c r="C313" s="85" t="str">
        <f>'дод. 4'!B218</f>
        <v>0490</v>
      </c>
      <c r="D313" s="103" t="str">
        <f>'дод. 4'!C218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13" s="77">
        <f>F313+I313</f>
        <v>0</v>
      </c>
      <c r="F313" s="77"/>
      <c r="G313" s="77"/>
      <c r="H313" s="77"/>
      <c r="I313" s="77"/>
      <c r="J313" s="77">
        <f>K313+N313</f>
        <v>25000</v>
      </c>
      <c r="K313" s="77"/>
      <c r="L313" s="77"/>
      <c r="M313" s="77"/>
      <c r="N313" s="77">
        <v>25000</v>
      </c>
      <c r="O313" s="77">
        <v>25000</v>
      </c>
      <c r="P313" s="77">
        <f>E313+J313</f>
        <v>25000</v>
      </c>
      <c r="Q313" s="266"/>
      <c r="R313" s="153"/>
      <c r="S313" s="153"/>
      <c r="T313" s="153"/>
    </row>
    <row r="314" spans="1:20" s="4" customFormat="1" ht="22.5" customHeight="1" x14ac:dyDescent="0.2">
      <c r="A314" s="85" t="s">
        <v>411</v>
      </c>
      <c r="B314" s="85" t="str">
        <f>'дод. 4'!A221</f>
        <v>7690</v>
      </c>
      <c r="C314" s="85">
        <f>'дод. 4'!B221</f>
        <v>0</v>
      </c>
      <c r="D314" s="103" t="str">
        <f>'дод. 4'!C221</f>
        <v>Інша економічна діяльність</v>
      </c>
      <c r="E314" s="77">
        <f>E315</f>
        <v>731906</v>
      </c>
      <c r="F314" s="77">
        <f t="shared" ref="F314:P314" si="110">F315</f>
        <v>731906</v>
      </c>
      <c r="G314" s="77">
        <f t="shared" si="110"/>
        <v>0</v>
      </c>
      <c r="H314" s="77">
        <f t="shared" si="110"/>
        <v>78316.649999999994</v>
      </c>
      <c r="I314" s="77">
        <f t="shared" si="110"/>
        <v>0</v>
      </c>
      <c r="J314" s="77">
        <f t="shared" si="110"/>
        <v>0</v>
      </c>
      <c r="K314" s="77">
        <f t="shared" si="110"/>
        <v>0</v>
      </c>
      <c r="L314" s="77">
        <f t="shared" si="110"/>
        <v>0</v>
      </c>
      <c r="M314" s="77">
        <f t="shared" si="110"/>
        <v>0</v>
      </c>
      <c r="N314" s="77">
        <f t="shared" si="110"/>
        <v>0</v>
      </c>
      <c r="O314" s="77">
        <f t="shared" si="110"/>
        <v>0</v>
      </c>
      <c r="P314" s="77">
        <f t="shared" si="110"/>
        <v>731906</v>
      </c>
      <c r="Q314" s="266"/>
      <c r="R314" s="154">
        <f>R315</f>
        <v>0</v>
      </c>
      <c r="S314" s="154">
        <f>S315</f>
        <v>0</v>
      </c>
      <c r="T314" s="154"/>
    </row>
    <row r="315" spans="1:20" s="110" customFormat="1" ht="23.25" customHeight="1" x14ac:dyDescent="0.2">
      <c r="A315" s="111" t="s">
        <v>412</v>
      </c>
      <c r="B315" s="111" t="str">
        <f>'дод. 4'!A223</f>
        <v>7693</v>
      </c>
      <c r="C315" s="111" t="str">
        <f>'дод. 4'!B223</f>
        <v>0490</v>
      </c>
      <c r="D315" s="112" t="str">
        <f>'дод. 4'!C223</f>
        <v>Інші заходи, пов'язані з економічною діяльністю</v>
      </c>
      <c r="E315" s="80">
        <f>F315+I315</f>
        <v>731906</v>
      </c>
      <c r="F315" s="80">
        <f>642000+89906</f>
        <v>731906</v>
      </c>
      <c r="G315" s="80"/>
      <c r="H315" s="80">
        <v>78316.649999999994</v>
      </c>
      <c r="I315" s="80"/>
      <c r="J315" s="80">
        <f>K315+N315</f>
        <v>0</v>
      </c>
      <c r="K315" s="80"/>
      <c r="L315" s="80"/>
      <c r="M315" s="80"/>
      <c r="N315" s="80"/>
      <c r="O315" s="80"/>
      <c r="P315" s="80">
        <f>E315+J315</f>
        <v>731906</v>
      </c>
      <c r="Q315" s="266"/>
      <c r="R315" s="155"/>
      <c r="S315" s="155"/>
      <c r="T315" s="155"/>
    </row>
    <row r="316" spans="1:20" s="4" customFormat="1" ht="55.5" customHeight="1" x14ac:dyDescent="0.2">
      <c r="A316" s="85" t="s">
        <v>597</v>
      </c>
      <c r="B316" s="210" t="str">
        <f>'дод. 4'!A248</f>
        <v>9800</v>
      </c>
      <c r="C316" s="210" t="str">
        <f>'дод. 4'!B248</f>
        <v>0180</v>
      </c>
      <c r="D316" s="105" t="str">
        <f>'дод. 4'!C248</f>
        <v xml:space="preserve">Субвенція з місцевого бюджету державному бюджету на виконання програм соціально-економічного розвитку регіонів </v>
      </c>
      <c r="E316" s="77">
        <f>F316+I316</f>
        <v>20000</v>
      </c>
      <c r="F316" s="77">
        <v>20000</v>
      </c>
      <c r="G316" s="77"/>
      <c r="H316" s="77"/>
      <c r="I316" s="77"/>
      <c r="J316" s="77">
        <f>K316+N316</f>
        <v>179000</v>
      </c>
      <c r="K316" s="77"/>
      <c r="L316" s="77"/>
      <c r="M316" s="77"/>
      <c r="N316" s="77">
        <v>179000</v>
      </c>
      <c r="O316" s="77">
        <v>179000</v>
      </c>
      <c r="P316" s="77">
        <f>E316+J316</f>
        <v>199000</v>
      </c>
      <c r="Q316" s="266"/>
      <c r="R316" s="153"/>
      <c r="S316" s="153"/>
      <c r="T316" s="153"/>
    </row>
    <row r="317" spans="1:20" s="107" customFormat="1" ht="31.9" customHeight="1" x14ac:dyDescent="0.2">
      <c r="A317" s="106" t="s">
        <v>347</v>
      </c>
      <c r="B317" s="36"/>
      <c r="C317" s="36"/>
      <c r="D317" s="35" t="s">
        <v>350</v>
      </c>
      <c r="E317" s="46">
        <f>E318</f>
        <v>373312.49</v>
      </c>
      <c r="F317" s="46">
        <f t="shared" ref="F317:P318" si="111">F318</f>
        <v>373312.49</v>
      </c>
      <c r="G317" s="46">
        <f t="shared" si="111"/>
        <v>305993.63</v>
      </c>
      <c r="H317" s="46">
        <f t="shared" si="111"/>
        <v>0</v>
      </c>
      <c r="I317" s="46">
        <f t="shared" si="111"/>
        <v>0</v>
      </c>
      <c r="J317" s="46">
        <f t="shared" si="111"/>
        <v>0</v>
      </c>
      <c r="K317" s="46">
        <f t="shared" si="111"/>
        <v>0</v>
      </c>
      <c r="L317" s="46">
        <f t="shared" si="111"/>
        <v>0</v>
      </c>
      <c r="M317" s="46">
        <f t="shared" si="111"/>
        <v>0</v>
      </c>
      <c r="N317" s="46">
        <f t="shared" si="111"/>
        <v>0</v>
      </c>
      <c r="O317" s="46">
        <f t="shared" si="111"/>
        <v>0</v>
      </c>
      <c r="P317" s="46">
        <f t="shared" si="111"/>
        <v>373312.49</v>
      </c>
      <c r="Q317" s="266"/>
      <c r="R317" s="151">
        <f>R319</f>
        <v>0</v>
      </c>
      <c r="S317" s="151">
        <f>S319</f>
        <v>0</v>
      </c>
      <c r="T317" s="151">
        <f>T319</f>
        <v>0</v>
      </c>
    </row>
    <row r="318" spans="1:20" s="109" customFormat="1" ht="36.75" customHeight="1" x14ac:dyDescent="0.2">
      <c r="A318" s="108" t="s">
        <v>348</v>
      </c>
      <c r="B318" s="119"/>
      <c r="C318" s="119"/>
      <c r="D318" s="118" t="s">
        <v>350</v>
      </c>
      <c r="E318" s="74">
        <f>E319</f>
        <v>373312.49</v>
      </c>
      <c r="F318" s="74">
        <f t="shared" si="111"/>
        <v>373312.49</v>
      </c>
      <c r="G318" s="74">
        <f t="shared" si="111"/>
        <v>305993.63</v>
      </c>
      <c r="H318" s="74">
        <f t="shared" si="111"/>
        <v>0</v>
      </c>
      <c r="I318" s="74">
        <f t="shared" si="111"/>
        <v>0</v>
      </c>
      <c r="J318" s="74">
        <f t="shared" si="111"/>
        <v>0</v>
      </c>
      <c r="K318" s="74">
        <f t="shared" si="111"/>
        <v>0</v>
      </c>
      <c r="L318" s="74">
        <f t="shared" si="111"/>
        <v>0</v>
      </c>
      <c r="M318" s="74">
        <f t="shared" si="111"/>
        <v>0</v>
      </c>
      <c r="N318" s="74">
        <f t="shared" si="111"/>
        <v>0</v>
      </c>
      <c r="O318" s="74">
        <f t="shared" si="111"/>
        <v>0</v>
      </c>
      <c r="P318" s="74">
        <f t="shared" si="111"/>
        <v>373312.49</v>
      </c>
      <c r="Q318" s="266"/>
      <c r="R318" s="160">
        <f>R319</f>
        <v>0</v>
      </c>
      <c r="S318" s="160">
        <f>S319</f>
        <v>0</v>
      </c>
      <c r="T318" s="160">
        <f>T319</f>
        <v>0</v>
      </c>
    </row>
    <row r="319" spans="1:20" s="4" customFormat="1" ht="45" x14ac:dyDescent="0.2">
      <c r="A319" s="75" t="s">
        <v>349</v>
      </c>
      <c r="B319" s="75" t="str">
        <f>'дод. 4'!A12</f>
        <v>0160</v>
      </c>
      <c r="C319" s="75" t="str">
        <f>'дод. 4'!B12</f>
        <v>0111</v>
      </c>
      <c r="D319" s="76" t="str">
        <f>'дод. 4'!C12</f>
        <v>Керівництво і управління у відповідній сфері у містах (місті Києві), селищах, селах, об’єднаних територіальних громадах</v>
      </c>
      <c r="E319" s="77">
        <f>F319+I319</f>
        <v>373312.49</v>
      </c>
      <c r="F319" s="77">
        <f>146700+85670+140942.49</f>
        <v>373312.49</v>
      </c>
      <c r="G319" s="77">
        <f>120245+70222+115526.63</f>
        <v>305993.63</v>
      </c>
      <c r="H319" s="77"/>
      <c r="I319" s="77"/>
      <c r="J319" s="77">
        <f>K319+N319</f>
        <v>0</v>
      </c>
      <c r="K319" s="77"/>
      <c r="L319" s="77"/>
      <c r="M319" s="77"/>
      <c r="N319" s="77"/>
      <c r="O319" s="77"/>
      <c r="P319" s="77">
        <f>E319+J319</f>
        <v>373312.49</v>
      </c>
      <c r="Q319" s="266"/>
      <c r="R319" s="153"/>
      <c r="S319" s="153"/>
      <c r="T319" s="153"/>
    </row>
    <row r="320" spans="1:20" s="107" customFormat="1" ht="33" customHeight="1" x14ac:dyDescent="0.2">
      <c r="A320" s="106" t="s">
        <v>342</v>
      </c>
      <c r="B320" s="36"/>
      <c r="C320" s="36"/>
      <c r="D320" s="35" t="s">
        <v>73</v>
      </c>
      <c r="E320" s="46">
        <f>E321</f>
        <v>110197748.47999999</v>
      </c>
      <c r="F320" s="46">
        <f>F321</f>
        <v>104430495.41</v>
      </c>
      <c r="G320" s="46">
        <f t="shared" ref="G320:P320" si="112">G321</f>
        <v>13148077</v>
      </c>
      <c r="H320" s="46">
        <f t="shared" si="112"/>
        <v>193507</v>
      </c>
      <c r="I320" s="46">
        <f t="shared" si="112"/>
        <v>0</v>
      </c>
      <c r="J320" s="46">
        <f t="shared" si="112"/>
        <v>4633800</v>
      </c>
      <c r="K320" s="46">
        <f t="shared" si="112"/>
        <v>4020000</v>
      </c>
      <c r="L320" s="46">
        <f t="shared" si="112"/>
        <v>0</v>
      </c>
      <c r="M320" s="46">
        <f t="shared" si="112"/>
        <v>0</v>
      </c>
      <c r="N320" s="46">
        <f t="shared" si="112"/>
        <v>613800</v>
      </c>
      <c r="O320" s="46">
        <f t="shared" si="112"/>
        <v>613800</v>
      </c>
      <c r="P320" s="46">
        <f t="shared" si="112"/>
        <v>114831548.47999999</v>
      </c>
      <c r="Q320" s="266"/>
      <c r="R320" s="151"/>
      <c r="S320" s="151"/>
      <c r="T320" s="151"/>
    </row>
    <row r="321" spans="1:25" s="109" customFormat="1" ht="30.75" customHeight="1" x14ac:dyDescent="0.2">
      <c r="A321" s="108" t="s">
        <v>343</v>
      </c>
      <c r="B321" s="119"/>
      <c r="C321" s="119"/>
      <c r="D321" s="118" t="s">
        <v>73</v>
      </c>
      <c r="E321" s="74">
        <f>E323+E324+E325+E326+E327+E328+E329+E331</f>
        <v>110197748.47999999</v>
      </c>
      <c r="F321" s="74">
        <f>F323+F324+F325+F326+F327+F328+F329+F331</f>
        <v>104430495.41</v>
      </c>
      <c r="G321" s="74">
        <f>G323+G324+G325+G326+G327+G328+G329+G331</f>
        <v>13148077</v>
      </c>
      <c r="H321" s="74">
        <f t="shared" ref="H321:P321" si="113">H323+H324+H325+H326+H327+H328+H329+H331</f>
        <v>193507</v>
      </c>
      <c r="I321" s="74">
        <f t="shared" si="113"/>
        <v>0</v>
      </c>
      <c r="J321" s="74">
        <f t="shared" si="113"/>
        <v>4633800</v>
      </c>
      <c r="K321" s="74">
        <f t="shared" si="113"/>
        <v>4020000</v>
      </c>
      <c r="L321" s="74">
        <f t="shared" si="113"/>
        <v>0</v>
      </c>
      <c r="M321" s="74">
        <f t="shared" si="113"/>
        <v>0</v>
      </c>
      <c r="N321" s="74">
        <f t="shared" si="113"/>
        <v>613800</v>
      </c>
      <c r="O321" s="74">
        <f t="shared" si="113"/>
        <v>613800</v>
      </c>
      <c r="P321" s="74">
        <f t="shared" si="113"/>
        <v>114831548.47999999</v>
      </c>
      <c r="Q321" s="266"/>
      <c r="R321" s="157"/>
      <c r="S321" s="157"/>
      <c r="T321" s="157"/>
    </row>
    <row r="322" spans="1:25" s="109" customFormat="1" ht="19.899999999999999" customHeight="1" x14ac:dyDescent="0.2">
      <c r="A322" s="108"/>
      <c r="B322" s="119"/>
      <c r="C322" s="119"/>
      <c r="D322" s="79" t="s">
        <v>416</v>
      </c>
      <c r="E322" s="74"/>
      <c r="F322" s="74"/>
      <c r="G322" s="74"/>
      <c r="H322" s="74"/>
      <c r="I322" s="74"/>
      <c r="J322" s="74">
        <v>4000000</v>
      </c>
      <c r="K322" s="74">
        <v>4000000</v>
      </c>
      <c r="L322" s="74"/>
      <c r="M322" s="74"/>
      <c r="N322" s="74"/>
      <c r="O322" s="74"/>
      <c r="P322" s="74">
        <f>J322+E322</f>
        <v>4000000</v>
      </c>
      <c r="Q322" s="266"/>
      <c r="R322" s="157"/>
      <c r="S322" s="157"/>
      <c r="T322" s="157"/>
    </row>
    <row r="323" spans="1:25" s="4" customFormat="1" ht="45" x14ac:dyDescent="0.2">
      <c r="A323" s="75" t="s">
        <v>344</v>
      </c>
      <c r="B323" s="75" t="str">
        <f>'дод. 4'!A12</f>
        <v>0160</v>
      </c>
      <c r="C323" s="75" t="str">
        <f>'дод. 4'!B12</f>
        <v>0111</v>
      </c>
      <c r="D323" s="82" t="str">
        <f>'дод. 4'!C12</f>
        <v>Керівництво і управління у відповідній сфері у містах (місті Києві), селищах, селах, об’єднаних територіальних громадах</v>
      </c>
      <c r="E323" s="77">
        <f>F323+I323</f>
        <v>16861043</v>
      </c>
      <c r="F323" s="77">
        <f>16667200-105600+267991+21600+9852</f>
        <v>16861043</v>
      </c>
      <c r="G323" s="77">
        <f>12928412+219665</f>
        <v>13148077</v>
      </c>
      <c r="H323" s="77">
        <f>183655+9852</f>
        <v>193507</v>
      </c>
      <c r="I323" s="77"/>
      <c r="J323" s="77">
        <f t="shared" ref="J323:J331" si="114">K323+N323</f>
        <v>61000</v>
      </c>
      <c r="K323" s="77"/>
      <c r="L323" s="77"/>
      <c r="M323" s="77"/>
      <c r="N323" s="77">
        <f>184000-123000</f>
        <v>61000</v>
      </c>
      <c r="O323" s="77">
        <f>184000-123000</f>
        <v>61000</v>
      </c>
      <c r="P323" s="77">
        <f>E323+J323</f>
        <v>16922043</v>
      </c>
      <c r="Q323" s="266"/>
      <c r="R323" s="153"/>
      <c r="S323" s="153"/>
      <c r="T323" s="153"/>
    </row>
    <row r="324" spans="1:25" s="4" customFormat="1" ht="23.25" customHeight="1" x14ac:dyDescent="0.2">
      <c r="A324" s="75" t="s">
        <v>403</v>
      </c>
      <c r="B324" s="75" t="str">
        <f>'дод. 4'!A216</f>
        <v>7640</v>
      </c>
      <c r="C324" s="75" t="str">
        <f>'дод. 4'!B216</f>
        <v>0470</v>
      </c>
      <c r="D324" s="102" t="str">
        <f>'дод. 4'!C216</f>
        <v>Заходи з енергозбереження</v>
      </c>
      <c r="E324" s="77">
        <f>F324+I324</f>
        <v>75000</v>
      </c>
      <c r="F324" s="77">
        <v>75000</v>
      </c>
      <c r="G324" s="77"/>
      <c r="H324" s="77"/>
      <c r="I324" s="77"/>
      <c r="J324" s="77">
        <f>K324+N324</f>
        <v>0</v>
      </c>
      <c r="K324" s="77"/>
      <c r="L324" s="77"/>
      <c r="M324" s="77"/>
      <c r="N324" s="77"/>
      <c r="O324" s="77"/>
      <c r="P324" s="77">
        <f t="shared" ref="P324:P331" si="115">E324+J324</f>
        <v>75000</v>
      </c>
      <c r="Q324" s="266"/>
      <c r="R324" s="153"/>
      <c r="S324" s="153"/>
      <c r="T324" s="153"/>
    </row>
    <row r="325" spans="1:25" s="4" customFormat="1" ht="27" customHeight="1" x14ac:dyDescent="0.2">
      <c r="A325" s="75" t="s">
        <v>345</v>
      </c>
      <c r="B325" s="75" t="str">
        <f>'дод. 4'!A232</f>
        <v>8340</v>
      </c>
      <c r="C325" s="75" t="str">
        <f>'дод. 4'!B232</f>
        <v>0540</v>
      </c>
      <c r="D325" s="102" t="str">
        <f>'дод. 4'!C232</f>
        <v>Природоохоронні заходи за рахунок цільових фондів</v>
      </c>
      <c r="E325" s="77">
        <f>F325+I325</f>
        <v>0</v>
      </c>
      <c r="F325" s="77"/>
      <c r="G325" s="77"/>
      <c r="H325" s="77"/>
      <c r="I325" s="77"/>
      <c r="J325" s="77">
        <f t="shared" si="114"/>
        <v>20000</v>
      </c>
      <c r="K325" s="77">
        <v>20000</v>
      </c>
      <c r="L325" s="77"/>
      <c r="M325" s="77"/>
      <c r="N325" s="77"/>
      <c r="O325" s="77"/>
      <c r="P325" s="77">
        <f t="shared" si="115"/>
        <v>20000</v>
      </c>
      <c r="Q325" s="266"/>
      <c r="R325" s="153"/>
      <c r="S325" s="153"/>
      <c r="T325" s="153"/>
    </row>
    <row r="326" spans="1:25" s="4" customFormat="1" ht="22.5" customHeight="1" x14ac:dyDescent="0.2">
      <c r="A326" s="75" t="s">
        <v>346</v>
      </c>
      <c r="B326" s="75" t="str">
        <f>'дод. 4'!A235</f>
        <v>8600</v>
      </c>
      <c r="C326" s="75" t="str">
        <f>'дод. 4'!B235</f>
        <v>0170</v>
      </c>
      <c r="D326" s="102" t="str">
        <f>'дод. 4'!C235</f>
        <v>Обслуговування місцевого боргу</v>
      </c>
      <c r="E326" s="77">
        <f>F326+I326</f>
        <v>177952.41</v>
      </c>
      <c r="F326" s="77">
        <f>180850-2897.59</f>
        <v>177952.41</v>
      </c>
      <c r="G326" s="77"/>
      <c r="H326" s="77"/>
      <c r="I326" s="77"/>
      <c r="J326" s="77">
        <f t="shared" si="114"/>
        <v>0</v>
      </c>
      <c r="K326" s="77"/>
      <c r="L326" s="77"/>
      <c r="M326" s="77"/>
      <c r="N326" s="77"/>
      <c r="O326" s="77"/>
      <c r="P326" s="77">
        <f t="shared" si="115"/>
        <v>177952.41</v>
      </c>
      <c r="Q326" s="266"/>
      <c r="R326" s="153"/>
      <c r="S326" s="153"/>
      <c r="T326" s="153"/>
    </row>
    <row r="327" spans="1:25" s="4" customFormat="1" ht="21" customHeight="1" x14ac:dyDescent="0.2">
      <c r="A327" s="75" t="s">
        <v>374</v>
      </c>
      <c r="B327" s="75" t="str">
        <f>'дод. 4'!A236</f>
        <v>8700</v>
      </c>
      <c r="C327" s="75" t="str">
        <f>'дод. 4'!B236</f>
        <v>0133</v>
      </c>
      <c r="D327" s="102" t="str">
        <f>'дод. 4'!C236</f>
        <v>Резервний фонд</v>
      </c>
      <c r="E327" s="77">
        <f>15430600-500000-700000-211500+200000+41298+669995.82-6700-262200-22626-43510-50000-50000-30100+313616-175000-500000+42959.44+25000+13710+15100+55000-6102960.7-800000-2000000-150000+9000000-7500-100000-201950-426739+17520+3000-10000000-800+164894-7330-85670-86000-25000-215854.49+2536000</f>
        <v>5767253.0699999984</v>
      </c>
      <c r="F327" s="77"/>
      <c r="G327" s="77"/>
      <c r="H327" s="77"/>
      <c r="I327" s="77"/>
      <c r="J327" s="77">
        <f t="shared" si="114"/>
        <v>0</v>
      </c>
      <c r="K327" s="77"/>
      <c r="L327" s="77"/>
      <c r="M327" s="77"/>
      <c r="N327" s="77"/>
      <c r="O327" s="77"/>
      <c r="P327" s="77">
        <f t="shared" si="115"/>
        <v>5767253.0699999984</v>
      </c>
      <c r="Q327" s="266"/>
      <c r="R327" s="153"/>
      <c r="S327" s="153"/>
      <c r="T327" s="153"/>
    </row>
    <row r="328" spans="1:25" s="4" customFormat="1" ht="21.75" customHeight="1" x14ac:dyDescent="0.2">
      <c r="A328" s="75" t="s">
        <v>375</v>
      </c>
      <c r="B328" s="75" t="str">
        <f>'дод. 4'!A240</f>
        <v>9110</v>
      </c>
      <c r="C328" s="75" t="str">
        <f>'дод. 4'!B240</f>
        <v>0180</v>
      </c>
      <c r="D328" s="102" t="str">
        <f>'дод. 4'!C240</f>
        <v>Реверсна дотація</v>
      </c>
      <c r="E328" s="77">
        <f>F328+I328</f>
        <v>87299600</v>
      </c>
      <c r="F328" s="77">
        <v>87299600</v>
      </c>
      <c r="G328" s="77"/>
      <c r="H328" s="77"/>
      <c r="I328" s="77"/>
      <c r="J328" s="77">
        <f t="shared" si="114"/>
        <v>0</v>
      </c>
      <c r="K328" s="77"/>
      <c r="L328" s="77"/>
      <c r="M328" s="77"/>
      <c r="N328" s="77"/>
      <c r="O328" s="77"/>
      <c r="P328" s="77">
        <f t="shared" si="115"/>
        <v>87299600</v>
      </c>
      <c r="Q328" s="266"/>
      <c r="R328" s="153"/>
      <c r="S328" s="153"/>
      <c r="T328" s="153"/>
    </row>
    <row r="329" spans="1:25" s="4" customFormat="1" ht="89.25" customHeight="1" x14ac:dyDescent="0.2">
      <c r="A329" s="75" t="s">
        <v>649</v>
      </c>
      <c r="B329" s="75" t="s">
        <v>651</v>
      </c>
      <c r="C329" s="75" t="s">
        <v>78</v>
      </c>
      <c r="D329" s="246" t="s">
        <v>650</v>
      </c>
      <c r="E329" s="77">
        <f>F329+I329</f>
        <v>0</v>
      </c>
      <c r="F329" s="77"/>
      <c r="G329" s="77"/>
      <c r="H329" s="77"/>
      <c r="I329" s="77"/>
      <c r="J329" s="77">
        <f>K329+N329</f>
        <v>4000000</v>
      </c>
      <c r="K329" s="77">
        <v>4000000</v>
      </c>
      <c r="L329" s="77"/>
      <c r="M329" s="77"/>
      <c r="N329" s="77"/>
      <c r="O329" s="77"/>
      <c r="P329" s="77">
        <f t="shared" si="115"/>
        <v>4000000</v>
      </c>
      <c r="Q329" s="266"/>
      <c r="R329" s="171"/>
      <c r="S329" s="171"/>
      <c r="T329" s="171"/>
    </row>
    <row r="330" spans="1:25" s="4" customFormat="1" ht="24" customHeight="1" x14ac:dyDescent="0.2">
      <c r="A330" s="75"/>
      <c r="B330" s="75"/>
      <c r="C330" s="75"/>
      <c r="D330" s="79" t="s">
        <v>416</v>
      </c>
      <c r="E330" s="77"/>
      <c r="F330" s="77"/>
      <c r="G330" s="77"/>
      <c r="H330" s="77"/>
      <c r="I330" s="77"/>
      <c r="J330" s="77">
        <v>4000000</v>
      </c>
      <c r="K330" s="77">
        <v>4000000</v>
      </c>
      <c r="L330" s="77"/>
      <c r="M330" s="77"/>
      <c r="N330" s="77"/>
      <c r="O330" s="77"/>
      <c r="P330" s="77">
        <f>J330+E330</f>
        <v>4000000</v>
      </c>
      <c r="Q330" s="266"/>
      <c r="R330" s="171"/>
      <c r="S330" s="171"/>
      <c r="T330" s="171"/>
    </row>
    <row r="331" spans="1:25" s="4" customFormat="1" ht="21.75" customHeight="1" x14ac:dyDescent="0.2">
      <c r="A331" s="75" t="s">
        <v>500</v>
      </c>
      <c r="B331" s="75" t="str">
        <f>'дод. 4'!A246</f>
        <v>9770</v>
      </c>
      <c r="C331" s="75" t="str">
        <f>'дод. 4'!B246</f>
        <v>0180</v>
      </c>
      <c r="D331" s="102" t="str">
        <f>'дод. 4'!C246</f>
        <v xml:space="preserve">Інші субвенції з місцевого бюджету </v>
      </c>
      <c r="E331" s="77">
        <f>F331+I331</f>
        <v>16900</v>
      </c>
      <c r="F331" s="77">
        <f>4900+12000</f>
        <v>16900</v>
      </c>
      <c r="G331" s="77"/>
      <c r="H331" s="77"/>
      <c r="I331" s="77"/>
      <c r="J331" s="77">
        <f t="shared" si="114"/>
        <v>552800</v>
      </c>
      <c r="K331" s="77"/>
      <c r="L331" s="77"/>
      <c r="M331" s="77"/>
      <c r="N331" s="77">
        <f>500000+14800+38000</f>
        <v>552800</v>
      </c>
      <c r="O331" s="77">
        <f>500000+14800+38000</f>
        <v>552800</v>
      </c>
      <c r="P331" s="77">
        <f t="shared" si="115"/>
        <v>569700</v>
      </c>
      <c r="Q331" s="267">
        <v>36</v>
      </c>
      <c r="R331" s="153"/>
      <c r="S331" s="153"/>
      <c r="T331" s="153"/>
    </row>
    <row r="332" spans="1:25" s="107" customFormat="1" ht="20.25" customHeight="1" x14ac:dyDescent="0.2">
      <c r="A332" s="37"/>
      <c r="B332" s="36"/>
      <c r="C332" s="36"/>
      <c r="D332" s="35" t="s">
        <v>39</v>
      </c>
      <c r="E332" s="46">
        <f>E11+E60+E93+E130+E210+E218+E232+E265+E269+E297+E304+E307+E317+E320</f>
        <v>2950998154.2599998</v>
      </c>
      <c r="F332" s="46">
        <f t="shared" ref="F332:P332" si="116">F11+F60+F93+F130+F210+F218+F232+F265+F269+F297+F304+F307+F317+F320</f>
        <v>2892929052.6899996</v>
      </c>
      <c r="G332" s="46">
        <f t="shared" si="116"/>
        <v>673264046.73000002</v>
      </c>
      <c r="H332" s="46">
        <f t="shared" si="116"/>
        <v>100370595.65000001</v>
      </c>
      <c r="I332" s="46">
        <f t="shared" si="116"/>
        <v>52301848.5</v>
      </c>
      <c r="J332" s="46">
        <f t="shared" si="116"/>
        <v>657335254.05000007</v>
      </c>
      <c r="K332" s="46">
        <f t="shared" si="116"/>
        <v>89352387.859999999</v>
      </c>
      <c r="L332" s="46">
        <f t="shared" si="116"/>
        <v>6315206</v>
      </c>
      <c r="M332" s="46">
        <f t="shared" si="116"/>
        <v>2472134</v>
      </c>
      <c r="N332" s="46">
        <f t="shared" si="116"/>
        <v>567982866.19000006</v>
      </c>
      <c r="O332" s="46">
        <f t="shared" si="116"/>
        <v>515026245.63999999</v>
      </c>
      <c r="P332" s="46">
        <f t="shared" si="116"/>
        <v>3608333408.3099999</v>
      </c>
      <c r="Q332" s="267"/>
      <c r="R332" s="151">
        <f>P332-E332-J332</f>
        <v>0</v>
      </c>
      <c r="S332" s="151"/>
      <c r="T332" s="151"/>
    </row>
    <row r="333" spans="1:25" s="107" customFormat="1" ht="27.75" customHeight="1" x14ac:dyDescent="0.2">
      <c r="A333" s="37"/>
      <c r="B333" s="36"/>
      <c r="C333" s="36"/>
      <c r="D333" s="35" t="s">
        <v>416</v>
      </c>
      <c r="E333" s="46">
        <f>E62+E95+E132+E234+E271</f>
        <v>1651182512.9000001</v>
      </c>
      <c r="F333" s="46">
        <f>F62+F95+F132+F234+F271</f>
        <v>1651182512.9000001</v>
      </c>
      <c r="G333" s="46">
        <f>G62+G95+G132+G234+G271</f>
        <v>213388985</v>
      </c>
      <c r="H333" s="46">
        <f>H62+H95+H132+H234+H271</f>
        <v>0</v>
      </c>
      <c r="I333" s="46">
        <f>I62+I95+I132+I234+I271</f>
        <v>0</v>
      </c>
      <c r="J333" s="46">
        <f>J62+J95+J132+J234+J271+J329+J217+J220</f>
        <v>103346733.02000001</v>
      </c>
      <c r="K333" s="46">
        <f t="shared" ref="K333:P333" si="117">K62+K95+K132+K234+K271+K329+K217+K220</f>
        <v>15900000</v>
      </c>
      <c r="L333" s="46">
        <f t="shared" si="117"/>
        <v>0</v>
      </c>
      <c r="M333" s="46">
        <f t="shared" si="117"/>
        <v>0</v>
      </c>
      <c r="N333" s="46">
        <f t="shared" si="117"/>
        <v>87446733.020000011</v>
      </c>
      <c r="O333" s="46">
        <f t="shared" si="117"/>
        <v>41161369.970000006</v>
      </c>
      <c r="P333" s="46">
        <f t="shared" si="117"/>
        <v>1754529245.9200001</v>
      </c>
      <c r="Q333" s="267"/>
      <c r="R333" s="91"/>
      <c r="S333" s="91"/>
      <c r="T333" s="91"/>
    </row>
    <row r="334" spans="1:25" s="163" customFormat="1" ht="36.75" customHeight="1" x14ac:dyDescent="0.2">
      <c r="A334" s="92"/>
      <c r="B334" s="89"/>
      <c r="C334" s="89"/>
      <c r="D334" s="90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267"/>
    </row>
    <row r="335" spans="1:25" s="33" customFormat="1" ht="27.75" customHeight="1" x14ac:dyDescent="0.2">
      <c r="A335" s="276"/>
      <c r="B335" s="277"/>
      <c r="C335" s="277"/>
      <c r="D335" s="220"/>
      <c r="E335" s="195"/>
      <c r="F335" s="195"/>
      <c r="G335" s="195"/>
      <c r="H335" s="195"/>
      <c r="I335" s="195"/>
      <c r="J335" s="195"/>
      <c r="K335" s="195"/>
      <c r="L335" s="195"/>
      <c r="M335" s="219"/>
      <c r="N335" s="198"/>
      <c r="O335" s="234"/>
      <c r="P335" s="236"/>
      <c r="Q335" s="267"/>
      <c r="R335" s="236"/>
      <c r="S335" s="236"/>
      <c r="T335" s="91"/>
      <c r="U335" s="91"/>
      <c r="V335" s="235"/>
      <c r="W335" s="91">
        <f>W333-'дод. 4'!AL250</f>
        <v>0</v>
      </c>
      <c r="X335" s="91">
        <f>X333-'дод. 4'!AM250</f>
        <v>0</v>
      </c>
      <c r="Y335" s="91">
        <f>Y333-'дод. 4'!AN250</f>
        <v>0</v>
      </c>
    </row>
    <row r="336" spans="1:25" s="4" customFormat="1" ht="42.75" customHeight="1" x14ac:dyDescent="0.2">
      <c r="A336" s="276"/>
      <c r="B336" s="277"/>
      <c r="C336" s="277"/>
      <c r="D336" s="220"/>
      <c r="E336" s="257"/>
      <c r="F336" s="257"/>
      <c r="G336" s="257"/>
      <c r="H336" s="257"/>
      <c r="I336" s="257"/>
      <c r="J336" s="257"/>
      <c r="K336" s="257"/>
      <c r="L336" s="257"/>
      <c r="M336" s="219"/>
      <c r="N336" s="198"/>
      <c r="O336" s="198"/>
      <c r="P336" s="253"/>
      <c r="Q336" s="267"/>
      <c r="R336" s="237"/>
      <c r="S336" s="237"/>
      <c r="T336" s="238"/>
      <c r="U336" s="238"/>
      <c r="V336" s="235"/>
    </row>
    <row r="337" spans="1:22" ht="32.25" customHeight="1" x14ac:dyDescent="0.4">
      <c r="A337" s="261" t="s">
        <v>674</v>
      </c>
      <c r="B337" s="217"/>
      <c r="C337" s="217"/>
      <c r="D337" s="217"/>
      <c r="E337" s="217"/>
      <c r="F337" s="217"/>
      <c r="G337" s="217"/>
      <c r="H337" s="217"/>
      <c r="I337" s="257"/>
      <c r="J337" s="257"/>
      <c r="K337" s="197"/>
      <c r="L337" s="257"/>
      <c r="M337" s="198"/>
      <c r="N337" s="262" t="s">
        <v>676</v>
      </c>
      <c r="O337" s="198"/>
      <c r="P337" s="239"/>
      <c r="Q337" s="267"/>
      <c r="R337" s="240"/>
      <c r="S337" s="240"/>
      <c r="T337" s="238"/>
      <c r="U337" s="238"/>
      <c r="V337" s="235"/>
    </row>
    <row r="338" spans="1:22" s="126" customFormat="1" ht="36" customHeight="1" x14ac:dyDescent="0.4">
      <c r="A338" s="281" t="s">
        <v>675</v>
      </c>
      <c r="B338" s="281"/>
      <c r="C338" s="281"/>
      <c r="D338" s="199"/>
      <c r="E338" s="140"/>
      <c r="F338" s="140"/>
      <c r="G338" s="140"/>
      <c r="H338" s="140"/>
      <c r="I338" s="140"/>
      <c r="J338" s="140"/>
      <c r="K338" s="140"/>
      <c r="L338" s="140"/>
      <c r="M338" s="140"/>
      <c r="N338" s="140"/>
      <c r="O338" s="198"/>
      <c r="P338" s="72"/>
      <c r="Q338" s="267"/>
      <c r="R338" s="141"/>
      <c r="S338" s="141"/>
      <c r="T338" s="141"/>
    </row>
    <row r="339" spans="1:22" s="126" customFormat="1" ht="22.5" customHeight="1" x14ac:dyDescent="0.4">
      <c r="A339" s="242"/>
      <c r="B339" s="243"/>
      <c r="C339" s="243"/>
      <c r="D339" s="198"/>
      <c r="E339" s="198"/>
      <c r="F339" s="198"/>
      <c r="G339" s="198"/>
      <c r="H339" s="198"/>
      <c r="I339" s="198"/>
      <c r="J339" s="198"/>
      <c r="K339" s="198"/>
      <c r="L339" s="198"/>
      <c r="M339" s="198"/>
      <c r="N339" s="198"/>
      <c r="O339" s="198"/>
      <c r="P339" s="72"/>
      <c r="Q339" s="267"/>
      <c r="R339" s="141"/>
      <c r="S339" s="128"/>
      <c r="T339" s="142"/>
    </row>
    <row r="340" spans="1:22" s="126" customFormat="1" ht="22.5" customHeight="1" x14ac:dyDescent="0.25">
      <c r="A340" s="17"/>
      <c r="B340" s="6"/>
      <c r="C340" s="43"/>
      <c r="D340" s="16"/>
      <c r="E340" s="55">
        <f>E332-'дод. 4'!D249</f>
        <v>0</v>
      </c>
      <c r="F340" s="55">
        <f>F332-'дод. 4'!E249</f>
        <v>0</v>
      </c>
      <c r="G340" s="55">
        <f>G332-'дод. 4'!F249</f>
        <v>0</v>
      </c>
      <c r="H340" s="55">
        <f>H332-'дод. 4'!G249</f>
        <v>0</v>
      </c>
      <c r="I340" s="55">
        <f>I332-'дод. 4'!H249</f>
        <v>0</v>
      </c>
      <c r="J340" s="55">
        <f>J332-'дод. 4'!I249</f>
        <v>0</v>
      </c>
      <c r="K340" s="55">
        <f>K332-'дод. 4'!J249</f>
        <v>0</v>
      </c>
      <c r="L340" s="55">
        <f>L332-'дод. 4'!K249</f>
        <v>0</v>
      </c>
      <c r="M340" s="55">
        <f>M332-'дод. 4'!L249</f>
        <v>0</v>
      </c>
      <c r="N340" s="55">
        <f>N332-'дод. 4'!M249</f>
        <v>0</v>
      </c>
      <c r="O340" s="55">
        <f>O332-'дод. 4'!N249</f>
        <v>0</v>
      </c>
      <c r="P340" s="55">
        <f>P332-'дод. 4'!O249</f>
        <v>0</v>
      </c>
      <c r="Q340" s="267"/>
      <c r="R340" s="141"/>
      <c r="S340" s="128"/>
      <c r="T340" s="142"/>
    </row>
    <row r="341" spans="1:22" s="126" customFormat="1" ht="22.5" customHeight="1" x14ac:dyDescent="0.25">
      <c r="A341" s="61"/>
      <c r="B341" s="62"/>
      <c r="C341" s="62"/>
      <c r="D341" s="205"/>
      <c r="E341" s="55">
        <f>E333-'дод. 4'!D250</f>
        <v>0</v>
      </c>
      <c r="F341" s="55">
        <f>F333-'дод. 4'!E250</f>
        <v>0</v>
      </c>
      <c r="G341" s="55">
        <f>G333-'дод. 4'!F250</f>
        <v>0</v>
      </c>
      <c r="H341" s="55">
        <f>H333-'дод. 4'!G250</f>
        <v>0</v>
      </c>
      <c r="I341" s="55">
        <f>I333-'дод. 4'!H250</f>
        <v>0</v>
      </c>
      <c r="J341" s="55">
        <f>J333-'дод. 4'!I250</f>
        <v>0</v>
      </c>
      <c r="K341" s="55">
        <f>K333-'дод. 4'!J250</f>
        <v>0</v>
      </c>
      <c r="L341" s="55">
        <f>L333-'дод. 4'!K250</f>
        <v>0</v>
      </c>
      <c r="M341" s="55">
        <f>M333-'дод. 4'!L250</f>
        <v>0</v>
      </c>
      <c r="N341" s="55">
        <f>N333-'дод. 4'!M250</f>
        <v>0</v>
      </c>
      <c r="O341" s="55">
        <f>O333-'дод. 4'!N250</f>
        <v>0</v>
      </c>
      <c r="P341" s="55">
        <f>P333-'дод. 4'!O250</f>
        <v>0</v>
      </c>
      <c r="Q341" s="267"/>
      <c r="R341" s="141"/>
      <c r="S341" s="128"/>
      <c r="T341" s="142"/>
    </row>
    <row r="342" spans="1:22" s="126" customFormat="1" ht="22.5" customHeight="1" x14ac:dyDescent="0.25">
      <c r="A342" s="61"/>
      <c r="B342" s="62"/>
      <c r="C342" s="62"/>
      <c r="D342" s="205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72"/>
      <c r="Q342" s="267"/>
      <c r="R342" s="141"/>
      <c r="S342" s="128"/>
      <c r="T342" s="142"/>
    </row>
    <row r="343" spans="1:22" s="126" customFormat="1" ht="22.5" customHeight="1" x14ac:dyDescent="0.25">
      <c r="A343" s="61"/>
      <c r="B343" s="62"/>
      <c r="C343" s="62"/>
      <c r="D343" s="205"/>
      <c r="E343" s="63"/>
      <c r="F343" s="63"/>
      <c r="G343" s="63"/>
      <c r="H343" s="63"/>
      <c r="I343" s="63"/>
      <c r="J343" s="63"/>
      <c r="K343" s="63"/>
      <c r="L343" s="63"/>
      <c r="M343" s="63"/>
      <c r="N343" s="62"/>
      <c r="O343" s="63"/>
      <c r="P343" s="72"/>
      <c r="Q343" s="267"/>
      <c r="R343" s="141"/>
      <c r="S343" s="128"/>
      <c r="T343" s="142"/>
    </row>
    <row r="344" spans="1:22" s="126" customFormat="1" ht="35.25" customHeight="1" x14ac:dyDescent="0.25">
      <c r="A344" s="61"/>
      <c r="B344" s="62"/>
      <c r="C344" s="62"/>
      <c r="D344" s="205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72"/>
      <c r="Q344" s="267"/>
      <c r="R344" s="141"/>
      <c r="T344" s="142"/>
    </row>
    <row r="345" spans="1:22" s="126" customFormat="1" ht="22.5" customHeight="1" x14ac:dyDescent="0.25">
      <c r="A345" s="61"/>
      <c r="B345" s="62"/>
      <c r="C345" s="62"/>
      <c r="D345" s="205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72"/>
      <c r="Q345" s="267"/>
      <c r="R345" s="141"/>
      <c r="S345" s="128"/>
      <c r="T345" s="142"/>
    </row>
    <row r="346" spans="1:22" s="126" customFormat="1" ht="22.5" customHeight="1" x14ac:dyDescent="0.25">
      <c r="A346" s="61"/>
      <c r="B346" s="62"/>
      <c r="C346" s="62"/>
      <c r="D346" s="205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72"/>
      <c r="Q346" s="267"/>
      <c r="R346" s="141"/>
      <c r="S346" s="128"/>
      <c r="T346" s="142"/>
    </row>
    <row r="347" spans="1:22" s="126" customFormat="1" ht="22.5" customHeight="1" x14ac:dyDescent="0.25">
      <c r="A347" s="61"/>
      <c r="B347" s="62"/>
      <c r="C347" s="62"/>
      <c r="D347" s="205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72"/>
      <c r="Q347" s="267"/>
      <c r="R347" s="141"/>
      <c r="S347" s="128"/>
      <c r="T347" s="142"/>
    </row>
    <row r="348" spans="1:22" s="126" customFormat="1" ht="22.5" customHeight="1" x14ac:dyDescent="0.25">
      <c r="A348" s="61"/>
      <c r="B348" s="62"/>
      <c r="C348" s="62"/>
      <c r="D348" s="205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72"/>
      <c r="Q348" s="267"/>
      <c r="R348" s="141"/>
      <c r="S348" s="141"/>
      <c r="T348" s="141"/>
    </row>
    <row r="349" spans="1:22" s="29" customFormat="1" ht="24.75" customHeight="1" x14ac:dyDescent="0.25">
      <c r="A349" s="96"/>
      <c r="B349" s="273"/>
      <c r="C349" s="273"/>
      <c r="D349" s="273"/>
      <c r="E349" s="63"/>
      <c r="F349" s="62"/>
      <c r="G349" s="62"/>
      <c r="H349" s="62"/>
      <c r="I349" s="62"/>
      <c r="J349" s="62"/>
      <c r="K349" s="62"/>
      <c r="L349" s="62"/>
      <c r="M349" s="62"/>
      <c r="N349" s="62"/>
      <c r="O349" s="63"/>
      <c r="P349" s="73"/>
      <c r="Q349" s="267"/>
      <c r="R349" s="141"/>
      <c r="S349" s="141"/>
      <c r="T349" s="141"/>
    </row>
    <row r="350" spans="1:22" s="29" customFormat="1" ht="24.75" customHeight="1" x14ac:dyDescent="0.25">
      <c r="A350" s="96"/>
      <c r="B350" s="71"/>
      <c r="C350" s="71"/>
      <c r="D350" s="71"/>
      <c r="E350" s="63"/>
      <c r="F350" s="62"/>
      <c r="G350" s="62"/>
      <c r="H350" s="62"/>
      <c r="I350" s="62"/>
      <c r="J350" s="62"/>
      <c r="K350" s="62"/>
      <c r="L350" s="62"/>
      <c r="M350" s="62"/>
      <c r="N350" s="62"/>
      <c r="O350" s="63"/>
      <c r="P350" s="73"/>
      <c r="Q350" s="267"/>
      <c r="R350" s="141"/>
      <c r="S350" s="141"/>
      <c r="T350" s="141"/>
    </row>
    <row r="351" spans="1:22" s="29" customFormat="1" ht="24.75" customHeight="1" x14ac:dyDescent="0.25">
      <c r="A351" s="96"/>
      <c r="B351" s="71"/>
      <c r="C351" s="71"/>
      <c r="D351" s="71"/>
      <c r="E351" s="63"/>
      <c r="F351" s="62"/>
      <c r="G351" s="62"/>
      <c r="H351" s="62"/>
      <c r="I351" s="62"/>
      <c r="J351" s="62"/>
      <c r="K351" s="62"/>
      <c r="L351" s="62"/>
      <c r="M351" s="62"/>
      <c r="N351" s="62"/>
      <c r="O351" s="63"/>
      <c r="P351" s="73"/>
      <c r="Q351" s="267"/>
      <c r="R351" s="141"/>
      <c r="S351" s="141"/>
      <c r="T351" s="141"/>
    </row>
    <row r="352" spans="1:22" s="29" customFormat="1" ht="24.75" customHeight="1" x14ac:dyDescent="0.25">
      <c r="A352" s="96"/>
      <c r="B352" s="71"/>
      <c r="C352" s="71"/>
      <c r="D352" s="71"/>
      <c r="E352" s="63"/>
      <c r="F352" s="62"/>
      <c r="G352" s="62"/>
      <c r="H352" s="62"/>
      <c r="I352" s="62"/>
      <c r="J352" s="62"/>
      <c r="K352" s="62"/>
      <c r="L352" s="62"/>
      <c r="M352" s="62"/>
      <c r="N352" s="62"/>
      <c r="O352" s="63"/>
      <c r="P352" s="73"/>
      <c r="Q352" s="267"/>
      <c r="R352" s="141"/>
      <c r="S352" s="141"/>
      <c r="T352" s="141"/>
    </row>
    <row r="353" spans="1:20" s="29" customFormat="1" x14ac:dyDescent="0.25">
      <c r="A353" s="66"/>
      <c r="B353" s="68"/>
      <c r="C353" s="62"/>
      <c r="D353" s="206"/>
      <c r="E353" s="63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73"/>
      <c r="Q353" s="267"/>
      <c r="R353" s="141"/>
      <c r="S353" s="141"/>
      <c r="T353" s="141"/>
    </row>
    <row r="354" spans="1:20" s="29" customFormat="1" x14ac:dyDescent="0.25">
      <c r="A354" s="97"/>
      <c r="B354" s="62"/>
      <c r="C354" s="62"/>
      <c r="D354" s="205"/>
      <c r="E354" s="63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267"/>
      <c r="R354" s="141"/>
      <c r="S354" s="141"/>
      <c r="T354" s="141"/>
    </row>
    <row r="355" spans="1:20" s="29" customFormat="1" x14ac:dyDescent="0.25">
      <c r="A355" s="61"/>
      <c r="B355" s="67"/>
      <c r="C355" s="68"/>
      <c r="D355" s="206"/>
      <c r="E355" s="63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267"/>
      <c r="R355" s="141"/>
      <c r="S355" s="141"/>
      <c r="T355" s="141"/>
    </row>
    <row r="356" spans="1:20" s="29" customFormat="1" x14ac:dyDescent="0.25">
      <c r="A356" s="67"/>
      <c r="B356" s="68"/>
      <c r="C356" s="68"/>
      <c r="D356" s="207"/>
      <c r="E356" s="62"/>
      <c r="F356" s="62"/>
      <c r="G356" s="63"/>
      <c r="H356" s="63"/>
      <c r="I356" s="63"/>
      <c r="J356" s="62"/>
      <c r="K356" s="62"/>
      <c r="L356" s="62"/>
      <c r="M356" s="62"/>
      <c r="N356" s="62"/>
      <c r="O356" s="62"/>
      <c r="P356" s="62"/>
      <c r="Q356" s="267"/>
      <c r="R356" s="141"/>
      <c r="S356" s="141"/>
      <c r="T356" s="141"/>
    </row>
    <row r="357" spans="1:20" s="29" customFormat="1" x14ac:dyDescent="0.25">
      <c r="A357" s="96"/>
      <c r="B357" s="98"/>
      <c r="C357" s="98"/>
      <c r="D357" s="206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267"/>
      <c r="R357" s="141"/>
      <c r="S357" s="141"/>
      <c r="T357" s="141"/>
    </row>
    <row r="358" spans="1:20" s="29" customFormat="1" x14ac:dyDescent="0.25">
      <c r="A358" s="96"/>
      <c r="B358" s="98"/>
      <c r="C358" s="98"/>
      <c r="D358" s="206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267"/>
      <c r="R358" s="141"/>
      <c r="S358" s="141"/>
      <c r="T358" s="141"/>
    </row>
    <row r="359" spans="1:20" s="29" customFormat="1" x14ac:dyDescent="0.25">
      <c r="A359" s="96"/>
      <c r="B359" s="98"/>
      <c r="C359" s="98"/>
      <c r="D359" s="206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267"/>
      <c r="R359" s="141"/>
      <c r="S359" s="141"/>
      <c r="T359" s="141"/>
    </row>
    <row r="360" spans="1:20" s="29" customFormat="1" x14ac:dyDescent="0.25">
      <c r="A360" s="96"/>
      <c r="B360" s="98"/>
      <c r="C360" s="98"/>
      <c r="D360" s="206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267"/>
      <c r="R360" s="141"/>
      <c r="S360" s="141"/>
      <c r="T360" s="141"/>
    </row>
    <row r="361" spans="1:20" s="29" customFormat="1" x14ac:dyDescent="0.25">
      <c r="A361" s="96"/>
      <c r="B361" s="98"/>
      <c r="C361" s="98"/>
      <c r="D361" s="206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267"/>
      <c r="R361" s="141"/>
      <c r="S361" s="141"/>
      <c r="T361" s="141"/>
    </row>
    <row r="362" spans="1:20" s="29" customFormat="1" x14ac:dyDescent="0.25">
      <c r="A362" s="96"/>
      <c r="B362" s="98"/>
      <c r="C362" s="98"/>
      <c r="D362" s="206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267"/>
      <c r="R362" s="141"/>
      <c r="S362" s="141"/>
      <c r="T362" s="141"/>
    </row>
    <row r="363" spans="1:20" s="29" customFormat="1" ht="26.25" customHeight="1" x14ac:dyDescent="0.25">
      <c r="A363" s="96"/>
      <c r="B363" s="98"/>
      <c r="C363" s="98"/>
      <c r="D363" s="206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267"/>
      <c r="R363" s="141"/>
      <c r="S363" s="141"/>
      <c r="T363" s="141"/>
    </row>
    <row r="364" spans="1:20" s="29" customFormat="1" ht="26.25" customHeight="1" x14ac:dyDescent="0.25">
      <c r="A364" s="64"/>
      <c r="B364" s="65"/>
      <c r="C364" s="65"/>
      <c r="D364" s="208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267"/>
      <c r="R364" s="141"/>
      <c r="S364" s="141"/>
      <c r="T364" s="141"/>
    </row>
    <row r="365" spans="1:20" s="29" customFormat="1" ht="26.25" customHeight="1" x14ac:dyDescent="0.25">
      <c r="A365" s="64"/>
      <c r="B365" s="65"/>
      <c r="C365" s="65"/>
      <c r="D365" s="208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267"/>
      <c r="R365" s="141"/>
      <c r="S365" s="141"/>
      <c r="T365" s="141"/>
    </row>
    <row r="366" spans="1:20" s="29" customFormat="1" ht="26.25" customHeight="1" x14ac:dyDescent="0.25">
      <c r="A366" s="64"/>
      <c r="B366" s="65"/>
      <c r="C366" s="65"/>
      <c r="D366" s="208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267"/>
      <c r="R366" s="141"/>
      <c r="S366" s="141"/>
      <c r="T366" s="141"/>
    </row>
    <row r="367" spans="1:20" s="29" customFormat="1" ht="26.25" customHeight="1" x14ac:dyDescent="0.25">
      <c r="A367" s="64"/>
      <c r="B367" s="65"/>
      <c r="C367" s="65"/>
      <c r="D367" s="208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267"/>
      <c r="R367" s="141"/>
      <c r="S367" s="141"/>
      <c r="T367" s="141"/>
    </row>
    <row r="368" spans="1:20" s="29" customFormat="1" x14ac:dyDescent="0.25">
      <c r="A368" s="64"/>
      <c r="B368" s="65"/>
      <c r="C368" s="65"/>
      <c r="D368" s="208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267"/>
      <c r="R368" s="141"/>
      <c r="S368" s="141"/>
      <c r="T368" s="141"/>
    </row>
    <row r="369" spans="1:20" s="29" customFormat="1" x14ac:dyDescent="0.25">
      <c r="A369" s="64"/>
      <c r="B369" s="65"/>
      <c r="C369" s="65"/>
      <c r="D369" s="208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267"/>
      <c r="R369" s="141"/>
      <c r="S369" s="141"/>
      <c r="T369" s="141"/>
    </row>
    <row r="370" spans="1:20" s="29" customFormat="1" x14ac:dyDescent="0.25">
      <c r="A370" s="64"/>
      <c r="B370" s="65"/>
      <c r="C370" s="65"/>
      <c r="D370" s="208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267"/>
      <c r="R370" s="141"/>
      <c r="S370" s="141"/>
      <c r="T370" s="141"/>
    </row>
    <row r="371" spans="1:20" s="29" customFormat="1" x14ac:dyDescent="0.25">
      <c r="A371" s="64"/>
      <c r="B371" s="65"/>
      <c r="C371" s="65"/>
      <c r="D371" s="208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267"/>
      <c r="R371" s="141"/>
      <c r="S371" s="141"/>
      <c r="T371" s="141"/>
    </row>
    <row r="372" spans="1:20" s="29" customFormat="1" x14ac:dyDescent="0.25">
      <c r="A372" s="64"/>
      <c r="B372" s="65"/>
      <c r="C372" s="65"/>
      <c r="D372" s="208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267"/>
      <c r="R372" s="141"/>
      <c r="S372" s="141"/>
      <c r="T372" s="141"/>
    </row>
    <row r="373" spans="1:20" s="29" customFormat="1" x14ac:dyDescent="0.25">
      <c r="A373" s="64"/>
      <c r="B373" s="65"/>
      <c r="C373" s="65"/>
      <c r="D373" s="208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267"/>
      <c r="R373" s="141"/>
      <c r="S373" s="141"/>
      <c r="T373" s="141"/>
    </row>
    <row r="374" spans="1:20" s="29" customFormat="1" x14ac:dyDescent="0.25">
      <c r="A374" s="64"/>
      <c r="B374" s="65"/>
      <c r="C374" s="65"/>
      <c r="D374" s="208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193"/>
      <c r="R374" s="141"/>
      <c r="S374" s="141"/>
      <c r="T374" s="141"/>
    </row>
    <row r="375" spans="1:20" s="29" customFormat="1" x14ac:dyDescent="0.25">
      <c r="A375" s="64"/>
      <c r="B375" s="65"/>
      <c r="C375" s="65"/>
      <c r="D375" s="208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193"/>
      <c r="R375" s="141"/>
      <c r="S375" s="141"/>
      <c r="T375" s="141"/>
    </row>
    <row r="376" spans="1:20" s="29" customFormat="1" x14ac:dyDescent="0.25">
      <c r="A376" s="64"/>
      <c r="B376" s="65"/>
      <c r="C376" s="65"/>
      <c r="D376" s="208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193"/>
      <c r="R376" s="141"/>
      <c r="S376" s="141"/>
      <c r="T376" s="141"/>
    </row>
    <row r="377" spans="1:20" s="29" customFormat="1" x14ac:dyDescent="0.25">
      <c r="A377" s="64"/>
      <c r="B377" s="65"/>
      <c r="C377" s="65"/>
      <c r="D377" s="208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193"/>
      <c r="R377" s="141"/>
      <c r="S377" s="141"/>
      <c r="T377" s="141"/>
    </row>
    <row r="378" spans="1:20" s="29" customFormat="1" x14ac:dyDescent="0.25">
      <c r="A378" s="64"/>
      <c r="B378" s="65"/>
      <c r="C378" s="65"/>
      <c r="D378" s="208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193"/>
      <c r="R378" s="141"/>
      <c r="S378" s="141"/>
      <c r="T378" s="141"/>
    </row>
    <row r="379" spans="1:20" s="29" customFormat="1" x14ac:dyDescent="0.25">
      <c r="A379" s="64"/>
      <c r="B379" s="65"/>
      <c r="C379" s="65"/>
      <c r="D379" s="208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193"/>
      <c r="R379" s="141"/>
      <c r="S379" s="141"/>
      <c r="T379" s="141"/>
    </row>
    <row r="380" spans="1:20" s="29" customFormat="1" x14ac:dyDescent="0.25">
      <c r="A380" s="64"/>
      <c r="B380" s="65"/>
      <c r="C380" s="65"/>
      <c r="D380" s="208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193"/>
      <c r="R380" s="141"/>
      <c r="S380" s="141"/>
      <c r="T380" s="141"/>
    </row>
    <row r="381" spans="1:20" s="29" customFormat="1" ht="27" customHeight="1" x14ac:dyDescent="0.25">
      <c r="A381" s="64"/>
      <c r="B381" s="65"/>
      <c r="C381" s="65"/>
      <c r="D381" s="208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193"/>
      <c r="R381" s="141"/>
      <c r="S381" s="141"/>
      <c r="T381" s="141"/>
    </row>
    <row r="382" spans="1:20" s="29" customFormat="1" x14ac:dyDescent="0.25">
      <c r="A382" s="64"/>
      <c r="B382" s="65"/>
      <c r="C382" s="65"/>
      <c r="D382" s="208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193"/>
      <c r="R382" s="141"/>
      <c r="S382" s="141"/>
      <c r="T382" s="141"/>
    </row>
    <row r="383" spans="1:20" s="29" customFormat="1" x14ac:dyDescent="0.25">
      <c r="A383" s="64"/>
      <c r="B383" s="65"/>
      <c r="C383" s="65"/>
      <c r="D383" s="208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193"/>
      <c r="R383" s="141"/>
      <c r="S383" s="141"/>
      <c r="T383" s="141"/>
    </row>
    <row r="384" spans="1:20" s="29" customFormat="1" x14ac:dyDescent="0.25">
      <c r="A384" s="64"/>
      <c r="B384" s="65"/>
      <c r="C384" s="65"/>
      <c r="D384" s="208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131"/>
      <c r="Q384" s="193"/>
      <c r="R384" s="141"/>
      <c r="S384" s="141"/>
      <c r="T384" s="141"/>
    </row>
    <row r="385" spans="1:20" s="29" customFormat="1" x14ac:dyDescent="0.25">
      <c r="A385" s="64"/>
      <c r="B385" s="65"/>
      <c r="C385" s="65"/>
      <c r="D385" s="208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129"/>
      <c r="Q385" s="193"/>
      <c r="R385" s="141"/>
      <c r="S385" s="141"/>
      <c r="T385" s="141"/>
    </row>
    <row r="386" spans="1:20" s="29" customFormat="1" x14ac:dyDescent="0.25">
      <c r="A386" s="64"/>
      <c r="B386" s="65"/>
      <c r="C386" s="65"/>
      <c r="D386" s="208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129"/>
      <c r="Q386" s="193"/>
      <c r="R386" s="141"/>
      <c r="S386" s="141"/>
      <c r="T386" s="141"/>
    </row>
    <row r="387" spans="1:20" s="29" customFormat="1" x14ac:dyDescent="0.25">
      <c r="A387" s="64"/>
      <c r="B387" s="65"/>
      <c r="C387" s="65"/>
      <c r="D387" s="208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129"/>
      <c r="Q387" s="193"/>
      <c r="R387" s="141"/>
      <c r="S387" s="141"/>
      <c r="T387" s="141"/>
    </row>
    <row r="388" spans="1:20" s="29" customFormat="1" x14ac:dyDescent="0.25">
      <c r="A388" s="64"/>
      <c r="B388" s="65"/>
      <c r="C388" s="65"/>
      <c r="D388" s="208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129"/>
      <c r="Q388" s="193"/>
      <c r="R388" s="141"/>
      <c r="S388" s="141"/>
      <c r="T388" s="141"/>
    </row>
    <row r="389" spans="1:20" s="29" customFormat="1" x14ac:dyDescent="0.25">
      <c r="A389" s="64"/>
      <c r="B389" s="65"/>
      <c r="C389" s="65"/>
      <c r="D389" s="208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129"/>
      <c r="Q389" s="193"/>
      <c r="R389" s="141"/>
      <c r="S389" s="141"/>
      <c r="T389" s="141"/>
    </row>
    <row r="390" spans="1:20" s="29" customFormat="1" x14ac:dyDescent="0.25">
      <c r="A390" s="64"/>
      <c r="B390" s="65"/>
      <c r="C390" s="65"/>
      <c r="D390" s="208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129"/>
      <c r="Q390" s="193"/>
      <c r="R390" s="141"/>
      <c r="S390" s="141"/>
      <c r="T390" s="141"/>
    </row>
    <row r="391" spans="1:20" x14ac:dyDescent="0.25">
      <c r="B391" s="65"/>
    </row>
    <row r="392" spans="1:20" x14ac:dyDescent="0.25">
      <c r="B392" s="65"/>
    </row>
    <row r="393" spans="1:20" x14ac:dyDescent="0.25">
      <c r="B393" s="65"/>
    </row>
    <row r="394" spans="1:20" x14ac:dyDescent="0.25">
      <c r="B394" s="65"/>
    </row>
    <row r="395" spans="1:20" x14ac:dyDescent="0.25">
      <c r="B395" s="65"/>
    </row>
    <row r="396" spans="1:20" x14ac:dyDescent="0.25">
      <c r="B396" s="65"/>
    </row>
    <row r="397" spans="1:20" x14ac:dyDescent="0.25">
      <c r="B397" s="65"/>
    </row>
    <row r="398" spans="1:20" x14ac:dyDescent="0.25">
      <c r="B398" s="65"/>
    </row>
    <row r="399" spans="1:20" x14ac:dyDescent="0.25">
      <c r="B399" s="65"/>
    </row>
    <row r="400" spans="1:20" x14ac:dyDescent="0.25">
      <c r="B400" s="65"/>
    </row>
    <row r="401" spans="2:2" x14ac:dyDescent="0.25">
      <c r="B401" s="65"/>
    </row>
    <row r="402" spans="2:2" x14ac:dyDescent="0.25">
      <c r="B402" s="65"/>
    </row>
    <row r="403" spans="2:2" x14ac:dyDescent="0.25">
      <c r="B403" s="65"/>
    </row>
    <row r="404" spans="2:2" x14ac:dyDescent="0.25">
      <c r="B404" s="65"/>
    </row>
    <row r="405" spans="2:2" x14ac:dyDescent="0.25">
      <c r="B405" s="65"/>
    </row>
    <row r="406" spans="2:2" x14ac:dyDescent="0.25">
      <c r="B406" s="65"/>
    </row>
    <row r="407" spans="2:2" x14ac:dyDescent="0.25">
      <c r="B407" s="65"/>
    </row>
    <row r="408" spans="2:2" x14ac:dyDescent="0.25">
      <c r="B408" s="65"/>
    </row>
    <row r="409" spans="2:2" x14ac:dyDescent="0.25">
      <c r="B409" s="65"/>
    </row>
    <row r="410" spans="2:2" x14ac:dyDescent="0.25">
      <c r="B410" s="65"/>
    </row>
    <row r="411" spans="2:2" x14ac:dyDescent="0.25">
      <c r="B411" s="65"/>
    </row>
    <row r="412" spans="2:2" x14ac:dyDescent="0.25">
      <c r="B412" s="65"/>
    </row>
    <row r="413" spans="2:2" x14ac:dyDescent="0.25">
      <c r="B413" s="65"/>
    </row>
    <row r="414" spans="2:2" x14ac:dyDescent="0.25">
      <c r="B414" s="65"/>
    </row>
    <row r="415" spans="2:2" x14ac:dyDescent="0.25">
      <c r="B415" s="65"/>
    </row>
    <row r="416" spans="2:2" x14ac:dyDescent="0.25">
      <c r="B416" s="65"/>
    </row>
    <row r="417" spans="2:2" x14ac:dyDescent="0.25">
      <c r="B417" s="65"/>
    </row>
    <row r="418" spans="2:2" x14ac:dyDescent="0.25">
      <c r="B418" s="65"/>
    </row>
    <row r="419" spans="2:2" x14ac:dyDescent="0.25">
      <c r="B419" s="65"/>
    </row>
    <row r="420" spans="2:2" x14ac:dyDescent="0.25">
      <c r="B420" s="65"/>
    </row>
    <row r="421" spans="2:2" x14ac:dyDescent="0.25">
      <c r="B421" s="65"/>
    </row>
    <row r="422" spans="2:2" x14ac:dyDescent="0.25">
      <c r="B422" s="65"/>
    </row>
    <row r="423" spans="2:2" x14ac:dyDescent="0.25">
      <c r="B423" s="65"/>
    </row>
    <row r="424" spans="2:2" x14ac:dyDescent="0.25">
      <c r="B424" s="65"/>
    </row>
    <row r="425" spans="2:2" x14ac:dyDescent="0.25">
      <c r="B425" s="65"/>
    </row>
    <row r="426" spans="2:2" x14ac:dyDescent="0.25">
      <c r="B426" s="65"/>
    </row>
    <row r="427" spans="2:2" x14ac:dyDescent="0.25">
      <c r="B427" s="65"/>
    </row>
    <row r="428" spans="2:2" x14ac:dyDescent="0.25">
      <c r="B428" s="65"/>
    </row>
    <row r="429" spans="2:2" x14ac:dyDescent="0.25">
      <c r="B429" s="65"/>
    </row>
    <row r="430" spans="2:2" x14ac:dyDescent="0.25">
      <c r="B430" s="65"/>
    </row>
    <row r="431" spans="2:2" x14ac:dyDescent="0.25">
      <c r="B431" s="65"/>
    </row>
    <row r="432" spans="2:2" x14ac:dyDescent="0.25">
      <c r="B432" s="65"/>
    </row>
    <row r="433" spans="2:2" x14ac:dyDescent="0.25">
      <c r="B433" s="65"/>
    </row>
    <row r="434" spans="2:2" x14ac:dyDescent="0.25">
      <c r="B434" s="65"/>
    </row>
    <row r="435" spans="2:2" x14ac:dyDescent="0.25">
      <c r="B435" s="65"/>
    </row>
    <row r="436" spans="2:2" x14ac:dyDescent="0.25">
      <c r="B436" s="65"/>
    </row>
    <row r="437" spans="2:2" x14ac:dyDescent="0.25">
      <c r="B437" s="65"/>
    </row>
    <row r="438" spans="2:2" x14ac:dyDescent="0.25">
      <c r="B438" s="65"/>
    </row>
    <row r="439" spans="2:2" x14ac:dyDescent="0.25">
      <c r="B439" s="65"/>
    </row>
    <row r="440" spans="2:2" x14ac:dyDescent="0.25">
      <c r="B440" s="65"/>
    </row>
    <row r="441" spans="2:2" x14ac:dyDescent="0.25">
      <c r="B441" s="65"/>
    </row>
    <row r="442" spans="2:2" x14ac:dyDescent="0.25">
      <c r="B442" s="65"/>
    </row>
    <row r="443" spans="2:2" x14ac:dyDescent="0.25">
      <c r="B443" s="65"/>
    </row>
    <row r="444" spans="2:2" x14ac:dyDescent="0.25">
      <c r="B444" s="65"/>
    </row>
    <row r="445" spans="2:2" x14ac:dyDescent="0.25">
      <c r="B445" s="65"/>
    </row>
    <row r="446" spans="2:2" x14ac:dyDescent="0.25">
      <c r="B446" s="65"/>
    </row>
    <row r="447" spans="2:2" x14ac:dyDescent="0.25">
      <c r="B447" s="65"/>
    </row>
    <row r="448" spans="2:2" x14ac:dyDescent="0.25">
      <c r="B448" s="65"/>
    </row>
    <row r="449" spans="2:2" x14ac:dyDescent="0.25">
      <c r="B449" s="65"/>
    </row>
    <row r="450" spans="2:2" x14ac:dyDescent="0.25">
      <c r="B450" s="65"/>
    </row>
    <row r="451" spans="2:2" x14ac:dyDescent="0.25">
      <c r="B451" s="65"/>
    </row>
    <row r="452" spans="2:2" x14ac:dyDescent="0.25">
      <c r="B452" s="65"/>
    </row>
    <row r="453" spans="2:2" x14ac:dyDescent="0.25">
      <c r="B453" s="65"/>
    </row>
    <row r="454" spans="2:2" x14ac:dyDescent="0.25">
      <c r="B454" s="65"/>
    </row>
    <row r="455" spans="2:2" x14ac:dyDescent="0.25">
      <c r="B455" s="65"/>
    </row>
    <row r="456" spans="2:2" x14ac:dyDescent="0.25">
      <c r="B456" s="65"/>
    </row>
    <row r="457" spans="2:2" x14ac:dyDescent="0.25">
      <c r="B457" s="65"/>
    </row>
    <row r="458" spans="2:2" x14ac:dyDescent="0.25">
      <c r="B458" s="65"/>
    </row>
    <row r="459" spans="2:2" x14ac:dyDescent="0.25">
      <c r="B459" s="65"/>
    </row>
    <row r="460" spans="2:2" x14ac:dyDescent="0.25">
      <c r="B460" s="65"/>
    </row>
    <row r="461" spans="2:2" x14ac:dyDescent="0.25">
      <c r="B461" s="65"/>
    </row>
    <row r="462" spans="2:2" x14ac:dyDescent="0.25">
      <c r="B462" s="65"/>
    </row>
    <row r="463" spans="2:2" x14ac:dyDescent="0.25">
      <c r="B463" s="65"/>
    </row>
    <row r="464" spans="2:2" x14ac:dyDescent="0.25">
      <c r="B464" s="65"/>
    </row>
    <row r="465" spans="2:2" x14ac:dyDescent="0.25">
      <c r="B465" s="65"/>
    </row>
    <row r="466" spans="2:2" x14ac:dyDescent="0.25">
      <c r="B466" s="65"/>
    </row>
    <row r="467" spans="2:2" x14ac:dyDescent="0.25">
      <c r="B467" s="65"/>
    </row>
    <row r="468" spans="2:2" x14ac:dyDescent="0.25">
      <c r="B468" s="65"/>
    </row>
    <row r="469" spans="2:2" x14ac:dyDescent="0.25">
      <c r="B469" s="65"/>
    </row>
    <row r="470" spans="2:2" x14ac:dyDescent="0.25">
      <c r="B470" s="65"/>
    </row>
    <row r="471" spans="2:2" x14ac:dyDescent="0.25">
      <c r="B471" s="65"/>
    </row>
    <row r="472" spans="2:2" x14ac:dyDescent="0.25">
      <c r="B472" s="65"/>
    </row>
    <row r="473" spans="2:2" x14ac:dyDescent="0.25">
      <c r="B473" s="65"/>
    </row>
    <row r="474" spans="2:2" x14ac:dyDescent="0.25">
      <c r="B474" s="65"/>
    </row>
    <row r="475" spans="2:2" x14ac:dyDescent="0.25">
      <c r="B475" s="65"/>
    </row>
    <row r="476" spans="2:2" x14ac:dyDescent="0.25">
      <c r="B476" s="65"/>
    </row>
    <row r="477" spans="2:2" x14ac:dyDescent="0.25">
      <c r="B477" s="65"/>
    </row>
    <row r="478" spans="2:2" x14ac:dyDescent="0.25">
      <c r="B478" s="65"/>
    </row>
    <row r="479" spans="2:2" x14ac:dyDescent="0.25">
      <c r="B479" s="65"/>
    </row>
    <row r="480" spans="2:2" x14ac:dyDescent="0.25">
      <c r="B480" s="65"/>
    </row>
    <row r="481" spans="2:2" x14ac:dyDescent="0.25">
      <c r="B481" s="65"/>
    </row>
    <row r="482" spans="2:2" x14ac:dyDescent="0.25">
      <c r="B482" s="65"/>
    </row>
    <row r="483" spans="2:2" x14ac:dyDescent="0.25">
      <c r="B483" s="65"/>
    </row>
    <row r="484" spans="2:2" x14ac:dyDescent="0.25">
      <c r="B484" s="65"/>
    </row>
    <row r="485" spans="2:2" x14ac:dyDescent="0.25">
      <c r="B485" s="65"/>
    </row>
    <row r="486" spans="2:2" x14ac:dyDescent="0.25">
      <c r="B486" s="65"/>
    </row>
    <row r="487" spans="2:2" x14ac:dyDescent="0.25">
      <c r="B487" s="65"/>
    </row>
    <row r="488" spans="2:2" x14ac:dyDescent="0.25">
      <c r="B488" s="65"/>
    </row>
    <row r="489" spans="2:2" x14ac:dyDescent="0.25">
      <c r="B489" s="65"/>
    </row>
    <row r="490" spans="2:2" x14ac:dyDescent="0.25">
      <c r="B490" s="65"/>
    </row>
    <row r="491" spans="2:2" x14ac:dyDescent="0.25">
      <c r="B491" s="65"/>
    </row>
    <row r="492" spans="2:2" x14ac:dyDescent="0.25">
      <c r="B492" s="65"/>
    </row>
    <row r="493" spans="2:2" x14ac:dyDescent="0.25">
      <c r="B493" s="65"/>
    </row>
    <row r="494" spans="2:2" x14ac:dyDescent="0.25">
      <c r="B494" s="65"/>
    </row>
    <row r="495" spans="2:2" x14ac:dyDescent="0.25">
      <c r="B495" s="65"/>
    </row>
    <row r="496" spans="2:2" x14ac:dyDescent="0.25">
      <c r="B496" s="65"/>
    </row>
    <row r="497" spans="2:2" x14ac:dyDescent="0.25">
      <c r="B497" s="65"/>
    </row>
    <row r="498" spans="2:2" x14ac:dyDescent="0.25">
      <c r="B498" s="65"/>
    </row>
    <row r="499" spans="2:2" x14ac:dyDescent="0.25">
      <c r="B499" s="65"/>
    </row>
    <row r="500" spans="2:2" x14ac:dyDescent="0.25">
      <c r="B500" s="65"/>
    </row>
    <row r="501" spans="2:2" x14ac:dyDescent="0.25">
      <c r="B501" s="65"/>
    </row>
  </sheetData>
  <mergeCells count="40">
    <mergeCell ref="J7:O7"/>
    <mergeCell ref="L9:L10"/>
    <mergeCell ref="L8:M8"/>
    <mergeCell ref="J8:J10"/>
    <mergeCell ref="Q331:Q373"/>
    <mergeCell ref="Q196:Q213"/>
    <mergeCell ref="Q214:Q245"/>
    <mergeCell ref="Q246:Q271"/>
    <mergeCell ref="Q272:Q301"/>
    <mergeCell ref="Q302:Q330"/>
    <mergeCell ref="B349:D349"/>
    <mergeCell ref="G8:H8"/>
    <mergeCell ref="E8:E10"/>
    <mergeCell ref="H9:H10"/>
    <mergeCell ref="G9:G10"/>
    <mergeCell ref="D7:D10"/>
    <mergeCell ref="C7:C10"/>
    <mergeCell ref="B7:B10"/>
    <mergeCell ref="A335:C335"/>
    <mergeCell ref="A7:A10"/>
    <mergeCell ref="A336:C336"/>
    <mergeCell ref="A338:C338"/>
    <mergeCell ref="F8:F10"/>
    <mergeCell ref="E7:I7"/>
    <mergeCell ref="L3:P3"/>
    <mergeCell ref="Q140:Q169"/>
    <mergeCell ref="Q171:Q195"/>
    <mergeCell ref="Q1:Q35"/>
    <mergeCell ref="Q36:Q68"/>
    <mergeCell ref="Q69:Q103"/>
    <mergeCell ref="Q104:Q139"/>
    <mergeCell ref="L4:P4"/>
    <mergeCell ref="L1:O1"/>
    <mergeCell ref="D5:O5"/>
    <mergeCell ref="P7:P10"/>
    <mergeCell ref="I8:I10"/>
    <mergeCell ref="K8:K10"/>
    <mergeCell ref="N8:N10"/>
    <mergeCell ref="M9:M10"/>
    <mergeCell ref="O9:O10"/>
  </mergeCells>
  <phoneticPr fontId="3" type="noConversion"/>
  <printOptions horizontalCentered="1"/>
  <pageMargins left="0.31496062992125984" right="0.31496062992125984" top="0.62992125984251968" bottom="0.39370078740157483" header="0.19685039370078741" footer="0.19685039370078741"/>
  <pageSetup paperSize="9" scale="43" firstPageNumber="25" fitToHeight="100" orientation="landscape" useFirstPageNumber="1" verticalDpi="300" r:id="rId1"/>
  <headerFooter differentFirst="1" alignWithMargins="0">
    <oddHeader>&amp;RПродовження додатку   3</oddHeader>
  </headerFooter>
  <rowBreaks count="1" manualBreakCount="1">
    <brk id="330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96"/>
  <sheetViews>
    <sheetView showGridLines="0" showZeros="0" view="pageBreakPreview" zoomScale="55" zoomScaleNormal="55" zoomScaleSheetLayoutView="55" workbookViewId="0">
      <selection activeCell="K4" sqref="K4"/>
    </sheetView>
  </sheetViews>
  <sheetFormatPr defaultColWidth="9.1640625" defaultRowHeight="15.75" x14ac:dyDescent="0.25"/>
  <cols>
    <col min="1" max="1" width="19.1640625" style="5" customWidth="1"/>
    <col min="2" max="2" width="18.6640625" style="1" customWidth="1"/>
    <col min="3" max="3" width="69" style="42" customWidth="1"/>
    <col min="4" max="4" width="24.83203125" style="2" customWidth="1"/>
    <col min="5" max="5" width="23.1640625" style="2" customWidth="1"/>
    <col min="6" max="7" width="21.5" style="2" customWidth="1"/>
    <col min="8" max="8" width="19.33203125" style="2" customWidth="1"/>
    <col min="9" max="9" width="21.6640625" style="2" customWidth="1"/>
    <col min="10" max="10" width="18.83203125" style="2" customWidth="1"/>
    <col min="11" max="11" width="18.6640625" style="2" customWidth="1"/>
    <col min="12" max="12" width="18" style="2" customWidth="1"/>
    <col min="13" max="13" width="20.33203125" style="2" customWidth="1"/>
    <col min="14" max="14" width="22.33203125" style="2" customWidth="1"/>
    <col min="15" max="15" width="24.5" style="2" customWidth="1"/>
    <col min="16" max="16" width="6.5" style="193" customWidth="1"/>
    <col min="17" max="17" width="21.5" style="126" customWidth="1"/>
    <col min="18" max="18" width="23" style="126" customWidth="1"/>
    <col min="19" max="26" width="17.5" style="126" customWidth="1"/>
    <col min="27" max="27" width="20.83203125" style="126" customWidth="1"/>
    <col min="28" max="28" width="21.5" style="126" customWidth="1"/>
    <col min="29" max="29" width="17.5" style="126" customWidth="1"/>
    <col min="30" max="30" width="19.6640625" style="126" customWidth="1"/>
    <col min="31" max="34" width="17.5" style="126" customWidth="1"/>
    <col min="35" max="35" width="17.5" style="127" customWidth="1"/>
    <col min="36" max="16384" width="9.1640625" style="2"/>
  </cols>
  <sheetData>
    <row r="1" spans="1:35" ht="26.25" customHeight="1" x14ac:dyDescent="0.25">
      <c r="A1" s="17"/>
      <c r="K1" s="268" t="s">
        <v>677</v>
      </c>
      <c r="L1" s="268"/>
      <c r="M1" s="268"/>
      <c r="N1" s="268"/>
      <c r="O1" s="256"/>
      <c r="P1" s="267">
        <v>37</v>
      </c>
    </row>
    <row r="2" spans="1:35" ht="26.25" customHeight="1" x14ac:dyDescent="0.25">
      <c r="A2" s="17"/>
      <c r="K2" s="256" t="s">
        <v>672</v>
      </c>
      <c r="L2" s="256"/>
      <c r="M2" s="256"/>
      <c r="N2" s="256"/>
      <c r="O2" s="256"/>
      <c r="P2" s="267"/>
    </row>
    <row r="3" spans="1:35" ht="39.75" customHeight="1" x14ac:dyDescent="0.25">
      <c r="A3" s="17"/>
      <c r="K3" s="265" t="s">
        <v>679</v>
      </c>
      <c r="L3" s="265"/>
      <c r="M3" s="265"/>
      <c r="N3" s="265"/>
      <c r="O3" s="265"/>
      <c r="P3" s="267"/>
    </row>
    <row r="4" spans="1:35" ht="45.75" customHeight="1" x14ac:dyDescent="0.25">
      <c r="A4" s="17"/>
      <c r="K4" s="255"/>
      <c r="L4" s="255"/>
      <c r="M4" s="255"/>
      <c r="N4" s="255"/>
      <c r="O4" s="255"/>
      <c r="P4" s="267"/>
    </row>
    <row r="5" spans="1:35" ht="45.75" customHeight="1" x14ac:dyDescent="0.25">
      <c r="A5" s="269" t="s">
        <v>361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7"/>
    </row>
    <row r="6" spans="1:35" s="16" customFormat="1" ht="24" customHeight="1" x14ac:dyDescent="0.25">
      <c r="A6" s="17"/>
      <c r="B6" s="23"/>
      <c r="C6" s="44"/>
      <c r="O6" s="16" t="s">
        <v>373</v>
      </c>
      <c r="P6" s="267"/>
      <c r="Q6" s="184"/>
      <c r="R6" s="184"/>
      <c r="S6" s="184"/>
      <c r="T6" s="184"/>
      <c r="U6" s="184"/>
      <c r="V6" s="184"/>
      <c r="W6" s="184"/>
      <c r="X6" s="184"/>
      <c r="Y6" s="184"/>
      <c r="Z6" s="286"/>
      <c r="AA6" s="286"/>
      <c r="AB6" s="286"/>
      <c r="AC6" s="286"/>
      <c r="AD6" s="286"/>
      <c r="AE6" s="286"/>
      <c r="AF6" s="286"/>
      <c r="AG6" s="286"/>
      <c r="AH6" s="286"/>
      <c r="AI6" s="286"/>
    </row>
    <row r="7" spans="1:35" ht="21.75" customHeight="1" x14ac:dyDescent="0.25">
      <c r="A7" s="285" t="s">
        <v>165</v>
      </c>
      <c r="B7" s="285" t="s">
        <v>80</v>
      </c>
      <c r="C7" s="285" t="s">
        <v>178</v>
      </c>
      <c r="D7" s="283" t="s">
        <v>362</v>
      </c>
      <c r="E7" s="283"/>
      <c r="F7" s="283"/>
      <c r="G7" s="283"/>
      <c r="H7" s="283"/>
      <c r="I7" s="283" t="s">
        <v>363</v>
      </c>
      <c r="J7" s="283"/>
      <c r="K7" s="283"/>
      <c r="L7" s="283"/>
      <c r="M7" s="283"/>
      <c r="N7" s="283"/>
      <c r="O7" s="283" t="s">
        <v>364</v>
      </c>
      <c r="P7" s="267"/>
      <c r="Q7" s="184"/>
      <c r="R7" s="184"/>
      <c r="S7" s="184"/>
      <c r="T7" s="184"/>
      <c r="U7" s="184"/>
      <c r="V7" s="184"/>
      <c r="W7" s="184"/>
      <c r="X7" s="184"/>
      <c r="Y7" s="184"/>
      <c r="Z7" s="287"/>
      <c r="AA7" s="287"/>
      <c r="AB7" s="287"/>
      <c r="AC7" s="287"/>
      <c r="AD7" s="287"/>
      <c r="AE7" s="287"/>
      <c r="AF7" s="287"/>
      <c r="AG7" s="287"/>
      <c r="AH7" s="287"/>
      <c r="AI7" s="287"/>
    </row>
    <row r="8" spans="1:35" ht="29.25" customHeight="1" x14ac:dyDescent="0.25">
      <c r="A8" s="285"/>
      <c r="B8" s="285"/>
      <c r="C8" s="285"/>
      <c r="D8" s="283" t="s">
        <v>365</v>
      </c>
      <c r="E8" s="283" t="s">
        <v>366</v>
      </c>
      <c r="F8" s="283"/>
      <c r="G8" s="283"/>
      <c r="H8" s="283" t="s">
        <v>368</v>
      </c>
      <c r="I8" s="283" t="s">
        <v>365</v>
      </c>
      <c r="J8" s="283" t="s">
        <v>366</v>
      </c>
      <c r="K8" s="283" t="s">
        <v>367</v>
      </c>
      <c r="L8" s="283"/>
      <c r="M8" s="283" t="s">
        <v>368</v>
      </c>
      <c r="N8" s="38" t="s">
        <v>367</v>
      </c>
      <c r="O8" s="283"/>
      <c r="P8" s="267"/>
      <c r="Q8" s="184"/>
      <c r="R8" s="184"/>
      <c r="S8" s="184"/>
      <c r="T8" s="184"/>
      <c r="U8" s="184"/>
      <c r="V8" s="184"/>
      <c r="W8" s="184"/>
      <c r="X8" s="184"/>
      <c r="Y8" s="183"/>
      <c r="Z8" s="287"/>
      <c r="AA8" s="287"/>
      <c r="AB8" s="287"/>
      <c r="AC8" s="287"/>
      <c r="AD8" s="287"/>
      <c r="AE8" s="287"/>
      <c r="AF8" s="287"/>
      <c r="AG8" s="164"/>
      <c r="AH8" s="164"/>
      <c r="AI8" s="165"/>
    </row>
    <row r="9" spans="1:35" ht="20.25" customHeight="1" x14ac:dyDescent="0.25">
      <c r="A9" s="285"/>
      <c r="B9" s="285"/>
      <c r="C9" s="285"/>
      <c r="D9" s="283"/>
      <c r="E9" s="283"/>
      <c r="F9" s="283" t="s">
        <v>369</v>
      </c>
      <c r="G9" s="283" t="s">
        <v>370</v>
      </c>
      <c r="H9" s="283"/>
      <c r="I9" s="283"/>
      <c r="J9" s="283"/>
      <c r="K9" s="283" t="s">
        <v>369</v>
      </c>
      <c r="L9" s="283" t="s">
        <v>370</v>
      </c>
      <c r="M9" s="283"/>
      <c r="N9" s="283" t="s">
        <v>371</v>
      </c>
      <c r="O9" s="283"/>
      <c r="P9" s="267"/>
      <c r="Q9" s="185"/>
      <c r="R9" s="186"/>
      <c r="S9" s="186"/>
      <c r="T9" s="184"/>
      <c r="U9" s="184"/>
      <c r="V9" s="184"/>
      <c r="W9" s="186"/>
      <c r="X9" s="186"/>
      <c r="Y9" s="186"/>
      <c r="Z9" s="188"/>
      <c r="AA9" s="189"/>
      <c r="AB9" s="167"/>
      <c r="AC9" s="167"/>
      <c r="AD9" s="287"/>
      <c r="AE9" s="287"/>
      <c r="AF9" s="287"/>
      <c r="AG9" s="167"/>
      <c r="AH9" s="167"/>
      <c r="AI9" s="168"/>
    </row>
    <row r="10" spans="1:35" ht="71.25" customHeight="1" x14ac:dyDescent="0.25">
      <c r="A10" s="285"/>
      <c r="B10" s="285"/>
      <c r="C10" s="285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67"/>
      <c r="Q10" s="183"/>
      <c r="R10" s="183"/>
      <c r="S10" s="187"/>
      <c r="T10" s="184"/>
      <c r="U10" s="184"/>
      <c r="V10" s="184"/>
      <c r="W10" s="184"/>
      <c r="X10" s="184"/>
      <c r="Y10" s="187"/>
      <c r="Z10" s="188"/>
      <c r="AA10" s="190"/>
      <c r="AB10" s="164"/>
      <c r="AC10" s="166"/>
      <c r="AD10" s="287"/>
      <c r="AE10" s="287"/>
      <c r="AF10" s="287"/>
      <c r="AG10" s="164"/>
      <c r="AH10" s="164"/>
      <c r="AI10" s="169"/>
    </row>
    <row r="11" spans="1:35" s="21" customFormat="1" ht="27.75" customHeight="1" x14ac:dyDescent="0.25">
      <c r="A11" s="22" t="s">
        <v>76</v>
      </c>
      <c r="B11" s="34"/>
      <c r="C11" s="39" t="s">
        <v>77</v>
      </c>
      <c r="D11" s="54">
        <f>D12+D13</f>
        <v>180275633.49000001</v>
      </c>
      <c r="E11" s="54">
        <f t="shared" ref="E11:N11" si="0">E12+E13</f>
        <v>180275633.49000001</v>
      </c>
      <c r="F11" s="54">
        <f t="shared" si="0"/>
        <v>135421655.63</v>
      </c>
      <c r="G11" s="54">
        <f t="shared" si="0"/>
        <v>3776048</v>
      </c>
      <c r="H11" s="54">
        <f t="shared" si="0"/>
        <v>0</v>
      </c>
      <c r="I11" s="54">
        <f t="shared" si="0"/>
        <v>6640064</v>
      </c>
      <c r="J11" s="54">
        <f t="shared" si="0"/>
        <v>2250000</v>
      </c>
      <c r="K11" s="54">
        <f t="shared" si="0"/>
        <v>1725540</v>
      </c>
      <c r="L11" s="54">
        <f t="shared" si="0"/>
        <v>46200</v>
      </c>
      <c r="M11" s="54">
        <f t="shared" si="0"/>
        <v>4390064</v>
      </c>
      <c r="N11" s="54">
        <f t="shared" si="0"/>
        <v>4040064</v>
      </c>
      <c r="O11" s="54">
        <f>O12+O13</f>
        <v>186915697.49000001</v>
      </c>
      <c r="P11" s="267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</row>
    <row r="12" spans="1:35" ht="57.75" customHeight="1" x14ac:dyDescent="0.25">
      <c r="A12" s="5" t="s">
        <v>180</v>
      </c>
      <c r="B12" s="5" t="s">
        <v>79</v>
      </c>
      <c r="C12" s="18" t="s">
        <v>181</v>
      </c>
      <c r="D12" s="50">
        <f>'дод 3'!E13+'дод 3'!E63+'дод 3'!E96+'дод 3'!E133+'дод 3'!E212+'дод 3'!E221+'дод 3'!E235+'дод 3'!E267+'дод 3'!E272+'дод 3'!E299+'дод 3'!E306+'дод 3'!E309+'дод 3'!E319+'дод 3'!E323</f>
        <v>180137993.49000001</v>
      </c>
      <c r="E12" s="50">
        <f>'дод 3'!F13+'дод 3'!F63+'дод 3'!F96+'дод 3'!F133+'дод 3'!F212+'дод 3'!F221+'дод 3'!F235+'дод 3'!F267+'дод 3'!F272+'дод 3'!F299+'дод 3'!F306+'дод 3'!F309+'дод 3'!F319+'дод 3'!F323</f>
        <v>180137993.49000001</v>
      </c>
      <c r="F12" s="50">
        <f>'дод 3'!G13+'дод 3'!G63+'дод 3'!G96+'дод 3'!G133+'дод 3'!G212+'дод 3'!G221+'дод 3'!G235+'дод 3'!G267+'дод 3'!G272+'дод 3'!G299+'дод 3'!G306+'дод 3'!G309+'дод 3'!G319+'дод 3'!G323</f>
        <v>135421655.63</v>
      </c>
      <c r="G12" s="50">
        <f>'дод 3'!H13+'дод 3'!H63+'дод 3'!H96+'дод 3'!H133+'дод 3'!H212+'дод 3'!H221+'дод 3'!H235+'дод 3'!H267+'дод 3'!H272+'дод 3'!H299+'дод 3'!H306+'дод 3'!H309+'дод 3'!H319+'дод 3'!H323</f>
        <v>3776048</v>
      </c>
      <c r="H12" s="50">
        <f>'дод 3'!I13+'дод 3'!I63+'дод 3'!I96+'дод 3'!I133+'дод 3'!I212+'дод 3'!I221+'дод 3'!I235+'дод 3'!I267+'дод 3'!I272+'дод 3'!I299+'дод 3'!I306+'дод 3'!I309+'дод 3'!I319+'дод 3'!I323</f>
        <v>0</v>
      </c>
      <c r="I12" s="50">
        <f>'дод 3'!J13+'дод 3'!J63+'дод 3'!J96+'дод 3'!J133+'дод 3'!J212+'дод 3'!J221+'дод 3'!J235+'дод 3'!J267+'дод 3'!J272+'дод 3'!J299+'дод 3'!J306+'дод 3'!J309+'дод 3'!J319+'дод 3'!J323</f>
        <v>6640064</v>
      </c>
      <c r="J12" s="50">
        <f>'дод 3'!K13+'дод 3'!K63+'дод 3'!K96+'дод 3'!K133+'дод 3'!K212+'дод 3'!K221+'дод 3'!K235+'дод 3'!K267+'дод 3'!K272+'дод 3'!K299+'дод 3'!K306+'дод 3'!K309+'дод 3'!K319+'дод 3'!K323</f>
        <v>2250000</v>
      </c>
      <c r="K12" s="50">
        <f>'дод 3'!L13+'дод 3'!L63+'дод 3'!L96+'дод 3'!L133+'дод 3'!L212+'дод 3'!L221+'дод 3'!L235+'дод 3'!L267+'дод 3'!L272+'дод 3'!L299+'дод 3'!L306+'дод 3'!L309+'дод 3'!L319+'дод 3'!L323</f>
        <v>1725540</v>
      </c>
      <c r="L12" s="50">
        <f>'дод 3'!M13+'дод 3'!M63+'дод 3'!M96+'дод 3'!M133+'дод 3'!M212+'дод 3'!M221+'дод 3'!M235+'дод 3'!M267+'дод 3'!M272+'дод 3'!M299+'дод 3'!M306+'дод 3'!M309+'дод 3'!M319+'дод 3'!M323</f>
        <v>46200</v>
      </c>
      <c r="M12" s="50">
        <f>'дод 3'!N13+'дод 3'!N63+'дод 3'!N96+'дод 3'!N133+'дод 3'!N212+'дод 3'!N221+'дод 3'!N235+'дод 3'!N267+'дод 3'!N272+'дод 3'!N299+'дод 3'!N306+'дод 3'!N309+'дод 3'!N319+'дод 3'!N323</f>
        <v>4390064</v>
      </c>
      <c r="N12" s="50">
        <f>'дод 3'!O13+'дод 3'!O63+'дод 3'!O96+'дод 3'!O133+'дод 3'!O212+'дод 3'!O221+'дод 3'!O235+'дод 3'!O267+'дод 3'!O272+'дод 3'!O299+'дод 3'!O306+'дод 3'!O309+'дод 3'!O319+'дод 3'!O323</f>
        <v>4040064</v>
      </c>
      <c r="O12" s="50">
        <f>'дод 3'!P13+'дод 3'!P63+'дод 3'!P96+'дод 3'!P133+'дод 3'!P212+'дод 3'!P221+'дод 3'!P235+'дод 3'!P267+'дод 3'!P272+'дод 3'!P299+'дод 3'!P306+'дод 3'!P309+'дод 3'!P319+'дод 3'!P323</f>
        <v>186778057.49000001</v>
      </c>
      <c r="P12" s="267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</row>
    <row r="13" spans="1:35" ht="27" customHeight="1" x14ac:dyDescent="0.25">
      <c r="A13" s="5" t="s">
        <v>78</v>
      </c>
      <c r="B13" s="5" t="s">
        <v>140</v>
      </c>
      <c r="C13" s="18" t="s">
        <v>386</v>
      </c>
      <c r="D13" s="50">
        <f>'дод 3'!E14</f>
        <v>137640</v>
      </c>
      <c r="E13" s="50">
        <f>'дод 3'!F14</f>
        <v>137640</v>
      </c>
      <c r="F13" s="50">
        <f>'дод 3'!G14</f>
        <v>0</v>
      </c>
      <c r="G13" s="50">
        <f>'дод 3'!H14</f>
        <v>0</v>
      </c>
      <c r="H13" s="50">
        <f>'дод 3'!I14</f>
        <v>0</v>
      </c>
      <c r="I13" s="50">
        <f>'дод 3'!J14</f>
        <v>0</v>
      </c>
      <c r="J13" s="50">
        <f>'дод 3'!K14</f>
        <v>0</v>
      </c>
      <c r="K13" s="50">
        <f>'дод 3'!L14</f>
        <v>0</v>
      </c>
      <c r="L13" s="50">
        <f>'дод 3'!M14</f>
        <v>0</v>
      </c>
      <c r="M13" s="50">
        <f>'дод 3'!N14</f>
        <v>0</v>
      </c>
      <c r="N13" s="50">
        <f>'дод 3'!O14</f>
        <v>0</v>
      </c>
      <c r="O13" s="50">
        <f>'дод 3'!P14</f>
        <v>137640</v>
      </c>
      <c r="P13" s="267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</row>
    <row r="14" spans="1:35" s="21" customFormat="1" ht="24" customHeight="1" x14ac:dyDescent="0.25">
      <c r="A14" s="22" t="s">
        <v>81</v>
      </c>
      <c r="B14" s="34"/>
      <c r="C14" s="39" t="s">
        <v>82</v>
      </c>
      <c r="D14" s="54">
        <f t="shared" ref="D14:O14" si="1">D16+D17+D19+D21+D23+D24+D25+D27+D28</f>
        <v>774869853.25</v>
      </c>
      <c r="E14" s="54">
        <f t="shared" si="1"/>
        <v>774869853.25</v>
      </c>
      <c r="F14" s="54">
        <f t="shared" si="1"/>
        <v>499525045</v>
      </c>
      <c r="G14" s="54">
        <f t="shared" si="1"/>
        <v>73574424</v>
      </c>
      <c r="H14" s="54">
        <f t="shared" si="1"/>
        <v>0</v>
      </c>
      <c r="I14" s="54">
        <f t="shared" si="1"/>
        <v>79249022.650000006</v>
      </c>
      <c r="J14" s="54">
        <f t="shared" si="1"/>
        <v>50066378</v>
      </c>
      <c r="K14" s="54">
        <f t="shared" si="1"/>
        <v>4398944</v>
      </c>
      <c r="L14" s="54">
        <f t="shared" si="1"/>
        <v>2371330</v>
      </c>
      <c r="M14" s="54">
        <f t="shared" si="1"/>
        <v>29182644.649999999</v>
      </c>
      <c r="N14" s="54">
        <f t="shared" si="1"/>
        <v>28983224.649999999</v>
      </c>
      <c r="O14" s="54">
        <f t="shared" si="1"/>
        <v>854118875.89999998</v>
      </c>
      <c r="P14" s="267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</row>
    <row r="15" spans="1:35" s="28" customFormat="1" ht="24" customHeight="1" x14ac:dyDescent="0.25">
      <c r="A15" s="22"/>
      <c r="B15" s="34"/>
      <c r="C15" s="11" t="s">
        <v>416</v>
      </c>
      <c r="D15" s="54">
        <f>D18+D20+D22+D26+D29</f>
        <v>267908342.90000001</v>
      </c>
      <c r="E15" s="54">
        <f t="shared" ref="E15:O15" si="2">E18+E20+E22+E26+E29</f>
        <v>267908342.90000001</v>
      </c>
      <c r="F15" s="54">
        <f t="shared" si="2"/>
        <v>213388985</v>
      </c>
      <c r="G15" s="54">
        <f t="shared" si="2"/>
        <v>0</v>
      </c>
      <c r="H15" s="54">
        <f t="shared" si="2"/>
        <v>0</v>
      </c>
      <c r="I15" s="54">
        <f t="shared" si="2"/>
        <v>6154492</v>
      </c>
      <c r="J15" s="54">
        <f t="shared" si="2"/>
        <v>0</v>
      </c>
      <c r="K15" s="54">
        <f t="shared" si="2"/>
        <v>0</v>
      </c>
      <c r="L15" s="54">
        <f t="shared" si="2"/>
        <v>0</v>
      </c>
      <c r="M15" s="54">
        <f t="shared" si="2"/>
        <v>6154492</v>
      </c>
      <c r="N15" s="54">
        <f t="shared" si="2"/>
        <v>6154492</v>
      </c>
      <c r="O15" s="54">
        <f t="shared" si="2"/>
        <v>274062834.89999998</v>
      </c>
      <c r="P15" s="267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</row>
    <row r="16" spans="1:35" ht="27" customHeight="1" x14ac:dyDescent="0.25">
      <c r="A16" s="5" t="s">
        <v>83</v>
      </c>
      <c r="B16" s="5" t="s">
        <v>84</v>
      </c>
      <c r="C16" s="18" t="s">
        <v>222</v>
      </c>
      <c r="D16" s="50">
        <f>'дод 3'!E64</f>
        <v>192197613.34999999</v>
      </c>
      <c r="E16" s="50">
        <f>'дод 3'!F64</f>
        <v>192197613.34999999</v>
      </c>
      <c r="F16" s="50">
        <f>'дод 3'!G64</f>
        <v>119291300</v>
      </c>
      <c r="G16" s="50">
        <f>'дод 3'!H64</f>
        <v>23371670</v>
      </c>
      <c r="H16" s="50">
        <f>'дод 3'!I64</f>
        <v>0</v>
      </c>
      <c r="I16" s="50">
        <f>'дод 3'!J64</f>
        <v>21113896.649999999</v>
      </c>
      <c r="J16" s="50">
        <f>'дод 3'!K64</f>
        <v>16065511</v>
      </c>
      <c r="K16" s="50">
        <f>'дод 3'!L64</f>
        <v>0</v>
      </c>
      <c r="L16" s="50">
        <f>'дод 3'!M64</f>
        <v>0</v>
      </c>
      <c r="M16" s="50">
        <f>'дод 3'!N64</f>
        <v>5048385.6500000004</v>
      </c>
      <c r="N16" s="50">
        <f>'дод 3'!O64</f>
        <v>5048385.6500000004</v>
      </c>
      <c r="O16" s="50">
        <f>'дод 3'!P64</f>
        <v>213311510</v>
      </c>
      <c r="P16" s="267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</row>
    <row r="17" spans="1:35" ht="71.25" customHeight="1" x14ac:dyDescent="0.25">
      <c r="A17" s="5" t="s">
        <v>85</v>
      </c>
      <c r="B17" s="5" t="s">
        <v>86</v>
      </c>
      <c r="C17" s="18" t="s">
        <v>580</v>
      </c>
      <c r="D17" s="50">
        <f>'дод 3'!E65</f>
        <v>416907033.89999998</v>
      </c>
      <c r="E17" s="50">
        <f>'дод 3'!F65</f>
        <v>416907033.89999998</v>
      </c>
      <c r="F17" s="50">
        <f>'дод 3'!G65</f>
        <v>275064439</v>
      </c>
      <c r="G17" s="50">
        <f>'дод 3'!H65</f>
        <v>36537670</v>
      </c>
      <c r="H17" s="50">
        <f>'дод 3'!I65</f>
        <v>0</v>
      </c>
      <c r="I17" s="50">
        <f>'дод 3'!J65</f>
        <v>43577036</v>
      </c>
      <c r="J17" s="50">
        <f>'дод 3'!K65</f>
        <v>25377767</v>
      </c>
      <c r="K17" s="50">
        <f>'дод 3'!L65</f>
        <v>624000</v>
      </c>
      <c r="L17" s="50">
        <f>'дод 3'!M65</f>
        <v>36920</v>
      </c>
      <c r="M17" s="50">
        <f>'дод 3'!N65</f>
        <v>18199269</v>
      </c>
      <c r="N17" s="50">
        <f>'дод 3'!O65</f>
        <v>18199269</v>
      </c>
      <c r="O17" s="50">
        <f>'дод 3'!P65</f>
        <v>460484069.89999998</v>
      </c>
      <c r="P17" s="267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</row>
    <row r="18" spans="1:35" ht="28.5" customHeight="1" x14ac:dyDescent="0.25">
      <c r="B18" s="5"/>
      <c r="C18" s="13" t="s">
        <v>416</v>
      </c>
      <c r="D18" s="50">
        <f>'дод 3'!E66</f>
        <v>252059507.90000001</v>
      </c>
      <c r="E18" s="50">
        <f>'дод 3'!F66</f>
        <v>252059507.90000001</v>
      </c>
      <c r="F18" s="50">
        <f>'дод 3'!G66</f>
        <v>200782985</v>
      </c>
      <c r="G18" s="50">
        <f>'дод 3'!H66</f>
        <v>0</v>
      </c>
      <c r="H18" s="50">
        <f>'дод 3'!I66</f>
        <v>0</v>
      </c>
      <c r="I18" s="50">
        <f>'дод 3'!J66</f>
        <v>1416542</v>
      </c>
      <c r="J18" s="50">
        <f>'дод 3'!K66</f>
        <v>0</v>
      </c>
      <c r="K18" s="50">
        <f>'дод 3'!L66</f>
        <v>0</v>
      </c>
      <c r="L18" s="50">
        <f>'дод 3'!M66</f>
        <v>0</v>
      </c>
      <c r="M18" s="50">
        <f>'дод 3'!N66</f>
        <v>1416542</v>
      </c>
      <c r="N18" s="50">
        <f>'дод 3'!O66</f>
        <v>1416542</v>
      </c>
      <c r="O18" s="50">
        <f>'дод 3'!P66</f>
        <v>253476049.90000001</v>
      </c>
      <c r="P18" s="267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</row>
    <row r="19" spans="1:35" ht="42.75" customHeight="1" x14ac:dyDescent="0.25">
      <c r="A19" s="5" t="s">
        <v>87</v>
      </c>
      <c r="B19" s="5" t="s">
        <v>86</v>
      </c>
      <c r="C19" s="18" t="s">
        <v>49</v>
      </c>
      <c r="D19" s="50">
        <f>'дод 3'!E67</f>
        <v>829640</v>
      </c>
      <c r="E19" s="50">
        <f>'дод 3'!F67</f>
        <v>829640</v>
      </c>
      <c r="F19" s="50">
        <f>'дод 3'!G67</f>
        <v>679100</v>
      </c>
      <c r="G19" s="50">
        <f>'дод 3'!H67</f>
        <v>0</v>
      </c>
      <c r="H19" s="50">
        <f>'дод 3'!I67</f>
        <v>0</v>
      </c>
      <c r="I19" s="50">
        <f>'дод 3'!J67</f>
        <v>0</v>
      </c>
      <c r="J19" s="50">
        <f>'дод 3'!K67</f>
        <v>0</v>
      </c>
      <c r="K19" s="50">
        <f>'дод 3'!L67</f>
        <v>0</v>
      </c>
      <c r="L19" s="50">
        <f>'дод 3'!M67</f>
        <v>0</v>
      </c>
      <c r="M19" s="50">
        <f>'дод 3'!N67</f>
        <v>0</v>
      </c>
      <c r="N19" s="50">
        <f>'дод 3'!O67</f>
        <v>0</v>
      </c>
      <c r="O19" s="50">
        <f>'дод 3'!P67</f>
        <v>829640</v>
      </c>
      <c r="P19" s="267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</row>
    <row r="20" spans="1:35" ht="24.75" customHeight="1" x14ac:dyDescent="0.25">
      <c r="B20" s="5"/>
      <c r="C20" s="13" t="s">
        <v>416</v>
      </c>
      <c r="D20" s="50">
        <f>'дод 3'!E68</f>
        <v>777140</v>
      </c>
      <c r="E20" s="50">
        <f>'дод 3'!F68</f>
        <v>777140</v>
      </c>
      <c r="F20" s="50">
        <f>'дод 3'!G68</f>
        <v>637000</v>
      </c>
      <c r="G20" s="50">
        <f>'дод 3'!H68</f>
        <v>0</v>
      </c>
      <c r="H20" s="50">
        <f>'дод 3'!I68</f>
        <v>0</v>
      </c>
      <c r="I20" s="50">
        <f>'дод 3'!J68</f>
        <v>0</v>
      </c>
      <c r="J20" s="50">
        <f>'дод 3'!K68</f>
        <v>0</v>
      </c>
      <c r="K20" s="50">
        <f>'дод 3'!L68</f>
        <v>0</v>
      </c>
      <c r="L20" s="50">
        <f>'дод 3'!M68</f>
        <v>0</v>
      </c>
      <c r="M20" s="50">
        <f>'дод 3'!N68</f>
        <v>0</v>
      </c>
      <c r="N20" s="50">
        <f>'дод 3'!O68</f>
        <v>0</v>
      </c>
      <c r="O20" s="50">
        <f>'дод 3'!P68</f>
        <v>777140</v>
      </c>
      <c r="P20" s="267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</row>
    <row r="21" spans="1:35" ht="87" customHeight="1" x14ac:dyDescent="0.25">
      <c r="A21" s="5" t="s">
        <v>89</v>
      </c>
      <c r="B21" s="5" t="s">
        <v>90</v>
      </c>
      <c r="C21" s="18" t="s">
        <v>182</v>
      </c>
      <c r="D21" s="50">
        <f>'дод 3'!E69</f>
        <v>7751025</v>
      </c>
      <c r="E21" s="50">
        <f>'дод 3'!F69</f>
        <v>7751025</v>
      </c>
      <c r="F21" s="50">
        <f>'дод 3'!G69</f>
        <v>5333230</v>
      </c>
      <c r="G21" s="50">
        <f>'дод 3'!H69</f>
        <v>720630</v>
      </c>
      <c r="H21" s="50">
        <f>'дод 3'!I69</f>
        <v>0</v>
      </c>
      <c r="I21" s="50">
        <f>'дод 3'!J69</f>
        <v>103611</v>
      </c>
      <c r="J21" s="50">
        <f>'дод 3'!K69</f>
        <v>0</v>
      </c>
      <c r="K21" s="50">
        <f>'дод 3'!L69</f>
        <v>0</v>
      </c>
      <c r="L21" s="50">
        <f>'дод 3'!M69</f>
        <v>0</v>
      </c>
      <c r="M21" s="50">
        <f>'дод 3'!N69</f>
        <v>103611</v>
      </c>
      <c r="N21" s="50">
        <f>'дод 3'!O69</f>
        <v>103611</v>
      </c>
      <c r="O21" s="50">
        <f>'дод 3'!P69</f>
        <v>7854636</v>
      </c>
      <c r="P21" s="267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</row>
    <row r="22" spans="1:35" ht="21.75" customHeight="1" x14ac:dyDescent="0.25">
      <c r="B22" s="5"/>
      <c r="C22" s="13" t="s">
        <v>416</v>
      </c>
      <c r="D22" s="50">
        <f>'дод 3'!E70</f>
        <v>4964695</v>
      </c>
      <c r="E22" s="50">
        <f>'дод 3'!F70</f>
        <v>4964695</v>
      </c>
      <c r="F22" s="50">
        <f>'дод 3'!G70</f>
        <v>4070000</v>
      </c>
      <c r="G22" s="50">
        <f>'дод 3'!H70</f>
        <v>0</v>
      </c>
      <c r="H22" s="50">
        <f>'дод 3'!I70</f>
        <v>0</v>
      </c>
      <c r="I22" s="50">
        <f>'дод 3'!J70</f>
        <v>0</v>
      </c>
      <c r="J22" s="50">
        <f>'дод 3'!K70</f>
        <v>0</v>
      </c>
      <c r="K22" s="50">
        <f>'дод 3'!L70</f>
        <v>0</v>
      </c>
      <c r="L22" s="50">
        <f>'дод 3'!M70</f>
        <v>0</v>
      </c>
      <c r="M22" s="50">
        <f>'дод 3'!N70</f>
        <v>0</v>
      </c>
      <c r="N22" s="50">
        <f>'дод 3'!O70</f>
        <v>0</v>
      </c>
      <c r="O22" s="50">
        <f>'дод 3'!P70</f>
        <v>4964695</v>
      </c>
      <c r="P22" s="267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</row>
    <row r="23" spans="1:35" ht="33" customHeight="1" x14ac:dyDescent="0.25">
      <c r="A23" s="5" t="s">
        <v>91</v>
      </c>
      <c r="B23" s="5" t="s">
        <v>92</v>
      </c>
      <c r="C23" s="18" t="s">
        <v>223</v>
      </c>
      <c r="D23" s="50">
        <f>'дод 3'!E71</f>
        <v>21867359</v>
      </c>
      <c r="E23" s="50">
        <f>'дод 3'!F71</f>
        <v>21867359</v>
      </c>
      <c r="F23" s="50">
        <f>'дод 3'!G71</f>
        <v>15425500</v>
      </c>
      <c r="G23" s="50">
        <f>'дод 3'!H71</f>
        <v>2538300</v>
      </c>
      <c r="H23" s="50">
        <f>'дод 3'!I71</f>
        <v>0</v>
      </c>
      <c r="I23" s="50">
        <f>'дод 3'!J71</f>
        <v>442298</v>
      </c>
      <c r="J23" s="50">
        <f>'дод 3'!K71</f>
        <v>0</v>
      </c>
      <c r="K23" s="50">
        <f>'дод 3'!L71</f>
        <v>0</v>
      </c>
      <c r="L23" s="50">
        <f>'дод 3'!M71</f>
        <v>0</v>
      </c>
      <c r="M23" s="50">
        <f>'дод 3'!N71</f>
        <v>442298</v>
      </c>
      <c r="N23" s="50">
        <f>'дод 3'!O71</f>
        <v>442298</v>
      </c>
      <c r="O23" s="50">
        <f>'дод 3'!P71</f>
        <v>22309657</v>
      </c>
      <c r="P23" s="267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</row>
    <row r="24" spans="1:35" ht="57.75" customHeight="1" x14ac:dyDescent="0.25">
      <c r="A24" s="5" t="s">
        <v>93</v>
      </c>
      <c r="B24" s="5" t="s">
        <v>92</v>
      </c>
      <c r="C24" s="18" t="s">
        <v>30</v>
      </c>
      <c r="D24" s="50">
        <f>'дод 3'!E222</f>
        <v>29930652</v>
      </c>
      <c r="E24" s="50">
        <f>'дод 3'!F222</f>
        <v>29930652</v>
      </c>
      <c r="F24" s="50">
        <f>'дод 3'!G222</f>
        <v>23498774</v>
      </c>
      <c r="G24" s="50">
        <f>'дод 3'!H222</f>
        <v>735284</v>
      </c>
      <c r="H24" s="50">
        <f>'дод 3'!I222</f>
        <v>0</v>
      </c>
      <c r="I24" s="50">
        <f>'дод 3'!J222</f>
        <v>2310850</v>
      </c>
      <c r="J24" s="50">
        <f>'дод 3'!K222</f>
        <v>2108830</v>
      </c>
      <c r="K24" s="50">
        <f>'дод 3'!L222</f>
        <v>1721450</v>
      </c>
      <c r="L24" s="50">
        <f>'дод 3'!M222</f>
        <v>0</v>
      </c>
      <c r="M24" s="50">
        <f>'дод 3'!N222</f>
        <v>202020</v>
      </c>
      <c r="N24" s="50">
        <f>'дод 3'!O222</f>
        <v>197300</v>
      </c>
      <c r="O24" s="50">
        <f>'дод 3'!P222</f>
        <v>32241502</v>
      </c>
      <c r="P24" s="267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</row>
    <row r="25" spans="1:35" ht="39.75" customHeight="1" x14ac:dyDescent="0.25">
      <c r="A25" s="5" t="s">
        <v>352</v>
      </c>
      <c r="B25" s="5" t="s">
        <v>94</v>
      </c>
      <c r="C25" s="18" t="s">
        <v>183</v>
      </c>
      <c r="D25" s="50">
        <f>'дод 3'!E72</f>
        <v>94925900</v>
      </c>
      <c r="E25" s="50">
        <f>'дод 3'!F72</f>
        <v>94925900</v>
      </c>
      <c r="F25" s="50">
        <f>'дод 3'!G72</f>
        <v>52999200</v>
      </c>
      <c r="G25" s="50">
        <f>'дод 3'!H72</f>
        <v>9089100</v>
      </c>
      <c r="H25" s="50">
        <f>'дод 3'!I72</f>
        <v>0</v>
      </c>
      <c r="I25" s="50">
        <f>'дод 3'!J72</f>
        <v>11338970</v>
      </c>
      <c r="J25" s="50">
        <f>'дод 3'!K72</f>
        <v>6514270</v>
      </c>
      <c r="K25" s="50">
        <f>'дод 3'!L72</f>
        <v>2053494</v>
      </c>
      <c r="L25" s="50">
        <f>'дод 3'!M72</f>
        <v>2334410</v>
      </c>
      <c r="M25" s="50">
        <f>'дод 3'!N72</f>
        <v>4824700</v>
      </c>
      <c r="N25" s="50">
        <f>'дод 3'!O72</f>
        <v>4630000</v>
      </c>
      <c r="O25" s="50">
        <f>'дод 3'!P72</f>
        <v>106264870</v>
      </c>
      <c r="P25" s="267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</row>
    <row r="26" spans="1:35" ht="21" customHeight="1" x14ac:dyDescent="0.25">
      <c r="B26" s="5"/>
      <c r="C26" s="13" t="s">
        <v>416</v>
      </c>
      <c r="D26" s="50">
        <f>'дод 3'!E73</f>
        <v>10107000</v>
      </c>
      <c r="E26" s="50">
        <f>'дод 3'!F73</f>
        <v>10107000</v>
      </c>
      <c r="F26" s="50">
        <f>'дод 3'!G73</f>
        <v>7899000</v>
      </c>
      <c r="G26" s="50">
        <f>'дод 3'!H73</f>
        <v>0</v>
      </c>
      <c r="H26" s="50">
        <f>'дод 3'!I73</f>
        <v>0</v>
      </c>
      <c r="I26" s="50">
        <f>'дод 3'!J73</f>
        <v>4630000</v>
      </c>
      <c r="J26" s="50">
        <f>'дод 3'!K73</f>
        <v>0</v>
      </c>
      <c r="K26" s="50">
        <f>'дод 3'!L73</f>
        <v>0</v>
      </c>
      <c r="L26" s="50">
        <f>'дод 3'!M73</f>
        <v>0</v>
      </c>
      <c r="M26" s="50">
        <f>'дод 3'!N73</f>
        <v>4630000</v>
      </c>
      <c r="N26" s="50">
        <f>'дод 3'!O73</f>
        <v>4630000</v>
      </c>
      <c r="O26" s="50">
        <f>'дод 3'!P73</f>
        <v>14737000</v>
      </c>
      <c r="P26" s="267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</row>
    <row r="27" spans="1:35" ht="33" customHeight="1" x14ac:dyDescent="0.25">
      <c r="A27" s="5" t="s">
        <v>184</v>
      </c>
      <c r="B27" s="5" t="s">
        <v>95</v>
      </c>
      <c r="C27" s="18" t="s">
        <v>581</v>
      </c>
      <c r="D27" s="50">
        <f>'дод 3'!E74</f>
        <v>2824007</v>
      </c>
      <c r="E27" s="50">
        <f>'дод 3'!F74</f>
        <v>2824007</v>
      </c>
      <c r="F27" s="50">
        <f>'дод 3'!G74</f>
        <v>2181762</v>
      </c>
      <c r="G27" s="50">
        <f>'дод 3'!H74</f>
        <v>121300</v>
      </c>
      <c r="H27" s="50">
        <f>'дод 3'!I74</f>
        <v>0</v>
      </c>
      <c r="I27" s="50">
        <f>'дод 3'!J74</f>
        <v>13000</v>
      </c>
      <c r="J27" s="50">
        <f>'дод 3'!K74</f>
        <v>0</v>
      </c>
      <c r="K27" s="50">
        <f>'дод 3'!L74</f>
        <v>0</v>
      </c>
      <c r="L27" s="50">
        <f>'дод 3'!M74</f>
        <v>0</v>
      </c>
      <c r="M27" s="50">
        <f>'дод 3'!N74</f>
        <v>13000</v>
      </c>
      <c r="N27" s="50">
        <f>'дод 3'!O74</f>
        <v>13000</v>
      </c>
      <c r="O27" s="50">
        <f>'дод 3'!P74</f>
        <v>2837007</v>
      </c>
      <c r="P27" s="267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</row>
    <row r="28" spans="1:35" ht="25.5" customHeight="1" x14ac:dyDescent="0.25">
      <c r="A28" s="5" t="s">
        <v>358</v>
      </c>
      <c r="B28" s="5"/>
      <c r="C28" s="18" t="s">
        <v>356</v>
      </c>
      <c r="D28" s="50">
        <f>D30+D32</f>
        <v>7636623</v>
      </c>
      <c r="E28" s="50">
        <f t="shared" ref="E28:O28" si="3">E30+E32</f>
        <v>7636623</v>
      </c>
      <c r="F28" s="50">
        <f t="shared" si="3"/>
        <v>5051740</v>
      </c>
      <c r="G28" s="50">
        <f t="shared" si="3"/>
        <v>460470</v>
      </c>
      <c r="H28" s="50">
        <f t="shared" si="3"/>
        <v>0</v>
      </c>
      <c r="I28" s="50">
        <f t="shared" si="3"/>
        <v>349361</v>
      </c>
      <c r="J28" s="50">
        <f t="shared" si="3"/>
        <v>0</v>
      </c>
      <c r="K28" s="50">
        <f t="shared" si="3"/>
        <v>0</v>
      </c>
      <c r="L28" s="50">
        <f t="shared" si="3"/>
        <v>0</v>
      </c>
      <c r="M28" s="50">
        <f t="shared" si="3"/>
        <v>349361</v>
      </c>
      <c r="N28" s="50">
        <f t="shared" si="3"/>
        <v>349361</v>
      </c>
      <c r="O28" s="50">
        <f t="shared" si="3"/>
        <v>7985984</v>
      </c>
      <c r="P28" s="267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</row>
    <row r="29" spans="1:35" ht="25.5" customHeight="1" x14ac:dyDescent="0.25">
      <c r="B29" s="5"/>
      <c r="C29" s="13" t="s">
        <v>416</v>
      </c>
      <c r="D29" s="50">
        <f>D31</f>
        <v>0</v>
      </c>
      <c r="E29" s="50">
        <f t="shared" ref="E29:O29" si="4">E31</f>
        <v>0</v>
      </c>
      <c r="F29" s="50">
        <f t="shared" si="4"/>
        <v>0</v>
      </c>
      <c r="G29" s="50">
        <f t="shared" si="4"/>
        <v>0</v>
      </c>
      <c r="H29" s="50">
        <f t="shared" si="4"/>
        <v>0</v>
      </c>
      <c r="I29" s="50">
        <f t="shared" si="4"/>
        <v>107950</v>
      </c>
      <c r="J29" s="50">
        <f t="shared" si="4"/>
        <v>0</v>
      </c>
      <c r="K29" s="50">
        <f t="shared" si="4"/>
        <v>0</v>
      </c>
      <c r="L29" s="50">
        <f t="shared" si="4"/>
        <v>0</v>
      </c>
      <c r="M29" s="50">
        <f t="shared" si="4"/>
        <v>107950</v>
      </c>
      <c r="N29" s="50">
        <f t="shared" si="4"/>
        <v>107950</v>
      </c>
      <c r="O29" s="50">
        <f t="shared" si="4"/>
        <v>107950</v>
      </c>
      <c r="P29" s="267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</row>
    <row r="30" spans="1:35" s="8" customFormat="1" ht="36" customHeight="1" x14ac:dyDescent="0.25">
      <c r="A30" s="7" t="s">
        <v>444</v>
      </c>
      <c r="B30" s="7" t="s">
        <v>95</v>
      </c>
      <c r="C30" s="40" t="s">
        <v>446</v>
      </c>
      <c r="D30" s="51">
        <f>'дод 3'!E77</f>
        <v>7560823</v>
      </c>
      <c r="E30" s="51">
        <f>'дод 3'!F77</f>
        <v>7560823</v>
      </c>
      <c r="F30" s="51">
        <f>'дод 3'!G77</f>
        <v>5051740</v>
      </c>
      <c r="G30" s="51">
        <f>'дод 3'!H77</f>
        <v>460470</v>
      </c>
      <c r="H30" s="51">
        <f>'дод 3'!I77</f>
        <v>0</v>
      </c>
      <c r="I30" s="51">
        <f>'дод 3'!J77</f>
        <v>349361</v>
      </c>
      <c r="J30" s="51">
        <f>'дод 3'!K77</f>
        <v>0</v>
      </c>
      <c r="K30" s="51">
        <f>'дод 3'!L77</f>
        <v>0</v>
      </c>
      <c r="L30" s="51">
        <f>'дод 3'!M77</f>
        <v>0</v>
      </c>
      <c r="M30" s="51">
        <f>'дод 3'!N77</f>
        <v>349361</v>
      </c>
      <c r="N30" s="51">
        <f>'дод 3'!O77</f>
        <v>349361</v>
      </c>
      <c r="O30" s="51">
        <f>'дод 3'!P77</f>
        <v>7910184</v>
      </c>
      <c r="P30" s="267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</row>
    <row r="31" spans="1:35" s="8" customFormat="1" ht="21" customHeight="1" x14ac:dyDescent="0.25">
      <c r="A31" s="7"/>
      <c r="B31" s="7"/>
      <c r="C31" s="14" t="s">
        <v>416</v>
      </c>
      <c r="D31" s="51">
        <f>'дод 3'!E78</f>
        <v>0</v>
      </c>
      <c r="E31" s="51">
        <f>'дод 3'!F78</f>
        <v>0</v>
      </c>
      <c r="F31" s="51">
        <f>'дод 3'!G78</f>
        <v>0</v>
      </c>
      <c r="G31" s="51">
        <f>'дод 3'!H78</f>
        <v>0</v>
      </c>
      <c r="H31" s="51">
        <f>'дод 3'!I78</f>
        <v>0</v>
      </c>
      <c r="I31" s="51">
        <f>'дод 3'!J78</f>
        <v>107950</v>
      </c>
      <c r="J31" s="51">
        <f>'дод 3'!K78</f>
        <v>0</v>
      </c>
      <c r="K31" s="51">
        <f>'дод 3'!L78</f>
        <v>0</v>
      </c>
      <c r="L31" s="51">
        <f>'дод 3'!M78</f>
        <v>0</v>
      </c>
      <c r="M31" s="51">
        <f>'дод 3'!N78</f>
        <v>107950</v>
      </c>
      <c r="N31" s="51">
        <f>'дод 3'!O78</f>
        <v>107950</v>
      </c>
      <c r="O31" s="51">
        <f>'дод 3'!P78</f>
        <v>107950</v>
      </c>
      <c r="P31" s="267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</row>
    <row r="32" spans="1:35" s="8" customFormat="1" ht="25.5" customHeight="1" x14ac:dyDescent="0.25">
      <c r="A32" s="7" t="s">
        <v>445</v>
      </c>
      <c r="B32" s="7" t="s">
        <v>95</v>
      </c>
      <c r="C32" s="40" t="s">
        <v>447</v>
      </c>
      <c r="D32" s="51">
        <f>'дод 3'!E79</f>
        <v>75800</v>
      </c>
      <c r="E32" s="51">
        <f>'дод 3'!F79</f>
        <v>75800</v>
      </c>
      <c r="F32" s="51">
        <f>'дод 3'!G79</f>
        <v>0</v>
      </c>
      <c r="G32" s="51">
        <f>'дод 3'!H79</f>
        <v>0</v>
      </c>
      <c r="H32" s="51">
        <f>'дод 3'!I79</f>
        <v>0</v>
      </c>
      <c r="I32" s="51">
        <f>'дод 3'!J79</f>
        <v>0</v>
      </c>
      <c r="J32" s="51">
        <f>'дод 3'!K79</f>
        <v>0</v>
      </c>
      <c r="K32" s="51">
        <f>'дод 3'!L79</f>
        <v>0</v>
      </c>
      <c r="L32" s="51">
        <f>'дод 3'!M79</f>
        <v>0</v>
      </c>
      <c r="M32" s="51">
        <f>'дод 3'!N79</f>
        <v>0</v>
      </c>
      <c r="N32" s="51">
        <f>'дод 3'!O79</f>
        <v>0</v>
      </c>
      <c r="O32" s="51">
        <f>'дод 3'!P79</f>
        <v>75800</v>
      </c>
      <c r="P32" s="267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</row>
    <row r="33" spans="1:35" s="21" customFormat="1" ht="23.25" customHeight="1" x14ac:dyDescent="0.25">
      <c r="A33" s="22" t="s">
        <v>96</v>
      </c>
      <c r="B33" s="34"/>
      <c r="C33" s="39" t="s">
        <v>97</v>
      </c>
      <c r="D33" s="54">
        <f>D35+D37+D39+D41+D43+D49+D55</f>
        <v>350229284</v>
      </c>
      <c r="E33" s="54">
        <f t="shared" ref="E33:O33" si="5">E35+E37+E39+E41+E43+E49+E55</f>
        <v>350229284</v>
      </c>
      <c r="F33" s="54">
        <f t="shared" si="5"/>
        <v>0</v>
      </c>
      <c r="G33" s="54">
        <f t="shared" si="5"/>
        <v>0</v>
      </c>
      <c r="H33" s="54">
        <f t="shared" si="5"/>
        <v>0</v>
      </c>
      <c r="I33" s="54">
        <f t="shared" si="5"/>
        <v>49081254</v>
      </c>
      <c r="J33" s="54">
        <f t="shared" si="5"/>
        <v>16983749</v>
      </c>
      <c r="K33" s="54">
        <f t="shared" si="5"/>
        <v>0</v>
      </c>
      <c r="L33" s="54">
        <f t="shared" si="5"/>
        <v>0</v>
      </c>
      <c r="M33" s="54">
        <f t="shared" si="5"/>
        <v>32097505</v>
      </c>
      <c r="N33" s="54">
        <f t="shared" si="5"/>
        <v>32097505</v>
      </c>
      <c r="O33" s="54">
        <f t="shared" si="5"/>
        <v>399310538</v>
      </c>
      <c r="P33" s="267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</row>
    <row r="34" spans="1:35" s="21" customFormat="1" ht="23.25" customHeight="1" x14ac:dyDescent="0.25">
      <c r="A34" s="22"/>
      <c r="B34" s="34"/>
      <c r="C34" s="11" t="s">
        <v>416</v>
      </c>
      <c r="D34" s="54">
        <f t="shared" ref="D34:O34" si="6">D36+D38+D40+D42+D44+D56+D50</f>
        <v>257802270</v>
      </c>
      <c r="E34" s="54">
        <f t="shared" si="6"/>
        <v>257802270</v>
      </c>
      <c r="F34" s="54">
        <f t="shared" si="6"/>
        <v>0</v>
      </c>
      <c r="G34" s="54">
        <f t="shared" si="6"/>
        <v>0</v>
      </c>
      <c r="H34" s="54">
        <f t="shared" si="6"/>
        <v>0</v>
      </c>
      <c r="I34" s="54">
        <f t="shared" si="6"/>
        <v>0</v>
      </c>
      <c r="J34" s="54">
        <f t="shared" si="6"/>
        <v>0</v>
      </c>
      <c r="K34" s="54">
        <f t="shared" si="6"/>
        <v>0</v>
      </c>
      <c r="L34" s="54">
        <f t="shared" si="6"/>
        <v>0</v>
      </c>
      <c r="M34" s="54">
        <f t="shared" si="6"/>
        <v>0</v>
      </c>
      <c r="N34" s="54">
        <f t="shared" si="6"/>
        <v>0</v>
      </c>
      <c r="O34" s="54">
        <f t="shared" si="6"/>
        <v>257802270</v>
      </c>
      <c r="P34" s="267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</row>
    <row r="35" spans="1:35" ht="31.5" x14ac:dyDescent="0.25">
      <c r="A35" s="5" t="s">
        <v>98</v>
      </c>
      <c r="B35" s="5" t="s">
        <v>99</v>
      </c>
      <c r="C35" s="18" t="s">
        <v>53</v>
      </c>
      <c r="D35" s="50">
        <f>'дод 3'!E97</f>
        <v>231448871</v>
      </c>
      <c r="E35" s="50">
        <f>'дод 3'!F97</f>
        <v>231448871</v>
      </c>
      <c r="F35" s="50">
        <f>'дод 3'!G97</f>
        <v>0</v>
      </c>
      <c r="G35" s="50">
        <f>'дод 3'!H97</f>
        <v>0</v>
      </c>
      <c r="H35" s="50">
        <f>'дод 3'!I97</f>
        <v>0</v>
      </c>
      <c r="I35" s="50">
        <f>'дод 3'!J97</f>
        <v>39809769</v>
      </c>
      <c r="J35" s="50">
        <f>'дод 3'!K97</f>
        <v>11318360</v>
      </c>
      <c r="K35" s="50">
        <f>'дод 3'!L97</f>
        <v>0</v>
      </c>
      <c r="L35" s="50">
        <f>'дод 3'!M97</f>
        <v>0</v>
      </c>
      <c r="M35" s="50">
        <f>'дод 3'!N97</f>
        <v>28491409</v>
      </c>
      <c r="N35" s="50">
        <f>'дод 3'!O97</f>
        <v>28491409</v>
      </c>
      <c r="O35" s="50">
        <f>'дод 3'!P97</f>
        <v>271258640</v>
      </c>
      <c r="P35" s="267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</row>
    <row r="36" spans="1:35" ht="15.75" customHeight="1" x14ac:dyDescent="0.25">
      <c r="B36" s="5"/>
      <c r="C36" s="13" t="s">
        <v>416</v>
      </c>
      <c r="D36" s="50">
        <f>'дод 3'!E98</f>
        <v>155879126</v>
      </c>
      <c r="E36" s="50">
        <f>'дод 3'!F98</f>
        <v>155879126</v>
      </c>
      <c r="F36" s="50">
        <f>'дод 3'!G98</f>
        <v>0</v>
      </c>
      <c r="G36" s="50">
        <f>'дод 3'!H98</f>
        <v>0</v>
      </c>
      <c r="H36" s="50">
        <f>'дод 3'!I98</f>
        <v>0</v>
      </c>
      <c r="I36" s="50">
        <f>'дод 3'!J98</f>
        <v>0</v>
      </c>
      <c r="J36" s="50">
        <f>'дод 3'!K98</f>
        <v>0</v>
      </c>
      <c r="K36" s="50">
        <f>'дод 3'!L98</f>
        <v>0</v>
      </c>
      <c r="L36" s="50">
        <f>'дод 3'!M98</f>
        <v>0</v>
      </c>
      <c r="M36" s="50">
        <f>'дод 3'!N98</f>
        <v>0</v>
      </c>
      <c r="N36" s="50">
        <f>'дод 3'!O98</f>
        <v>0</v>
      </c>
      <c r="O36" s="50">
        <f>'дод 3'!P98</f>
        <v>155879126</v>
      </c>
      <c r="P36" s="267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</row>
    <row r="37" spans="1:35" ht="42.75" customHeight="1" x14ac:dyDescent="0.25">
      <c r="A37" s="5" t="s">
        <v>185</v>
      </c>
      <c r="B37" s="5" t="s">
        <v>100</v>
      </c>
      <c r="C37" s="18" t="s">
        <v>186</v>
      </c>
      <c r="D37" s="50">
        <f>'дод 3'!E99</f>
        <v>33901542</v>
      </c>
      <c r="E37" s="50">
        <f>'дод 3'!F99</f>
        <v>33901542</v>
      </c>
      <c r="F37" s="50">
        <f>'дод 3'!G99</f>
        <v>0</v>
      </c>
      <c r="G37" s="50">
        <f>'дод 3'!H99</f>
        <v>0</v>
      </c>
      <c r="H37" s="50">
        <f>'дод 3'!I99</f>
        <v>0</v>
      </c>
      <c r="I37" s="50">
        <f>'дод 3'!J99</f>
        <v>157300</v>
      </c>
      <c r="J37" s="50">
        <f>'дод 3'!K99</f>
        <v>27300</v>
      </c>
      <c r="K37" s="50">
        <f>'дод 3'!L99</f>
        <v>0</v>
      </c>
      <c r="L37" s="50">
        <f>'дод 3'!M99</f>
        <v>0</v>
      </c>
      <c r="M37" s="50">
        <f>'дод 3'!N99</f>
        <v>130000</v>
      </c>
      <c r="N37" s="50">
        <f>'дод 3'!O99</f>
        <v>130000</v>
      </c>
      <c r="O37" s="50">
        <f>'дод 3'!P99</f>
        <v>34058842</v>
      </c>
      <c r="P37" s="266">
        <v>38</v>
      </c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</row>
    <row r="38" spans="1:35" ht="24" customHeight="1" x14ac:dyDescent="0.25">
      <c r="B38" s="5"/>
      <c r="C38" s="13" t="s">
        <v>416</v>
      </c>
      <c r="D38" s="50">
        <f>'дод 3'!E100</f>
        <v>24253709</v>
      </c>
      <c r="E38" s="50">
        <f>'дод 3'!F100</f>
        <v>24253709</v>
      </c>
      <c r="F38" s="50">
        <f>'дод 3'!G100</f>
        <v>0</v>
      </c>
      <c r="G38" s="50">
        <f>'дод 3'!H100</f>
        <v>0</v>
      </c>
      <c r="H38" s="50">
        <f>'дод 3'!I100</f>
        <v>0</v>
      </c>
      <c r="I38" s="50">
        <f>'дод 3'!J100</f>
        <v>0</v>
      </c>
      <c r="J38" s="50">
        <f>'дод 3'!K100</f>
        <v>0</v>
      </c>
      <c r="K38" s="50">
        <f>'дод 3'!L100</f>
        <v>0</v>
      </c>
      <c r="L38" s="50">
        <f>'дод 3'!M100</f>
        <v>0</v>
      </c>
      <c r="M38" s="50">
        <f>'дод 3'!N100</f>
        <v>0</v>
      </c>
      <c r="N38" s="50">
        <f>'дод 3'!O100</f>
        <v>0</v>
      </c>
      <c r="O38" s="50">
        <f>'дод 3'!P100</f>
        <v>24253709</v>
      </c>
      <c r="P38" s="266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</row>
    <row r="39" spans="1:35" ht="33" customHeight="1" x14ac:dyDescent="0.25">
      <c r="A39" s="5" t="s">
        <v>187</v>
      </c>
      <c r="B39" s="5" t="s">
        <v>101</v>
      </c>
      <c r="C39" s="18" t="s">
        <v>495</v>
      </c>
      <c r="D39" s="50">
        <f>'дод 3'!E101</f>
        <v>1021389</v>
      </c>
      <c r="E39" s="50">
        <f>'дод 3'!F101</f>
        <v>1021389</v>
      </c>
      <c r="F39" s="50">
        <f>'дод 3'!G101</f>
        <v>0</v>
      </c>
      <c r="G39" s="50">
        <f>'дод 3'!H101</f>
        <v>0</v>
      </c>
      <c r="H39" s="50">
        <f>'дод 3'!I101</f>
        <v>0</v>
      </c>
      <c r="I39" s="50">
        <f>'дод 3'!J101</f>
        <v>412100</v>
      </c>
      <c r="J39" s="50">
        <f>'дод 3'!K101</f>
        <v>412100</v>
      </c>
      <c r="K39" s="50">
        <f>'дод 3'!L101</f>
        <v>0</v>
      </c>
      <c r="L39" s="50">
        <f>'дод 3'!M101</f>
        <v>0</v>
      </c>
      <c r="M39" s="50">
        <f>'дод 3'!N101</f>
        <v>0</v>
      </c>
      <c r="N39" s="50">
        <f>'дод 3'!O101</f>
        <v>0</v>
      </c>
      <c r="O39" s="50">
        <f>'дод 3'!P101</f>
        <v>1433489</v>
      </c>
      <c r="P39" s="266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</row>
    <row r="40" spans="1:35" ht="27" customHeight="1" x14ac:dyDescent="0.25">
      <c r="B40" s="5"/>
      <c r="C40" s="13" t="s">
        <v>416</v>
      </c>
      <c r="D40" s="50">
        <f>'дод 3'!E102</f>
        <v>925907</v>
      </c>
      <c r="E40" s="50">
        <f>'дод 3'!F102</f>
        <v>925907</v>
      </c>
      <c r="F40" s="50">
        <f>'дод 3'!G102</f>
        <v>0</v>
      </c>
      <c r="G40" s="50">
        <f>'дод 3'!H102</f>
        <v>0</v>
      </c>
      <c r="H40" s="50">
        <f>'дод 3'!I102</f>
        <v>0</v>
      </c>
      <c r="I40" s="50">
        <f>'дод 3'!J102</f>
        <v>0</v>
      </c>
      <c r="J40" s="50">
        <f>'дод 3'!K102</f>
        <v>0</v>
      </c>
      <c r="K40" s="50">
        <f>'дод 3'!L102</f>
        <v>0</v>
      </c>
      <c r="L40" s="50">
        <f>'дод 3'!M102</f>
        <v>0</v>
      </c>
      <c r="M40" s="50">
        <f>'дод 3'!N102</f>
        <v>0</v>
      </c>
      <c r="N40" s="50">
        <f>'дод 3'!O102</f>
        <v>0</v>
      </c>
      <c r="O40" s="50">
        <f>'дод 3'!P102</f>
        <v>925907</v>
      </c>
      <c r="P40" s="266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</row>
    <row r="41" spans="1:35" ht="25.5" customHeight="1" x14ac:dyDescent="0.25">
      <c r="A41" s="5" t="s">
        <v>188</v>
      </c>
      <c r="B41" s="5" t="s">
        <v>102</v>
      </c>
      <c r="C41" s="18" t="s">
        <v>189</v>
      </c>
      <c r="D41" s="50">
        <f>'дод 3'!E103</f>
        <v>6400304</v>
      </c>
      <c r="E41" s="50">
        <f>'дод 3'!F103</f>
        <v>6400304</v>
      </c>
      <c r="F41" s="50">
        <f>'дод 3'!G103</f>
        <v>0</v>
      </c>
      <c r="G41" s="50">
        <f>'дод 3'!H103</f>
        <v>0</v>
      </c>
      <c r="H41" s="50">
        <f>'дод 3'!I103</f>
        <v>0</v>
      </c>
      <c r="I41" s="50">
        <f>'дод 3'!J103</f>
        <v>5058989</v>
      </c>
      <c r="J41" s="50">
        <f>'дод 3'!K103</f>
        <v>5058989</v>
      </c>
      <c r="K41" s="50">
        <f>'дод 3'!L103</f>
        <v>0</v>
      </c>
      <c r="L41" s="50">
        <f>'дод 3'!M103</f>
        <v>0</v>
      </c>
      <c r="M41" s="50">
        <f>'дод 3'!N103</f>
        <v>0</v>
      </c>
      <c r="N41" s="50">
        <f>'дод 3'!O103</f>
        <v>0</v>
      </c>
      <c r="O41" s="50">
        <f>'дод 3'!P103</f>
        <v>11459293</v>
      </c>
      <c r="P41" s="266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</row>
    <row r="42" spans="1:35" ht="25.5" customHeight="1" x14ac:dyDescent="0.25">
      <c r="B42" s="5"/>
      <c r="C42" s="13" t="s">
        <v>416</v>
      </c>
      <c r="D42" s="50">
        <f>'дод 3'!E104</f>
        <v>5240025</v>
      </c>
      <c r="E42" s="50">
        <f>'дод 3'!F104</f>
        <v>5240025</v>
      </c>
      <c r="F42" s="50">
        <f>'дод 3'!G104</f>
        <v>0</v>
      </c>
      <c r="G42" s="50">
        <f>'дод 3'!H104</f>
        <v>0</v>
      </c>
      <c r="H42" s="50">
        <f>'дод 3'!I104</f>
        <v>0</v>
      </c>
      <c r="I42" s="50">
        <f>'дод 3'!J104</f>
        <v>0</v>
      </c>
      <c r="J42" s="50">
        <f>'дод 3'!K104</f>
        <v>0</v>
      </c>
      <c r="K42" s="50">
        <f>'дод 3'!L104</f>
        <v>0</v>
      </c>
      <c r="L42" s="50">
        <f>'дод 3'!M104</f>
        <v>0</v>
      </c>
      <c r="M42" s="50">
        <f>'дод 3'!N104</f>
        <v>0</v>
      </c>
      <c r="N42" s="50">
        <f>'дод 3'!O104</f>
        <v>0</v>
      </c>
      <c r="O42" s="50">
        <f>'дод 3'!P104</f>
        <v>5240025</v>
      </c>
      <c r="P42" s="266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</row>
    <row r="43" spans="1:35" ht="22.5" customHeight="1" x14ac:dyDescent="0.25">
      <c r="A43" s="5" t="s">
        <v>190</v>
      </c>
      <c r="B43" s="5"/>
      <c r="C43" s="41" t="s">
        <v>496</v>
      </c>
      <c r="D43" s="50">
        <f>D45+D47</f>
        <v>56441730</v>
      </c>
      <c r="E43" s="50">
        <f t="shared" ref="E43:O43" si="7">E45+E47</f>
        <v>56441730</v>
      </c>
      <c r="F43" s="50">
        <f t="shared" si="7"/>
        <v>0</v>
      </c>
      <c r="G43" s="50">
        <f t="shared" si="7"/>
        <v>0</v>
      </c>
      <c r="H43" s="50">
        <f t="shared" si="7"/>
        <v>0</v>
      </c>
      <c r="I43" s="50">
        <f t="shared" si="7"/>
        <v>236600</v>
      </c>
      <c r="J43" s="50">
        <f t="shared" si="7"/>
        <v>167000</v>
      </c>
      <c r="K43" s="50">
        <f t="shared" si="7"/>
        <v>0</v>
      </c>
      <c r="L43" s="50">
        <f t="shared" si="7"/>
        <v>0</v>
      </c>
      <c r="M43" s="50">
        <f t="shared" si="7"/>
        <v>69600</v>
      </c>
      <c r="N43" s="50">
        <f t="shared" si="7"/>
        <v>69600</v>
      </c>
      <c r="O43" s="50">
        <f t="shared" si="7"/>
        <v>56678330</v>
      </c>
      <c r="P43" s="266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</row>
    <row r="44" spans="1:35" ht="22.5" customHeight="1" x14ac:dyDescent="0.25">
      <c r="B44" s="5"/>
      <c r="C44" s="13" t="s">
        <v>416</v>
      </c>
      <c r="D44" s="50">
        <f>D46+D48</f>
        <v>53666300</v>
      </c>
      <c r="E44" s="50">
        <f t="shared" ref="E44:O44" si="8">E46+E48</f>
        <v>53666300</v>
      </c>
      <c r="F44" s="50">
        <f t="shared" si="8"/>
        <v>0</v>
      </c>
      <c r="G44" s="50">
        <f t="shared" si="8"/>
        <v>0</v>
      </c>
      <c r="H44" s="50">
        <f t="shared" si="8"/>
        <v>0</v>
      </c>
      <c r="I44" s="50">
        <f t="shared" si="8"/>
        <v>0</v>
      </c>
      <c r="J44" s="50">
        <f t="shared" si="8"/>
        <v>0</v>
      </c>
      <c r="K44" s="50">
        <f t="shared" si="8"/>
        <v>0</v>
      </c>
      <c r="L44" s="50">
        <f t="shared" si="8"/>
        <v>0</v>
      </c>
      <c r="M44" s="50">
        <f t="shared" si="8"/>
        <v>0</v>
      </c>
      <c r="N44" s="50">
        <f t="shared" si="8"/>
        <v>0</v>
      </c>
      <c r="O44" s="50">
        <f t="shared" si="8"/>
        <v>53666300</v>
      </c>
      <c r="P44" s="266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</row>
    <row r="45" spans="1:35" s="8" customFormat="1" ht="54" customHeight="1" x14ac:dyDescent="0.25">
      <c r="A45" s="7" t="s">
        <v>191</v>
      </c>
      <c r="B45" s="7" t="s">
        <v>497</v>
      </c>
      <c r="C45" s="40" t="s">
        <v>192</v>
      </c>
      <c r="D45" s="51">
        <f>'дод 3'!E107</f>
        <v>24981188</v>
      </c>
      <c r="E45" s="51">
        <f>'дод 3'!F107</f>
        <v>24981188</v>
      </c>
      <c r="F45" s="51">
        <f>'дод 3'!G107</f>
        <v>0</v>
      </c>
      <c r="G45" s="51">
        <f>'дод 3'!H107</f>
        <v>0</v>
      </c>
      <c r="H45" s="51">
        <f>'дод 3'!I107</f>
        <v>0</v>
      </c>
      <c r="I45" s="51">
        <f>'дод 3'!J107</f>
        <v>202000</v>
      </c>
      <c r="J45" s="51">
        <f>'дод 3'!K107</f>
        <v>167000</v>
      </c>
      <c r="K45" s="51">
        <f>'дод 3'!L107</f>
        <v>0</v>
      </c>
      <c r="L45" s="51">
        <f>'дод 3'!M107</f>
        <v>0</v>
      </c>
      <c r="M45" s="51">
        <f>'дод 3'!N107</f>
        <v>35000</v>
      </c>
      <c r="N45" s="51">
        <f>'дод 3'!O107</f>
        <v>35000</v>
      </c>
      <c r="O45" s="51">
        <f>'дод 3'!P107</f>
        <v>25183188</v>
      </c>
      <c r="P45" s="266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</row>
    <row r="46" spans="1:35" s="8" customFormat="1" ht="21.75" customHeight="1" x14ac:dyDescent="0.25">
      <c r="A46" s="7"/>
      <c r="B46" s="7"/>
      <c r="C46" s="14" t="s">
        <v>416</v>
      </c>
      <c r="D46" s="51">
        <f>'дод 3'!E108</f>
        <v>23220330</v>
      </c>
      <c r="E46" s="51">
        <f>'дод 3'!F108</f>
        <v>23220330</v>
      </c>
      <c r="F46" s="51">
        <f>'дод 3'!G108</f>
        <v>0</v>
      </c>
      <c r="G46" s="51">
        <f>'дод 3'!H108</f>
        <v>0</v>
      </c>
      <c r="H46" s="51">
        <f>'дод 3'!I108</f>
        <v>0</v>
      </c>
      <c r="I46" s="51">
        <f>'дод 3'!J108</f>
        <v>0</v>
      </c>
      <c r="J46" s="51">
        <f>'дод 3'!K108</f>
        <v>0</v>
      </c>
      <c r="K46" s="51">
        <f>'дод 3'!L108</f>
        <v>0</v>
      </c>
      <c r="L46" s="51">
        <f>'дод 3'!M108</f>
        <v>0</v>
      </c>
      <c r="M46" s="51">
        <f>'дод 3'!N108</f>
        <v>0</v>
      </c>
      <c r="N46" s="51">
        <f>'дод 3'!O108</f>
        <v>0</v>
      </c>
      <c r="O46" s="51">
        <f>'дод 3'!P108</f>
        <v>23220330</v>
      </c>
      <c r="P46" s="266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</row>
    <row r="47" spans="1:35" s="8" customFormat="1" ht="52.5" customHeight="1" x14ac:dyDescent="0.25">
      <c r="A47" s="7" t="s">
        <v>584</v>
      </c>
      <c r="B47" s="7" t="s">
        <v>101</v>
      </c>
      <c r="C47" s="40" t="s">
        <v>582</v>
      </c>
      <c r="D47" s="51">
        <f>'дод 3'!E109</f>
        <v>31460542</v>
      </c>
      <c r="E47" s="51">
        <f>'дод 3'!F109</f>
        <v>31460542</v>
      </c>
      <c r="F47" s="51">
        <f>'дод 3'!G109</f>
        <v>0</v>
      </c>
      <c r="G47" s="51">
        <f>'дод 3'!H109</f>
        <v>0</v>
      </c>
      <c r="H47" s="51">
        <f>'дод 3'!I109</f>
        <v>0</v>
      </c>
      <c r="I47" s="51">
        <f>'дод 3'!J109</f>
        <v>34600</v>
      </c>
      <c r="J47" s="51">
        <f>'дод 3'!K109</f>
        <v>0</v>
      </c>
      <c r="K47" s="51">
        <f>'дод 3'!L109</f>
        <v>0</v>
      </c>
      <c r="L47" s="51">
        <f>'дод 3'!M109</f>
        <v>0</v>
      </c>
      <c r="M47" s="51">
        <f>'дод 3'!N109</f>
        <v>34600</v>
      </c>
      <c r="N47" s="51">
        <f>'дод 3'!O109</f>
        <v>34600</v>
      </c>
      <c r="O47" s="51">
        <f>'дод 3'!P109</f>
        <v>31495142</v>
      </c>
      <c r="P47" s="266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</row>
    <row r="48" spans="1:35" s="8" customFormat="1" ht="21.75" customHeight="1" x14ac:dyDescent="0.25">
      <c r="A48" s="7"/>
      <c r="B48" s="7"/>
      <c r="C48" s="14" t="s">
        <v>416</v>
      </c>
      <c r="D48" s="51">
        <f>'дод 3'!E110</f>
        <v>30445970</v>
      </c>
      <c r="E48" s="51">
        <f>'дод 3'!F110</f>
        <v>30445970</v>
      </c>
      <c r="F48" s="51">
        <f>'дод 3'!G110</f>
        <v>0</v>
      </c>
      <c r="G48" s="51">
        <f>'дод 3'!H110</f>
        <v>0</v>
      </c>
      <c r="H48" s="51">
        <f>'дод 3'!I110</f>
        <v>0</v>
      </c>
      <c r="I48" s="51">
        <f>'дод 3'!J110</f>
        <v>0</v>
      </c>
      <c r="J48" s="51">
        <f>'дод 3'!K110</f>
        <v>0</v>
      </c>
      <c r="K48" s="51">
        <f>'дод 3'!L110</f>
        <v>0</v>
      </c>
      <c r="L48" s="51">
        <f>'дод 3'!M110</f>
        <v>0</v>
      </c>
      <c r="M48" s="51">
        <f>'дод 3'!N110</f>
        <v>0</v>
      </c>
      <c r="N48" s="51">
        <f>'дод 3'!O110</f>
        <v>0</v>
      </c>
      <c r="O48" s="51">
        <f>'дод 3'!P110</f>
        <v>30445970</v>
      </c>
      <c r="P48" s="266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</row>
    <row r="49" spans="1:35" ht="40.5" customHeight="1" x14ac:dyDescent="0.25">
      <c r="A49" s="24">
        <v>2140</v>
      </c>
      <c r="B49" s="24"/>
      <c r="C49" s="41" t="s">
        <v>167</v>
      </c>
      <c r="D49" s="50">
        <f t="shared" ref="D49:O49" si="9">D51+D53</f>
        <v>14043000</v>
      </c>
      <c r="E49" s="50">
        <f t="shared" si="9"/>
        <v>14043000</v>
      </c>
      <c r="F49" s="50">
        <f t="shared" si="9"/>
        <v>0</v>
      </c>
      <c r="G49" s="50">
        <f t="shared" si="9"/>
        <v>0</v>
      </c>
      <c r="H49" s="50">
        <f t="shared" si="9"/>
        <v>0</v>
      </c>
      <c r="I49" s="50">
        <f t="shared" si="9"/>
        <v>0</v>
      </c>
      <c r="J49" s="50">
        <f t="shared" si="9"/>
        <v>0</v>
      </c>
      <c r="K49" s="50">
        <f t="shared" si="9"/>
        <v>0</v>
      </c>
      <c r="L49" s="50">
        <f t="shared" si="9"/>
        <v>0</v>
      </c>
      <c r="M49" s="50">
        <f t="shared" si="9"/>
        <v>0</v>
      </c>
      <c r="N49" s="50">
        <f t="shared" si="9"/>
        <v>0</v>
      </c>
      <c r="O49" s="50">
        <f t="shared" si="9"/>
        <v>14043000</v>
      </c>
      <c r="P49" s="266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</row>
    <row r="50" spans="1:35" ht="22.5" customHeight="1" x14ac:dyDescent="0.25">
      <c r="A50" s="24"/>
      <c r="B50" s="24"/>
      <c r="C50" s="13" t="s">
        <v>416</v>
      </c>
      <c r="D50" s="50">
        <f t="shared" ref="D50:O50" si="10">D51+D54</f>
        <v>14043000</v>
      </c>
      <c r="E50" s="50">
        <f t="shared" si="10"/>
        <v>14043000</v>
      </c>
      <c r="F50" s="50">
        <f t="shared" si="10"/>
        <v>0</v>
      </c>
      <c r="G50" s="50">
        <f t="shared" si="10"/>
        <v>0</v>
      </c>
      <c r="H50" s="50">
        <f t="shared" si="10"/>
        <v>0</v>
      </c>
      <c r="I50" s="50">
        <f t="shared" si="10"/>
        <v>0</v>
      </c>
      <c r="J50" s="50">
        <f t="shared" si="10"/>
        <v>0</v>
      </c>
      <c r="K50" s="50">
        <f t="shared" si="10"/>
        <v>0</v>
      </c>
      <c r="L50" s="50">
        <f t="shared" si="10"/>
        <v>0</v>
      </c>
      <c r="M50" s="50">
        <f t="shared" si="10"/>
        <v>0</v>
      </c>
      <c r="N50" s="50">
        <f t="shared" si="10"/>
        <v>0</v>
      </c>
      <c r="O50" s="50">
        <f t="shared" si="10"/>
        <v>14043000</v>
      </c>
      <c r="P50" s="266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</row>
    <row r="51" spans="1:35" s="8" customFormat="1" ht="36.75" customHeight="1" x14ac:dyDescent="0.25">
      <c r="A51" s="25">
        <v>2144</v>
      </c>
      <c r="B51" s="7" t="s">
        <v>103</v>
      </c>
      <c r="C51" s="45" t="s">
        <v>193</v>
      </c>
      <c r="D51" s="51">
        <f>'дод 3'!E113</f>
        <v>7131500</v>
      </c>
      <c r="E51" s="51">
        <f>'дод 3'!F113</f>
        <v>7131500</v>
      </c>
      <c r="F51" s="51">
        <f>'дод 3'!G113</f>
        <v>0</v>
      </c>
      <c r="G51" s="51">
        <f>'дод 3'!H113</f>
        <v>0</v>
      </c>
      <c r="H51" s="51">
        <f>'дод 3'!I113</f>
        <v>0</v>
      </c>
      <c r="I51" s="51">
        <f>'дод 3'!J113</f>
        <v>0</v>
      </c>
      <c r="J51" s="51">
        <f>'дод 3'!K113</f>
        <v>0</v>
      </c>
      <c r="K51" s="51">
        <f>'дод 3'!L113</f>
        <v>0</v>
      </c>
      <c r="L51" s="51">
        <f>'дод 3'!M113</f>
        <v>0</v>
      </c>
      <c r="M51" s="51">
        <f>'дод 3'!N113</f>
        <v>0</v>
      </c>
      <c r="N51" s="51">
        <f>'дод 3'!O113</f>
        <v>0</v>
      </c>
      <c r="O51" s="51">
        <f>'дод 3'!P113</f>
        <v>7131500</v>
      </c>
      <c r="P51" s="266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</row>
    <row r="52" spans="1:35" s="8" customFormat="1" ht="24.75" customHeight="1" x14ac:dyDescent="0.25">
      <c r="A52" s="25"/>
      <c r="B52" s="7"/>
      <c r="C52" s="14" t="s">
        <v>416</v>
      </c>
      <c r="D52" s="51">
        <f>'дод 3'!E114</f>
        <v>7131500</v>
      </c>
      <c r="E52" s="51">
        <f>'дод 3'!F114</f>
        <v>7131500</v>
      </c>
      <c r="F52" s="51">
        <f>'дод 3'!G114</f>
        <v>0</v>
      </c>
      <c r="G52" s="51">
        <f>'дод 3'!H114</f>
        <v>0</v>
      </c>
      <c r="H52" s="51">
        <f>'дод 3'!I114</f>
        <v>0</v>
      </c>
      <c r="I52" s="51">
        <f>'дод 3'!J114</f>
        <v>0</v>
      </c>
      <c r="J52" s="51">
        <f>'дод 3'!K114</f>
        <v>0</v>
      </c>
      <c r="K52" s="51">
        <f>'дод 3'!L114</f>
        <v>0</v>
      </c>
      <c r="L52" s="51">
        <f>'дод 3'!M114</f>
        <v>0</v>
      </c>
      <c r="M52" s="51">
        <f>'дод 3'!N114</f>
        <v>0</v>
      </c>
      <c r="N52" s="51">
        <f>'дод 3'!O114</f>
        <v>0</v>
      </c>
      <c r="O52" s="51">
        <f>'дод 3'!P114</f>
        <v>7131500</v>
      </c>
      <c r="P52" s="266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</row>
    <row r="53" spans="1:35" s="8" customFormat="1" ht="32.25" customHeight="1" x14ac:dyDescent="0.25">
      <c r="A53" s="25">
        <v>2146</v>
      </c>
      <c r="B53" s="7" t="s">
        <v>103</v>
      </c>
      <c r="C53" s="45" t="s">
        <v>513</v>
      </c>
      <c r="D53" s="51">
        <f>'дод 3'!E115</f>
        <v>6911500</v>
      </c>
      <c r="E53" s="51">
        <f>'дод 3'!F115</f>
        <v>6911500</v>
      </c>
      <c r="F53" s="51">
        <f>'дод 3'!G115</f>
        <v>0</v>
      </c>
      <c r="G53" s="51">
        <f>'дод 3'!H115</f>
        <v>0</v>
      </c>
      <c r="H53" s="51">
        <f>'дод 3'!I115</f>
        <v>0</v>
      </c>
      <c r="I53" s="51">
        <f>'дод 3'!J115</f>
        <v>0</v>
      </c>
      <c r="J53" s="51">
        <f>'дод 3'!K115</f>
        <v>0</v>
      </c>
      <c r="K53" s="51">
        <f>'дод 3'!L115</f>
        <v>0</v>
      </c>
      <c r="L53" s="51">
        <f>'дод 3'!M115</f>
        <v>0</v>
      </c>
      <c r="M53" s="51">
        <f>'дод 3'!N115</f>
        <v>0</v>
      </c>
      <c r="N53" s="51">
        <f>'дод 3'!O115</f>
        <v>0</v>
      </c>
      <c r="O53" s="51">
        <f>'дод 3'!P115</f>
        <v>6911500</v>
      </c>
      <c r="P53" s="266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</row>
    <row r="54" spans="1:35" s="8" customFormat="1" ht="24.75" customHeight="1" x14ac:dyDescent="0.25">
      <c r="A54" s="25"/>
      <c r="B54" s="7"/>
      <c r="C54" s="14" t="s">
        <v>416</v>
      </c>
      <c r="D54" s="51">
        <f>'дод 3'!E116</f>
        <v>6911500</v>
      </c>
      <c r="E54" s="51">
        <f>'дод 3'!F116</f>
        <v>6911500</v>
      </c>
      <c r="F54" s="51">
        <f>'дод 3'!G116</f>
        <v>0</v>
      </c>
      <c r="G54" s="51">
        <f>'дод 3'!H116</f>
        <v>0</v>
      </c>
      <c r="H54" s="51">
        <f>'дод 3'!I116</f>
        <v>0</v>
      </c>
      <c r="I54" s="51">
        <f>'дод 3'!J116</f>
        <v>0</v>
      </c>
      <c r="J54" s="51">
        <f>'дод 3'!K116</f>
        <v>0</v>
      </c>
      <c r="K54" s="51">
        <f>'дод 3'!L116</f>
        <v>0</v>
      </c>
      <c r="L54" s="51">
        <f>'дод 3'!M116</f>
        <v>0</v>
      </c>
      <c r="M54" s="51">
        <f>'дод 3'!N116</f>
        <v>0</v>
      </c>
      <c r="N54" s="51">
        <f>'дод 3'!O116</f>
        <v>0</v>
      </c>
      <c r="O54" s="51">
        <f>'дод 3'!P116</f>
        <v>6911500</v>
      </c>
      <c r="P54" s="266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</row>
    <row r="55" spans="1:35" ht="35.25" customHeight="1" x14ac:dyDescent="0.25">
      <c r="A55" s="5" t="s">
        <v>194</v>
      </c>
      <c r="B55" s="5"/>
      <c r="C55" s="18" t="s">
        <v>359</v>
      </c>
      <c r="D55" s="50">
        <f>D57+D59</f>
        <v>6972448</v>
      </c>
      <c r="E55" s="50">
        <f t="shared" ref="E55:O55" si="11">E57+E59</f>
        <v>6972448</v>
      </c>
      <c r="F55" s="50">
        <f t="shared" si="11"/>
        <v>0</v>
      </c>
      <c r="G55" s="50">
        <f t="shared" si="11"/>
        <v>0</v>
      </c>
      <c r="H55" s="50">
        <f t="shared" si="11"/>
        <v>0</v>
      </c>
      <c r="I55" s="50">
        <f t="shared" si="11"/>
        <v>3406496</v>
      </c>
      <c r="J55" s="50">
        <f t="shared" si="11"/>
        <v>0</v>
      </c>
      <c r="K55" s="50">
        <f t="shared" si="11"/>
        <v>0</v>
      </c>
      <c r="L55" s="50">
        <f t="shared" si="11"/>
        <v>0</v>
      </c>
      <c r="M55" s="50">
        <f t="shared" si="11"/>
        <v>3406496</v>
      </c>
      <c r="N55" s="50">
        <f t="shared" si="11"/>
        <v>3406496</v>
      </c>
      <c r="O55" s="50">
        <f t="shared" si="11"/>
        <v>10378944</v>
      </c>
      <c r="P55" s="266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</row>
    <row r="56" spans="1:35" ht="21.75" customHeight="1" x14ac:dyDescent="0.25">
      <c r="B56" s="5"/>
      <c r="C56" s="13" t="s">
        <v>416</v>
      </c>
      <c r="D56" s="50">
        <f>D58+D60</f>
        <v>3794203</v>
      </c>
      <c r="E56" s="50">
        <f t="shared" ref="E56:O56" si="12">E58+E60</f>
        <v>3794203</v>
      </c>
      <c r="F56" s="50">
        <f t="shared" si="12"/>
        <v>0</v>
      </c>
      <c r="G56" s="50">
        <f t="shared" si="12"/>
        <v>0</v>
      </c>
      <c r="H56" s="50">
        <f t="shared" si="12"/>
        <v>0</v>
      </c>
      <c r="I56" s="50">
        <f t="shared" si="12"/>
        <v>0</v>
      </c>
      <c r="J56" s="50">
        <f t="shared" si="12"/>
        <v>0</v>
      </c>
      <c r="K56" s="50">
        <f t="shared" si="12"/>
        <v>0</v>
      </c>
      <c r="L56" s="50">
        <f t="shared" si="12"/>
        <v>0</v>
      </c>
      <c r="M56" s="50">
        <f t="shared" si="12"/>
        <v>0</v>
      </c>
      <c r="N56" s="50">
        <f t="shared" si="12"/>
        <v>0</v>
      </c>
      <c r="O56" s="50">
        <f t="shared" si="12"/>
        <v>3794203</v>
      </c>
      <c r="P56" s="266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</row>
    <row r="57" spans="1:35" s="8" customFormat="1" ht="37.5" customHeight="1" x14ac:dyDescent="0.25">
      <c r="A57" s="7" t="s">
        <v>448</v>
      </c>
      <c r="B57" s="7" t="s">
        <v>103</v>
      </c>
      <c r="C57" s="14" t="s">
        <v>450</v>
      </c>
      <c r="D57" s="51">
        <f>'дод 3'!E119</f>
        <v>1975455</v>
      </c>
      <c r="E57" s="51">
        <f>'дод 3'!F119</f>
        <v>1975455</v>
      </c>
      <c r="F57" s="51">
        <f>'дод 3'!G119</f>
        <v>0</v>
      </c>
      <c r="G57" s="51">
        <f>'дод 3'!H119</f>
        <v>0</v>
      </c>
      <c r="H57" s="51">
        <f>'дод 3'!I119</f>
        <v>0</v>
      </c>
      <c r="I57" s="51">
        <f>'дод 3'!J119</f>
        <v>0</v>
      </c>
      <c r="J57" s="51">
        <f>'дод 3'!K119</f>
        <v>0</v>
      </c>
      <c r="K57" s="51">
        <f>'дод 3'!L119</f>
        <v>0</v>
      </c>
      <c r="L57" s="51">
        <f>'дод 3'!M119</f>
        <v>0</v>
      </c>
      <c r="M57" s="51">
        <f>'дод 3'!N119</f>
        <v>0</v>
      </c>
      <c r="N57" s="51">
        <f>'дод 3'!O119</f>
        <v>0</v>
      </c>
      <c r="O57" s="51">
        <f>'дод 3'!P119</f>
        <v>1975455</v>
      </c>
      <c r="P57" s="266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</row>
    <row r="58" spans="1:35" s="8" customFormat="1" ht="21.75" customHeight="1" x14ac:dyDescent="0.25">
      <c r="A58" s="7"/>
      <c r="B58" s="7"/>
      <c r="C58" s="14" t="s">
        <v>416</v>
      </c>
      <c r="D58" s="51">
        <f>'дод 3'!E120</f>
        <v>1938677</v>
      </c>
      <c r="E58" s="51">
        <f>'дод 3'!F120</f>
        <v>1938677</v>
      </c>
      <c r="F58" s="51">
        <f>'дод 3'!G120</f>
        <v>0</v>
      </c>
      <c r="G58" s="51">
        <f>'дод 3'!H120</f>
        <v>0</v>
      </c>
      <c r="H58" s="51">
        <f>'дод 3'!I120</f>
        <v>0</v>
      </c>
      <c r="I58" s="51">
        <f>'дод 3'!J120</f>
        <v>0</v>
      </c>
      <c r="J58" s="51">
        <f>'дод 3'!K120</f>
        <v>0</v>
      </c>
      <c r="K58" s="51">
        <f>'дод 3'!L120</f>
        <v>0</v>
      </c>
      <c r="L58" s="51">
        <f>'дод 3'!M120</f>
        <v>0</v>
      </c>
      <c r="M58" s="51">
        <f>'дод 3'!N120</f>
        <v>0</v>
      </c>
      <c r="N58" s="51">
        <f>'дод 3'!O120</f>
        <v>0</v>
      </c>
      <c r="O58" s="51">
        <f>'дод 3'!P120</f>
        <v>1938677</v>
      </c>
      <c r="P58" s="266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</row>
    <row r="59" spans="1:35" s="8" customFormat="1" ht="21.75" customHeight="1" x14ac:dyDescent="0.25">
      <c r="A59" s="7" t="s">
        <v>449</v>
      </c>
      <c r="B59" s="7" t="s">
        <v>103</v>
      </c>
      <c r="C59" s="14" t="s">
        <v>451</v>
      </c>
      <c r="D59" s="51">
        <f>'дод 3'!E121</f>
        <v>4996993</v>
      </c>
      <c r="E59" s="51">
        <f>'дод 3'!F121</f>
        <v>4996993</v>
      </c>
      <c r="F59" s="51">
        <f>'дод 3'!G121</f>
        <v>0</v>
      </c>
      <c r="G59" s="51">
        <f>'дод 3'!H121</f>
        <v>0</v>
      </c>
      <c r="H59" s="51">
        <f>'дод 3'!I121</f>
        <v>0</v>
      </c>
      <c r="I59" s="51">
        <f>'дод 3'!J121</f>
        <v>3406496</v>
      </c>
      <c r="J59" s="51">
        <f>'дод 3'!K121</f>
        <v>0</v>
      </c>
      <c r="K59" s="51">
        <f>'дод 3'!L121</f>
        <v>0</v>
      </c>
      <c r="L59" s="51">
        <f>'дод 3'!M121</f>
        <v>0</v>
      </c>
      <c r="M59" s="51">
        <f>'дод 3'!N121</f>
        <v>3406496</v>
      </c>
      <c r="N59" s="51">
        <f>'дод 3'!O121</f>
        <v>3406496</v>
      </c>
      <c r="O59" s="51">
        <f>'дод 3'!P121</f>
        <v>8403489</v>
      </c>
      <c r="P59" s="266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</row>
    <row r="60" spans="1:35" s="8" customFormat="1" ht="21.75" customHeight="1" x14ac:dyDescent="0.25">
      <c r="A60" s="7"/>
      <c r="B60" s="7"/>
      <c r="C60" s="14" t="s">
        <v>416</v>
      </c>
      <c r="D60" s="51">
        <f>'дод 3'!E122</f>
        <v>1855526</v>
      </c>
      <c r="E60" s="51">
        <f>'дод 3'!F122</f>
        <v>1855526</v>
      </c>
      <c r="F60" s="51">
        <f>'дод 3'!G122</f>
        <v>0</v>
      </c>
      <c r="G60" s="51">
        <f>'дод 3'!H122</f>
        <v>0</v>
      </c>
      <c r="H60" s="51">
        <f>'дод 3'!I122</f>
        <v>0</v>
      </c>
      <c r="I60" s="51">
        <f>'дод 3'!J122</f>
        <v>0</v>
      </c>
      <c r="J60" s="51">
        <f>'дод 3'!K122</f>
        <v>0</v>
      </c>
      <c r="K60" s="51">
        <f>'дод 3'!L122</f>
        <v>0</v>
      </c>
      <c r="L60" s="51">
        <f>'дод 3'!M122</f>
        <v>0</v>
      </c>
      <c r="M60" s="51">
        <f>'дод 3'!N122</f>
        <v>0</v>
      </c>
      <c r="N60" s="51">
        <f>'дод 3'!O122</f>
        <v>0</v>
      </c>
      <c r="O60" s="51">
        <f>'дод 3'!P122</f>
        <v>1855526</v>
      </c>
      <c r="P60" s="266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</row>
    <row r="61" spans="1:35" s="21" customFormat="1" ht="34.5" customHeight="1" x14ac:dyDescent="0.25">
      <c r="A61" s="22" t="s">
        <v>104</v>
      </c>
      <c r="B61" s="11"/>
      <c r="C61" s="11" t="s">
        <v>105</v>
      </c>
      <c r="D61" s="54">
        <f>D75+D97+D111+D113+D115+D117+D119+D120+D124+D125+D128+D129+D140+D110+D121+D63+D69+D81+D98+D138+D130</f>
        <v>1254040969.5900002</v>
      </c>
      <c r="E61" s="54">
        <f t="shared" ref="E61:O61" si="13">E75+E97+E111+E113+E115+E117+E119+E120+E124+E125+E128+E129+E140+E110+E121+E63+E69+E81+E98+E138+E130</f>
        <v>1254040969.5900002</v>
      </c>
      <c r="F61" s="54">
        <f t="shared" si="13"/>
        <v>11813689.1</v>
      </c>
      <c r="G61" s="54">
        <f t="shared" si="13"/>
        <v>1027783</v>
      </c>
      <c r="H61" s="54">
        <f t="shared" si="13"/>
        <v>0</v>
      </c>
      <c r="I61" s="54">
        <f t="shared" si="13"/>
        <v>13989831.68</v>
      </c>
      <c r="J61" s="54">
        <f t="shared" si="13"/>
        <v>57900</v>
      </c>
      <c r="K61" s="54">
        <f t="shared" si="13"/>
        <v>44700</v>
      </c>
      <c r="L61" s="54">
        <f t="shared" si="13"/>
        <v>0</v>
      </c>
      <c r="M61" s="54">
        <f t="shared" si="13"/>
        <v>13931931.68</v>
      </c>
      <c r="N61" s="54">
        <f t="shared" si="13"/>
        <v>13931931.68</v>
      </c>
      <c r="O61" s="54">
        <f t="shared" si="13"/>
        <v>1268030801.2700002</v>
      </c>
      <c r="P61" s="266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</row>
    <row r="62" spans="1:35" s="21" customFormat="1" ht="21.75" customHeight="1" x14ac:dyDescent="0.25">
      <c r="A62" s="22"/>
      <c r="B62" s="11"/>
      <c r="C62" s="11" t="s">
        <v>416</v>
      </c>
      <c r="D62" s="54">
        <f>D64+D70+D82+D99+D131+D139</f>
        <v>1125471900</v>
      </c>
      <c r="E62" s="54">
        <f t="shared" ref="E62:O62" si="14">E64+E70+E82+E99+E131+E139</f>
        <v>1125471900</v>
      </c>
      <c r="F62" s="54">
        <f t="shared" si="14"/>
        <v>0</v>
      </c>
      <c r="G62" s="54">
        <f t="shared" si="14"/>
        <v>0</v>
      </c>
      <c r="H62" s="54">
        <f t="shared" si="14"/>
        <v>0</v>
      </c>
      <c r="I62" s="54">
        <f t="shared" si="14"/>
        <v>12613549.68</v>
      </c>
      <c r="J62" s="54">
        <f t="shared" si="14"/>
        <v>0</v>
      </c>
      <c r="K62" s="54">
        <f t="shared" si="14"/>
        <v>0</v>
      </c>
      <c r="L62" s="54">
        <f t="shared" si="14"/>
        <v>0</v>
      </c>
      <c r="M62" s="54">
        <f t="shared" si="14"/>
        <v>12613549.68</v>
      </c>
      <c r="N62" s="54">
        <f t="shared" si="14"/>
        <v>12613549.68</v>
      </c>
      <c r="O62" s="54">
        <f t="shared" si="14"/>
        <v>1138085449.6800001</v>
      </c>
      <c r="P62" s="266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</row>
    <row r="63" spans="1:35" ht="67.5" customHeight="1" x14ac:dyDescent="0.25">
      <c r="A63" s="5" t="s">
        <v>515</v>
      </c>
      <c r="B63" s="13"/>
      <c r="C63" s="13" t="s">
        <v>521</v>
      </c>
      <c r="D63" s="50">
        <f t="shared" ref="D63:O63" si="15">D65+D67</f>
        <v>772232100</v>
      </c>
      <c r="E63" s="50">
        <f t="shared" si="15"/>
        <v>772232100</v>
      </c>
      <c r="F63" s="50">
        <f t="shared" si="15"/>
        <v>0</v>
      </c>
      <c r="G63" s="50">
        <f t="shared" si="15"/>
        <v>0</v>
      </c>
      <c r="H63" s="50">
        <f t="shared" si="15"/>
        <v>0</v>
      </c>
      <c r="I63" s="50">
        <f t="shared" si="15"/>
        <v>0</v>
      </c>
      <c r="J63" s="50">
        <f t="shared" si="15"/>
        <v>0</v>
      </c>
      <c r="K63" s="50">
        <f t="shared" si="15"/>
        <v>0</v>
      </c>
      <c r="L63" s="50">
        <f t="shared" si="15"/>
        <v>0</v>
      </c>
      <c r="M63" s="50">
        <f t="shared" si="15"/>
        <v>0</v>
      </c>
      <c r="N63" s="50">
        <f t="shared" si="15"/>
        <v>0</v>
      </c>
      <c r="O63" s="50">
        <f t="shared" si="15"/>
        <v>772232100</v>
      </c>
      <c r="P63" s="266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</row>
    <row r="64" spans="1:35" ht="21.75" customHeight="1" x14ac:dyDescent="0.25">
      <c r="B64" s="13"/>
      <c r="C64" s="13" t="s">
        <v>416</v>
      </c>
      <c r="D64" s="50">
        <f>D66+D68</f>
        <v>772232100</v>
      </c>
      <c r="E64" s="50">
        <f t="shared" ref="E64:O64" si="16">E66+E68</f>
        <v>772232100</v>
      </c>
      <c r="F64" s="50">
        <f t="shared" si="16"/>
        <v>0</v>
      </c>
      <c r="G64" s="50">
        <f t="shared" si="16"/>
        <v>0</v>
      </c>
      <c r="H64" s="50">
        <f t="shared" si="16"/>
        <v>0</v>
      </c>
      <c r="I64" s="50">
        <f t="shared" si="16"/>
        <v>0</v>
      </c>
      <c r="J64" s="50">
        <f t="shared" si="16"/>
        <v>0</v>
      </c>
      <c r="K64" s="50">
        <f t="shared" si="16"/>
        <v>0</v>
      </c>
      <c r="L64" s="50">
        <f t="shared" si="16"/>
        <v>0</v>
      </c>
      <c r="M64" s="50">
        <f t="shared" si="16"/>
        <v>0</v>
      </c>
      <c r="N64" s="50">
        <f t="shared" si="16"/>
        <v>0</v>
      </c>
      <c r="O64" s="50">
        <f t="shared" si="16"/>
        <v>772232100</v>
      </c>
      <c r="P64" s="266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</row>
    <row r="65" spans="1:35" s="8" customFormat="1" ht="49.5" customHeight="1" x14ac:dyDescent="0.25">
      <c r="A65" s="7" t="s">
        <v>516</v>
      </c>
      <c r="B65" s="138">
        <v>1030</v>
      </c>
      <c r="C65" s="14" t="s">
        <v>522</v>
      </c>
      <c r="D65" s="51">
        <f>'дод 3'!E136</f>
        <v>66261200</v>
      </c>
      <c r="E65" s="51">
        <f>'дод 3'!F136</f>
        <v>66261200</v>
      </c>
      <c r="F65" s="51">
        <f>'дод 3'!G136</f>
        <v>0</v>
      </c>
      <c r="G65" s="51">
        <f>'дод 3'!H136</f>
        <v>0</v>
      </c>
      <c r="H65" s="51">
        <f>'дод 3'!I136</f>
        <v>0</v>
      </c>
      <c r="I65" s="51">
        <f>'дод 3'!J136</f>
        <v>0</v>
      </c>
      <c r="J65" s="51">
        <f>'дод 3'!K136</f>
        <v>0</v>
      </c>
      <c r="K65" s="51">
        <f>'дод 3'!L136</f>
        <v>0</v>
      </c>
      <c r="L65" s="51">
        <f>'дод 3'!M136</f>
        <v>0</v>
      </c>
      <c r="M65" s="51">
        <f>'дод 3'!N136</f>
        <v>0</v>
      </c>
      <c r="N65" s="51">
        <f>'дод 3'!O136</f>
        <v>0</v>
      </c>
      <c r="O65" s="51">
        <f>'дод 3'!P136</f>
        <v>66261200</v>
      </c>
      <c r="P65" s="266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</row>
    <row r="66" spans="1:35" s="8" customFormat="1" ht="21.75" customHeight="1" x14ac:dyDescent="0.25">
      <c r="A66" s="7"/>
      <c r="B66" s="138"/>
      <c r="C66" s="14" t="s">
        <v>416</v>
      </c>
      <c r="D66" s="51">
        <f>'дод 3'!E137</f>
        <v>66261200</v>
      </c>
      <c r="E66" s="51">
        <f>'дод 3'!F137</f>
        <v>66261200</v>
      </c>
      <c r="F66" s="51">
        <f>'дод 3'!G137</f>
        <v>0</v>
      </c>
      <c r="G66" s="51">
        <f>'дод 3'!H137</f>
        <v>0</v>
      </c>
      <c r="H66" s="51">
        <f>'дод 3'!I137</f>
        <v>0</v>
      </c>
      <c r="I66" s="51">
        <f>'дод 3'!J137</f>
        <v>0</v>
      </c>
      <c r="J66" s="51">
        <f>'дод 3'!K137</f>
        <v>0</v>
      </c>
      <c r="K66" s="51">
        <f>'дод 3'!L137</f>
        <v>0</v>
      </c>
      <c r="L66" s="51">
        <f>'дод 3'!M137</f>
        <v>0</v>
      </c>
      <c r="M66" s="51">
        <f>'дод 3'!N137</f>
        <v>0</v>
      </c>
      <c r="N66" s="51">
        <f>'дод 3'!O137</f>
        <v>0</v>
      </c>
      <c r="O66" s="51">
        <f>'дод 3'!P137</f>
        <v>66261200</v>
      </c>
      <c r="P66" s="266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</row>
    <row r="67" spans="1:35" s="8" customFormat="1" ht="33" customHeight="1" x14ac:dyDescent="0.25">
      <c r="A67" s="7" t="s">
        <v>517</v>
      </c>
      <c r="B67" s="138">
        <v>1060</v>
      </c>
      <c r="C67" s="14" t="s">
        <v>523</v>
      </c>
      <c r="D67" s="51">
        <f>'дод 3'!E138</f>
        <v>705970900</v>
      </c>
      <c r="E67" s="51">
        <f>'дод 3'!F138</f>
        <v>705970900</v>
      </c>
      <c r="F67" s="51">
        <f>'дод 3'!G138</f>
        <v>0</v>
      </c>
      <c r="G67" s="51">
        <f>'дод 3'!H138</f>
        <v>0</v>
      </c>
      <c r="H67" s="51">
        <f>'дод 3'!I138</f>
        <v>0</v>
      </c>
      <c r="I67" s="51">
        <f>'дод 3'!J138</f>
        <v>0</v>
      </c>
      <c r="J67" s="51">
        <f>'дод 3'!K138</f>
        <v>0</v>
      </c>
      <c r="K67" s="51">
        <f>'дод 3'!L138</f>
        <v>0</v>
      </c>
      <c r="L67" s="51">
        <f>'дод 3'!M138</f>
        <v>0</v>
      </c>
      <c r="M67" s="51">
        <f>'дод 3'!N138</f>
        <v>0</v>
      </c>
      <c r="N67" s="51">
        <f>'дод 3'!O138</f>
        <v>0</v>
      </c>
      <c r="O67" s="51">
        <f>'дод 3'!P138</f>
        <v>705970900</v>
      </c>
      <c r="P67" s="266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</row>
    <row r="68" spans="1:35" s="8" customFormat="1" ht="21.75" customHeight="1" x14ac:dyDescent="0.25">
      <c r="A68" s="7"/>
      <c r="B68" s="14"/>
      <c r="C68" s="14" t="s">
        <v>416</v>
      </c>
      <c r="D68" s="51">
        <f>'дод 3'!E139</f>
        <v>705970900</v>
      </c>
      <c r="E68" s="51">
        <f>'дод 3'!F139</f>
        <v>705970900</v>
      </c>
      <c r="F68" s="51">
        <f>'дод 3'!G139</f>
        <v>0</v>
      </c>
      <c r="G68" s="51">
        <f>'дод 3'!H139</f>
        <v>0</v>
      </c>
      <c r="H68" s="51">
        <f>'дод 3'!I139</f>
        <v>0</v>
      </c>
      <c r="I68" s="51">
        <f>'дод 3'!J139</f>
        <v>0</v>
      </c>
      <c r="J68" s="51">
        <f>'дод 3'!K139</f>
        <v>0</v>
      </c>
      <c r="K68" s="51">
        <f>'дод 3'!L139</f>
        <v>0</v>
      </c>
      <c r="L68" s="51">
        <f>'дод 3'!M139</f>
        <v>0</v>
      </c>
      <c r="M68" s="51">
        <f>'дод 3'!N139</f>
        <v>0</v>
      </c>
      <c r="N68" s="51">
        <f>'дод 3'!O139</f>
        <v>0</v>
      </c>
      <c r="O68" s="51">
        <f>'дод 3'!P139</f>
        <v>705970900</v>
      </c>
      <c r="P68" s="266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</row>
    <row r="69" spans="1:35" ht="52.5" customHeight="1" x14ac:dyDescent="0.25">
      <c r="A69" s="5" t="s">
        <v>518</v>
      </c>
      <c r="B69" s="13"/>
      <c r="C69" s="13" t="s">
        <v>524</v>
      </c>
      <c r="D69" s="50">
        <f t="shared" ref="D69:O69" si="17">D71+D73</f>
        <v>375400</v>
      </c>
      <c r="E69" s="50">
        <f t="shared" si="17"/>
        <v>375400</v>
      </c>
      <c r="F69" s="50">
        <f t="shared" si="17"/>
        <v>0</v>
      </c>
      <c r="G69" s="50">
        <f t="shared" si="17"/>
        <v>0</v>
      </c>
      <c r="H69" s="50">
        <f t="shared" si="17"/>
        <v>0</v>
      </c>
      <c r="I69" s="50">
        <f t="shared" si="17"/>
        <v>0</v>
      </c>
      <c r="J69" s="50">
        <f t="shared" si="17"/>
        <v>0</v>
      </c>
      <c r="K69" s="50">
        <f t="shared" si="17"/>
        <v>0</v>
      </c>
      <c r="L69" s="50">
        <f t="shared" si="17"/>
        <v>0</v>
      </c>
      <c r="M69" s="50">
        <f t="shared" si="17"/>
        <v>0</v>
      </c>
      <c r="N69" s="50">
        <f t="shared" si="17"/>
        <v>0</v>
      </c>
      <c r="O69" s="50">
        <f t="shared" si="17"/>
        <v>375400</v>
      </c>
      <c r="P69" s="266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</row>
    <row r="70" spans="1:35" ht="21.75" customHeight="1" x14ac:dyDescent="0.25">
      <c r="B70" s="13"/>
      <c r="C70" s="13" t="s">
        <v>416</v>
      </c>
      <c r="D70" s="50">
        <f>D72+D74</f>
        <v>375400</v>
      </c>
      <c r="E70" s="50">
        <f t="shared" ref="E70:O70" si="18">E72+E74</f>
        <v>375400</v>
      </c>
      <c r="F70" s="50">
        <f t="shared" si="18"/>
        <v>0</v>
      </c>
      <c r="G70" s="50">
        <f t="shared" si="18"/>
        <v>0</v>
      </c>
      <c r="H70" s="50">
        <f t="shared" si="18"/>
        <v>0</v>
      </c>
      <c r="I70" s="50">
        <f t="shared" si="18"/>
        <v>0</v>
      </c>
      <c r="J70" s="50">
        <f t="shared" si="18"/>
        <v>0</v>
      </c>
      <c r="K70" s="50">
        <f t="shared" si="18"/>
        <v>0</v>
      </c>
      <c r="L70" s="50">
        <f t="shared" si="18"/>
        <v>0</v>
      </c>
      <c r="M70" s="50">
        <f t="shared" si="18"/>
        <v>0</v>
      </c>
      <c r="N70" s="50">
        <f t="shared" si="18"/>
        <v>0</v>
      </c>
      <c r="O70" s="50">
        <f t="shared" si="18"/>
        <v>375400</v>
      </c>
      <c r="P70" s="266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</row>
    <row r="71" spans="1:35" s="8" customFormat="1" ht="64.5" customHeight="1" x14ac:dyDescent="0.25">
      <c r="A71" s="7" t="s">
        <v>519</v>
      </c>
      <c r="B71" s="138">
        <v>1030</v>
      </c>
      <c r="C71" s="14" t="s">
        <v>525</v>
      </c>
      <c r="D71" s="51">
        <f>'дод 3'!E142</f>
        <v>57630</v>
      </c>
      <c r="E71" s="51">
        <f>'дод 3'!F142</f>
        <v>57630</v>
      </c>
      <c r="F71" s="51">
        <f>'дод 3'!G142</f>
        <v>0</v>
      </c>
      <c r="G71" s="51">
        <f>'дод 3'!H142</f>
        <v>0</v>
      </c>
      <c r="H71" s="51">
        <f>'дод 3'!I142</f>
        <v>0</v>
      </c>
      <c r="I71" s="51">
        <f>'дод 3'!J142</f>
        <v>0</v>
      </c>
      <c r="J71" s="51">
        <f>'дод 3'!K142</f>
        <v>0</v>
      </c>
      <c r="K71" s="51">
        <f>'дод 3'!L142</f>
        <v>0</v>
      </c>
      <c r="L71" s="51">
        <f>'дод 3'!M142</f>
        <v>0</v>
      </c>
      <c r="M71" s="51">
        <f>'дод 3'!N142</f>
        <v>0</v>
      </c>
      <c r="N71" s="51">
        <f>'дод 3'!O142</f>
        <v>0</v>
      </c>
      <c r="O71" s="51">
        <f>'дод 3'!P142</f>
        <v>57630</v>
      </c>
      <c r="P71" s="266">
        <v>39</v>
      </c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</row>
    <row r="72" spans="1:35" s="8" customFormat="1" ht="21.75" customHeight="1" x14ac:dyDescent="0.25">
      <c r="A72" s="7"/>
      <c r="B72" s="14"/>
      <c r="C72" s="14" t="s">
        <v>416</v>
      </c>
      <c r="D72" s="51">
        <f>'дод 3'!E143</f>
        <v>57630</v>
      </c>
      <c r="E72" s="51">
        <f>'дод 3'!F143</f>
        <v>57630</v>
      </c>
      <c r="F72" s="51">
        <f>'дод 3'!G143</f>
        <v>0</v>
      </c>
      <c r="G72" s="51">
        <f>'дод 3'!H143</f>
        <v>0</v>
      </c>
      <c r="H72" s="51">
        <f>'дод 3'!I143</f>
        <v>0</v>
      </c>
      <c r="I72" s="51">
        <f>'дод 3'!J143</f>
        <v>0</v>
      </c>
      <c r="J72" s="51">
        <f>'дод 3'!K143</f>
        <v>0</v>
      </c>
      <c r="K72" s="51">
        <f>'дод 3'!L143</f>
        <v>0</v>
      </c>
      <c r="L72" s="51">
        <f>'дод 3'!M143</f>
        <v>0</v>
      </c>
      <c r="M72" s="51">
        <f>'дод 3'!N143</f>
        <v>0</v>
      </c>
      <c r="N72" s="51">
        <f>'дод 3'!O143</f>
        <v>0</v>
      </c>
      <c r="O72" s="51">
        <f>'дод 3'!P143</f>
        <v>57630</v>
      </c>
      <c r="P72" s="266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</row>
    <row r="73" spans="1:35" s="8" customFormat="1" ht="55.5" customHeight="1" x14ac:dyDescent="0.25">
      <c r="A73" s="7" t="s">
        <v>520</v>
      </c>
      <c r="B73" s="138">
        <v>1060</v>
      </c>
      <c r="C73" s="14" t="s">
        <v>526</v>
      </c>
      <c r="D73" s="51">
        <f>'дод 3'!E144</f>
        <v>317770</v>
      </c>
      <c r="E73" s="51">
        <f>'дод 3'!F144</f>
        <v>317770</v>
      </c>
      <c r="F73" s="51">
        <f>'дод 3'!G144</f>
        <v>0</v>
      </c>
      <c r="G73" s="51">
        <f>'дод 3'!H144</f>
        <v>0</v>
      </c>
      <c r="H73" s="51">
        <f>'дод 3'!I144</f>
        <v>0</v>
      </c>
      <c r="I73" s="51">
        <f>'дод 3'!J144</f>
        <v>0</v>
      </c>
      <c r="J73" s="51">
        <f>'дод 3'!K144</f>
        <v>0</v>
      </c>
      <c r="K73" s="51">
        <f>'дод 3'!L144</f>
        <v>0</v>
      </c>
      <c r="L73" s="51">
        <f>'дод 3'!M144</f>
        <v>0</v>
      </c>
      <c r="M73" s="51">
        <f>'дод 3'!N144</f>
        <v>0</v>
      </c>
      <c r="N73" s="51">
        <f>'дод 3'!O144</f>
        <v>0</v>
      </c>
      <c r="O73" s="51">
        <f>'дод 3'!P144</f>
        <v>317770</v>
      </c>
      <c r="P73" s="266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</row>
    <row r="74" spans="1:35" s="8" customFormat="1" ht="21.75" customHeight="1" x14ac:dyDescent="0.25">
      <c r="A74" s="7"/>
      <c r="B74" s="14"/>
      <c r="C74" s="14" t="s">
        <v>416</v>
      </c>
      <c r="D74" s="51">
        <f>'дод 3'!E145</f>
        <v>317770</v>
      </c>
      <c r="E74" s="51">
        <f>'дод 3'!F145</f>
        <v>317770</v>
      </c>
      <c r="F74" s="51">
        <f>'дод 3'!G145</f>
        <v>0</v>
      </c>
      <c r="G74" s="51">
        <f>'дод 3'!H145</f>
        <v>0</v>
      </c>
      <c r="H74" s="51">
        <f>'дод 3'!I145</f>
        <v>0</v>
      </c>
      <c r="I74" s="51">
        <f>'дод 3'!J145</f>
        <v>0</v>
      </c>
      <c r="J74" s="51">
        <f>'дод 3'!K145</f>
        <v>0</v>
      </c>
      <c r="K74" s="51">
        <f>'дод 3'!L145</f>
        <v>0</v>
      </c>
      <c r="L74" s="51">
        <f>'дод 3'!M145</f>
        <v>0</v>
      </c>
      <c r="M74" s="51">
        <f>'дод 3'!N145</f>
        <v>0</v>
      </c>
      <c r="N74" s="51">
        <f>'дод 3'!O145</f>
        <v>0</v>
      </c>
      <c r="O74" s="51">
        <f>'дод 3'!P145</f>
        <v>317770</v>
      </c>
      <c r="P74" s="266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</row>
    <row r="75" spans="1:35" ht="63" x14ac:dyDescent="0.25">
      <c r="A75" s="5" t="s">
        <v>145</v>
      </c>
      <c r="B75" s="31"/>
      <c r="C75" s="13" t="s">
        <v>195</v>
      </c>
      <c r="D75" s="50">
        <f>D76+D77+D78+D80+D79</f>
        <v>57749724.890000001</v>
      </c>
      <c r="E75" s="50">
        <f t="shared" ref="E75:O75" si="19">E76+E77+E78+E80+E79</f>
        <v>57749724.890000001</v>
      </c>
      <c r="F75" s="50">
        <f t="shared" si="19"/>
        <v>0</v>
      </c>
      <c r="G75" s="50">
        <f t="shared" si="19"/>
        <v>0</v>
      </c>
      <c r="H75" s="50">
        <f t="shared" si="19"/>
        <v>0</v>
      </c>
      <c r="I75" s="50">
        <f t="shared" si="19"/>
        <v>214000</v>
      </c>
      <c r="J75" s="50">
        <f t="shared" si="19"/>
        <v>0</v>
      </c>
      <c r="K75" s="50">
        <f t="shared" si="19"/>
        <v>0</v>
      </c>
      <c r="L75" s="50">
        <f t="shared" si="19"/>
        <v>0</v>
      </c>
      <c r="M75" s="50">
        <f t="shared" si="19"/>
        <v>214000</v>
      </c>
      <c r="N75" s="50">
        <f t="shared" si="19"/>
        <v>214000</v>
      </c>
      <c r="O75" s="50">
        <f t="shared" si="19"/>
        <v>57963724.890000001</v>
      </c>
      <c r="P75" s="266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</row>
    <row r="76" spans="1:35" s="8" customFormat="1" ht="45" customHeight="1" x14ac:dyDescent="0.25">
      <c r="A76" s="7" t="s">
        <v>146</v>
      </c>
      <c r="B76" s="7" t="s">
        <v>87</v>
      </c>
      <c r="C76" s="14" t="s">
        <v>196</v>
      </c>
      <c r="D76" s="51">
        <f>'дод 3'!E147</f>
        <v>471502</v>
      </c>
      <c r="E76" s="51">
        <f>'дод 3'!F147</f>
        <v>471502</v>
      </c>
      <c r="F76" s="51">
        <f>'дод 3'!G147</f>
        <v>0</v>
      </c>
      <c r="G76" s="51">
        <f>'дод 3'!H147</f>
        <v>0</v>
      </c>
      <c r="H76" s="51">
        <f>'дод 3'!I147</f>
        <v>0</v>
      </c>
      <c r="I76" s="51">
        <f>'дод 3'!J147</f>
        <v>214000</v>
      </c>
      <c r="J76" s="51">
        <f>'дод 3'!K147</f>
        <v>0</v>
      </c>
      <c r="K76" s="51">
        <f>'дод 3'!L147</f>
        <v>0</v>
      </c>
      <c r="L76" s="51">
        <f>'дод 3'!M147</f>
        <v>0</v>
      </c>
      <c r="M76" s="51">
        <f>'дод 3'!N147</f>
        <v>214000</v>
      </c>
      <c r="N76" s="51">
        <f>'дод 3'!O147</f>
        <v>214000</v>
      </c>
      <c r="O76" s="51">
        <f>'дод 3'!P147</f>
        <v>685502</v>
      </c>
      <c r="P76" s="266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</row>
    <row r="77" spans="1:35" s="8" customFormat="1" ht="32.25" customHeight="1" x14ac:dyDescent="0.25">
      <c r="A77" s="7" t="s">
        <v>198</v>
      </c>
      <c r="B77" s="7" t="s">
        <v>89</v>
      </c>
      <c r="C77" s="14" t="s">
        <v>197</v>
      </c>
      <c r="D77" s="51">
        <f>'дод 3'!E148</f>
        <v>1541402</v>
      </c>
      <c r="E77" s="51">
        <f>'дод 3'!F148</f>
        <v>1541402</v>
      </c>
      <c r="F77" s="51">
        <f>'дод 3'!G148</f>
        <v>0</v>
      </c>
      <c r="G77" s="51">
        <f>'дод 3'!H148</f>
        <v>0</v>
      </c>
      <c r="H77" s="51">
        <f>'дод 3'!I148</f>
        <v>0</v>
      </c>
      <c r="I77" s="51">
        <f>'дод 3'!J148</f>
        <v>0</v>
      </c>
      <c r="J77" s="51">
        <f>'дод 3'!K148</f>
        <v>0</v>
      </c>
      <c r="K77" s="51">
        <f>'дод 3'!L148</f>
        <v>0</v>
      </c>
      <c r="L77" s="51">
        <f>'дод 3'!M148</f>
        <v>0</v>
      </c>
      <c r="M77" s="51">
        <f>'дод 3'!N148</f>
        <v>0</v>
      </c>
      <c r="N77" s="51">
        <f>'дод 3'!O148</f>
        <v>0</v>
      </c>
      <c r="O77" s="51">
        <f>'дод 3'!P148</f>
        <v>1541402</v>
      </c>
      <c r="P77" s="266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</row>
    <row r="78" spans="1:35" s="8" customFormat="1" ht="54.75" customHeight="1" x14ac:dyDescent="0.25">
      <c r="A78" s="7" t="s">
        <v>147</v>
      </c>
      <c r="B78" s="7" t="s">
        <v>89</v>
      </c>
      <c r="C78" s="14" t="s">
        <v>74</v>
      </c>
      <c r="D78" s="51">
        <f>'дод 3'!E149+'дод 3'!E16</f>
        <v>17917094.890000001</v>
      </c>
      <c r="E78" s="51">
        <f>'дод 3'!F149+'дод 3'!F16</f>
        <v>17917094.890000001</v>
      </c>
      <c r="F78" s="51">
        <f>'дод 3'!G149+'дод 3'!G16</f>
        <v>0</v>
      </c>
      <c r="G78" s="51">
        <f>'дод 3'!H149+'дод 3'!H16</f>
        <v>0</v>
      </c>
      <c r="H78" s="51">
        <f>'дод 3'!I149+'дод 3'!I16</f>
        <v>0</v>
      </c>
      <c r="I78" s="51">
        <f>'дод 3'!J149+'дод 3'!J16</f>
        <v>0</v>
      </c>
      <c r="J78" s="51">
        <f>'дод 3'!K149+'дод 3'!K16</f>
        <v>0</v>
      </c>
      <c r="K78" s="51">
        <f>'дод 3'!L149+'дод 3'!L16</f>
        <v>0</v>
      </c>
      <c r="L78" s="51">
        <f>'дод 3'!M149+'дод 3'!M16</f>
        <v>0</v>
      </c>
      <c r="M78" s="51">
        <f>'дод 3'!N149+'дод 3'!N16</f>
        <v>0</v>
      </c>
      <c r="N78" s="51">
        <f>'дод 3'!O149+'дод 3'!O16</f>
        <v>0</v>
      </c>
      <c r="O78" s="51">
        <f>'дод 3'!P149+'дод 3'!P16</f>
        <v>17917094.890000001</v>
      </c>
      <c r="P78" s="266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</row>
    <row r="79" spans="1:35" s="8" customFormat="1" ht="54.75" customHeight="1" x14ac:dyDescent="0.25">
      <c r="A79" s="7" t="s">
        <v>595</v>
      </c>
      <c r="B79" s="7" t="s">
        <v>89</v>
      </c>
      <c r="C79" s="14" t="s">
        <v>594</v>
      </c>
      <c r="D79" s="51">
        <f>'дод 3'!E150</f>
        <v>3000000</v>
      </c>
      <c r="E79" s="51">
        <f>'дод 3'!F150</f>
        <v>3000000</v>
      </c>
      <c r="F79" s="51">
        <f>'дод 3'!G150</f>
        <v>0</v>
      </c>
      <c r="G79" s="51">
        <f>'дод 3'!H150</f>
        <v>0</v>
      </c>
      <c r="H79" s="51">
        <f>'дод 3'!I150</f>
        <v>0</v>
      </c>
      <c r="I79" s="51">
        <f>'дод 3'!J150</f>
        <v>0</v>
      </c>
      <c r="J79" s="51">
        <f>'дод 3'!K150</f>
        <v>0</v>
      </c>
      <c r="K79" s="51">
        <f>'дод 3'!L150</f>
        <v>0</v>
      </c>
      <c r="L79" s="51">
        <f>'дод 3'!M150</f>
        <v>0</v>
      </c>
      <c r="M79" s="51">
        <f>'дод 3'!N150</f>
        <v>0</v>
      </c>
      <c r="N79" s="51">
        <f>'дод 3'!O150</f>
        <v>0</v>
      </c>
      <c r="O79" s="51">
        <f>'дод 3'!P150</f>
        <v>3000000</v>
      </c>
      <c r="P79" s="266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</row>
    <row r="80" spans="1:35" s="8" customFormat="1" ht="58.5" customHeight="1" x14ac:dyDescent="0.25">
      <c r="A80" s="7" t="s">
        <v>199</v>
      </c>
      <c r="B80" s="7" t="s">
        <v>89</v>
      </c>
      <c r="C80" s="14" t="s">
        <v>37</v>
      </c>
      <c r="D80" s="51">
        <f>'дод 3'!E151+'дод 3'!E17</f>
        <v>34819726</v>
      </c>
      <c r="E80" s="51">
        <f>'дод 3'!F151+'дод 3'!F17</f>
        <v>34819726</v>
      </c>
      <c r="F80" s="51">
        <f>'дод 3'!G151+'дод 3'!G17</f>
        <v>0</v>
      </c>
      <c r="G80" s="51">
        <f>'дод 3'!H151+'дод 3'!H17</f>
        <v>0</v>
      </c>
      <c r="H80" s="51">
        <f>'дод 3'!I151+'дод 3'!I17</f>
        <v>0</v>
      </c>
      <c r="I80" s="51">
        <f>'дод 3'!J151+'дод 3'!J17</f>
        <v>0</v>
      </c>
      <c r="J80" s="51">
        <f>'дод 3'!K151+'дод 3'!K17</f>
        <v>0</v>
      </c>
      <c r="K80" s="51">
        <f>'дод 3'!L151+'дод 3'!L17</f>
        <v>0</v>
      </c>
      <c r="L80" s="51">
        <f>'дод 3'!M151+'дод 3'!M17</f>
        <v>0</v>
      </c>
      <c r="M80" s="51">
        <f>'дод 3'!N151+'дод 3'!N17</f>
        <v>0</v>
      </c>
      <c r="N80" s="51">
        <f>'дод 3'!O151+'дод 3'!O17</f>
        <v>0</v>
      </c>
      <c r="O80" s="51">
        <f>'дод 3'!P151+'дод 3'!P17</f>
        <v>34819726</v>
      </c>
      <c r="P80" s="266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</row>
    <row r="81" spans="1:35" ht="39" customHeight="1" x14ac:dyDescent="0.25">
      <c r="A81" s="5" t="s">
        <v>533</v>
      </c>
      <c r="B81" s="5"/>
      <c r="C81" s="13" t="s">
        <v>541</v>
      </c>
      <c r="D81" s="50">
        <f t="shared" ref="D81:O81" si="20">D83+D85+D87+D89+D91+D93+D95</f>
        <v>257256180</v>
      </c>
      <c r="E81" s="50">
        <f t="shared" si="20"/>
        <v>257256180</v>
      </c>
      <c r="F81" s="50">
        <f t="shared" si="20"/>
        <v>0</v>
      </c>
      <c r="G81" s="50">
        <f t="shared" si="20"/>
        <v>0</v>
      </c>
      <c r="H81" s="50">
        <f t="shared" si="20"/>
        <v>0</v>
      </c>
      <c r="I81" s="50">
        <f t="shared" si="20"/>
        <v>0</v>
      </c>
      <c r="J81" s="50">
        <f t="shared" si="20"/>
        <v>0</v>
      </c>
      <c r="K81" s="50">
        <f t="shared" si="20"/>
        <v>0</v>
      </c>
      <c r="L81" s="50">
        <f t="shared" si="20"/>
        <v>0</v>
      </c>
      <c r="M81" s="50">
        <f t="shared" si="20"/>
        <v>0</v>
      </c>
      <c r="N81" s="50">
        <f t="shared" si="20"/>
        <v>0</v>
      </c>
      <c r="O81" s="50">
        <f t="shared" si="20"/>
        <v>257256180</v>
      </c>
      <c r="P81" s="266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</row>
    <row r="82" spans="1:35" ht="24" customHeight="1" x14ac:dyDescent="0.25">
      <c r="B82" s="5"/>
      <c r="C82" s="13" t="s">
        <v>416</v>
      </c>
      <c r="D82" s="50">
        <f t="shared" ref="D82:O82" si="21">D84+D86+D88+D90+D92+D94+D96</f>
        <v>257256180</v>
      </c>
      <c r="E82" s="50">
        <f t="shared" si="21"/>
        <v>257256180</v>
      </c>
      <c r="F82" s="50">
        <f t="shared" si="21"/>
        <v>0</v>
      </c>
      <c r="G82" s="50">
        <f t="shared" si="21"/>
        <v>0</v>
      </c>
      <c r="H82" s="50">
        <f t="shared" si="21"/>
        <v>0</v>
      </c>
      <c r="I82" s="50">
        <f t="shared" si="21"/>
        <v>0</v>
      </c>
      <c r="J82" s="50">
        <f t="shared" si="21"/>
        <v>0</v>
      </c>
      <c r="K82" s="50">
        <f t="shared" si="21"/>
        <v>0</v>
      </c>
      <c r="L82" s="50">
        <f t="shared" si="21"/>
        <v>0</v>
      </c>
      <c r="M82" s="50">
        <f t="shared" si="21"/>
        <v>0</v>
      </c>
      <c r="N82" s="50">
        <f t="shared" si="21"/>
        <v>0</v>
      </c>
      <c r="O82" s="50">
        <f t="shared" si="21"/>
        <v>257256180</v>
      </c>
      <c r="P82" s="266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</row>
    <row r="83" spans="1:35" s="8" customFormat="1" ht="27" customHeight="1" x14ac:dyDescent="0.25">
      <c r="A83" s="7" t="s">
        <v>534</v>
      </c>
      <c r="B83" s="7" t="s">
        <v>148</v>
      </c>
      <c r="C83" s="14" t="s">
        <v>542</v>
      </c>
      <c r="D83" s="51">
        <f>'дод 3'!E154</f>
        <v>3598320</v>
      </c>
      <c r="E83" s="51">
        <f>'дод 3'!F154</f>
        <v>3598320</v>
      </c>
      <c r="F83" s="51">
        <f>'дод 3'!G154</f>
        <v>0</v>
      </c>
      <c r="G83" s="51">
        <f>'дод 3'!H154</f>
        <v>0</v>
      </c>
      <c r="H83" s="51">
        <f>'дод 3'!I154</f>
        <v>0</v>
      </c>
      <c r="I83" s="51">
        <f>'дод 3'!J154</f>
        <v>0</v>
      </c>
      <c r="J83" s="51">
        <f>'дод 3'!K154</f>
        <v>0</v>
      </c>
      <c r="K83" s="51">
        <f>'дод 3'!L154</f>
        <v>0</v>
      </c>
      <c r="L83" s="51">
        <f>'дод 3'!M154</f>
        <v>0</v>
      </c>
      <c r="M83" s="51">
        <f>'дод 3'!N154</f>
        <v>0</v>
      </c>
      <c r="N83" s="51">
        <f>'дод 3'!O154</f>
        <v>0</v>
      </c>
      <c r="O83" s="51">
        <f>'дод 3'!P154</f>
        <v>3598320</v>
      </c>
      <c r="P83" s="266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</row>
    <row r="84" spans="1:35" s="8" customFormat="1" ht="16.5" customHeight="1" x14ac:dyDescent="0.25">
      <c r="A84" s="7"/>
      <c r="B84" s="7"/>
      <c r="C84" s="14" t="s">
        <v>416</v>
      </c>
      <c r="D84" s="51">
        <f>'дод 3'!E155</f>
        <v>3598320</v>
      </c>
      <c r="E84" s="51">
        <f>'дод 3'!F155</f>
        <v>3598320</v>
      </c>
      <c r="F84" s="51">
        <f>'дод 3'!G155</f>
        <v>0</v>
      </c>
      <c r="G84" s="51">
        <f>'дод 3'!H155</f>
        <v>0</v>
      </c>
      <c r="H84" s="51">
        <f>'дод 3'!I155</f>
        <v>0</v>
      </c>
      <c r="I84" s="51">
        <f>'дод 3'!J155</f>
        <v>0</v>
      </c>
      <c r="J84" s="51">
        <f>'дод 3'!K155</f>
        <v>0</v>
      </c>
      <c r="K84" s="51">
        <f>'дод 3'!L155</f>
        <v>0</v>
      </c>
      <c r="L84" s="51">
        <f>'дод 3'!M155</f>
        <v>0</v>
      </c>
      <c r="M84" s="51">
        <f>'дод 3'!N155</f>
        <v>0</v>
      </c>
      <c r="N84" s="51">
        <f>'дод 3'!O155</f>
        <v>0</v>
      </c>
      <c r="O84" s="51">
        <f>'дод 3'!P155</f>
        <v>3598320</v>
      </c>
      <c r="P84" s="266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</row>
    <row r="85" spans="1:35" s="8" customFormat="1" ht="27" customHeight="1" x14ac:dyDescent="0.25">
      <c r="A85" s="7" t="s">
        <v>535</v>
      </c>
      <c r="B85" s="7" t="s">
        <v>148</v>
      </c>
      <c r="C85" s="14" t="s">
        <v>543</v>
      </c>
      <c r="D85" s="51">
        <f>'дод 3'!E156</f>
        <v>392160</v>
      </c>
      <c r="E85" s="51">
        <f>'дод 3'!F156</f>
        <v>392160</v>
      </c>
      <c r="F85" s="51">
        <f>'дод 3'!G156</f>
        <v>0</v>
      </c>
      <c r="G85" s="51">
        <f>'дод 3'!H156</f>
        <v>0</v>
      </c>
      <c r="H85" s="51">
        <f>'дод 3'!I156</f>
        <v>0</v>
      </c>
      <c r="I85" s="51">
        <f>'дод 3'!J156</f>
        <v>0</v>
      </c>
      <c r="J85" s="51">
        <f>'дод 3'!K156</f>
        <v>0</v>
      </c>
      <c r="K85" s="51">
        <f>'дод 3'!L156</f>
        <v>0</v>
      </c>
      <c r="L85" s="51">
        <f>'дод 3'!M156</f>
        <v>0</v>
      </c>
      <c r="M85" s="51">
        <f>'дод 3'!N156</f>
        <v>0</v>
      </c>
      <c r="N85" s="51">
        <f>'дод 3'!O156</f>
        <v>0</v>
      </c>
      <c r="O85" s="51">
        <f>'дод 3'!P156</f>
        <v>392160</v>
      </c>
      <c r="P85" s="266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</row>
    <row r="86" spans="1:35" s="8" customFormat="1" ht="15.75" customHeight="1" x14ac:dyDescent="0.25">
      <c r="A86" s="7"/>
      <c r="B86" s="7"/>
      <c r="C86" s="14" t="s">
        <v>416</v>
      </c>
      <c r="D86" s="51">
        <f>'дод 3'!E157</f>
        <v>392160</v>
      </c>
      <c r="E86" s="51">
        <f>'дод 3'!F157</f>
        <v>392160</v>
      </c>
      <c r="F86" s="51">
        <f>'дод 3'!G157</f>
        <v>0</v>
      </c>
      <c r="G86" s="51">
        <f>'дод 3'!H157</f>
        <v>0</v>
      </c>
      <c r="H86" s="51">
        <f>'дод 3'!I157</f>
        <v>0</v>
      </c>
      <c r="I86" s="51">
        <f>'дод 3'!J157</f>
        <v>0</v>
      </c>
      <c r="J86" s="51">
        <f>'дод 3'!K157</f>
        <v>0</v>
      </c>
      <c r="K86" s="51">
        <f>'дод 3'!L157</f>
        <v>0</v>
      </c>
      <c r="L86" s="51">
        <f>'дод 3'!M157</f>
        <v>0</v>
      </c>
      <c r="M86" s="51">
        <f>'дод 3'!N157</f>
        <v>0</v>
      </c>
      <c r="N86" s="51">
        <f>'дод 3'!O157</f>
        <v>0</v>
      </c>
      <c r="O86" s="51">
        <f>'дод 3'!P157</f>
        <v>392160</v>
      </c>
      <c r="P86" s="266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</row>
    <row r="87" spans="1:35" s="8" customFormat="1" ht="27" customHeight="1" x14ac:dyDescent="0.25">
      <c r="A87" s="7" t="s">
        <v>536</v>
      </c>
      <c r="B87" s="7" t="s">
        <v>148</v>
      </c>
      <c r="C87" s="14" t="s">
        <v>544</v>
      </c>
      <c r="D87" s="51">
        <f>'дод 3'!E158</f>
        <v>134165700</v>
      </c>
      <c r="E87" s="51">
        <f>'дод 3'!F158</f>
        <v>134165700</v>
      </c>
      <c r="F87" s="51">
        <f>'дод 3'!G158</f>
        <v>0</v>
      </c>
      <c r="G87" s="51">
        <f>'дод 3'!H158</f>
        <v>0</v>
      </c>
      <c r="H87" s="51">
        <f>'дод 3'!I158</f>
        <v>0</v>
      </c>
      <c r="I87" s="51">
        <f>'дод 3'!J158</f>
        <v>0</v>
      </c>
      <c r="J87" s="51">
        <f>'дод 3'!K158</f>
        <v>0</v>
      </c>
      <c r="K87" s="51">
        <f>'дод 3'!L158</f>
        <v>0</v>
      </c>
      <c r="L87" s="51">
        <f>'дод 3'!M158</f>
        <v>0</v>
      </c>
      <c r="M87" s="51">
        <f>'дод 3'!N158</f>
        <v>0</v>
      </c>
      <c r="N87" s="51">
        <f>'дод 3'!O158</f>
        <v>0</v>
      </c>
      <c r="O87" s="51">
        <f>'дод 3'!P158</f>
        <v>134165700</v>
      </c>
      <c r="P87" s="266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</row>
    <row r="88" spans="1:35" s="8" customFormat="1" ht="16.5" customHeight="1" x14ac:dyDescent="0.25">
      <c r="A88" s="7"/>
      <c r="B88" s="7"/>
      <c r="C88" s="14" t="s">
        <v>416</v>
      </c>
      <c r="D88" s="51">
        <f>'дод 3'!E159</f>
        <v>134165700</v>
      </c>
      <c r="E88" s="51">
        <f>'дод 3'!F159</f>
        <v>134165700</v>
      </c>
      <c r="F88" s="51">
        <f>'дод 3'!G159</f>
        <v>0</v>
      </c>
      <c r="G88" s="51">
        <f>'дод 3'!H159</f>
        <v>0</v>
      </c>
      <c r="H88" s="51">
        <f>'дод 3'!I159</f>
        <v>0</v>
      </c>
      <c r="I88" s="51">
        <f>'дод 3'!J159</f>
        <v>0</v>
      </c>
      <c r="J88" s="51">
        <f>'дод 3'!K159</f>
        <v>0</v>
      </c>
      <c r="K88" s="51">
        <f>'дод 3'!L159</f>
        <v>0</v>
      </c>
      <c r="L88" s="51">
        <f>'дод 3'!M159</f>
        <v>0</v>
      </c>
      <c r="M88" s="51">
        <f>'дод 3'!N159</f>
        <v>0</v>
      </c>
      <c r="N88" s="51">
        <f>'дод 3'!O159</f>
        <v>0</v>
      </c>
      <c r="O88" s="51">
        <f>'дод 3'!P159</f>
        <v>134165700</v>
      </c>
      <c r="P88" s="266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</row>
    <row r="89" spans="1:35" s="8" customFormat="1" ht="36" customHeight="1" x14ac:dyDescent="0.25">
      <c r="A89" s="7" t="s">
        <v>537</v>
      </c>
      <c r="B89" s="7" t="s">
        <v>148</v>
      </c>
      <c r="C89" s="14" t="s">
        <v>545</v>
      </c>
      <c r="D89" s="51">
        <f>'дод 3'!E160</f>
        <v>10265200</v>
      </c>
      <c r="E89" s="51">
        <f>'дод 3'!F160</f>
        <v>10265200</v>
      </c>
      <c r="F89" s="51">
        <f>'дод 3'!G160</f>
        <v>0</v>
      </c>
      <c r="G89" s="51">
        <f>'дод 3'!H160</f>
        <v>0</v>
      </c>
      <c r="H89" s="51">
        <f>'дод 3'!I160</f>
        <v>0</v>
      </c>
      <c r="I89" s="51">
        <f>'дод 3'!J160</f>
        <v>0</v>
      </c>
      <c r="J89" s="51">
        <f>'дод 3'!K160</f>
        <v>0</v>
      </c>
      <c r="K89" s="51">
        <f>'дод 3'!L160</f>
        <v>0</v>
      </c>
      <c r="L89" s="51">
        <f>'дод 3'!M160</f>
        <v>0</v>
      </c>
      <c r="M89" s="51">
        <f>'дод 3'!N160</f>
        <v>0</v>
      </c>
      <c r="N89" s="51">
        <f>'дод 3'!O160</f>
        <v>0</v>
      </c>
      <c r="O89" s="51">
        <f>'дод 3'!P160</f>
        <v>10265200</v>
      </c>
      <c r="P89" s="266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</row>
    <row r="90" spans="1:35" s="8" customFormat="1" ht="15" customHeight="1" x14ac:dyDescent="0.25">
      <c r="A90" s="7"/>
      <c r="B90" s="7"/>
      <c r="C90" s="14" t="s">
        <v>416</v>
      </c>
      <c r="D90" s="51">
        <f>'дод 3'!E161</f>
        <v>10265200</v>
      </c>
      <c r="E90" s="51">
        <f>'дод 3'!F161</f>
        <v>10265200</v>
      </c>
      <c r="F90" s="51">
        <f>'дод 3'!G161</f>
        <v>0</v>
      </c>
      <c r="G90" s="51">
        <f>'дод 3'!H161</f>
        <v>0</v>
      </c>
      <c r="H90" s="51">
        <f>'дод 3'!I161</f>
        <v>0</v>
      </c>
      <c r="I90" s="51">
        <f>'дод 3'!J161</f>
        <v>0</v>
      </c>
      <c r="J90" s="51">
        <f>'дод 3'!K161</f>
        <v>0</v>
      </c>
      <c r="K90" s="51">
        <f>'дод 3'!L161</f>
        <v>0</v>
      </c>
      <c r="L90" s="51">
        <f>'дод 3'!M161</f>
        <v>0</v>
      </c>
      <c r="M90" s="51">
        <f>'дод 3'!N161</f>
        <v>0</v>
      </c>
      <c r="N90" s="51">
        <f>'дод 3'!O161</f>
        <v>0</v>
      </c>
      <c r="O90" s="51">
        <f>'дод 3'!P161</f>
        <v>10265200</v>
      </c>
      <c r="P90" s="266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</row>
    <row r="91" spans="1:35" s="8" customFormat="1" ht="27" customHeight="1" x14ac:dyDescent="0.25">
      <c r="A91" s="7" t="s">
        <v>538</v>
      </c>
      <c r="B91" s="7" t="s">
        <v>148</v>
      </c>
      <c r="C91" s="14" t="s">
        <v>546</v>
      </c>
      <c r="D91" s="51">
        <f>'дод 3'!E162</f>
        <v>50558840</v>
      </c>
      <c r="E91" s="51">
        <f>'дод 3'!F162</f>
        <v>50558840</v>
      </c>
      <c r="F91" s="51">
        <f>'дод 3'!G162</f>
        <v>0</v>
      </c>
      <c r="G91" s="51">
        <f>'дод 3'!H162</f>
        <v>0</v>
      </c>
      <c r="H91" s="51">
        <f>'дод 3'!I162</f>
        <v>0</v>
      </c>
      <c r="I91" s="51">
        <f>'дод 3'!J162</f>
        <v>0</v>
      </c>
      <c r="J91" s="51">
        <f>'дод 3'!K162</f>
        <v>0</v>
      </c>
      <c r="K91" s="51">
        <f>'дод 3'!L162</f>
        <v>0</v>
      </c>
      <c r="L91" s="51">
        <f>'дод 3'!M162</f>
        <v>0</v>
      </c>
      <c r="M91" s="51">
        <f>'дод 3'!N162</f>
        <v>0</v>
      </c>
      <c r="N91" s="51">
        <f>'дод 3'!O162</f>
        <v>0</v>
      </c>
      <c r="O91" s="51">
        <f>'дод 3'!P162</f>
        <v>50558840</v>
      </c>
      <c r="P91" s="266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</row>
    <row r="92" spans="1:35" s="8" customFormat="1" ht="17.25" customHeight="1" x14ac:dyDescent="0.25">
      <c r="A92" s="7"/>
      <c r="B92" s="7"/>
      <c r="C92" s="14" t="s">
        <v>416</v>
      </c>
      <c r="D92" s="51">
        <f>'дод 3'!E163</f>
        <v>50558840</v>
      </c>
      <c r="E92" s="51">
        <f>'дод 3'!F163</f>
        <v>50558840</v>
      </c>
      <c r="F92" s="51">
        <f>'дод 3'!G163</f>
        <v>0</v>
      </c>
      <c r="G92" s="51">
        <f>'дод 3'!H163</f>
        <v>0</v>
      </c>
      <c r="H92" s="51">
        <f>'дод 3'!I163</f>
        <v>0</v>
      </c>
      <c r="I92" s="51">
        <f>'дод 3'!J163</f>
        <v>0</v>
      </c>
      <c r="J92" s="51">
        <f>'дод 3'!K163</f>
        <v>0</v>
      </c>
      <c r="K92" s="51">
        <f>'дод 3'!L163</f>
        <v>0</v>
      </c>
      <c r="L92" s="51">
        <f>'дод 3'!M163</f>
        <v>0</v>
      </c>
      <c r="M92" s="51">
        <f>'дод 3'!N163</f>
        <v>0</v>
      </c>
      <c r="N92" s="51">
        <f>'дод 3'!O163</f>
        <v>0</v>
      </c>
      <c r="O92" s="51">
        <f>'дод 3'!P163</f>
        <v>50558840</v>
      </c>
      <c r="P92" s="266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</row>
    <row r="93" spans="1:35" s="8" customFormat="1" ht="27" customHeight="1" x14ac:dyDescent="0.25">
      <c r="A93" s="7" t="s">
        <v>539</v>
      </c>
      <c r="B93" s="7" t="s">
        <v>148</v>
      </c>
      <c r="C93" s="14" t="s">
        <v>547</v>
      </c>
      <c r="D93" s="51">
        <f>'дод 3'!E164</f>
        <v>2245360</v>
      </c>
      <c r="E93" s="51">
        <f>'дод 3'!F164</f>
        <v>2245360</v>
      </c>
      <c r="F93" s="51">
        <f>'дод 3'!G164</f>
        <v>0</v>
      </c>
      <c r="G93" s="51">
        <f>'дод 3'!H164</f>
        <v>0</v>
      </c>
      <c r="H93" s="51">
        <f>'дод 3'!I164</f>
        <v>0</v>
      </c>
      <c r="I93" s="51">
        <f>'дод 3'!J164</f>
        <v>0</v>
      </c>
      <c r="J93" s="51">
        <f>'дод 3'!K164</f>
        <v>0</v>
      </c>
      <c r="K93" s="51">
        <f>'дод 3'!L164</f>
        <v>0</v>
      </c>
      <c r="L93" s="51">
        <f>'дод 3'!M164</f>
        <v>0</v>
      </c>
      <c r="M93" s="51">
        <f>'дод 3'!N164</f>
        <v>0</v>
      </c>
      <c r="N93" s="51">
        <f>'дод 3'!O164</f>
        <v>0</v>
      </c>
      <c r="O93" s="51">
        <f>'дод 3'!P164</f>
        <v>2245360</v>
      </c>
      <c r="P93" s="266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</row>
    <row r="94" spans="1:35" s="8" customFormat="1" ht="16.5" customHeight="1" x14ac:dyDescent="0.25">
      <c r="A94" s="7"/>
      <c r="B94" s="7"/>
      <c r="C94" s="14" t="s">
        <v>416</v>
      </c>
      <c r="D94" s="51">
        <f>'дод 3'!E165</f>
        <v>2245360</v>
      </c>
      <c r="E94" s="51">
        <f>'дод 3'!F165</f>
        <v>2245360</v>
      </c>
      <c r="F94" s="51">
        <f>'дод 3'!G165</f>
        <v>0</v>
      </c>
      <c r="G94" s="51">
        <f>'дод 3'!H165</f>
        <v>0</v>
      </c>
      <c r="H94" s="51">
        <f>'дод 3'!I165</f>
        <v>0</v>
      </c>
      <c r="I94" s="51">
        <f>'дод 3'!J165</f>
        <v>0</v>
      </c>
      <c r="J94" s="51">
        <f>'дод 3'!K165</f>
        <v>0</v>
      </c>
      <c r="K94" s="51">
        <f>'дод 3'!L165</f>
        <v>0</v>
      </c>
      <c r="L94" s="51">
        <f>'дод 3'!M165</f>
        <v>0</v>
      </c>
      <c r="M94" s="51">
        <f>'дод 3'!N165</f>
        <v>0</v>
      </c>
      <c r="N94" s="51">
        <f>'дод 3'!O165</f>
        <v>0</v>
      </c>
      <c r="O94" s="51">
        <f>'дод 3'!P165</f>
        <v>2245360</v>
      </c>
      <c r="P94" s="266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</row>
    <row r="95" spans="1:35" s="8" customFormat="1" ht="32.25" customHeight="1" x14ac:dyDescent="0.25">
      <c r="A95" s="7" t="s">
        <v>540</v>
      </c>
      <c r="B95" s="7" t="s">
        <v>148</v>
      </c>
      <c r="C95" s="14" t="s">
        <v>548</v>
      </c>
      <c r="D95" s="51">
        <f>'дод 3'!E166</f>
        <v>56030600</v>
      </c>
      <c r="E95" s="51">
        <f>'дод 3'!F166</f>
        <v>56030600</v>
      </c>
      <c r="F95" s="51">
        <f>'дод 3'!G166</f>
        <v>0</v>
      </c>
      <c r="G95" s="51">
        <f>'дод 3'!H166</f>
        <v>0</v>
      </c>
      <c r="H95" s="51">
        <f>'дод 3'!I166</f>
        <v>0</v>
      </c>
      <c r="I95" s="51">
        <f>'дод 3'!J166</f>
        <v>0</v>
      </c>
      <c r="J95" s="51">
        <f>'дод 3'!K166</f>
        <v>0</v>
      </c>
      <c r="K95" s="51">
        <f>'дод 3'!L166</f>
        <v>0</v>
      </c>
      <c r="L95" s="51">
        <f>'дод 3'!M166</f>
        <v>0</v>
      </c>
      <c r="M95" s="51">
        <f>'дод 3'!N166</f>
        <v>0</v>
      </c>
      <c r="N95" s="51">
        <f>'дод 3'!O166</f>
        <v>0</v>
      </c>
      <c r="O95" s="51">
        <f>'дод 3'!P166</f>
        <v>56030600</v>
      </c>
      <c r="P95" s="266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</row>
    <row r="96" spans="1:35" s="8" customFormat="1" ht="22.5" customHeight="1" x14ac:dyDescent="0.25">
      <c r="A96" s="7"/>
      <c r="B96" s="7"/>
      <c r="C96" s="14" t="s">
        <v>416</v>
      </c>
      <c r="D96" s="51">
        <f>'дод 3'!E167</f>
        <v>56030600</v>
      </c>
      <c r="E96" s="51">
        <f>'дод 3'!F167</f>
        <v>56030600</v>
      </c>
      <c r="F96" s="51">
        <f>'дод 3'!G167</f>
        <v>0</v>
      </c>
      <c r="G96" s="51">
        <f>'дод 3'!H167</f>
        <v>0</v>
      </c>
      <c r="H96" s="51">
        <f>'дод 3'!I167</f>
        <v>0</v>
      </c>
      <c r="I96" s="51">
        <f>'дод 3'!J167</f>
        <v>0</v>
      </c>
      <c r="J96" s="51">
        <f>'дод 3'!K167</f>
        <v>0</v>
      </c>
      <c r="K96" s="51">
        <f>'дод 3'!L167</f>
        <v>0</v>
      </c>
      <c r="L96" s="51">
        <f>'дод 3'!M167</f>
        <v>0</v>
      </c>
      <c r="M96" s="51">
        <f>'дод 3'!N167</f>
        <v>0</v>
      </c>
      <c r="N96" s="51">
        <f>'дод 3'!O167</f>
        <v>0</v>
      </c>
      <c r="O96" s="51">
        <f>'дод 3'!P167</f>
        <v>56030600</v>
      </c>
      <c r="P96" s="266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</row>
    <row r="97" spans="1:35" ht="40.5" customHeight="1" x14ac:dyDescent="0.25">
      <c r="A97" s="5" t="s">
        <v>149</v>
      </c>
      <c r="B97" s="5" t="s">
        <v>89</v>
      </c>
      <c r="C97" s="13" t="s">
        <v>56</v>
      </c>
      <c r="D97" s="50">
        <f>'дод 3'!E168</f>
        <v>625100</v>
      </c>
      <c r="E97" s="50">
        <f>'дод 3'!F168</f>
        <v>625100</v>
      </c>
      <c r="F97" s="50">
        <f>'дод 3'!G168</f>
        <v>0</v>
      </c>
      <c r="G97" s="50">
        <f>'дод 3'!H168</f>
        <v>0</v>
      </c>
      <c r="H97" s="50">
        <f>'дод 3'!I168</f>
        <v>0</v>
      </c>
      <c r="I97" s="50">
        <f>'дод 3'!J168</f>
        <v>0</v>
      </c>
      <c r="J97" s="50">
        <f>'дод 3'!K168</f>
        <v>0</v>
      </c>
      <c r="K97" s="50">
        <f>'дод 3'!L168</f>
        <v>0</v>
      </c>
      <c r="L97" s="50">
        <f>'дод 3'!M168</f>
        <v>0</v>
      </c>
      <c r="M97" s="50">
        <f>'дод 3'!N168</f>
        <v>0</v>
      </c>
      <c r="N97" s="50">
        <f>'дод 3'!O168</f>
        <v>0</v>
      </c>
      <c r="O97" s="50">
        <f>'дод 3'!P168</f>
        <v>625100</v>
      </c>
      <c r="P97" s="266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</row>
    <row r="98" spans="1:35" ht="151.5" customHeight="1" x14ac:dyDescent="0.25">
      <c r="A98" s="5" t="s">
        <v>557</v>
      </c>
      <c r="B98" s="5"/>
      <c r="C98" s="13" t="s">
        <v>563</v>
      </c>
      <c r="D98" s="50">
        <f t="shared" ref="D98:O98" si="22">D100+D102+D104+D106+D108</f>
        <v>93112520</v>
      </c>
      <c r="E98" s="50">
        <f t="shared" si="22"/>
        <v>93112520</v>
      </c>
      <c r="F98" s="50">
        <f t="shared" si="22"/>
        <v>0</v>
      </c>
      <c r="G98" s="50">
        <f t="shared" si="22"/>
        <v>0</v>
      </c>
      <c r="H98" s="50">
        <f t="shared" si="22"/>
        <v>0</v>
      </c>
      <c r="I98" s="50">
        <f t="shared" si="22"/>
        <v>0</v>
      </c>
      <c r="J98" s="50">
        <f t="shared" si="22"/>
        <v>0</v>
      </c>
      <c r="K98" s="50">
        <f t="shared" si="22"/>
        <v>0</v>
      </c>
      <c r="L98" s="50">
        <f t="shared" si="22"/>
        <v>0</v>
      </c>
      <c r="M98" s="50">
        <f t="shared" si="22"/>
        <v>0</v>
      </c>
      <c r="N98" s="50">
        <f t="shared" si="22"/>
        <v>0</v>
      </c>
      <c r="O98" s="50">
        <f t="shared" si="22"/>
        <v>93112520</v>
      </c>
      <c r="P98" s="266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</row>
    <row r="99" spans="1:35" ht="27" customHeight="1" x14ac:dyDescent="0.25">
      <c r="B99" s="5"/>
      <c r="C99" s="13" t="s">
        <v>416</v>
      </c>
      <c r="D99" s="50">
        <f t="shared" ref="D99:O99" si="23">D101+D103+D105+D107+D109</f>
        <v>93112520</v>
      </c>
      <c r="E99" s="50">
        <f t="shared" si="23"/>
        <v>93112520</v>
      </c>
      <c r="F99" s="50">
        <f t="shared" si="23"/>
        <v>0</v>
      </c>
      <c r="G99" s="50">
        <f t="shared" si="23"/>
        <v>0</v>
      </c>
      <c r="H99" s="50">
        <f t="shared" si="23"/>
        <v>0</v>
      </c>
      <c r="I99" s="50">
        <f t="shared" si="23"/>
        <v>0</v>
      </c>
      <c r="J99" s="50">
        <f t="shared" si="23"/>
        <v>0</v>
      </c>
      <c r="K99" s="50">
        <f t="shared" si="23"/>
        <v>0</v>
      </c>
      <c r="L99" s="50">
        <f t="shared" si="23"/>
        <v>0</v>
      </c>
      <c r="M99" s="50">
        <f t="shared" si="23"/>
        <v>0</v>
      </c>
      <c r="N99" s="50">
        <f t="shared" si="23"/>
        <v>0</v>
      </c>
      <c r="O99" s="50">
        <f t="shared" si="23"/>
        <v>93112520</v>
      </c>
      <c r="P99" s="266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</row>
    <row r="100" spans="1:35" s="8" customFormat="1" ht="40.5" customHeight="1" x14ac:dyDescent="0.25">
      <c r="A100" s="7" t="s">
        <v>558</v>
      </c>
      <c r="B100" s="7" t="s">
        <v>83</v>
      </c>
      <c r="C100" s="14" t="s">
        <v>566</v>
      </c>
      <c r="D100" s="51">
        <f>'дод 3'!E171</f>
        <v>62044050</v>
      </c>
      <c r="E100" s="51">
        <f>'дод 3'!F171</f>
        <v>62044050</v>
      </c>
      <c r="F100" s="51">
        <f>'дод 3'!G171</f>
        <v>0</v>
      </c>
      <c r="G100" s="51">
        <f>'дод 3'!H171</f>
        <v>0</v>
      </c>
      <c r="H100" s="51">
        <f>'дод 3'!I171</f>
        <v>0</v>
      </c>
      <c r="I100" s="51">
        <f>'дод 3'!J171</f>
        <v>0</v>
      </c>
      <c r="J100" s="51">
        <f>'дод 3'!K171</f>
        <v>0</v>
      </c>
      <c r="K100" s="51">
        <f>'дод 3'!L171</f>
        <v>0</v>
      </c>
      <c r="L100" s="51">
        <f>'дод 3'!M171</f>
        <v>0</v>
      </c>
      <c r="M100" s="51">
        <f>'дод 3'!N171</f>
        <v>0</v>
      </c>
      <c r="N100" s="51">
        <f>'дод 3'!O171</f>
        <v>0</v>
      </c>
      <c r="O100" s="51">
        <f>'дод 3'!P171</f>
        <v>62044050</v>
      </c>
      <c r="P100" s="266">
        <v>40</v>
      </c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</row>
    <row r="101" spans="1:35" s="8" customFormat="1" ht="27" customHeight="1" x14ac:dyDescent="0.25">
      <c r="A101" s="7"/>
      <c r="B101" s="7"/>
      <c r="C101" s="14" t="s">
        <v>416</v>
      </c>
      <c r="D101" s="51">
        <f>'дод 3'!E172</f>
        <v>62044050</v>
      </c>
      <c r="E101" s="51">
        <f>'дод 3'!F172</f>
        <v>62044050</v>
      </c>
      <c r="F101" s="51">
        <f>'дод 3'!G172</f>
        <v>0</v>
      </c>
      <c r="G101" s="51">
        <f>'дод 3'!H172</f>
        <v>0</v>
      </c>
      <c r="H101" s="51">
        <f>'дод 3'!I172</f>
        <v>0</v>
      </c>
      <c r="I101" s="51">
        <f>'дод 3'!J172</f>
        <v>0</v>
      </c>
      <c r="J101" s="51">
        <f>'дод 3'!K172</f>
        <v>0</v>
      </c>
      <c r="K101" s="51">
        <f>'дод 3'!L172</f>
        <v>0</v>
      </c>
      <c r="L101" s="51">
        <f>'дод 3'!M172</f>
        <v>0</v>
      </c>
      <c r="M101" s="51">
        <f>'дод 3'!N172</f>
        <v>0</v>
      </c>
      <c r="N101" s="51">
        <f>'дод 3'!O172</f>
        <v>0</v>
      </c>
      <c r="O101" s="51">
        <f>'дод 3'!P172</f>
        <v>62044050</v>
      </c>
      <c r="P101" s="266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</row>
    <row r="102" spans="1:35" s="8" customFormat="1" ht="66" customHeight="1" x14ac:dyDescent="0.25">
      <c r="A102" s="7" t="s">
        <v>559</v>
      </c>
      <c r="B102" s="7" t="s">
        <v>83</v>
      </c>
      <c r="C102" s="14" t="s">
        <v>567</v>
      </c>
      <c r="D102" s="51">
        <f>'дод 3'!E173</f>
        <v>12251650</v>
      </c>
      <c r="E102" s="51">
        <f>'дод 3'!F173</f>
        <v>12251650</v>
      </c>
      <c r="F102" s="51">
        <f>'дод 3'!G173</f>
        <v>0</v>
      </c>
      <c r="G102" s="51">
        <f>'дод 3'!H173</f>
        <v>0</v>
      </c>
      <c r="H102" s="51">
        <f>'дод 3'!I173</f>
        <v>0</v>
      </c>
      <c r="I102" s="51">
        <f>'дод 3'!J173</f>
        <v>0</v>
      </c>
      <c r="J102" s="51">
        <f>'дод 3'!K173</f>
        <v>0</v>
      </c>
      <c r="K102" s="51">
        <f>'дод 3'!L173</f>
        <v>0</v>
      </c>
      <c r="L102" s="51">
        <f>'дод 3'!M173</f>
        <v>0</v>
      </c>
      <c r="M102" s="51">
        <f>'дод 3'!N173</f>
        <v>0</v>
      </c>
      <c r="N102" s="51">
        <f>'дод 3'!O173</f>
        <v>0</v>
      </c>
      <c r="O102" s="51">
        <f>'дод 3'!P173</f>
        <v>12251650</v>
      </c>
      <c r="P102" s="266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</row>
    <row r="103" spans="1:35" s="8" customFormat="1" ht="27" customHeight="1" x14ac:dyDescent="0.25">
      <c r="A103" s="7"/>
      <c r="B103" s="7"/>
      <c r="C103" s="14" t="s">
        <v>416</v>
      </c>
      <c r="D103" s="51">
        <f>'дод 3'!E174</f>
        <v>12251650</v>
      </c>
      <c r="E103" s="51">
        <f>'дод 3'!F174</f>
        <v>12251650</v>
      </c>
      <c r="F103" s="51">
        <f>'дод 3'!G174</f>
        <v>0</v>
      </c>
      <c r="G103" s="51">
        <f>'дод 3'!H174</f>
        <v>0</v>
      </c>
      <c r="H103" s="51">
        <f>'дод 3'!I174</f>
        <v>0</v>
      </c>
      <c r="I103" s="51">
        <f>'дод 3'!J174</f>
        <v>0</v>
      </c>
      <c r="J103" s="51">
        <f>'дод 3'!K174</f>
        <v>0</v>
      </c>
      <c r="K103" s="51">
        <f>'дод 3'!L174</f>
        <v>0</v>
      </c>
      <c r="L103" s="51">
        <f>'дод 3'!M174</f>
        <v>0</v>
      </c>
      <c r="M103" s="51">
        <f>'дод 3'!N174</f>
        <v>0</v>
      </c>
      <c r="N103" s="51">
        <f>'дод 3'!O174</f>
        <v>0</v>
      </c>
      <c r="O103" s="51">
        <f>'дод 3'!P174</f>
        <v>12251650</v>
      </c>
      <c r="P103" s="266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</row>
    <row r="104" spans="1:35" s="8" customFormat="1" ht="53.25" customHeight="1" x14ac:dyDescent="0.25">
      <c r="A104" s="7" t="s">
        <v>560</v>
      </c>
      <c r="B104" s="7" t="s">
        <v>83</v>
      </c>
      <c r="C104" s="14" t="s">
        <v>568</v>
      </c>
      <c r="D104" s="51">
        <f>'дод 3'!E175</f>
        <v>11516480</v>
      </c>
      <c r="E104" s="51">
        <f>'дод 3'!F175</f>
        <v>11516480</v>
      </c>
      <c r="F104" s="51">
        <f>'дод 3'!G175</f>
        <v>0</v>
      </c>
      <c r="G104" s="51">
        <f>'дод 3'!H175</f>
        <v>0</v>
      </c>
      <c r="H104" s="51">
        <f>'дод 3'!I175</f>
        <v>0</v>
      </c>
      <c r="I104" s="51">
        <f>'дод 3'!J175</f>
        <v>0</v>
      </c>
      <c r="J104" s="51">
        <f>'дод 3'!K175</f>
        <v>0</v>
      </c>
      <c r="K104" s="51">
        <f>'дод 3'!L175</f>
        <v>0</v>
      </c>
      <c r="L104" s="51">
        <f>'дод 3'!M175</f>
        <v>0</v>
      </c>
      <c r="M104" s="51">
        <f>'дод 3'!N175</f>
        <v>0</v>
      </c>
      <c r="N104" s="51">
        <f>'дод 3'!O175</f>
        <v>0</v>
      </c>
      <c r="O104" s="51">
        <f>'дод 3'!P175</f>
        <v>11516480</v>
      </c>
      <c r="P104" s="266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</row>
    <row r="105" spans="1:35" s="8" customFormat="1" ht="27" customHeight="1" x14ac:dyDescent="0.25">
      <c r="A105" s="7"/>
      <c r="B105" s="7"/>
      <c r="C105" s="14" t="s">
        <v>416</v>
      </c>
      <c r="D105" s="51">
        <f>'дод 3'!E176</f>
        <v>11516480</v>
      </c>
      <c r="E105" s="51">
        <f>'дод 3'!F176</f>
        <v>11516480</v>
      </c>
      <c r="F105" s="51">
        <f>'дод 3'!G176</f>
        <v>0</v>
      </c>
      <c r="G105" s="51">
        <f>'дод 3'!H176</f>
        <v>0</v>
      </c>
      <c r="H105" s="51">
        <f>'дод 3'!I176</f>
        <v>0</v>
      </c>
      <c r="I105" s="51">
        <f>'дод 3'!J176</f>
        <v>0</v>
      </c>
      <c r="J105" s="51">
        <f>'дод 3'!K176</f>
        <v>0</v>
      </c>
      <c r="K105" s="51">
        <f>'дод 3'!L176</f>
        <v>0</v>
      </c>
      <c r="L105" s="51">
        <f>'дод 3'!M176</f>
        <v>0</v>
      </c>
      <c r="M105" s="51">
        <f>'дод 3'!N176</f>
        <v>0</v>
      </c>
      <c r="N105" s="51">
        <f>'дод 3'!O176</f>
        <v>0</v>
      </c>
      <c r="O105" s="51">
        <f>'дод 3'!P176</f>
        <v>11516480</v>
      </c>
      <c r="P105" s="266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</row>
    <row r="106" spans="1:35" s="8" customFormat="1" ht="72" customHeight="1" x14ac:dyDescent="0.25">
      <c r="A106" s="7" t="s">
        <v>561</v>
      </c>
      <c r="B106" s="7" t="s">
        <v>148</v>
      </c>
      <c r="C106" s="14" t="s">
        <v>569</v>
      </c>
      <c r="D106" s="51">
        <f>'дод 3'!E177</f>
        <v>7152070</v>
      </c>
      <c r="E106" s="51">
        <f>'дод 3'!F177</f>
        <v>7152070</v>
      </c>
      <c r="F106" s="51">
        <f>'дод 3'!G177</f>
        <v>0</v>
      </c>
      <c r="G106" s="51">
        <f>'дод 3'!H177</f>
        <v>0</v>
      </c>
      <c r="H106" s="51">
        <f>'дод 3'!I177</f>
        <v>0</v>
      </c>
      <c r="I106" s="51">
        <f>'дод 3'!J177</f>
        <v>0</v>
      </c>
      <c r="J106" s="51">
        <f>'дод 3'!K177</f>
        <v>0</v>
      </c>
      <c r="K106" s="51">
        <f>'дод 3'!L177</f>
        <v>0</v>
      </c>
      <c r="L106" s="51">
        <f>'дод 3'!M177</f>
        <v>0</v>
      </c>
      <c r="M106" s="51">
        <f>'дод 3'!N177</f>
        <v>0</v>
      </c>
      <c r="N106" s="51">
        <f>'дод 3'!O177</f>
        <v>0</v>
      </c>
      <c r="O106" s="51">
        <f>'дод 3'!P177</f>
        <v>7152070</v>
      </c>
      <c r="P106" s="266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</row>
    <row r="107" spans="1:35" s="8" customFormat="1" ht="27" customHeight="1" x14ac:dyDescent="0.25">
      <c r="A107" s="7"/>
      <c r="B107" s="7"/>
      <c r="C107" s="14" t="s">
        <v>416</v>
      </c>
      <c r="D107" s="51">
        <f>'дод 3'!E178</f>
        <v>7152070</v>
      </c>
      <c r="E107" s="51">
        <f>'дод 3'!F178</f>
        <v>7152070</v>
      </c>
      <c r="F107" s="51">
        <f>'дод 3'!G178</f>
        <v>0</v>
      </c>
      <c r="G107" s="51">
        <f>'дод 3'!H178</f>
        <v>0</v>
      </c>
      <c r="H107" s="51">
        <f>'дод 3'!I178</f>
        <v>0</v>
      </c>
      <c r="I107" s="51">
        <f>'дод 3'!J178</f>
        <v>0</v>
      </c>
      <c r="J107" s="51">
        <f>'дод 3'!K178</f>
        <v>0</v>
      </c>
      <c r="K107" s="51">
        <f>'дод 3'!L178</f>
        <v>0</v>
      </c>
      <c r="L107" s="51">
        <f>'дод 3'!M178</f>
        <v>0</v>
      </c>
      <c r="M107" s="51">
        <f>'дод 3'!N178</f>
        <v>0</v>
      </c>
      <c r="N107" s="51">
        <f>'дод 3'!O178</f>
        <v>0</v>
      </c>
      <c r="O107" s="51">
        <f>'дод 3'!P178</f>
        <v>7152070</v>
      </c>
      <c r="P107" s="266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</row>
    <row r="108" spans="1:35" s="8" customFormat="1" ht="64.5" customHeight="1" x14ac:dyDescent="0.25">
      <c r="A108" s="7" t="s">
        <v>562</v>
      </c>
      <c r="B108" s="7" t="s">
        <v>83</v>
      </c>
      <c r="C108" s="14" t="s">
        <v>570</v>
      </c>
      <c r="D108" s="51">
        <f>'дод 3'!E179</f>
        <v>148270</v>
      </c>
      <c r="E108" s="51">
        <f>'дод 3'!F179</f>
        <v>148270</v>
      </c>
      <c r="F108" s="51">
        <f>'дод 3'!G179</f>
        <v>0</v>
      </c>
      <c r="G108" s="51">
        <f>'дод 3'!H179</f>
        <v>0</v>
      </c>
      <c r="H108" s="51">
        <f>'дод 3'!I179</f>
        <v>0</v>
      </c>
      <c r="I108" s="51">
        <f>'дод 3'!J179</f>
        <v>0</v>
      </c>
      <c r="J108" s="51">
        <f>'дод 3'!K179</f>
        <v>0</v>
      </c>
      <c r="K108" s="51">
        <f>'дод 3'!L179</f>
        <v>0</v>
      </c>
      <c r="L108" s="51">
        <f>'дод 3'!M179</f>
        <v>0</v>
      </c>
      <c r="M108" s="51">
        <f>'дод 3'!N179</f>
        <v>0</v>
      </c>
      <c r="N108" s="51">
        <f>'дод 3'!O179</f>
        <v>0</v>
      </c>
      <c r="O108" s="51">
        <f>'дод 3'!P179</f>
        <v>148270</v>
      </c>
      <c r="P108" s="266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</row>
    <row r="109" spans="1:35" s="8" customFormat="1" ht="27" customHeight="1" x14ac:dyDescent="0.25">
      <c r="A109" s="7"/>
      <c r="B109" s="7"/>
      <c r="C109" s="14" t="s">
        <v>416</v>
      </c>
      <c r="D109" s="51">
        <f>'дод 3'!E180</f>
        <v>148270</v>
      </c>
      <c r="E109" s="51">
        <f>'дод 3'!F180</f>
        <v>148270</v>
      </c>
      <c r="F109" s="51">
        <f>'дод 3'!G180</f>
        <v>0</v>
      </c>
      <c r="G109" s="51">
        <f>'дод 3'!H180</f>
        <v>0</v>
      </c>
      <c r="H109" s="51">
        <f>'дод 3'!I180</f>
        <v>0</v>
      </c>
      <c r="I109" s="51">
        <f>'дод 3'!J180</f>
        <v>0</v>
      </c>
      <c r="J109" s="51">
        <f>'дод 3'!K180</f>
        <v>0</v>
      </c>
      <c r="K109" s="51">
        <f>'дод 3'!L180</f>
        <v>0</v>
      </c>
      <c r="L109" s="51">
        <f>'дод 3'!M180</f>
        <v>0</v>
      </c>
      <c r="M109" s="51">
        <f>'дод 3'!N180</f>
        <v>0</v>
      </c>
      <c r="N109" s="51">
        <f>'дод 3'!O180</f>
        <v>0</v>
      </c>
      <c r="O109" s="51">
        <f>'дод 3'!P180</f>
        <v>148270</v>
      </c>
      <c r="P109" s="266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</row>
    <row r="110" spans="1:35" ht="40.5" customHeight="1" x14ac:dyDescent="0.25">
      <c r="A110" s="5" t="s">
        <v>502</v>
      </c>
      <c r="B110" s="5" t="s">
        <v>87</v>
      </c>
      <c r="C110" s="13" t="s">
        <v>503</v>
      </c>
      <c r="D110" s="50">
        <f>'дод 3'!E181</f>
        <v>200700</v>
      </c>
      <c r="E110" s="50">
        <f>'дод 3'!F181</f>
        <v>200700</v>
      </c>
      <c r="F110" s="50">
        <f>'дод 3'!G181</f>
        <v>0</v>
      </c>
      <c r="G110" s="50">
        <f>'дод 3'!H181</f>
        <v>0</v>
      </c>
      <c r="H110" s="50">
        <f>'дод 3'!I181</f>
        <v>0</v>
      </c>
      <c r="I110" s="50">
        <f>'дод 3'!J181</f>
        <v>0</v>
      </c>
      <c r="J110" s="50">
        <f>'дод 3'!K181</f>
        <v>0</v>
      </c>
      <c r="K110" s="50">
        <f>'дод 3'!L181</f>
        <v>0</v>
      </c>
      <c r="L110" s="50">
        <f>'дод 3'!M181</f>
        <v>0</v>
      </c>
      <c r="M110" s="50">
        <f>'дод 3'!N181</f>
        <v>0</v>
      </c>
      <c r="N110" s="50">
        <f>'дод 3'!O181</f>
        <v>0</v>
      </c>
      <c r="O110" s="50">
        <f>'дод 3'!P181</f>
        <v>200700</v>
      </c>
      <c r="P110" s="266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</row>
    <row r="111" spans="1:35" ht="62.25" customHeight="1" x14ac:dyDescent="0.25">
      <c r="A111" s="5" t="s">
        <v>150</v>
      </c>
      <c r="B111" s="15"/>
      <c r="C111" s="13" t="s">
        <v>452</v>
      </c>
      <c r="D111" s="50">
        <f t="shared" ref="D111:O111" si="24">D112</f>
        <v>9337375</v>
      </c>
      <c r="E111" s="50">
        <f t="shared" si="24"/>
        <v>9337375</v>
      </c>
      <c r="F111" s="50">
        <f t="shared" si="24"/>
        <v>7009500</v>
      </c>
      <c r="G111" s="50">
        <f t="shared" si="24"/>
        <v>193245</v>
      </c>
      <c r="H111" s="50">
        <f t="shared" si="24"/>
        <v>0</v>
      </c>
      <c r="I111" s="50">
        <f t="shared" si="24"/>
        <v>76400</v>
      </c>
      <c r="J111" s="50">
        <f t="shared" si="24"/>
        <v>57900</v>
      </c>
      <c r="K111" s="50">
        <f t="shared" si="24"/>
        <v>44700</v>
      </c>
      <c r="L111" s="50">
        <f t="shared" si="24"/>
        <v>0</v>
      </c>
      <c r="M111" s="50">
        <f t="shared" si="24"/>
        <v>18500</v>
      </c>
      <c r="N111" s="50">
        <f t="shared" si="24"/>
        <v>18500</v>
      </c>
      <c r="O111" s="50">
        <f t="shared" si="24"/>
        <v>9413775</v>
      </c>
      <c r="P111" s="266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</row>
    <row r="112" spans="1:35" s="8" customFormat="1" ht="74.25" customHeight="1" x14ac:dyDescent="0.25">
      <c r="A112" s="7" t="s">
        <v>151</v>
      </c>
      <c r="B112" s="7" t="s">
        <v>85</v>
      </c>
      <c r="C112" s="14" t="s">
        <v>57</v>
      </c>
      <c r="D112" s="51">
        <f>'дод 3'!E183</f>
        <v>9337375</v>
      </c>
      <c r="E112" s="51">
        <f>'дод 3'!F183</f>
        <v>9337375</v>
      </c>
      <c r="F112" s="51">
        <f>'дод 3'!G183</f>
        <v>7009500</v>
      </c>
      <c r="G112" s="51">
        <f>'дод 3'!H183</f>
        <v>193245</v>
      </c>
      <c r="H112" s="51">
        <f>'дод 3'!I183</f>
        <v>0</v>
      </c>
      <c r="I112" s="51">
        <f>'дод 3'!J183</f>
        <v>76400</v>
      </c>
      <c r="J112" s="51">
        <f>'дод 3'!K183</f>
        <v>57900</v>
      </c>
      <c r="K112" s="51">
        <f>'дод 3'!L183</f>
        <v>44700</v>
      </c>
      <c r="L112" s="51">
        <f>'дод 3'!M183</f>
        <v>0</v>
      </c>
      <c r="M112" s="51">
        <f>'дод 3'!N183</f>
        <v>18500</v>
      </c>
      <c r="N112" s="51">
        <f>'дод 3'!O183</f>
        <v>18500</v>
      </c>
      <c r="O112" s="51">
        <f>'дод 3'!P183</f>
        <v>9413775</v>
      </c>
      <c r="P112" s="266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</row>
    <row r="113" spans="1:35" ht="36.75" customHeight="1" x14ac:dyDescent="0.25">
      <c r="A113" s="5" t="s">
        <v>161</v>
      </c>
      <c r="B113" s="5"/>
      <c r="C113" s="13" t="s">
        <v>62</v>
      </c>
      <c r="D113" s="47">
        <f t="shared" ref="D113:O113" si="25">D114</f>
        <v>80000</v>
      </c>
      <c r="E113" s="47">
        <f t="shared" si="25"/>
        <v>80000</v>
      </c>
      <c r="F113" s="47">
        <f t="shared" si="25"/>
        <v>0</v>
      </c>
      <c r="G113" s="47">
        <f t="shared" si="25"/>
        <v>0</v>
      </c>
      <c r="H113" s="47">
        <f t="shared" si="25"/>
        <v>0</v>
      </c>
      <c r="I113" s="47">
        <f t="shared" si="25"/>
        <v>0</v>
      </c>
      <c r="J113" s="47">
        <f t="shared" si="25"/>
        <v>0</v>
      </c>
      <c r="K113" s="47">
        <f t="shared" si="25"/>
        <v>0</v>
      </c>
      <c r="L113" s="47">
        <f t="shared" si="25"/>
        <v>0</v>
      </c>
      <c r="M113" s="47">
        <f t="shared" si="25"/>
        <v>0</v>
      </c>
      <c r="N113" s="47">
        <f t="shared" si="25"/>
        <v>0</v>
      </c>
      <c r="O113" s="47">
        <f t="shared" si="25"/>
        <v>80000</v>
      </c>
      <c r="P113" s="266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</row>
    <row r="114" spans="1:35" s="8" customFormat="1" ht="43.5" customHeight="1" x14ac:dyDescent="0.25">
      <c r="A114" s="7" t="s">
        <v>152</v>
      </c>
      <c r="B114" s="7" t="s">
        <v>148</v>
      </c>
      <c r="C114" s="14" t="s">
        <v>60</v>
      </c>
      <c r="D114" s="49">
        <f>'дод 3'!E214</f>
        <v>80000</v>
      </c>
      <c r="E114" s="49">
        <f>'дод 3'!F214</f>
        <v>80000</v>
      </c>
      <c r="F114" s="49">
        <f>'дод 3'!G214</f>
        <v>0</v>
      </c>
      <c r="G114" s="49">
        <f>'дод 3'!H214</f>
        <v>0</v>
      </c>
      <c r="H114" s="49">
        <f>'дод 3'!I214</f>
        <v>0</v>
      </c>
      <c r="I114" s="49">
        <f>'дод 3'!J214</f>
        <v>0</v>
      </c>
      <c r="J114" s="49">
        <f>'дод 3'!K214</f>
        <v>0</v>
      </c>
      <c r="K114" s="49">
        <f>'дод 3'!L214</f>
        <v>0</v>
      </c>
      <c r="L114" s="49">
        <f>'дод 3'!M214</f>
        <v>0</v>
      </c>
      <c r="M114" s="49">
        <f>'дод 3'!N214</f>
        <v>0</v>
      </c>
      <c r="N114" s="49">
        <f>'дод 3'!O214</f>
        <v>0</v>
      </c>
      <c r="O114" s="49">
        <f>'дод 3'!P214</f>
        <v>80000</v>
      </c>
      <c r="P114" s="26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</row>
    <row r="115" spans="1:35" ht="37.5" customHeight="1" x14ac:dyDescent="0.25">
      <c r="A115" s="5" t="s">
        <v>200</v>
      </c>
      <c r="B115" s="5"/>
      <c r="C115" s="13" t="s">
        <v>40</v>
      </c>
      <c r="D115" s="47">
        <f t="shared" ref="D115:O115" si="26">D116</f>
        <v>1791330</v>
      </c>
      <c r="E115" s="47">
        <f t="shared" si="26"/>
        <v>1791330</v>
      </c>
      <c r="F115" s="47">
        <f t="shared" si="26"/>
        <v>1348310</v>
      </c>
      <c r="G115" s="47">
        <f t="shared" si="26"/>
        <v>63780</v>
      </c>
      <c r="H115" s="47">
        <f t="shared" si="26"/>
        <v>0</v>
      </c>
      <c r="I115" s="47">
        <f t="shared" si="26"/>
        <v>705500</v>
      </c>
      <c r="J115" s="47">
        <f t="shared" si="26"/>
        <v>0</v>
      </c>
      <c r="K115" s="47">
        <f t="shared" si="26"/>
        <v>0</v>
      </c>
      <c r="L115" s="47">
        <f t="shared" si="26"/>
        <v>0</v>
      </c>
      <c r="M115" s="47">
        <f t="shared" si="26"/>
        <v>705500</v>
      </c>
      <c r="N115" s="47">
        <f t="shared" si="26"/>
        <v>705500</v>
      </c>
      <c r="O115" s="47">
        <f t="shared" si="26"/>
        <v>2496830</v>
      </c>
      <c r="P115" s="266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</row>
    <row r="116" spans="1:35" s="8" customFormat="1" ht="42.75" customHeight="1" x14ac:dyDescent="0.25">
      <c r="A116" s="7" t="s">
        <v>201</v>
      </c>
      <c r="B116" s="7" t="s">
        <v>148</v>
      </c>
      <c r="C116" s="14" t="s">
        <v>202</v>
      </c>
      <c r="D116" s="49">
        <f>'дод 3'!E19</f>
        <v>1791330</v>
      </c>
      <c r="E116" s="49">
        <f>'дод 3'!F19</f>
        <v>1791330</v>
      </c>
      <c r="F116" s="49">
        <f>'дод 3'!G19</f>
        <v>1348310</v>
      </c>
      <c r="G116" s="49">
        <f>'дод 3'!H19</f>
        <v>63780</v>
      </c>
      <c r="H116" s="49">
        <f>'дод 3'!I19</f>
        <v>0</v>
      </c>
      <c r="I116" s="49">
        <f>'дод 3'!J19</f>
        <v>705500</v>
      </c>
      <c r="J116" s="49">
        <f>'дод 3'!K19</f>
        <v>0</v>
      </c>
      <c r="K116" s="49">
        <f>'дод 3'!L19</f>
        <v>0</v>
      </c>
      <c r="L116" s="49">
        <f>'дод 3'!M19</f>
        <v>0</v>
      </c>
      <c r="M116" s="49">
        <f>'дод 3'!N19</f>
        <v>705500</v>
      </c>
      <c r="N116" s="49">
        <f>'дод 3'!O19</f>
        <v>705500</v>
      </c>
      <c r="O116" s="49">
        <f>'дод 3'!P19</f>
        <v>2496830</v>
      </c>
      <c r="P116" s="26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</row>
    <row r="117" spans="1:35" ht="24.75" customHeight="1" x14ac:dyDescent="0.25">
      <c r="A117" s="5" t="s">
        <v>157</v>
      </c>
      <c r="B117" s="5"/>
      <c r="C117" s="13" t="s">
        <v>168</v>
      </c>
      <c r="D117" s="47">
        <f t="shared" ref="D117:O117" si="27">D118</f>
        <v>684600</v>
      </c>
      <c r="E117" s="47">
        <f t="shared" si="27"/>
        <v>684600</v>
      </c>
      <c r="F117" s="47">
        <f t="shared" si="27"/>
        <v>0</v>
      </c>
      <c r="G117" s="47">
        <f t="shared" si="27"/>
        <v>0</v>
      </c>
      <c r="H117" s="47">
        <f t="shared" si="27"/>
        <v>0</v>
      </c>
      <c r="I117" s="47">
        <f t="shared" si="27"/>
        <v>0</v>
      </c>
      <c r="J117" s="47">
        <f t="shared" si="27"/>
        <v>0</v>
      </c>
      <c r="K117" s="47">
        <f t="shared" si="27"/>
        <v>0</v>
      </c>
      <c r="L117" s="47">
        <f t="shared" si="27"/>
        <v>0</v>
      </c>
      <c r="M117" s="47">
        <f t="shared" si="27"/>
        <v>0</v>
      </c>
      <c r="N117" s="47">
        <f t="shared" si="27"/>
        <v>0</v>
      </c>
      <c r="O117" s="47">
        <f t="shared" si="27"/>
        <v>684600</v>
      </c>
      <c r="P117" s="266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</row>
    <row r="118" spans="1:35" s="8" customFormat="1" ht="58.5" customHeight="1" x14ac:dyDescent="0.25">
      <c r="A118" s="27" t="s">
        <v>158</v>
      </c>
      <c r="B118" s="27" t="s">
        <v>148</v>
      </c>
      <c r="C118" s="14" t="s">
        <v>224</v>
      </c>
      <c r="D118" s="49">
        <f>'дод 3'!E21</f>
        <v>684600</v>
      </c>
      <c r="E118" s="49">
        <f>'дод 3'!F21</f>
        <v>684600</v>
      </c>
      <c r="F118" s="49">
        <f>'дод 3'!G21</f>
        <v>0</v>
      </c>
      <c r="G118" s="49">
        <f>'дод 3'!H21</f>
        <v>0</v>
      </c>
      <c r="H118" s="49">
        <f>'дод 3'!I21</f>
        <v>0</v>
      </c>
      <c r="I118" s="49">
        <f>'дод 3'!J21</f>
        <v>0</v>
      </c>
      <c r="J118" s="49">
        <f>'дод 3'!K21</f>
        <v>0</v>
      </c>
      <c r="K118" s="49">
        <f>'дод 3'!L21</f>
        <v>0</v>
      </c>
      <c r="L118" s="49">
        <f>'дод 3'!M21</f>
        <v>0</v>
      </c>
      <c r="M118" s="49">
        <f>'дод 3'!N21</f>
        <v>0</v>
      </c>
      <c r="N118" s="49">
        <f>'дод 3'!O21</f>
        <v>0</v>
      </c>
      <c r="O118" s="49">
        <f>'дод 3'!P21</f>
        <v>684600</v>
      </c>
      <c r="P118" s="26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6"/>
      <c r="AI118" s="176"/>
    </row>
    <row r="119" spans="1:35" ht="75" customHeight="1" x14ac:dyDescent="0.25">
      <c r="A119" s="5" t="s">
        <v>159</v>
      </c>
      <c r="B119" s="5" t="s">
        <v>148</v>
      </c>
      <c r="C119" s="18" t="s">
        <v>41</v>
      </c>
      <c r="D119" s="47">
        <f>'дод 3'!E22+'дод 3'!E81</f>
        <v>8717165</v>
      </c>
      <c r="E119" s="47">
        <f>'дод 3'!F22+'дод 3'!F81</f>
        <v>8717165</v>
      </c>
      <c r="F119" s="47">
        <f>'дод 3'!G22+'дод 3'!G81</f>
        <v>0</v>
      </c>
      <c r="G119" s="47">
        <f>'дод 3'!H22+'дод 3'!H81</f>
        <v>0</v>
      </c>
      <c r="H119" s="47">
        <f>'дод 3'!I22+'дод 3'!I81</f>
        <v>0</v>
      </c>
      <c r="I119" s="47">
        <f>'дод 3'!J22+'дод 3'!J81</f>
        <v>0</v>
      </c>
      <c r="J119" s="47">
        <f>'дод 3'!K22+'дод 3'!K81</f>
        <v>0</v>
      </c>
      <c r="K119" s="47">
        <f>'дод 3'!L22+'дод 3'!L81</f>
        <v>0</v>
      </c>
      <c r="L119" s="47">
        <f>'дод 3'!M22+'дод 3'!M81</f>
        <v>0</v>
      </c>
      <c r="M119" s="47">
        <f>'дод 3'!N22+'дод 3'!N81</f>
        <v>0</v>
      </c>
      <c r="N119" s="47">
        <f>'дод 3'!O22+'дод 3'!O81</f>
        <v>0</v>
      </c>
      <c r="O119" s="47">
        <f>'дод 3'!P22+'дод 3'!P81</f>
        <v>8717165</v>
      </c>
      <c r="P119" s="266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</row>
    <row r="120" spans="1:35" ht="92.25" customHeight="1" x14ac:dyDescent="0.25">
      <c r="A120" s="5" t="s">
        <v>160</v>
      </c>
      <c r="B120" s="31">
        <v>1010</v>
      </c>
      <c r="C120" s="13" t="s">
        <v>453</v>
      </c>
      <c r="D120" s="47">
        <f>'дод 3'!E184</f>
        <v>1673920</v>
      </c>
      <c r="E120" s="47">
        <f>'дод 3'!F184</f>
        <v>1673920</v>
      </c>
      <c r="F120" s="47">
        <f>'дод 3'!G184</f>
        <v>0</v>
      </c>
      <c r="G120" s="47">
        <f>'дод 3'!H184</f>
        <v>0</v>
      </c>
      <c r="H120" s="47">
        <f>'дод 3'!I184</f>
        <v>0</v>
      </c>
      <c r="I120" s="47">
        <f>'дод 3'!J184</f>
        <v>0</v>
      </c>
      <c r="J120" s="47">
        <f>'дод 3'!K184</f>
        <v>0</v>
      </c>
      <c r="K120" s="47">
        <f>'дод 3'!L184</f>
        <v>0</v>
      </c>
      <c r="L120" s="47">
        <f>'дод 3'!M184</f>
        <v>0</v>
      </c>
      <c r="M120" s="47">
        <f>'дод 3'!N184</f>
        <v>0</v>
      </c>
      <c r="N120" s="47">
        <f>'дод 3'!O184</f>
        <v>0</v>
      </c>
      <c r="O120" s="47">
        <f>'дод 3'!P184</f>
        <v>1673920</v>
      </c>
      <c r="P120" s="266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</row>
    <row r="121" spans="1:35" ht="32.25" customHeight="1" x14ac:dyDescent="0.25">
      <c r="A121" s="5" t="s">
        <v>504</v>
      </c>
      <c r="B121" s="31"/>
      <c r="C121" s="13" t="s">
        <v>507</v>
      </c>
      <c r="D121" s="47">
        <f t="shared" ref="D121:O121" si="28">D122+D123</f>
        <v>188864</v>
      </c>
      <c r="E121" s="47">
        <f t="shared" si="28"/>
        <v>188864</v>
      </c>
      <c r="F121" s="47">
        <f t="shared" si="28"/>
        <v>0</v>
      </c>
      <c r="G121" s="47">
        <f t="shared" si="28"/>
        <v>0</v>
      </c>
      <c r="H121" s="47">
        <f t="shared" si="28"/>
        <v>0</v>
      </c>
      <c r="I121" s="47">
        <f t="shared" si="28"/>
        <v>0</v>
      </c>
      <c r="J121" s="47">
        <f t="shared" si="28"/>
        <v>0</v>
      </c>
      <c r="K121" s="47">
        <f t="shared" si="28"/>
        <v>0</v>
      </c>
      <c r="L121" s="47">
        <f t="shared" si="28"/>
        <v>0</v>
      </c>
      <c r="M121" s="47">
        <f t="shared" si="28"/>
        <v>0</v>
      </c>
      <c r="N121" s="47">
        <f t="shared" si="28"/>
        <v>0</v>
      </c>
      <c r="O121" s="47">
        <f t="shared" si="28"/>
        <v>188864</v>
      </c>
      <c r="P121" s="266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</row>
    <row r="122" spans="1:35" s="8" customFormat="1" ht="67.5" customHeight="1" x14ac:dyDescent="0.25">
      <c r="A122" s="7" t="s">
        <v>505</v>
      </c>
      <c r="B122" s="134">
        <v>1010</v>
      </c>
      <c r="C122" s="14" t="s">
        <v>508</v>
      </c>
      <c r="D122" s="49">
        <f>'дод 3'!E186</f>
        <v>188024</v>
      </c>
      <c r="E122" s="49">
        <f>'дод 3'!F186</f>
        <v>188024</v>
      </c>
      <c r="F122" s="49">
        <f>'дод 3'!G186</f>
        <v>0</v>
      </c>
      <c r="G122" s="49">
        <f>'дод 3'!H186</f>
        <v>0</v>
      </c>
      <c r="H122" s="49">
        <f>'дод 3'!I186</f>
        <v>0</v>
      </c>
      <c r="I122" s="49">
        <f>'дод 3'!J186</f>
        <v>0</v>
      </c>
      <c r="J122" s="49">
        <f>'дод 3'!K186</f>
        <v>0</v>
      </c>
      <c r="K122" s="49">
        <f>'дод 3'!L186</f>
        <v>0</v>
      </c>
      <c r="L122" s="49">
        <f>'дод 3'!M186</f>
        <v>0</v>
      </c>
      <c r="M122" s="49">
        <f>'дод 3'!N186</f>
        <v>0</v>
      </c>
      <c r="N122" s="49">
        <f>'дод 3'!O186</f>
        <v>0</v>
      </c>
      <c r="O122" s="49">
        <f>'дод 3'!P186</f>
        <v>188024</v>
      </c>
      <c r="P122" s="266">
        <v>41</v>
      </c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</row>
    <row r="123" spans="1:35" s="8" customFormat="1" ht="32.25" customHeight="1" x14ac:dyDescent="0.25">
      <c r="A123" s="7" t="s">
        <v>506</v>
      </c>
      <c r="B123" s="134">
        <v>1010</v>
      </c>
      <c r="C123" s="14" t="s">
        <v>509</v>
      </c>
      <c r="D123" s="49">
        <f>'дод 3'!E187</f>
        <v>840</v>
      </c>
      <c r="E123" s="49">
        <f>'дод 3'!F187</f>
        <v>840</v>
      </c>
      <c r="F123" s="49">
        <f>'дод 3'!G187</f>
        <v>0</v>
      </c>
      <c r="G123" s="49">
        <f>'дод 3'!H187</f>
        <v>0</v>
      </c>
      <c r="H123" s="49">
        <f>'дод 3'!I187</f>
        <v>0</v>
      </c>
      <c r="I123" s="49">
        <f>'дод 3'!J187</f>
        <v>0</v>
      </c>
      <c r="J123" s="49">
        <f>'дод 3'!K187</f>
        <v>0</v>
      </c>
      <c r="K123" s="49">
        <f>'дод 3'!L187</f>
        <v>0</v>
      </c>
      <c r="L123" s="49">
        <f>'дод 3'!M187</f>
        <v>0</v>
      </c>
      <c r="M123" s="49">
        <f>'дод 3'!N187</f>
        <v>0</v>
      </c>
      <c r="N123" s="49">
        <f>'дод 3'!O187</f>
        <v>0</v>
      </c>
      <c r="O123" s="49">
        <f>'дод 3'!P187</f>
        <v>840</v>
      </c>
      <c r="P123" s="266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</row>
    <row r="124" spans="1:35" ht="85.5" customHeight="1" x14ac:dyDescent="0.25">
      <c r="A124" s="5" t="s">
        <v>153</v>
      </c>
      <c r="B124" s="5" t="s">
        <v>88</v>
      </c>
      <c r="C124" s="13" t="s">
        <v>203</v>
      </c>
      <c r="D124" s="47">
        <f>'дод 3'!E188</f>
        <v>1282391</v>
      </c>
      <c r="E124" s="47">
        <f>'дод 3'!F188</f>
        <v>1282391</v>
      </c>
      <c r="F124" s="47">
        <f>'дод 3'!G188</f>
        <v>0</v>
      </c>
      <c r="G124" s="47">
        <f>'дод 3'!H188</f>
        <v>0</v>
      </c>
      <c r="H124" s="47">
        <f>'дод 3'!I188</f>
        <v>0</v>
      </c>
      <c r="I124" s="47">
        <f>'дод 3'!J188</f>
        <v>0</v>
      </c>
      <c r="J124" s="47">
        <f>'дод 3'!K188</f>
        <v>0</v>
      </c>
      <c r="K124" s="47">
        <f>'дод 3'!L188</f>
        <v>0</v>
      </c>
      <c r="L124" s="47">
        <f>'дод 3'!M188</f>
        <v>0</v>
      </c>
      <c r="M124" s="47">
        <f>'дод 3'!N188</f>
        <v>0</v>
      </c>
      <c r="N124" s="47">
        <f>'дод 3'!O188</f>
        <v>0</v>
      </c>
      <c r="O124" s="47">
        <f>'дод 3'!P188</f>
        <v>1282391</v>
      </c>
      <c r="P124" s="266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</row>
    <row r="125" spans="1:35" ht="19.5" customHeight="1" x14ac:dyDescent="0.25">
      <c r="A125" s="5" t="s">
        <v>154</v>
      </c>
      <c r="B125" s="31"/>
      <c r="C125" s="13" t="s">
        <v>58</v>
      </c>
      <c r="D125" s="47">
        <f>D126+D127</f>
        <v>3209214</v>
      </c>
      <c r="E125" s="47">
        <f t="shared" ref="E125:O125" si="29">E126+E127</f>
        <v>3209214</v>
      </c>
      <c r="F125" s="47">
        <f t="shared" si="29"/>
        <v>0</v>
      </c>
      <c r="G125" s="47">
        <f t="shared" si="29"/>
        <v>0</v>
      </c>
      <c r="H125" s="47">
        <f t="shared" si="29"/>
        <v>0</v>
      </c>
      <c r="I125" s="47">
        <f t="shared" si="29"/>
        <v>0</v>
      </c>
      <c r="J125" s="47">
        <f t="shared" si="29"/>
        <v>0</v>
      </c>
      <c r="K125" s="47">
        <f t="shared" si="29"/>
        <v>0</v>
      </c>
      <c r="L125" s="47">
        <f t="shared" si="29"/>
        <v>0</v>
      </c>
      <c r="M125" s="47">
        <f t="shared" si="29"/>
        <v>0</v>
      </c>
      <c r="N125" s="47">
        <f t="shared" si="29"/>
        <v>0</v>
      </c>
      <c r="O125" s="47">
        <f t="shared" si="29"/>
        <v>3209214</v>
      </c>
      <c r="P125" s="266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</row>
    <row r="126" spans="1:35" s="8" customFormat="1" ht="42.75" customHeight="1" x14ac:dyDescent="0.25">
      <c r="A126" s="7" t="s">
        <v>454</v>
      </c>
      <c r="B126" s="7" t="s">
        <v>87</v>
      </c>
      <c r="C126" s="14" t="s">
        <v>36</v>
      </c>
      <c r="D126" s="49">
        <f>'дод 3'!E190</f>
        <v>1937114</v>
      </c>
      <c r="E126" s="49">
        <f>'дод 3'!F190</f>
        <v>1937114</v>
      </c>
      <c r="F126" s="49">
        <f>'дод 3'!G190</f>
        <v>0</v>
      </c>
      <c r="G126" s="49">
        <f>'дод 3'!H190</f>
        <v>0</v>
      </c>
      <c r="H126" s="49">
        <f>'дод 3'!I190</f>
        <v>0</v>
      </c>
      <c r="I126" s="49">
        <f>'дод 3'!J190</f>
        <v>0</v>
      </c>
      <c r="J126" s="49">
        <f>'дод 3'!K190</f>
        <v>0</v>
      </c>
      <c r="K126" s="49">
        <f>'дод 3'!L190</f>
        <v>0</v>
      </c>
      <c r="L126" s="49">
        <f>'дод 3'!M190</f>
        <v>0</v>
      </c>
      <c r="M126" s="49">
        <f>'дод 3'!N190</f>
        <v>0</v>
      </c>
      <c r="N126" s="49">
        <f>'дод 3'!O190</f>
        <v>0</v>
      </c>
      <c r="O126" s="49">
        <f>'дод 3'!P190</f>
        <v>1937114</v>
      </c>
      <c r="P126" s="26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</row>
    <row r="127" spans="1:35" s="8" customFormat="1" ht="55.5" customHeight="1" x14ac:dyDescent="0.25">
      <c r="A127" s="7" t="s">
        <v>455</v>
      </c>
      <c r="B127" s="7" t="s">
        <v>87</v>
      </c>
      <c r="C127" s="14" t="s">
        <v>498</v>
      </c>
      <c r="D127" s="49">
        <f>'дод 3'!E191</f>
        <v>1272100</v>
      </c>
      <c r="E127" s="49">
        <f>'дод 3'!F191</f>
        <v>1272100</v>
      </c>
      <c r="F127" s="49">
        <f>'дод 3'!G191</f>
        <v>0</v>
      </c>
      <c r="G127" s="49">
        <f>'дод 3'!H191</f>
        <v>0</v>
      </c>
      <c r="H127" s="49">
        <f>'дод 3'!I191</f>
        <v>0</v>
      </c>
      <c r="I127" s="49">
        <f>'дод 3'!J191</f>
        <v>0</v>
      </c>
      <c r="J127" s="49">
        <f>'дод 3'!K191</f>
        <v>0</v>
      </c>
      <c r="K127" s="49">
        <f>'дод 3'!L191</f>
        <v>0</v>
      </c>
      <c r="L127" s="49">
        <f>'дод 3'!M191</f>
        <v>0</v>
      </c>
      <c r="M127" s="49">
        <f>'дод 3'!N191</f>
        <v>0</v>
      </c>
      <c r="N127" s="49">
        <f>'дод 3'!O191</f>
        <v>0</v>
      </c>
      <c r="O127" s="49">
        <f>'дод 3'!P191</f>
        <v>1272100</v>
      </c>
      <c r="P127" s="26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</row>
    <row r="128" spans="1:35" ht="43.5" customHeight="1" x14ac:dyDescent="0.25">
      <c r="A128" s="5" t="s">
        <v>155</v>
      </c>
      <c r="B128" s="5" t="s">
        <v>91</v>
      </c>
      <c r="C128" s="13" t="s">
        <v>225</v>
      </c>
      <c r="D128" s="47">
        <f>'дод 3'!E192</f>
        <v>75000</v>
      </c>
      <c r="E128" s="47">
        <f>'дод 3'!F192</f>
        <v>75000</v>
      </c>
      <c r="F128" s="47">
        <f>'дод 3'!G192</f>
        <v>0</v>
      </c>
      <c r="G128" s="47">
        <f>'дод 3'!H192</f>
        <v>0</v>
      </c>
      <c r="H128" s="47">
        <f>'дод 3'!I192</f>
        <v>0</v>
      </c>
      <c r="I128" s="47">
        <f>'дод 3'!J192</f>
        <v>0</v>
      </c>
      <c r="J128" s="47">
        <f>'дод 3'!K192</f>
        <v>0</v>
      </c>
      <c r="K128" s="47">
        <f>'дод 3'!L192</f>
        <v>0</v>
      </c>
      <c r="L128" s="47">
        <f>'дод 3'!M192</f>
        <v>0</v>
      </c>
      <c r="M128" s="47">
        <f>'дод 3'!N192</f>
        <v>0</v>
      </c>
      <c r="N128" s="47">
        <f>'дод 3'!O192</f>
        <v>0</v>
      </c>
      <c r="O128" s="47">
        <f>'дод 3'!P192</f>
        <v>75000</v>
      </c>
      <c r="P128" s="266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</row>
    <row r="129" spans="1:35" ht="27.75" customHeight="1" x14ac:dyDescent="0.25">
      <c r="A129" s="5" t="s">
        <v>456</v>
      </c>
      <c r="B129" s="5" t="s">
        <v>156</v>
      </c>
      <c r="C129" s="13" t="s">
        <v>69</v>
      </c>
      <c r="D129" s="47">
        <f>'дод 3'!E193+'дод 3'!E236</f>
        <v>895000</v>
      </c>
      <c r="E129" s="47">
        <f>'дод 3'!F193+'дод 3'!F236</f>
        <v>895000</v>
      </c>
      <c r="F129" s="47">
        <f>'дод 3'!G193+'дод 3'!G236</f>
        <v>282787.09999999998</v>
      </c>
      <c r="G129" s="47">
        <f>'дод 3'!H193+'дод 3'!H236</f>
        <v>0</v>
      </c>
      <c r="H129" s="47">
        <f>'дод 3'!I193+'дод 3'!I236</f>
        <v>0</v>
      </c>
      <c r="I129" s="47">
        <f>'дод 3'!J193+'дод 3'!J236</f>
        <v>0</v>
      </c>
      <c r="J129" s="47">
        <f>'дод 3'!K193+'дод 3'!K236</f>
        <v>0</v>
      </c>
      <c r="K129" s="47">
        <f>'дод 3'!L193+'дод 3'!L236</f>
        <v>0</v>
      </c>
      <c r="L129" s="47">
        <f>'дод 3'!M193+'дод 3'!M236</f>
        <v>0</v>
      </c>
      <c r="M129" s="47">
        <f>'дод 3'!N193+'дод 3'!N236</f>
        <v>0</v>
      </c>
      <c r="N129" s="47">
        <f>'дод 3'!O193+'дод 3'!O236</f>
        <v>0</v>
      </c>
      <c r="O129" s="47">
        <f>'дод 3'!P193+'дод 3'!P236</f>
        <v>895000</v>
      </c>
      <c r="P129" s="266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</row>
    <row r="130" spans="1:35" ht="53.25" customHeight="1" x14ac:dyDescent="0.25">
      <c r="A130" s="5" t="s">
        <v>654</v>
      </c>
      <c r="B130" s="5"/>
      <c r="C130" s="13" t="s">
        <v>657</v>
      </c>
      <c r="D130" s="47">
        <f>D132</f>
        <v>0</v>
      </c>
      <c r="E130" s="47">
        <f t="shared" ref="E130:L130" si="30">E132</f>
        <v>0</v>
      </c>
      <c r="F130" s="47">
        <f t="shared" si="30"/>
        <v>0</v>
      </c>
      <c r="G130" s="47">
        <f t="shared" si="30"/>
        <v>0</v>
      </c>
      <c r="H130" s="47">
        <f t="shared" si="30"/>
        <v>0</v>
      </c>
      <c r="I130" s="47">
        <f>I132+I134+I136</f>
        <v>12613549.68</v>
      </c>
      <c r="J130" s="47">
        <f t="shared" si="30"/>
        <v>0</v>
      </c>
      <c r="K130" s="47">
        <f t="shared" si="30"/>
        <v>0</v>
      </c>
      <c r="L130" s="47">
        <f t="shared" si="30"/>
        <v>0</v>
      </c>
      <c r="M130" s="47">
        <f>M132+M134+M136</f>
        <v>12613549.68</v>
      </c>
      <c r="N130" s="47">
        <f>N132+N134+N136</f>
        <v>12613549.68</v>
      </c>
      <c r="O130" s="47">
        <f>O132+O134+O136</f>
        <v>12613549.68</v>
      </c>
      <c r="P130" s="266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</row>
    <row r="131" spans="1:35" ht="25.5" customHeight="1" x14ac:dyDescent="0.25">
      <c r="B131" s="5"/>
      <c r="C131" s="13" t="s">
        <v>416</v>
      </c>
      <c r="D131" s="47">
        <f>D133</f>
        <v>0</v>
      </c>
      <c r="E131" s="47">
        <f t="shared" ref="E131:L131" si="31">E133</f>
        <v>0</v>
      </c>
      <c r="F131" s="47">
        <f t="shared" si="31"/>
        <v>0</v>
      </c>
      <c r="G131" s="47">
        <f t="shared" si="31"/>
        <v>0</v>
      </c>
      <c r="H131" s="47">
        <f t="shared" si="31"/>
        <v>0</v>
      </c>
      <c r="I131" s="47">
        <f>I133+I135+I137</f>
        <v>12613549.68</v>
      </c>
      <c r="J131" s="47">
        <f t="shared" si="31"/>
        <v>0</v>
      </c>
      <c r="K131" s="47">
        <f t="shared" si="31"/>
        <v>0</v>
      </c>
      <c r="L131" s="47">
        <f t="shared" si="31"/>
        <v>0</v>
      </c>
      <c r="M131" s="47">
        <f>M130</f>
        <v>12613549.68</v>
      </c>
      <c r="N131" s="47">
        <f>N130</f>
        <v>12613549.68</v>
      </c>
      <c r="O131" s="47">
        <f>O130</f>
        <v>12613549.68</v>
      </c>
      <c r="P131" s="266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</row>
    <row r="132" spans="1:35" ht="211.5" customHeight="1" x14ac:dyDescent="0.25">
      <c r="A132" s="7" t="s">
        <v>655</v>
      </c>
      <c r="B132" s="5" t="s">
        <v>88</v>
      </c>
      <c r="C132" s="248" t="s">
        <v>656</v>
      </c>
      <c r="D132" s="49">
        <f>'дод 3'!E196</f>
        <v>0</v>
      </c>
      <c r="E132" s="49">
        <f>'дод 3'!F196</f>
        <v>0</v>
      </c>
      <c r="F132" s="49">
        <f>'дод 3'!G196</f>
        <v>0</v>
      </c>
      <c r="G132" s="49">
        <f>'дод 3'!H196</f>
        <v>0</v>
      </c>
      <c r="H132" s="49">
        <f>'дод 3'!I196</f>
        <v>0</v>
      </c>
      <c r="I132" s="49">
        <f>'дод 3'!J196</f>
        <v>6547535.21</v>
      </c>
      <c r="J132" s="49">
        <f>'дод 3'!K196</f>
        <v>0</v>
      </c>
      <c r="K132" s="49">
        <f>'дод 3'!L196</f>
        <v>0</v>
      </c>
      <c r="L132" s="49">
        <f>'дод 3'!M196</f>
        <v>0</v>
      </c>
      <c r="M132" s="49">
        <f>'дод 3'!N196</f>
        <v>6547535.21</v>
      </c>
      <c r="N132" s="49">
        <f>'дод 3'!O196</f>
        <v>6547535.21</v>
      </c>
      <c r="O132" s="49">
        <f>'дод 3'!P196</f>
        <v>6547535.21</v>
      </c>
      <c r="P132" s="266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</row>
    <row r="133" spans="1:35" s="8" customFormat="1" ht="27.75" customHeight="1" x14ac:dyDescent="0.25">
      <c r="A133" s="7"/>
      <c r="B133" s="7"/>
      <c r="C133" s="14" t="s">
        <v>416</v>
      </c>
      <c r="D133" s="49">
        <f>'дод 3'!E197</f>
        <v>0</v>
      </c>
      <c r="E133" s="49">
        <f>'дод 3'!F197</f>
        <v>0</v>
      </c>
      <c r="F133" s="49">
        <f>'дод 3'!G197</f>
        <v>0</v>
      </c>
      <c r="G133" s="49">
        <f>'дод 3'!H197</f>
        <v>0</v>
      </c>
      <c r="H133" s="49">
        <f>'дод 3'!I197</f>
        <v>0</v>
      </c>
      <c r="I133" s="49">
        <f>'дод 3'!J197</f>
        <v>6547535.21</v>
      </c>
      <c r="J133" s="49">
        <f>'дод 3'!K197</f>
        <v>0</v>
      </c>
      <c r="K133" s="49">
        <f>'дод 3'!L197</f>
        <v>0</v>
      </c>
      <c r="L133" s="49">
        <f>'дод 3'!M197</f>
        <v>0</v>
      </c>
      <c r="M133" s="49">
        <f>'дод 3'!N197</f>
        <v>6547535.21</v>
      </c>
      <c r="N133" s="49">
        <f>'дод 3'!O197</f>
        <v>6547535.21</v>
      </c>
      <c r="O133" s="49">
        <f>'дод 3'!P197</f>
        <v>6547535.21</v>
      </c>
      <c r="P133" s="26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6"/>
      <c r="AI133" s="176"/>
    </row>
    <row r="134" spans="1:35" s="8" customFormat="1" ht="209.25" customHeight="1" x14ac:dyDescent="0.25">
      <c r="A134" s="7" t="s">
        <v>665</v>
      </c>
      <c r="B134" s="7" t="s">
        <v>88</v>
      </c>
      <c r="C134" s="248" t="s">
        <v>664</v>
      </c>
      <c r="D134" s="49"/>
      <c r="E134" s="49"/>
      <c r="F134" s="49"/>
      <c r="G134" s="49"/>
      <c r="H134" s="49"/>
      <c r="I134" s="49">
        <f>'дод 3'!J198</f>
        <v>2544480</v>
      </c>
      <c r="J134" s="49"/>
      <c r="K134" s="49"/>
      <c r="L134" s="49"/>
      <c r="M134" s="49">
        <f>'дод 3'!N198</f>
        <v>2544480</v>
      </c>
      <c r="N134" s="49">
        <f>'дод 3'!O198</f>
        <v>2544480</v>
      </c>
      <c r="O134" s="49">
        <f>'дод 3'!P198</f>
        <v>2544480</v>
      </c>
      <c r="P134" s="26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</row>
    <row r="135" spans="1:35" s="8" customFormat="1" ht="27.75" customHeight="1" x14ac:dyDescent="0.25">
      <c r="A135" s="7"/>
      <c r="B135" s="7"/>
      <c r="C135" s="14" t="s">
        <v>416</v>
      </c>
      <c r="D135" s="49"/>
      <c r="E135" s="49"/>
      <c r="F135" s="49"/>
      <c r="G135" s="49"/>
      <c r="H135" s="49"/>
      <c r="I135" s="49">
        <f>'дод 3'!J199</f>
        <v>2544480</v>
      </c>
      <c r="J135" s="49"/>
      <c r="K135" s="49"/>
      <c r="L135" s="49"/>
      <c r="M135" s="49">
        <f>'дод 3'!N199</f>
        <v>2544480</v>
      </c>
      <c r="N135" s="49">
        <f>'дод 3'!O199</f>
        <v>2544480</v>
      </c>
      <c r="O135" s="49">
        <f>'дод 3'!P199</f>
        <v>2544480</v>
      </c>
      <c r="P135" s="26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6"/>
      <c r="AG135" s="176"/>
      <c r="AH135" s="176"/>
      <c r="AI135" s="176"/>
    </row>
    <row r="136" spans="1:35" s="8" customFormat="1" ht="216" customHeight="1" x14ac:dyDescent="0.25">
      <c r="A136" s="7" t="s">
        <v>667</v>
      </c>
      <c r="B136" s="7" t="s">
        <v>88</v>
      </c>
      <c r="C136" s="248" t="s">
        <v>666</v>
      </c>
      <c r="D136" s="49"/>
      <c r="E136" s="49"/>
      <c r="F136" s="49"/>
      <c r="G136" s="49"/>
      <c r="H136" s="49"/>
      <c r="I136" s="49">
        <f>'дод 3'!J200</f>
        <v>3521534.4699999997</v>
      </c>
      <c r="J136" s="49"/>
      <c r="K136" s="49"/>
      <c r="L136" s="49"/>
      <c r="M136" s="49">
        <f>'дод 3'!N200</f>
        <v>3521534.4699999997</v>
      </c>
      <c r="N136" s="49">
        <f>'дод 3'!O200</f>
        <v>3521534.4699999997</v>
      </c>
      <c r="O136" s="49">
        <f>'дод 3'!P200</f>
        <v>3521534.4699999997</v>
      </c>
      <c r="P136" s="266">
        <v>42</v>
      </c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6"/>
      <c r="AG136" s="176"/>
      <c r="AH136" s="176"/>
      <c r="AI136" s="176"/>
    </row>
    <row r="137" spans="1:35" s="8" customFormat="1" ht="27.75" customHeight="1" x14ac:dyDescent="0.25">
      <c r="A137" s="7"/>
      <c r="B137" s="7"/>
      <c r="C137" s="14" t="s">
        <v>416</v>
      </c>
      <c r="D137" s="49"/>
      <c r="E137" s="49"/>
      <c r="F137" s="49"/>
      <c r="G137" s="49"/>
      <c r="H137" s="49"/>
      <c r="I137" s="49">
        <f>'дод 3'!J201</f>
        <v>3521534.4699999997</v>
      </c>
      <c r="J137" s="49"/>
      <c r="K137" s="49"/>
      <c r="L137" s="49"/>
      <c r="M137" s="49">
        <f>'дод 3'!N201</f>
        <v>3521534.4699999997</v>
      </c>
      <c r="N137" s="49">
        <f>'дод 3'!O201</f>
        <v>3521534.4699999997</v>
      </c>
      <c r="O137" s="49">
        <f>'дод 3'!P201</f>
        <v>3521534.4699999997</v>
      </c>
      <c r="P137" s="26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6"/>
      <c r="AD137" s="176"/>
      <c r="AE137" s="176"/>
      <c r="AF137" s="176"/>
      <c r="AG137" s="176"/>
      <c r="AH137" s="176"/>
      <c r="AI137" s="176"/>
    </row>
    <row r="138" spans="1:35" ht="161.25" customHeight="1" x14ac:dyDescent="0.25">
      <c r="A138" s="5" t="s">
        <v>564</v>
      </c>
      <c r="B138" s="5" t="s">
        <v>148</v>
      </c>
      <c r="C138" s="13" t="s">
        <v>565</v>
      </c>
      <c r="D138" s="47">
        <f>'дод 3'!E202</f>
        <v>2495700</v>
      </c>
      <c r="E138" s="47">
        <f>'дод 3'!F202</f>
        <v>2495700</v>
      </c>
      <c r="F138" s="47">
        <f>'дод 3'!G202</f>
        <v>0</v>
      </c>
      <c r="G138" s="47">
        <f>'дод 3'!H202</f>
        <v>0</v>
      </c>
      <c r="H138" s="47">
        <f>'дод 3'!I202</f>
        <v>0</v>
      </c>
      <c r="I138" s="47">
        <f>'дод 3'!J202</f>
        <v>0</v>
      </c>
      <c r="J138" s="47">
        <f>'дод 3'!K202</f>
        <v>0</v>
      </c>
      <c r="K138" s="47">
        <f>'дод 3'!L202</f>
        <v>0</v>
      </c>
      <c r="L138" s="47">
        <f>'дод 3'!M202</f>
        <v>0</v>
      </c>
      <c r="M138" s="47">
        <f>'дод 3'!N202</f>
        <v>0</v>
      </c>
      <c r="N138" s="47">
        <f>'дод 3'!O202</f>
        <v>0</v>
      </c>
      <c r="O138" s="47">
        <f>'дод 3'!P202</f>
        <v>2495700</v>
      </c>
      <c r="P138" s="266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</row>
    <row r="139" spans="1:35" ht="27.75" customHeight="1" x14ac:dyDescent="0.25">
      <c r="B139" s="5"/>
      <c r="C139" s="13" t="s">
        <v>416</v>
      </c>
      <c r="D139" s="47">
        <f>'дод 3'!E203</f>
        <v>2495700</v>
      </c>
      <c r="E139" s="47">
        <f>'дод 3'!F203</f>
        <v>2495700</v>
      </c>
      <c r="F139" s="47">
        <f>'дод 3'!G203</f>
        <v>0</v>
      </c>
      <c r="G139" s="47">
        <f>'дод 3'!H203</f>
        <v>0</v>
      </c>
      <c r="H139" s="47">
        <f>'дод 3'!I203</f>
        <v>0</v>
      </c>
      <c r="I139" s="47">
        <f>'дод 3'!J203</f>
        <v>0</v>
      </c>
      <c r="J139" s="47">
        <f>'дод 3'!K203</f>
        <v>0</v>
      </c>
      <c r="K139" s="47">
        <f>'дод 3'!L203</f>
        <v>0</v>
      </c>
      <c r="L139" s="47">
        <f>'дод 3'!M203</f>
        <v>0</v>
      </c>
      <c r="M139" s="47">
        <f>'дод 3'!N203</f>
        <v>0</v>
      </c>
      <c r="N139" s="47">
        <f>'дод 3'!O203</f>
        <v>0</v>
      </c>
      <c r="O139" s="47">
        <f>'дод 3'!P203</f>
        <v>2495700</v>
      </c>
      <c r="P139" s="266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</row>
    <row r="140" spans="1:35" ht="29.25" customHeight="1" x14ac:dyDescent="0.25">
      <c r="A140" s="5" t="s">
        <v>457</v>
      </c>
      <c r="B140" s="5"/>
      <c r="C140" s="13" t="s">
        <v>458</v>
      </c>
      <c r="D140" s="47">
        <f>D141+D142</f>
        <v>42058685.700000003</v>
      </c>
      <c r="E140" s="47">
        <f t="shared" ref="E140:O140" si="32">E141+E142</f>
        <v>42058685.700000003</v>
      </c>
      <c r="F140" s="47">
        <f t="shared" si="32"/>
        <v>3173092</v>
      </c>
      <c r="G140" s="47">
        <f t="shared" si="32"/>
        <v>770758</v>
      </c>
      <c r="H140" s="47">
        <f t="shared" si="32"/>
        <v>0</v>
      </c>
      <c r="I140" s="47">
        <f t="shared" si="32"/>
        <v>380382</v>
      </c>
      <c r="J140" s="47">
        <f t="shared" si="32"/>
        <v>0</v>
      </c>
      <c r="K140" s="47">
        <f t="shared" si="32"/>
        <v>0</v>
      </c>
      <c r="L140" s="47">
        <f t="shared" si="32"/>
        <v>0</v>
      </c>
      <c r="M140" s="47">
        <f t="shared" si="32"/>
        <v>380382</v>
      </c>
      <c r="N140" s="47">
        <f t="shared" si="32"/>
        <v>380382</v>
      </c>
      <c r="O140" s="47">
        <f t="shared" si="32"/>
        <v>42439067.700000003</v>
      </c>
      <c r="P140" s="266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</row>
    <row r="141" spans="1:35" s="8" customFormat="1" ht="32.25" customHeight="1" x14ac:dyDescent="0.25">
      <c r="A141" s="7" t="s">
        <v>459</v>
      </c>
      <c r="B141" s="7" t="s">
        <v>91</v>
      </c>
      <c r="C141" s="14" t="s">
        <v>461</v>
      </c>
      <c r="D141" s="49">
        <f>'дод 3'!E24+'дод 3'!E205</f>
        <v>5149990</v>
      </c>
      <c r="E141" s="49">
        <f>'дод 3'!F24+'дод 3'!F205</f>
        <v>5149990</v>
      </c>
      <c r="F141" s="49">
        <f>'дод 3'!G24+'дод 3'!G205</f>
        <v>3173092</v>
      </c>
      <c r="G141" s="49">
        <f>'дод 3'!H24+'дод 3'!H205</f>
        <v>770758</v>
      </c>
      <c r="H141" s="49">
        <f>'дод 3'!I24+'дод 3'!I205</f>
        <v>0</v>
      </c>
      <c r="I141" s="49">
        <f>'дод 3'!J24+'дод 3'!J205</f>
        <v>305382</v>
      </c>
      <c r="J141" s="49">
        <f>'дод 3'!K24+'дод 3'!K205</f>
        <v>0</v>
      </c>
      <c r="K141" s="49">
        <f>'дод 3'!L24+'дод 3'!L205</f>
        <v>0</v>
      </c>
      <c r="L141" s="49">
        <f>'дод 3'!M24+'дод 3'!M205</f>
        <v>0</v>
      </c>
      <c r="M141" s="49">
        <f>'дод 3'!N24+'дод 3'!N205</f>
        <v>305382</v>
      </c>
      <c r="N141" s="49">
        <f>'дод 3'!O24+'дод 3'!O205</f>
        <v>305382</v>
      </c>
      <c r="O141" s="49">
        <f>'дод 3'!P24+'дод 3'!P205</f>
        <v>5455372</v>
      </c>
      <c r="P141" s="26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  <c r="AC141" s="176"/>
      <c r="AD141" s="176"/>
      <c r="AE141" s="176"/>
      <c r="AF141" s="176"/>
      <c r="AG141" s="176"/>
      <c r="AH141" s="176"/>
      <c r="AI141" s="176"/>
    </row>
    <row r="142" spans="1:35" s="8" customFormat="1" ht="41.25" customHeight="1" x14ac:dyDescent="0.25">
      <c r="A142" s="7" t="s">
        <v>460</v>
      </c>
      <c r="B142" s="7" t="s">
        <v>91</v>
      </c>
      <c r="C142" s="14" t="s">
        <v>462</v>
      </c>
      <c r="D142" s="49">
        <f>'дод 3'!E25+'дод 3'!E206+'дод 3'!E83</f>
        <v>36908695.700000003</v>
      </c>
      <c r="E142" s="49">
        <f>'дод 3'!F25+'дод 3'!F206+'дод 3'!F83</f>
        <v>36908695.700000003</v>
      </c>
      <c r="F142" s="49">
        <f>'дод 3'!G25+'дод 3'!G206+'дод 3'!G83</f>
        <v>0</v>
      </c>
      <c r="G142" s="49">
        <f>'дод 3'!H25+'дод 3'!H206+'дод 3'!H83</f>
        <v>0</v>
      </c>
      <c r="H142" s="49">
        <f>'дод 3'!I25+'дод 3'!I206+'дод 3'!I83</f>
        <v>0</v>
      </c>
      <c r="I142" s="49">
        <f>'дод 3'!J25+'дод 3'!J206+'дод 3'!J83</f>
        <v>75000</v>
      </c>
      <c r="J142" s="49">
        <f>'дод 3'!K25+'дод 3'!K206+'дод 3'!K83</f>
        <v>0</v>
      </c>
      <c r="K142" s="49">
        <f>'дод 3'!L25+'дод 3'!L206+'дод 3'!L83</f>
        <v>0</v>
      </c>
      <c r="L142" s="49">
        <f>'дод 3'!M25+'дод 3'!M206+'дод 3'!M83</f>
        <v>0</v>
      </c>
      <c r="M142" s="49">
        <f>'дод 3'!N25+'дод 3'!N206+'дод 3'!N83</f>
        <v>75000</v>
      </c>
      <c r="N142" s="49">
        <f>'дод 3'!O25+'дод 3'!O206+'дод 3'!O83</f>
        <v>75000</v>
      </c>
      <c r="O142" s="49">
        <f>'дод 3'!P25+'дод 3'!P206+'дод 3'!P83</f>
        <v>36983695.700000003</v>
      </c>
      <c r="P142" s="266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</row>
    <row r="143" spans="1:35" s="21" customFormat="1" ht="19.5" customHeight="1" x14ac:dyDescent="0.25">
      <c r="A143" s="22" t="s">
        <v>112</v>
      </c>
      <c r="B143" s="11"/>
      <c r="C143" s="11" t="s">
        <v>113</v>
      </c>
      <c r="D143" s="48">
        <f>D144+D146+D145</f>
        <v>25413619</v>
      </c>
      <c r="E143" s="48">
        <f t="shared" ref="E143:O143" si="33">E144+E146+E145</f>
        <v>25413619</v>
      </c>
      <c r="F143" s="48">
        <f t="shared" si="33"/>
        <v>14067674</v>
      </c>
      <c r="G143" s="48">
        <f t="shared" si="33"/>
        <v>1621647</v>
      </c>
      <c r="H143" s="48">
        <f t="shared" si="33"/>
        <v>0</v>
      </c>
      <c r="I143" s="48">
        <f t="shared" si="33"/>
        <v>1355300</v>
      </c>
      <c r="J143" s="48">
        <f t="shared" si="33"/>
        <v>27000</v>
      </c>
      <c r="K143" s="48">
        <f t="shared" si="33"/>
        <v>5000</v>
      </c>
      <c r="L143" s="48">
        <f t="shared" si="33"/>
        <v>0</v>
      </c>
      <c r="M143" s="48">
        <f t="shared" si="33"/>
        <v>1328300</v>
      </c>
      <c r="N143" s="48">
        <f t="shared" si="33"/>
        <v>1328300</v>
      </c>
      <c r="O143" s="48">
        <f t="shared" si="33"/>
        <v>26768919</v>
      </c>
      <c r="P143" s="266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  <c r="AD143" s="179"/>
      <c r="AE143" s="179"/>
      <c r="AF143" s="179"/>
      <c r="AG143" s="179"/>
      <c r="AH143" s="179"/>
      <c r="AI143" s="179"/>
    </row>
    <row r="144" spans="1:35" ht="22.5" customHeight="1" x14ac:dyDescent="0.25">
      <c r="A144" s="5" t="s">
        <v>114</v>
      </c>
      <c r="B144" s="5" t="s">
        <v>115</v>
      </c>
      <c r="C144" s="13" t="s">
        <v>29</v>
      </c>
      <c r="D144" s="47">
        <f>'дод 3'!E223</f>
        <v>16455555</v>
      </c>
      <c r="E144" s="47">
        <f>'дод 3'!F223</f>
        <v>16455555</v>
      </c>
      <c r="F144" s="47">
        <f>'дод 3'!G223</f>
        <v>11407051</v>
      </c>
      <c r="G144" s="47">
        <f>'дод 3'!H223</f>
        <v>1192269</v>
      </c>
      <c r="H144" s="47">
        <f>'дод 3'!I223</f>
        <v>0</v>
      </c>
      <c r="I144" s="47">
        <f>'дод 3'!J223</f>
        <v>1257150</v>
      </c>
      <c r="J144" s="47">
        <f>'дод 3'!K223</f>
        <v>27000</v>
      </c>
      <c r="K144" s="47">
        <f>'дод 3'!L223</f>
        <v>5000</v>
      </c>
      <c r="L144" s="47">
        <f>'дод 3'!M223</f>
        <v>0</v>
      </c>
      <c r="M144" s="47">
        <f>'дод 3'!N223</f>
        <v>1230150</v>
      </c>
      <c r="N144" s="47">
        <f>'дод 3'!O223</f>
        <v>1230150</v>
      </c>
      <c r="O144" s="47">
        <f>'дод 3'!P223</f>
        <v>17712705</v>
      </c>
      <c r="P144" s="266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</row>
    <row r="145" spans="1:35" ht="33.75" customHeight="1" x14ac:dyDescent="0.25">
      <c r="A145" s="5" t="s">
        <v>587</v>
      </c>
      <c r="B145" s="5" t="s">
        <v>588</v>
      </c>
      <c r="C145" s="13" t="s">
        <v>589</v>
      </c>
      <c r="D145" s="47">
        <f>'дод 3'!E26</f>
        <v>2392830</v>
      </c>
      <c r="E145" s="47">
        <f>'дод 3'!F26</f>
        <v>2392830</v>
      </c>
      <c r="F145" s="47">
        <f>'дод 3'!G26</f>
        <v>783989</v>
      </c>
      <c r="G145" s="47">
        <f>'дод 3'!H26</f>
        <v>315625</v>
      </c>
      <c r="H145" s="47">
        <f>'дод 3'!I26</f>
        <v>0</v>
      </c>
      <c r="I145" s="47">
        <f>'дод 3'!J26</f>
        <v>28500</v>
      </c>
      <c r="J145" s="47">
        <f>'дод 3'!K26</f>
        <v>0</v>
      </c>
      <c r="K145" s="47">
        <f>'дод 3'!L26</f>
        <v>0</v>
      </c>
      <c r="L145" s="47">
        <f>'дод 3'!M26</f>
        <v>0</v>
      </c>
      <c r="M145" s="47">
        <f>'дод 3'!N26</f>
        <v>28500</v>
      </c>
      <c r="N145" s="47">
        <f>'дод 3'!O26</f>
        <v>28500</v>
      </c>
      <c r="O145" s="47">
        <f>'дод 3'!P26</f>
        <v>2421330</v>
      </c>
      <c r="P145" s="266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</row>
    <row r="146" spans="1:35" ht="27.75" customHeight="1" x14ac:dyDescent="0.25">
      <c r="A146" s="5" t="s">
        <v>31</v>
      </c>
      <c r="B146" s="5"/>
      <c r="C146" s="13" t="s">
        <v>463</v>
      </c>
      <c r="D146" s="47">
        <f>'дод 3'!E27+'дод 3'!E224</f>
        <v>6565234</v>
      </c>
      <c r="E146" s="47">
        <f>'дод 3'!F27+'дод 3'!F224</f>
        <v>6565234</v>
      </c>
      <c r="F146" s="47">
        <f>'дод 3'!G27+'дод 3'!G224</f>
        <v>1876634</v>
      </c>
      <c r="G146" s="47">
        <f>'дод 3'!H27+'дод 3'!H224</f>
        <v>113753</v>
      </c>
      <c r="H146" s="47">
        <f>'дод 3'!I27+'дод 3'!I224</f>
        <v>0</v>
      </c>
      <c r="I146" s="47">
        <f>'дод 3'!J27+'дод 3'!J224</f>
        <v>69650</v>
      </c>
      <c r="J146" s="47">
        <f>'дод 3'!K27+'дод 3'!K224</f>
        <v>0</v>
      </c>
      <c r="K146" s="47">
        <f>'дод 3'!L27+'дод 3'!L224</f>
        <v>0</v>
      </c>
      <c r="L146" s="47">
        <f>'дод 3'!M27+'дод 3'!M224</f>
        <v>0</v>
      </c>
      <c r="M146" s="47">
        <f>'дод 3'!N27+'дод 3'!N224</f>
        <v>69650</v>
      </c>
      <c r="N146" s="47">
        <f>'дод 3'!O27+'дод 3'!O224</f>
        <v>69650</v>
      </c>
      <c r="O146" s="47">
        <f>'дод 3'!P27+'дод 3'!P224</f>
        <v>6634884</v>
      </c>
      <c r="P146" s="266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</row>
    <row r="147" spans="1:35" s="8" customFormat="1" ht="39.75" customHeight="1" x14ac:dyDescent="0.25">
      <c r="A147" s="7" t="s">
        <v>464</v>
      </c>
      <c r="B147" s="7" t="s">
        <v>116</v>
      </c>
      <c r="C147" s="14" t="s">
        <v>466</v>
      </c>
      <c r="D147" s="49">
        <f>'дод 3'!E28+'дод 3'!E225</f>
        <v>3446282</v>
      </c>
      <c r="E147" s="49">
        <f>'дод 3'!F28+'дод 3'!F225</f>
        <v>3446282</v>
      </c>
      <c r="F147" s="49">
        <f>'дод 3'!G28+'дод 3'!G225</f>
        <v>1876634</v>
      </c>
      <c r="G147" s="49">
        <f>'дод 3'!H28+'дод 3'!H225</f>
        <v>113753</v>
      </c>
      <c r="H147" s="49">
        <f>'дод 3'!I28+'дод 3'!I225</f>
        <v>0</v>
      </c>
      <c r="I147" s="49">
        <f>'дод 3'!J28+'дод 3'!J225</f>
        <v>69650</v>
      </c>
      <c r="J147" s="49">
        <f>'дод 3'!K28+'дод 3'!K225</f>
        <v>0</v>
      </c>
      <c r="K147" s="49">
        <f>'дод 3'!L28+'дод 3'!L225</f>
        <v>0</v>
      </c>
      <c r="L147" s="49">
        <f>'дод 3'!M28+'дод 3'!M225</f>
        <v>0</v>
      </c>
      <c r="M147" s="49">
        <f>'дод 3'!N28+'дод 3'!N225</f>
        <v>69650</v>
      </c>
      <c r="N147" s="49">
        <f>'дод 3'!O28+'дод 3'!O225</f>
        <v>69650</v>
      </c>
      <c r="O147" s="49">
        <f>'дод 3'!P28+'дод 3'!P225</f>
        <v>3515932</v>
      </c>
      <c r="P147" s="26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</row>
    <row r="148" spans="1:35" s="8" customFormat="1" ht="30" customHeight="1" x14ac:dyDescent="0.25">
      <c r="A148" s="7" t="s">
        <v>465</v>
      </c>
      <c r="B148" s="7" t="s">
        <v>116</v>
      </c>
      <c r="C148" s="14" t="s">
        <v>467</v>
      </c>
      <c r="D148" s="49">
        <f>'дод 3'!E29+'дод 3'!E226</f>
        <v>3118952</v>
      </c>
      <c r="E148" s="49">
        <f>'дод 3'!F29+'дод 3'!F226</f>
        <v>3118952</v>
      </c>
      <c r="F148" s="49">
        <f>'дод 3'!G29+'дод 3'!G226</f>
        <v>0</v>
      </c>
      <c r="G148" s="49">
        <f>'дод 3'!H29+'дод 3'!H226</f>
        <v>0</v>
      </c>
      <c r="H148" s="49">
        <f>'дод 3'!I29+'дод 3'!I226</f>
        <v>0</v>
      </c>
      <c r="I148" s="49">
        <f>'дод 3'!J29+'дод 3'!J226</f>
        <v>0</v>
      </c>
      <c r="J148" s="49">
        <f>'дод 3'!K29+'дод 3'!K226</f>
        <v>0</v>
      </c>
      <c r="K148" s="49">
        <f>'дод 3'!L29+'дод 3'!L226</f>
        <v>0</v>
      </c>
      <c r="L148" s="49">
        <f>'дод 3'!M29+'дод 3'!M226</f>
        <v>0</v>
      </c>
      <c r="M148" s="49">
        <f>'дод 3'!N29+'дод 3'!N226</f>
        <v>0</v>
      </c>
      <c r="N148" s="49">
        <f>'дод 3'!O29+'дод 3'!O226</f>
        <v>0</v>
      </c>
      <c r="O148" s="49">
        <f>'дод 3'!P29+'дод 3'!P226</f>
        <v>3118952</v>
      </c>
      <c r="P148" s="26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6"/>
    </row>
    <row r="149" spans="1:35" s="21" customFormat="1" ht="21.75" customHeight="1" x14ac:dyDescent="0.25">
      <c r="A149" s="22" t="s">
        <v>119</v>
      </c>
      <c r="B149" s="11"/>
      <c r="C149" s="11" t="s">
        <v>120</v>
      </c>
      <c r="D149" s="48">
        <f>D150+D153+D156</f>
        <v>33531888</v>
      </c>
      <c r="E149" s="48">
        <f t="shared" ref="E149:O149" si="34">E150+E153+E156</f>
        <v>33531888</v>
      </c>
      <c r="F149" s="48">
        <f t="shared" si="34"/>
        <v>11348233</v>
      </c>
      <c r="G149" s="48">
        <f t="shared" si="34"/>
        <v>1275916</v>
      </c>
      <c r="H149" s="48">
        <f t="shared" si="34"/>
        <v>0</v>
      </c>
      <c r="I149" s="48">
        <f t="shared" si="34"/>
        <v>3678687</v>
      </c>
      <c r="J149" s="48">
        <f t="shared" si="34"/>
        <v>226687</v>
      </c>
      <c r="K149" s="48">
        <f t="shared" si="34"/>
        <v>141022</v>
      </c>
      <c r="L149" s="48">
        <f t="shared" si="34"/>
        <v>53404</v>
      </c>
      <c r="M149" s="48">
        <f t="shared" si="34"/>
        <v>3452000</v>
      </c>
      <c r="N149" s="48">
        <f t="shared" si="34"/>
        <v>3452000</v>
      </c>
      <c r="O149" s="48">
        <f t="shared" si="34"/>
        <v>37210575</v>
      </c>
      <c r="P149" s="266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</row>
    <row r="150" spans="1:35" ht="29.25" customHeight="1" x14ac:dyDescent="0.25">
      <c r="A150" s="5" t="s">
        <v>121</v>
      </c>
      <c r="B150" s="13"/>
      <c r="C150" s="13" t="s">
        <v>42</v>
      </c>
      <c r="D150" s="47">
        <f>D151+D152</f>
        <v>1673070</v>
      </c>
      <c r="E150" s="47">
        <f t="shared" ref="E150:O150" si="35">E151+E152</f>
        <v>1673070</v>
      </c>
      <c r="F150" s="47">
        <f t="shared" si="35"/>
        <v>0</v>
      </c>
      <c r="G150" s="47">
        <f t="shared" si="35"/>
        <v>0</v>
      </c>
      <c r="H150" s="47">
        <f t="shared" si="35"/>
        <v>0</v>
      </c>
      <c r="I150" s="47">
        <f t="shared" si="35"/>
        <v>177000</v>
      </c>
      <c r="J150" s="47">
        <f t="shared" si="35"/>
        <v>0</v>
      </c>
      <c r="K150" s="47">
        <f t="shared" si="35"/>
        <v>0</v>
      </c>
      <c r="L150" s="47">
        <f t="shared" si="35"/>
        <v>0</v>
      </c>
      <c r="M150" s="47">
        <f t="shared" si="35"/>
        <v>177000</v>
      </c>
      <c r="N150" s="47">
        <f t="shared" si="35"/>
        <v>177000</v>
      </c>
      <c r="O150" s="47">
        <f t="shared" si="35"/>
        <v>1850070</v>
      </c>
      <c r="P150" s="266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</row>
    <row r="151" spans="1:35" s="8" customFormat="1" ht="43.5" customHeight="1" x14ac:dyDescent="0.25">
      <c r="A151" s="7" t="s">
        <v>122</v>
      </c>
      <c r="B151" s="7" t="s">
        <v>123</v>
      </c>
      <c r="C151" s="14" t="s">
        <v>43</v>
      </c>
      <c r="D151" s="49">
        <f>'дод 3'!E31</f>
        <v>836070</v>
      </c>
      <c r="E151" s="49">
        <f>'дод 3'!F31</f>
        <v>836070</v>
      </c>
      <c r="F151" s="49">
        <f>'дод 3'!G31</f>
        <v>0</v>
      </c>
      <c r="G151" s="49">
        <f>'дод 3'!H31</f>
        <v>0</v>
      </c>
      <c r="H151" s="49">
        <f>'дод 3'!I31</f>
        <v>0</v>
      </c>
      <c r="I151" s="49">
        <f>'дод 3'!J31</f>
        <v>177000</v>
      </c>
      <c r="J151" s="49">
        <f>'дод 3'!K31</f>
        <v>0</v>
      </c>
      <c r="K151" s="49">
        <f>'дод 3'!L31</f>
        <v>0</v>
      </c>
      <c r="L151" s="49">
        <f>'дод 3'!M31</f>
        <v>0</v>
      </c>
      <c r="M151" s="49">
        <f>'дод 3'!N31</f>
        <v>177000</v>
      </c>
      <c r="N151" s="49">
        <f>'дод 3'!O31</f>
        <v>177000</v>
      </c>
      <c r="O151" s="49">
        <f>'дод 3'!P31</f>
        <v>1013070</v>
      </c>
      <c r="P151" s="26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  <c r="AC151" s="176"/>
      <c r="AD151" s="176"/>
      <c r="AE151" s="176"/>
      <c r="AF151" s="176"/>
      <c r="AG151" s="176"/>
      <c r="AH151" s="176"/>
      <c r="AI151" s="176"/>
    </row>
    <row r="152" spans="1:35" s="8" customFormat="1" ht="39.75" customHeight="1" x14ac:dyDescent="0.25">
      <c r="A152" s="7" t="s">
        <v>124</v>
      </c>
      <c r="B152" s="7" t="s">
        <v>123</v>
      </c>
      <c r="C152" s="14" t="s">
        <v>32</v>
      </c>
      <c r="D152" s="49">
        <f>'дод 3'!E32</f>
        <v>837000</v>
      </c>
      <c r="E152" s="49">
        <f>'дод 3'!F32</f>
        <v>837000</v>
      </c>
      <c r="F152" s="49">
        <f>'дод 3'!G32</f>
        <v>0</v>
      </c>
      <c r="G152" s="49">
        <f>'дод 3'!H32</f>
        <v>0</v>
      </c>
      <c r="H152" s="49">
        <f>'дод 3'!I32</f>
        <v>0</v>
      </c>
      <c r="I152" s="49">
        <f>'дод 3'!J32</f>
        <v>0</v>
      </c>
      <c r="J152" s="49">
        <f>'дод 3'!K32</f>
        <v>0</v>
      </c>
      <c r="K152" s="49">
        <f>'дод 3'!L32</f>
        <v>0</v>
      </c>
      <c r="L152" s="49">
        <f>'дод 3'!M32</f>
        <v>0</v>
      </c>
      <c r="M152" s="49">
        <f>'дод 3'!N32</f>
        <v>0</v>
      </c>
      <c r="N152" s="49">
        <f>'дод 3'!O32</f>
        <v>0</v>
      </c>
      <c r="O152" s="49">
        <f>'дод 3'!P32</f>
        <v>837000</v>
      </c>
      <c r="P152" s="26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176"/>
      <c r="AD152" s="176"/>
      <c r="AE152" s="176"/>
      <c r="AF152" s="176"/>
      <c r="AG152" s="176"/>
      <c r="AH152" s="176"/>
      <c r="AI152" s="176"/>
    </row>
    <row r="153" spans="1:35" ht="30.75" customHeight="1" x14ac:dyDescent="0.25">
      <c r="A153" s="5" t="s">
        <v>174</v>
      </c>
      <c r="B153" s="5"/>
      <c r="C153" s="13" t="s">
        <v>177</v>
      </c>
      <c r="D153" s="47">
        <f>D154+D155</f>
        <v>22307954</v>
      </c>
      <c r="E153" s="47">
        <f t="shared" ref="E153:O153" si="36">E154+E155</f>
        <v>22307954</v>
      </c>
      <c r="F153" s="47">
        <f t="shared" si="36"/>
        <v>9558450</v>
      </c>
      <c r="G153" s="47">
        <f t="shared" si="36"/>
        <v>800763</v>
      </c>
      <c r="H153" s="47">
        <f t="shared" si="36"/>
        <v>0</v>
      </c>
      <c r="I153" s="47">
        <f t="shared" si="36"/>
        <v>335000</v>
      </c>
      <c r="J153" s="47">
        <f t="shared" si="36"/>
        <v>0</v>
      </c>
      <c r="K153" s="47">
        <f t="shared" si="36"/>
        <v>0</v>
      </c>
      <c r="L153" s="47">
        <f t="shared" si="36"/>
        <v>0</v>
      </c>
      <c r="M153" s="47">
        <f t="shared" si="36"/>
        <v>335000</v>
      </c>
      <c r="N153" s="47">
        <f t="shared" si="36"/>
        <v>335000</v>
      </c>
      <c r="O153" s="47">
        <f t="shared" si="36"/>
        <v>22642954</v>
      </c>
      <c r="P153" s="266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</row>
    <row r="154" spans="1:35" s="8" customFormat="1" ht="36.75" customHeight="1" x14ac:dyDescent="0.25">
      <c r="A154" s="7" t="s">
        <v>175</v>
      </c>
      <c r="B154" s="7" t="s">
        <v>123</v>
      </c>
      <c r="C154" s="14" t="s">
        <v>44</v>
      </c>
      <c r="D154" s="49">
        <f>'дод 3'!E34+'дод 3'!E85</f>
        <v>14152975</v>
      </c>
      <c r="E154" s="49">
        <f>'дод 3'!F34+'дод 3'!F85</f>
        <v>14152975</v>
      </c>
      <c r="F154" s="49">
        <f>'дод 3'!G34+'дод 3'!G85</f>
        <v>9558450</v>
      </c>
      <c r="G154" s="49">
        <f>'дод 3'!H34+'дод 3'!H85</f>
        <v>800763</v>
      </c>
      <c r="H154" s="49">
        <f>'дод 3'!I34+'дод 3'!I85</f>
        <v>0</v>
      </c>
      <c r="I154" s="49">
        <f>'дод 3'!J34+'дод 3'!J85</f>
        <v>325000</v>
      </c>
      <c r="J154" s="49">
        <f>'дод 3'!K34+'дод 3'!K85</f>
        <v>0</v>
      </c>
      <c r="K154" s="49">
        <f>'дод 3'!L34+'дод 3'!L85</f>
        <v>0</v>
      </c>
      <c r="L154" s="49">
        <f>'дод 3'!M34+'дод 3'!M85</f>
        <v>0</v>
      </c>
      <c r="M154" s="49">
        <f>'дод 3'!N34+'дод 3'!N85</f>
        <v>325000</v>
      </c>
      <c r="N154" s="49">
        <f>'дод 3'!O34+'дод 3'!O85</f>
        <v>325000</v>
      </c>
      <c r="O154" s="49">
        <f>'дод 3'!P34+'дод 3'!P85</f>
        <v>14477975</v>
      </c>
      <c r="P154" s="26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6"/>
      <c r="AG154" s="176"/>
      <c r="AH154" s="176"/>
      <c r="AI154" s="176"/>
    </row>
    <row r="155" spans="1:35" s="8" customFormat="1" ht="31.5" customHeight="1" x14ac:dyDescent="0.25">
      <c r="A155" s="7" t="s">
        <v>176</v>
      </c>
      <c r="B155" s="7" t="s">
        <v>123</v>
      </c>
      <c r="C155" s="14" t="s">
        <v>45</v>
      </c>
      <c r="D155" s="49">
        <f>'дод 3'!E35</f>
        <v>8154979</v>
      </c>
      <c r="E155" s="49">
        <f>'дод 3'!F35</f>
        <v>8154979</v>
      </c>
      <c r="F155" s="49">
        <f>'дод 3'!G35</f>
        <v>0</v>
      </c>
      <c r="G155" s="49">
        <f>'дод 3'!H35</f>
        <v>0</v>
      </c>
      <c r="H155" s="49">
        <f>'дод 3'!I35</f>
        <v>0</v>
      </c>
      <c r="I155" s="49">
        <f>'дод 3'!J35</f>
        <v>10000</v>
      </c>
      <c r="J155" s="49">
        <f>'дод 3'!K35</f>
        <v>0</v>
      </c>
      <c r="K155" s="49">
        <f>'дод 3'!L35</f>
        <v>0</v>
      </c>
      <c r="L155" s="49">
        <f>'дод 3'!M35</f>
        <v>0</v>
      </c>
      <c r="M155" s="49">
        <f>'дод 3'!N35</f>
        <v>10000</v>
      </c>
      <c r="N155" s="49">
        <f>'дод 3'!O35</f>
        <v>10000</v>
      </c>
      <c r="O155" s="49">
        <f>'дод 3'!P35</f>
        <v>8164979</v>
      </c>
      <c r="P155" s="26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76"/>
      <c r="AD155" s="176"/>
      <c r="AE155" s="176"/>
      <c r="AF155" s="176"/>
      <c r="AG155" s="176"/>
      <c r="AH155" s="176"/>
      <c r="AI155" s="176"/>
    </row>
    <row r="156" spans="1:35" ht="29.25" customHeight="1" x14ac:dyDescent="0.25">
      <c r="A156" s="5" t="s">
        <v>125</v>
      </c>
      <c r="B156" s="5"/>
      <c r="C156" s="13" t="s">
        <v>169</v>
      </c>
      <c r="D156" s="47">
        <f>D157+D158</f>
        <v>9550864</v>
      </c>
      <c r="E156" s="47">
        <f t="shared" ref="E156:O156" si="37">E157+E158</f>
        <v>9550864</v>
      </c>
      <c r="F156" s="47">
        <f t="shared" si="37"/>
        <v>1789783</v>
      </c>
      <c r="G156" s="47">
        <f t="shared" si="37"/>
        <v>475153</v>
      </c>
      <c r="H156" s="47">
        <f t="shared" si="37"/>
        <v>0</v>
      </c>
      <c r="I156" s="47">
        <f t="shared" si="37"/>
        <v>3166687</v>
      </c>
      <c r="J156" s="47">
        <f t="shared" si="37"/>
        <v>226687</v>
      </c>
      <c r="K156" s="47">
        <f t="shared" si="37"/>
        <v>141022</v>
      </c>
      <c r="L156" s="47">
        <f t="shared" si="37"/>
        <v>53404</v>
      </c>
      <c r="M156" s="47">
        <f t="shared" si="37"/>
        <v>2940000</v>
      </c>
      <c r="N156" s="47">
        <f t="shared" si="37"/>
        <v>2940000</v>
      </c>
      <c r="O156" s="47">
        <f t="shared" si="37"/>
        <v>12717551</v>
      </c>
      <c r="P156" s="266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</row>
    <row r="157" spans="1:35" s="8" customFormat="1" ht="75" customHeight="1" x14ac:dyDescent="0.25">
      <c r="A157" s="7" t="s">
        <v>170</v>
      </c>
      <c r="B157" s="7" t="s">
        <v>123</v>
      </c>
      <c r="C157" s="14" t="s">
        <v>171</v>
      </c>
      <c r="D157" s="49">
        <f>'дод 3'!E37</f>
        <v>3846504</v>
      </c>
      <c r="E157" s="49">
        <f>'дод 3'!F37</f>
        <v>3846504</v>
      </c>
      <c r="F157" s="49">
        <f>'дод 3'!G37</f>
        <v>1789783</v>
      </c>
      <c r="G157" s="49">
        <f>'дод 3'!H37</f>
        <v>475153</v>
      </c>
      <c r="H157" s="49">
        <f>'дод 3'!I37</f>
        <v>0</v>
      </c>
      <c r="I157" s="49">
        <f>'дод 3'!J37</f>
        <v>3146687</v>
      </c>
      <c r="J157" s="49">
        <f>'дод 3'!K37</f>
        <v>226687</v>
      </c>
      <c r="K157" s="49">
        <f>'дод 3'!L37</f>
        <v>141022</v>
      </c>
      <c r="L157" s="49">
        <f>'дод 3'!M37</f>
        <v>53404</v>
      </c>
      <c r="M157" s="49">
        <f>'дод 3'!N37</f>
        <v>2920000</v>
      </c>
      <c r="N157" s="49">
        <f>'дод 3'!O37</f>
        <v>2920000</v>
      </c>
      <c r="O157" s="49">
        <f>'дод 3'!P37</f>
        <v>6993191</v>
      </c>
      <c r="P157" s="26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</row>
    <row r="158" spans="1:35" s="8" customFormat="1" ht="54" customHeight="1" x14ac:dyDescent="0.25">
      <c r="A158" s="7" t="s">
        <v>173</v>
      </c>
      <c r="B158" s="7" t="s">
        <v>123</v>
      </c>
      <c r="C158" s="14" t="s">
        <v>172</v>
      </c>
      <c r="D158" s="49">
        <f>'дод 3'!E38</f>
        <v>5704360</v>
      </c>
      <c r="E158" s="49">
        <f>'дод 3'!F38</f>
        <v>5704360</v>
      </c>
      <c r="F158" s="49">
        <f>'дод 3'!G38</f>
        <v>0</v>
      </c>
      <c r="G158" s="49">
        <f>'дод 3'!H38</f>
        <v>0</v>
      </c>
      <c r="H158" s="49">
        <f>'дод 3'!I38</f>
        <v>0</v>
      </c>
      <c r="I158" s="49">
        <f>'дод 3'!J38</f>
        <v>20000</v>
      </c>
      <c r="J158" s="49">
        <f>'дод 3'!K38</f>
        <v>0</v>
      </c>
      <c r="K158" s="49">
        <f>'дод 3'!L38</f>
        <v>0</v>
      </c>
      <c r="L158" s="49">
        <f>'дод 3'!M38</f>
        <v>0</v>
      </c>
      <c r="M158" s="49">
        <f>'дод 3'!N38</f>
        <v>20000</v>
      </c>
      <c r="N158" s="49">
        <f>'дод 3'!O38</f>
        <v>20000</v>
      </c>
      <c r="O158" s="49">
        <f>'дод 3'!P38</f>
        <v>5724360</v>
      </c>
      <c r="P158" s="266">
        <v>43</v>
      </c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</row>
    <row r="159" spans="1:35" s="21" customFormat="1" ht="27" customHeight="1" x14ac:dyDescent="0.25">
      <c r="A159" s="22" t="s">
        <v>106</v>
      </c>
      <c r="B159" s="11"/>
      <c r="C159" s="11" t="s">
        <v>107</v>
      </c>
      <c r="D159" s="48">
        <f>D161+D167+D168+D173+D179+D169</f>
        <v>183337719.44999999</v>
      </c>
      <c r="E159" s="48">
        <f t="shared" ref="E159:O159" si="38">E161+E167+E168+E173+E179+E169</f>
        <v>163842076.94999999</v>
      </c>
      <c r="F159" s="48">
        <f t="shared" si="38"/>
        <v>0</v>
      </c>
      <c r="G159" s="48">
        <f t="shared" si="38"/>
        <v>18688320</v>
      </c>
      <c r="H159" s="48">
        <f t="shared" si="38"/>
        <v>19495642.5</v>
      </c>
      <c r="I159" s="48">
        <f t="shared" si="38"/>
        <v>220200261.03999999</v>
      </c>
      <c r="J159" s="48">
        <f t="shared" si="38"/>
        <v>0</v>
      </c>
      <c r="K159" s="48">
        <f t="shared" si="38"/>
        <v>0</v>
      </c>
      <c r="L159" s="48">
        <f t="shared" si="38"/>
        <v>0</v>
      </c>
      <c r="M159" s="48">
        <f t="shared" si="38"/>
        <v>220200261.03999999</v>
      </c>
      <c r="N159" s="48">
        <f t="shared" si="38"/>
        <v>206437520.34999999</v>
      </c>
      <c r="O159" s="48">
        <f t="shared" si="38"/>
        <v>403537980.49000001</v>
      </c>
      <c r="P159" s="266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  <c r="AA159" s="179"/>
      <c r="AB159" s="179"/>
      <c r="AC159" s="179"/>
      <c r="AD159" s="179"/>
      <c r="AE159" s="179"/>
      <c r="AF159" s="179"/>
      <c r="AG159" s="179"/>
      <c r="AH159" s="179"/>
      <c r="AI159" s="179"/>
    </row>
    <row r="160" spans="1:35" s="21" customFormat="1" ht="27" customHeight="1" x14ac:dyDescent="0.25">
      <c r="A160" s="22"/>
      <c r="B160" s="11"/>
      <c r="C160" s="11" t="s">
        <v>416</v>
      </c>
      <c r="D160" s="48">
        <f>D170+D174</f>
        <v>0</v>
      </c>
      <c r="E160" s="48">
        <f t="shared" ref="E160:O160" si="39">E170+E174</f>
        <v>0</v>
      </c>
      <c r="F160" s="48">
        <f t="shared" si="39"/>
        <v>0</v>
      </c>
      <c r="G160" s="48">
        <f t="shared" si="39"/>
        <v>0</v>
      </c>
      <c r="H160" s="48">
        <f t="shared" si="39"/>
        <v>0</v>
      </c>
      <c r="I160" s="48">
        <f t="shared" si="39"/>
        <v>14514800</v>
      </c>
      <c r="J160" s="48">
        <f t="shared" si="39"/>
        <v>0</v>
      </c>
      <c r="K160" s="48">
        <f t="shared" si="39"/>
        <v>0</v>
      </c>
      <c r="L160" s="48">
        <f t="shared" si="39"/>
        <v>0</v>
      </c>
      <c r="M160" s="48">
        <f t="shared" si="39"/>
        <v>14514800</v>
      </c>
      <c r="N160" s="48">
        <f t="shared" si="39"/>
        <v>809800</v>
      </c>
      <c r="O160" s="48">
        <f t="shared" si="39"/>
        <v>14514800</v>
      </c>
      <c r="P160" s="266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  <c r="AB160" s="179"/>
      <c r="AC160" s="179"/>
      <c r="AD160" s="179"/>
      <c r="AE160" s="179"/>
      <c r="AF160" s="179"/>
      <c r="AG160" s="179"/>
      <c r="AH160" s="179"/>
      <c r="AI160" s="179"/>
    </row>
    <row r="161" spans="1:35" ht="34.5" customHeight="1" x14ac:dyDescent="0.25">
      <c r="A161" s="5" t="s">
        <v>108</v>
      </c>
      <c r="B161" s="5"/>
      <c r="C161" s="13" t="s">
        <v>204</v>
      </c>
      <c r="D161" s="47">
        <f>D162+D163+D166+D164+D165</f>
        <v>13671362</v>
      </c>
      <c r="E161" s="47">
        <f t="shared" ref="E161:O161" si="40">E162+E163+E166+E164+E165</f>
        <v>1815220</v>
      </c>
      <c r="F161" s="47">
        <f t="shared" si="40"/>
        <v>0</v>
      </c>
      <c r="G161" s="47">
        <f t="shared" si="40"/>
        <v>0</v>
      </c>
      <c r="H161" s="47">
        <f t="shared" si="40"/>
        <v>11856142</v>
      </c>
      <c r="I161" s="47">
        <f t="shared" si="40"/>
        <v>65678760</v>
      </c>
      <c r="J161" s="47">
        <f t="shared" si="40"/>
        <v>0</v>
      </c>
      <c r="K161" s="47">
        <f t="shared" si="40"/>
        <v>0</v>
      </c>
      <c r="L161" s="47">
        <f t="shared" si="40"/>
        <v>0</v>
      </c>
      <c r="M161" s="47">
        <f t="shared" si="40"/>
        <v>65678760</v>
      </c>
      <c r="N161" s="47">
        <f t="shared" si="40"/>
        <v>65678760</v>
      </c>
      <c r="O161" s="47">
        <f t="shared" si="40"/>
        <v>79350122</v>
      </c>
      <c r="P161" s="266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5"/>
      <c r="AG161" s="175"/>
      <c r="AH161" s="175"/>
      <c r="AI161" s="175"/>
    </row>
    <row r="162" spans="1:35" s="8" customFormat="1" ht="33.75" customHeight="1" x14ac:dyDescent="0.25">
      <c r="A162" s="7" t="s">
        <v>205</v>
      </c>
      <c r="B162" s="7" t="s">
        <v>111</v>
      </c>
      <c r="C162" s="14" t="s">
        <v>206</v>
      </c>
      <c r="D162" s="49">
        <f>'дод 3'!E238</f>
        <v>0</v>
      </c>
      <c r="E162" s="49">
        <f>'дод 3'!F238</f>
        <v>0</v>
      </c>
      <c r="F162" s="49">
        <f>'дод 3'!G238</f>
        <v>0</v>
      </c>
      <c r="G162" s="49">
        <f>'дод 3'!H238</f>
        <v>0</v>
      </c>
      <c r="H162" s="49">
        <f>'дод 3'!I238</f>
        <v>0</v>
      </c>
      <c r="I162" s="49">
        <f>'дод 3'!J238</f>
        <v>33000738</v>
      </c>
      <c r="J162" s="49">
        <f>'дод 3'!K238</f>
        <v>0</v>
      </c>
      <c r="K162" s="49">
        <f>'дод 3'!L238</f>
        <v>0</v>
      </c>
      <c r="L162" s="49">
        <f>'дод 3'!M238</f>
        <v>0</v>
      </c>
      <c r="M162" s="49">
        <f>'дод 3'!N238</f>
        <v>33000738</v>
      </c>
      <c r="N162" s="49">
        <f>'дод 3'!O238</f>
        <v>33000738</v>
      </c>
      <c r="O162" s="49">
        <f>'дод 3'!P238</f>
        <v>33000738</v>
      </c>
      <c r="P162" s="26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</row>
    <row r="163" spans="1:35" s="8" customFormat="1" ht="36.75" customHeight="1" x14ac:dyDescent="0.25">
      <c r="A163" s="7" t="s">
        <v>207</v>
      </c>
      <c r="B163" s="7" t="s">
        <v>111</v>
      </c>
      <c r="C163" s="14" t="s">
        <v>235</v>
      </c>
      <c r="D163" s="49">
        <f>'дод 3'!E239</f>
        <v>12756142</v>
      </c>
      <c r="E163" s="49">
        <f>'дод 3'!F239</f>
        <v>900000</v>
      </c>
      <c r="F163" s="49">
        <f>'дод 3'!G239</f>
        <v>0</v>
      </c>
      <c r="G163" s="49">
        <f>'дод 3'!H239</f>
        <v>0</v>
      </c>
      <c r="H163" s="49">
        <f>'дод 3'!I239</f>
        <v>11856142</v>
      </c>
      <c r="I163" s="49">
        <f>'дод 3'!J239</f>
        <v>542622</v>
      </c>
      <c r="J163" s="49">
        <f>'дод 3'!K239</f>
        <v>0</v>
      </c>
      <c r="K163" s="49">
        <f>'дод 3'!L239</f>
        <v>0</v>
      </c>
      <c r="L163" s="49">
        <f>'дод 3'!M239</f>
        <v>0</v>
      </c>
      <c r="M163" s="49">
        <f>'дод 3'!N239</f>
        <v>542622</v>
      </c>
      <c r="N163" s="49">
        <f>'дод 3'!O239</f>
        <v>542622</v>
      </c>
      <c r="O163" s="49">
        <f>'дод 3'!P239</f>
        <v>13298764</v>
      </c>
      <c r="P163" s="26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</row>
    <row r="164" spans="1:35" s="8" customFormat="1" ht="36.75" customHeight="1" x14ac:dyDescent="0.25">
      <c r="A164" s="27" t="s">
        <v>406</v>
      </c>
      <c r="B164" s="27" t="s">
        <v>111</v>
      </c>
      <c r="C164" s="14" t="s">
        <v>407</v>
      </c>
      <c r="D164" s="49">
        <f>'дод 3'!E240</f>
        <v>510520</v>
      </c>
      <c r="E164" s="49">
        <f>'дод 3'!F240</f>
        <v>510520</v>
      </c>
      <c r="F164" s="49">
        <f>'дод 3'!G240</f>
        <v>0</v>
      </c>
      <c r="G164" s="49">
        <f>'дод 3'!H240</f>
        <v>0</v>
      </c>
      <c r="H164" s="49">
        <f>'дод 3'!I240</f>
        <v>0</v>
      </c>
      <c r="I164" s="49">
        <f>'дод 3'!J240</f>
        <v>29957400</v>
      </c>
      <c r="J164" s="49">
        <f>'дод 3'!K240</f>
        <v>0</v>
      </c>
      <c r="K164" s="49">
        <f>'дод 3'!L240</f>
        <v>0</v>
      </c>
      <c r="L164" s="49">
        <f>'дод 3'!M240</f>
        <v>0</v>
      </c>
      <c r="M164" s="49">
        <f>'дод 3'!N240</f>
        <v>29957400</v>
      </c>
      <c r="N164" s="49">
        <f>'дод 3'!O240</f>
        <v>29957400</v>
      </c>
      <c r="O164" s="49">
        <f>'дод 3'!P240</f>
        <v>30467920</v>
      </c>
      <c r="P164" s="26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6"/>
      <c r="AG164" s="176"/>
      <c r="AH164" s="176"/>
      <c r="AI164" s="176"/>
    </row>
    <row r="165" spans="1:35" s="8" customFormat="1" ht="46.5" customHeight="1" x14ac:dyDescent="0.25">
      <c r="A165" s="27" t="s">
        <v>608</v>
      </c>
      <c r="B165" s="27" t="s">
        <v>111</v>
      </c>
      <c r="C165" s="14" t="s">
        <v>609</v>
      </c>
      <c r="D165" s="49">
        <f>'дод 3'!E241</f>
        <v>0</v>
      </c>
      <c r="E165" s="49">
        <f>'дод 3'!F241</f>
        <v>0</v>
      </c>
      <c r="F165" s="49">
        <f>'дод 3'!G241</f>
        <v>0</v>
      </c>
      <c r="G165" s="49">
        <f>'дод 3'!H241</f>
        <v>0</v>
      </c>
      <c r="H165" s="49">
        <f>'дод 3'!I241</f>
        <v>0</v>
      </c>
      <c r="I165" s="49">
        <f>'дод 3'!J241</f>
        <v>2178000</v>
      </c>
      <c r="J165" s="49">
        <f>'дод 3'!K241</f>
        <v>0</v>
      </c>
      <c r="K165" s="49">
        <f>'дод 3'!L241</f>
        <v>0</v>
      </c>
      <c r="L165" s="49">
        <f>'дод 3'!M241</f>
        <v>0</v>
      </c>
      <c r="M165" s="49">
        <f>'дод 3'!N241</f>
        <v>2178000</v>
      </c>
      <c r="N165" s="49">
        <f>'дод 3'!O241</f>
        <v>2178000</v>
      </c>
      <c r="O165" s="49">
        <f>'дод 3'!P241</f>
        <v>2178000</v>
      </c>
      <c r="P165" s="26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  <c r="AF165" s="176"/>
      <c r="AG165" s="176"/>
      <c r="AH165" s="176"/>
      <c r="AI165" s="176"/>
    </row>
    <row r="166" spans="1:35" s="8" customFormat="1" ht="33" customHeight="1" x14ac:dyDescent="0.25">
      <c r="A166" s="7" t="s">
        <v>409</v>
      </c>
      <c r="B166" s="7" t="s">
        <v>111</v>
      </c>
      <c r="C166" s="14" t="s">
        <v>410</v>
      </c>
      <c r="D166" s="49">
        <f>'дод 3'!E242</f>
        <v>404700</v>
      </c>
      <c r="E166" s="49">
        <f>'дод 3'!F242</f>
        <v>404700</v>
      </c>
      <c r="F166" s="49">
        <f>'дод 3'!G242</f>
        <v>0</v>
      </c>
      <c r="G166" s="49">
        <f>'дод 3'!H242</f>
        <v>0</v>
      </c>
      <c r="H166" s="49">
        <f>'дод 3'!I242</f>
        <v>0</v>
      </c>
      <c r="I166" s="49">
        <f>'дод 3'!J242</f>
        <v>0</v>
      </c>
      <c r="J166" s="49">
        <f>'дод 3'!K242</f>
        <v>0</v>
      </c>
      <c r="K166" s="49">
        <f>'дод 3'!L242</f>
        <v>0</v>
      </c>
      <c r="L166" s="49">
        <f>'дод 3'!M242</f>
        <v>0</v>
      </c>
      <c r="M166" s="49">
        <f>'дод 3'!N242</f>
        <v>0</v>
      </c>
      <c r="N166" s="49">
        <f>'дод 3'!O242</f>
        <v>0</v>
      </c>
      <c r="O166" s="49">
        <f>'дод 3'!P242</f>
        <v>404700</v>
      </c>
      <c r="P166" s="26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6"/>
      <c r="AG166" s="176"/>
      <c r="AH166" s="176"/>
      <c r="AI166" s="176"/>
    </row>
    <row r="167" spans="1:35" s="8" customFormat="1" ht="52.5" customHeight="1" x14ac:dyDescent="0.25">
      <c r="A167" s="5" t="s">
        <v>110</v>
      </c>
      <c r="B167" s="5" t="s">
        <v>111</v>
      </c>
      <c r="C167" s="13" t="s">
        <v>210</v>
      </c>
      <c r="D167" s="47">
        <f>'дод 3'!E243</f>
        <v>6422960.7000000002</v>
      </c>
      <c r="E167" s="47">
        <f>'дод 3'!F243</f>
        <v>0</v>
      </c>
      <c r="F167" s="47">
        <f>'дод 3'!G243</f>
        <v>0</v>
      </c>
      <c r="G167" s="47">
        <f>'дод 3'!H243</f>
        <v>0</v>
      </c>
      <c r="H167" s="47">
        <f>'дод 3'!I243</f>
        <v>6422960.7000000002</v>
      </c>
      <c r="I167" s="47">
        <f>'дод 3'!J243</f>
        <v>0</v>
      </c>
      <c r="J167" s="47">
        <f>'дод 3'!K243</f>
        <v>0</v>
      </c>
      <c r="K167" s="47">
        <f>'дод 3'!L243</f>
        <v>0</v>
      </c>
      <c r="L167" s="47">
        <f>'дод 3'!M243</f>
        <v>0</v>
      </c>
      <c r="M167" s="47">
        <f>'дод 3'!N243</f>
        <v>0</v>
      </c>
      <c r="N167" s="47">
        <f>'дод 3'!O243</f>
        <v>0</v>
      </c>
      <c r="O167" s="47">
        <f>'дод 3'!P243</f>
        <v>6422960.7000000002</v>
      </c>
      <c r="P167" s="266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F167" s="175"/>
      <c r="AG167" s="175"/>
      <c r="AH167" s="175"/>
      <c r="AI167" s="175"/>
    </row>
    <row r="168" spans="1:35" ht="30" customHeight="1" x14ac:dyDescent="0.25">
      <c r="A168" s="5" t="s">
        <v>208</v>
      </c>
      <c r="B168" s="5" t="s">
        <v>111</v>
      </c>
      <c r="C168" s="13" t="s">
        <v>209</v>
      </c>
      <c r="D168" s="47">
        <f>'дод 3'!E273+'дод 3'!E244</f>
        <v>159382452.40000001</v>
      </c>
      <c r="E168" s="47">
        <f>'дод 3'!F273+'дод 3'!F244</f>
        <v>159201699.94999999</v>
      </c>
      <c r="F168" s="47">
        <f>'дод 3'!G273+'дод 3'!G244</f>
        <v>0</v>
      </c>
      <c r="G168" s="47">
        <f>'дод 3'!H273+'дод 3'!H244</f>
        <v>18648320</v>
      </c>
      <c r="H168" s="47">
        <f>'дод 3'!I273+'дод 3'!I244</f>
        <v>180752.45</v>
      </c>
      <c r="I168" s="47">
        <f>'дод 3'!J273+'дод 3'!J244</f>
        <v>139448960.34999999</v>
      </c>
      <c r="J168" s="47">
        <f>'дод 3'!K273+'дод 3'!K244</f>
        <v>0</v>
      </c>
      <c r="K168" s="47">
        <f>'дод 3'!L273+'дод 3'!L244</f>
        <v>0</v>
      </c>
      <c r="L168" s="47">
        <f>'дод 3'!M273+'дод 3'!M244</f>
        <v>0</v>
      </c>
      <c r="M168" s="47">
        <f>'дод 3'!N273+'дод 3'!N244</f>
        <v>139448960.34999999</v>
      </c>
      <c r="N168" s="47">
        <f>'дод 3'!O273+'дод 3'!O244</f>
        <v>139448960.34999999</v>
      </c>
      <c r="O168" s="47">
        <f>'дод 3'!P273+'дод 3'!P244</f>
        <v>298831412.75</v>
      </c>
      <c r="P168" s="266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</row>
    <row r="169" spans="1:35" ht="35.25" customHeight="1" x14ac:dyDescent="0.25">
      <c r="A169" s="5" t="s">
        <v>635</v>
      </c>
      <c r="B169" s="5"/>
      <c r="C169" s="13" t="s">
        <v>637</v>
      </c>
      <c r="D169" s="47">
        <f>D171</f>
        <v>0</v>
      </c>
      <c r="E169" s="47">
        <f t="shared" ref="E169:O170" si="41">E171</f>
        <v>0</v>
      </c>
      <c r="F169" s="47">
        <f t="shared" si="41"/>
        <v>0</v>
      </c>
      <c r="G169" s="47">
        <f t="shared" si="41"/>
        <v>0</v>
      </c>
      <c r="H169" s="47">
        <f t="shared" si="41"/>
        <v>0</v>
      </c>
      <c r="I169" s="47">
        <f t="shared" si="41"/>
        <v>13705000</v>
      </c>
      <c r="J169" s="47">
        <f t="shared" si="41"/>
        <v>0</v>
      </c>
      <c r="K169" s="47">
        <f t="shared" si="41"/>
        <v>0</v>
      </c>
      <c r="L169" s="47">
        <f t="shared" si="41"/>
        <v>0</v>
      </c>
      <c r="M169" s="47">
        <f t="shared" si="41"/>
        <v>13705000</v>
      </c>
      <c r="N169" s="47">
        <f t="shared" si="41"/>
        <v>0</v>
      </c>
      <c r="O169" s="47">
        <f t="shared" si="41"/>
        <v>13705000</v>
      </c>
      <c r="P169" s="266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</row>
    <row r="170" spans="1:35" ht="21.75" customHeight="1" x14ac:dyDescent="0.25">
      <c r="B170" s="5"/>
      <c r="C170" s="13" t="s">
        <v>416</v>
      </c>
      <c r="D170" s="47">
        <f>D172</f>
        <v>0</v>
      </c>
      <c r="E170" s="47">
        <f t="shared" si="41"/>
        <v>0</v>
      </c>
      <c r="F170" s="47">
        <f t="shared" si="41"/>
        <v>0</v>
      </c>
      <c r="G170" s="47">
        <f t="shared" si="41"/>
        <v>0</v>
      </c>
      <c r="H170" s="47">
        <f t="shared" si="41"/>
        <v>0</v>
      </c>
      <c r="I170" s="47">
        <f t="shared" si="41"/>
        <v>13705000</v>
      </c>
      <c r="J170" s="47">
        <f t="shared" si="41"/>
        <v>0</v>
      </c>
      <c r="K170" s="47">
        <f t="shared" si="41"/>
        <v>0</v>
      </c>
      <c r="L170" s="47">
        <f t="shared" si="41"/>
        <v>0</v>
      </c>
      <c r="M170" s="47">
        <f t="shared" si="41"/>
        <v>13705000</v>
      </c>
      <c r="N170" s="47">
        <f t="shared" si="41"/>
        <v>0</v>
      </c>
      <c r="O170" s="47">
        <f t="shared" si="41"/>
        <v>13705000</v>
      </c>
      <c r="P170" s="26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  <c r="AA170" s="216"/>
      <c r="AB170" s="216"/>
      <c r="AC170" s="216"/>
      <c r="AD170" s="216"/>
      <c r="AE170" s="216"/>
      <c r="AF170" s="216"/>
      <c r="AG170" s="216"/>
      <c r="AH170" s="216"/>
      <c r="AI170" s="216"/>
    </row>
    <row r="171" spans="1:35" s="8" customFormat="1" ht="249.75" customHeight="1" x14ac:dyDescent="0.25">
      <c r="A171" s="7" t="s">
        <v>636</v>
      </c>
      <c r="B171" s="7" t="s">
        <v>490</v>
      </c>
      <c r="C171" s="14" t="s">
        <v>638</v>
      </c>
      <c r="D171" s="49">
        <f>'дод 3'!E248</f>
        <v>0</v>
      </c>
      <c r="E171" s="49">
        <f>'дод 3'!F248</f>
        <v>0</v>
      </c>
      <c r="F171" s="49">
        <f>'дод 3'!G248</f>
        <v>0</v>
      </c>
      <c r="G171" s="49">
        <f>'дод 3'!H248</f>
        <v>0</v>
      </c>
      <c r="H171" s="49">
        <f>'дод 3'!I248</f>
        <v>0</v>
      </c>
      <c r="I171" s="49">
        <f>'дод 3'!J248</f>
        <v>13705000</v>
      </c>
      <c r="J171" s="49">
        <f>'дод 3'!K248</f>
        <v>0</v>
      </c>
      <c r="K171" s="49">
        <f>'дод 3'!L248</f>
        <v>0</v>
      </c>
      <c r="L171" s="49">
        <f>'дод 3'!M248</f>
        <v>0</v>
      </c>
      <c r="M171" s="49">
        <f>'дод 3'!N248</f>
        <v>13705000</v>
      </c>
      <c r="N171" s="49">
        <f>'дод 3'!O248</f>
        <v>0</v>
      </c>
      <c r="O171" s="49">
        <f>'дод 3'!P248</f>
        <v>13705000</v>
      </c>
      <c r="P171" s="26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6"/>
      <c r="AG171" s="176"/>
      <c r="AH171" s="176"/>
      <c r="AI171" s="176"/>
    </row>
    <row r="172" spans="1:35" s="8" customFormat="1" ht="27.75" customHeight="1" x14ac:dyDescent="0.25">
      <c r="A172" s="7"/>
      <c r="B172" s="7"/>
      <c r="C172" s="14" t="s">
        <v>416</v>
      </c>
      <c r="D172" s="49">
        <f>'дод 3'!E249</f>
        <v>0</v>
      </c>
      <c r="E172" s="49">
        <f>'дод 3'!F249</f>
        <v>0</v>
      </c>
      <c r="F172" s="49">
        <f>'дод 3'!G249</f>
        <v>0</v>
      </c>
      <c r="G172" s="49">
        <f>'дод 3'!H249</f>
        <v>0</v>
      </c>
      <c r="H172" s="49">
        <f>'дод 3'!I249</f>
        <v>0</v>
      </c>
      <c r="I172" s="49">
        <f>'дод 3'!J249</f>
        <v>13705000</v>
      </c>
      <c r="J172" s="49">
        <f>'дод 3'!K249</f>
        <v>0</v>
      </c>
      <c r="K172" s="49">
        <f>'дод 3'!L249</f>
        <v>0</v>
      </c>
      <c r="L172" s="49">
        <f>'дод 3'!M249</f>
        <v>0</v>
      </c>
      <c r="M172" s="49">
        <f>'дод 3'!N249</f>
        <v>13705000</v>
      </c>
      <c r="N172" s="49">
        <f>'дод 3'!O249</f>
        <v>0</v>
      </c>
      <c r="O172" s="49">
        <f>'дод 3'!P249</f>
        <v>13705000</v>
      </c>
      <c r="P172" s="26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  <c r="AC172" s="176"/>
      <c r="AD172" s="176"/>
      <c r="AE172" s="176"/>
      <c r="AF172" s="176"/>
      <c r="AG172" s="176"/>
      <c r="AH172" s="176"/>
      <c r="AI172" s="176"/>
    </row>
    <row r="173" spans="1:35" ht="24" customHeight="1" x14ac:dyDescent="0.25">
      <c r="A173" s="5" t="s">
        <v>226</v>
      </c>
      <c r="B173" s="5"/>
      <c r="C173" s="13" t="s">
        <v>227</v>
      </c>
      <c r="D173" s="47">
        <f t="shared" ref="D173:O173" si="42">D178+D175+D176</f>
        <v>84912.35</v>
      </c>
      <c r="E173" s="47">
        <f t="shared" si="42"/>
        <v>0</v>
      </c>
      <c r="F173" s="47">
        <f t="shared" si="42"/>
        <v>0</v>
      </c>
      <c r="G173" s="47">
        <f t="shared" si="42"/>
        <v>0</v>
      </c>
      <c r="H173" s="47">
        <f t="shared" si="42"/>
        <v>84912.35</v>
      </c>
      <c r="I173" s="47">
        <f t="shared" si="42"/>
        <v>1367540.69</v>
      </c>
      <c r="J173" s="47">
        <f t="shared" si="42"/>
        <v>0</v>
      </c>
      <c r="K173" s="47">
        <f t="shared" si="42"/>
        <v>0</v>
      </c>
      <c r="L173" s="47">
        <f t="shared" si="42"/>
        <v>0</v>
      </c>
      <c r="M173" s="47">
        <f t="shared" si="42"/>
        <v>1367540.69</v>
      </c>
      <c r="N173" s="47">
        <f t="shared" si="42"/>
        <v>1309800</v>
      </c>
      <c r="O173" s="47">
        <f t="shared" si="42"/>
        <v>1452453.04</v>
      </c>
      <c r="P173" s="266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  <c r="AF173" s="175"/>
      <c r="AG173" s="175"/>
      <c r="AH173" s="175"/>
      <c r="AI173" s="175"/>
    </row>
    <row r="174" spans="1:35" ht="24" customHeight="1" x14ac:dyDescent="0.25">
      <c r="B174" s="5"/>
      <c r="C174" s="14" t="s">
        <v>416</v>
      </c>
      <c r="D174" s="47">
        <f>D177</f>
        <v>0</v>
      </c>
      <c r="E174" s="47">
        <f t="shared" ref="E174:O174" si="43">E177</f>
        <v>0</v>
      </c>
      <c r="F174" s="47">
        <f t="shared" si="43"/>
        <v>0</v>
      </c>
      <c r="G174" s="47">
        <f t="shared" si="43"/>
        <v>0</v>
      </c>
      <c r="H174" s="47">
        <f t="shared" si="43"/>
        <v>0</v>
      </c>
      <c r="I174" s="47">
        <f t="shared" si="43"/>
        <v>809800</v>
      </c>
      <c r="J174" s="47">
        <f t="shared" si="43"/>
        <v>0</v>
      </c>
      <c r="K174" s="47">
        <f t="shared" si="43"/>
        <v>0</v>
      </c>
      <c r="L174" s="47">
        <f t="shared" si="43"/>
        <v>0</v>
      </c>
      <c r="M174" s="47">
        <f t="shared" si="43"/>
        <v>809800</v>
      </c>
      <c r="N174" s="47">
        <f t="shared" si="43"/>
        <v>809800</v>
      </c>
      <c r="O174" s="47">
        <f t="shared" si="43"/>
        <v>809800</v>
      </c>
      <c r="P174" s="266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</row>
    <row r="175" spans="1:35" ht="42.75" customHeight="1" x14ac:dyDescent="0.25">
      <c r="A175" s="7" t="s">
        <v>627</v>
      </c>
      <c r="B175" s="7" t="s">
        <v>109</v>
      </c>
      <c r="C175" s="14" t="s">
        <v>628</v>
      </c>
      <c r="D175" s="47">
        <f>'дод 3'!E275</f>
        <v>0</v>
      </c>
      <c r="E175" s="47">
        <f>'дод 3'!F275</f>
        <v>0</v>
      </c>
      <c r="F175" s="47">
        <f>'дод 3'!G275</f>
        <v>0</v>
      </c>
      <c r="G175" s="47">
        <f>'дод 3'!H275</f>
        <v>0</v>
      </c>
      <c r="H175" s="47">
        <f>'дод 3'!I275</f>
        <v>0</v>
      </c>
      <c r="I175" s="47">
        <f>'дод 3'!J275</f>
        <v>500000</v>
      </c>
      <c r="J175" s="47">
        <f>'дод 3'!K275</f>
        <v>0</v>
      </c>
      <c r="K175" s="47">
        <f>'дод 3'!L275</f>
        <v>0</v>
      </c>
      <c r="L175" s="47">
        <f>'дод 3'!M275</f>
        <v>0</v>
      </c>
      <c r="M175" s="47">
        <f>'дод 3'!N275</f>
        <v>500000</v>
      </c>
      <c r="N175" s="47">
        <f>'дод 3'!O275</f>
        <v>500000</v>
      </c>
      <c r="O175" s="47">
        <f>'дод 3'!P275</f>
        <v>500000</v>
      </c>
      <c r="P175" s="266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</row>
    <row r="176" spans="1:35" ht="81.75" customHeight="1" x14ac:dyDescent="0.25">
      <c r="A176" s="7" t="s">
        <v>670</v>
      </c>
      <c r="B176" s="7" t="s">
        <v>109</v>
      </c>
      <c r="C176" s="14" t="s">
        <v>669</v>
      </c>
      <c r="D176" s="47"/>
      <c r="E176" s="47"/>
      <c r="F176" s="47"/>
      <c r="G176" s="47"/>
      <c r="H176" s="47"/>
      <c r="I176" s="47">
        <f>'дод 3'!J216</f>
        <v>809800</v>
      </c>
      <c r="J176" s="47"/>
      <c r="K176" s="47"/>
      <c r="L176" s="47"/>
      <c r="M176" s="47">
        <f>'дод 3'!N216</f>
        <v>809800</v>
      </c>
      <c r="N176" s="47">
        <f>'дод 3'!O216</f>
        <v>809800</v>
      </c>
      <c r="O176" s="47">
        <f>'дод 3'!P216</f>
        <v>809800</v>
      </c>
      <c r="P176" s="266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175"/>
    </row>
    <row r="177" spans="1:35" ht="28.5" customHeight="1" x14ac:dyDescent="0.25">
      <c r="A177" s="7"/>
      <c r="B177" s="7"/>
      <c r="C177" s="14" t="s">
        <v>416</v>
      </c>
      <c r="D177" s="47"/>
      <c r="E177" s="47"/>
      <c r="F177" s="47"/>
      <c r="G177" s="47"/>
      <c r="H177" s="47"/>
      <c r="I177" s="47">
        <f>'дод 3'!J217</f>
        <v>809800</v>
      </c>
      <c r="J177" s="47"/>
      <c r="K177" s="47"/>
      <c r="L177" s="47"/>
      <c r="M177" s="47">
        <f>'дод 3'!N217</f>
        <v>809800</v>
      </c>
      <c r="N177" s="47">
        <f>'дод 3'!O217</f>
        <v>809800</v>
      </c>
      <c r="O177" s="47">
        <f>'дод 3'!P217</f>
        <v>809800</v>
      </c>
      <c r="P177" s="266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</row>
    <row r="178" spans="1:35" s="8" customFormat="1" ht="67.5" customHeight="1" x14ac:dyDescent="0.25">
      <c r="A178" s="7" t="s">
        <v>212</v>
      </c>
      <c r="B178" s="9" t="s">
        <v>109</v>
      </c>
      <c r="C178" s="14" t="s">
        <v>213</v>
      </c>
      <c r="D178" s="49">
        <f>'дод 3'!E276</f>
        <v>84912.35</v>
      </c>
      <c r="E178" s="49">
        <f>'дод 3'!F276</f>
        <v>0</v>
      </c>
      <c r="F178" s="49">
        <f>'дод 3'!G276</f>
        <v>0</v>
      </c>
      <c r="G178" s="49">
        <f>'дод 3'!H276</f>
        <v>0</v>
      </c>
      <c r="H178" s="49">
        <f>'дод 3'!I276</f>
        <v>84912.35</v>
      </c>
      <c r="I178" s="49">
        <f>'дод 3'!J276</f>
        <v>57740.69</v>
      </c>
      <c r="J178" s="49">
        <f>'дод 3'!K276</f>
        <v>0</v>
      </c>
      <c r="K178" s="49">
        <f>'дод 3'!L276</f>
        <v>0</v>
      </c>
      <c r="L178" s="49">
        <f>'дод 3'!M276</f>
        <v>0</v>
      </c>
      <c r="M178" s="49">
        <f>'дод 3'!N276</f>
        <v>57740.69</v>
      </c>
      <c r="N178" s="49">
        <f>'дод 3'!O276</f>
        <v>0</v>
      </c>
      <c r="O178" s="49">
        <f>'дод 3'!P276</f>
        <v>142653.04</v>
      </c>
      <c r="P178" s="26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6"/>
      <c r="AG178" s="176"/>
      <c r="AH178" s="176"/>
      <c r="AI178" s="176"/>
    </row>
    <row r="179" spans="1:35" ht="39.75" customHeight="1" x14ac:dyDescent="0.25">
      <c r="A179" s="5" t="s">
        <v>228</v>
      </c>
      <c r="B179" s="12" t="s">
        <v>490</v>
      </c>
      <c r="C179" s="13" t="s">
        <v>229</v>
      </c>
      <c r="D179" s="47">
        <f>'дод 3'!E245+'дод 3'!E268+'дод 3'!E300</f>
        <v>3776032</v>
      </c>
      <c r="E179" s="47">
        <f>'дод 3'!F245+'дод 3'!F268+'дод 3'!F300</f>
        <v>2825157</v>
      </c>
      <c r="F179" s="47">
        <f>'дод 3'!G245+'дод 3'!G268+'дод 3'!G300</f>
        <v>0</v>
      </c>
      <c r="G179" s="47">
        <f>'дод 3'!H245+'дод 3'!H268+'дод 3'!H300</f>
        <v>40000</v>
      </c>
      <c r="H179" s="47">
        <f>'дод 3'!I245+'дод 3'!I268+'дод 3'!I300</f>
        <v>950875</v>
      </c>
      <c r="I179" s="47">
        <f>'дод 3'!J245+'дод 3'!J268+'дод 3'!J300</f>
        <v>0</v>
      </c>
      <c r="J179" s="47">
        <f>'дод 3'!K245+'дод 3'!K268+'дод 3'!K300</f>
        <v>0</v>
      </c>
      <c r="K179" s="47">
        <f>'дод 3'!L245+'дод 3'!L268+'дод 3'!L300</f>
        <v>0</v>
      </c>
      <c r="L179" s="47">
        <f>'дод 3'!M245+'дод 3'!M268+'дод 3'!M300</f>
        <v>0</v>
      </c>
      <c r="M179" s="47">
        <f>'дод 3'!N245+'дод 3'!N268+'дод 3'!N300</f>
        <v>0</v>
      </c>
      <c r="N179" s="47">
        <f>'дод 3'!O245+'дод 3'!O268+'дод 3'!O300</f>
        <v>0</v>
      </c>
      <c r="O179" s="47">
        <f>'дод 3'!P245+'дод 3'!P268+'дод 3'!P300</f>
        <v>3776032</v>
      </c>
      <c r="P179" s="266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</row>
    <row r="180" spans="1:35" s="21" customFormat="1" ht="29.25" customHeight="1" x14ac:dyDescent="0.25">
      <c r="A180" s="22" t="s">
        <v>214</v>
      </c>
      <c r="B180" s="11"/>
      <c r="C180" s="11" t="s">
        <v>215</v>
      </c>
      <c r="D180" s="48">
        <f t="shared" ref="D180:O180" si="44">D181+D183+D198+D212+D214</f>
        <v>49864524</v>
      </c>
      <c r="E180" s="48">
        <f t="shared" si="44"/>
        <v>17058318</v>
      </c>
      <c r="F180" s="48">
        <f t="shared" si="44"/>
        <v>0</v>
      </c>
      <c r="G180" s="48">
        <f t="shared" si="44"/>
        <v>78316.649999999994</v>
      </c>
      <c r="H180" s="48">
        <f t="shared" si="44"/>
        <v>32806206</v>
      </c>
      <c r="I180" s="48">
        <f>I181+I183+I198+I212+I214</f>
        <v>263403844.81</v>
      </c>
      <c r="J180" s="48">
        <f t="shared" si="44"/>
        <v>13246686.859999999</v>
      </c>
      <c r="K180" s="48">
        <f t="shared" si="44"/>
        <v>0</v>
      </c>
      <c r="L180" s="48">
        <f t="shared" si="44"/>
        <v>0</v>
      </c>
      <c r="M180" s="48">
        <f t="shared" si="44"/>
        <v>250157157.94999999</v>
      </c>
      <c r="N180" s="48">
        <f t="shared" si="44"/>
        <v>215831319.95999998</v>
      </c>
      <c r="O180" s="48">
        <f t="shared" si="44"/>
        <v>313268368.81</v>
      </c>
      <c r="P180" s="266">
        <v>44</v>
      </c>
      <c r="Q180" s="179"/>
      <c r="R180" s="179"/>
      <c r="S180" s="179"/>
      <c r="T180" s="179"/>
      <c r="U180" s="179"/>
      <c r="V180" s="179"/>
      <c r="W180" s="179"/>
      <c r="X180" s="179"/>
      <c r="Y180" s="179"/>
      <c r="Z180" s="179"/>
      <c r="AA180" s="179"/>
      <c r="AB180" s="179"/>
      <c r="AC180" s="179"/>
      <c r="AD180" s="179"/>
      <c r="AE180" s="179"/>
      <c r="AF180" s="179"/>
      <c r="AG180" s="179"/>
      <c r="AH180" s="179"/>
      <c r="AI180" s="179"/>
    </row>
    <row r="181" spans="1:35" s="21" customFormat="1" x14ac:dyDescent="0.25">
      <c r="A181" s="22" t="s">
        <v>230</v>
      </c>
      <c r="B181" s="11"/>
      <c r="C181" s="11" t="s">
        <v>231</v>
      </c>
      <c r="D181" s="48">
        <f t="shared" ref="D181:O181" si="45">D182</f>
        <v>1010670</v>
      </c>
      <c r="E181" s="48">
        <f t="shared" si="45"/>
        <v>520000</v>
      </c>
      <c r="F181" s="48">
        <f t="shared" si="45"/>
        <v>0</v>
      </c>
      <c r="G181" s="48">
        <f t="shared" si="45"/>
        <v>0</v>
      </c>
      <c r="H181" s="48">
        <f t="shared" si="45"/>
        <v>490670</v>
      </c>
      <c r="I181" s="48">
        <f>I182</f>
        <v>14343.33</v>
      </c>
      <c r="J181" s="48">
        <f t="shared" si="45"/>
        <v>14343.33</v>
      </c>
      <c r="K181" s="48">
        <f t="shared" si="45"/>
        <v>0</v>
      </c>
      <c r="L181" s="48">
        <f t="shared" si="45"/>
        <v>0</v>
      </c>
      <c r="M181" s="48">
        <f t="shared" si="45"/>
        <v>0</v>
      </c>
      <c r="N181" s="48">
        <f t="shared" si="45"/>
        <v>0</v>
      </c>
      <c r="O181" s="48">
        <f t="shared" si="45"/>
        <v>1025013.33</v>
      </c>
      <c r="P181" s="266"/>
      <c r="Q181" s="179"/>
      <c r="R181" s="179"/>
      <c r="S181" s="179"/>
      <c r="T181" s="179"/>
      <c r="U181" s="179"/>
      <c r="V181" s="179"/>
      <c r="W181" s="179"/>
      <c r="X181" s="179"/>
      <c r="Y181" s="179"/>
      <c r="Z181" s="179"/>
      <c r="AA181" s="179"/>
      <c r="AB181" s="179"/>
      <c r="AC181" s="179"/>
      <c r="AD181" s="179"/>
      <c r="AE181" s="179"/>
      <c r="AF181" s="179"/>
      <c r="AG181" s="179"/>
      <c r="AH181" s="179"/>
      <c r="AI181" s="179"/>
    </row>
    <row r="182" spans="1:35" ht="24" customHeight="1" x14ac:dyDescent="0.25">
      <c r="A182" s="5" t="s">
        <v>216</v>
      </c>
      <c r="B182" s="5" t="s">
        <v>127</v>
      </c>
      <c r="C182" s="13" t="s">
        <v>217</v>
      </c>
      <c r="D182" s="47">
        <f>'дод 3'!E310+'дод 3'!E250</f>
        <v>1010670</v>
      </c>
      <c r="E182" s="47">
        <f>'дод 3'!F310+'дод 3'!F250</f>
        <v>520000</v>
      </c>
      <c r="F182" s="47">
        <f>'дод 3'!G310+'дод 3'!G250</f>
        <v>0</v>
      </c>
      <c r="G182" s="47">
        <f>'дод 3'!H310+'дод 3'!H250</f>
        <v>0</v>
      </c>
      <c r="H182" s="47">
        <f>'дод 3'!I310+'дод 3'!I250</f>
        <v>490670</v>
      </c>
      <c r="I182" s="47">
        <f>'дод 3'!J310+'дод 3'!J250</f>
        <v>14343.33</v>
      </c>
      <c r="J182" s="47">
        <f>'дод 3'!K310+'дод 3'!K250</f>
        <v>14343.33</v>
      </c>
      <c r="K182" s="47">
        <f>'дод 3'!L310+'дод 3'!L250</f>
        <v>0</v>
      </c>
      <c r="L182" s="47">
        <f>'дод 3'!M310+'дод 3'!M250</f>
        <v>0</v>
      </c>
      <c r="M182" s="47">
        <f>'дод 3'!N310+'дод 3'!N250</f>
        <v>0</v>
      </c>
      <c r="N182" s="47">
        <f>'дод 3'!O310+'дод 3'!O250</f>
        <v>0</v>
      </c>
      <c r="O182" s="47">
        <f>'дод 3'!P310+'дод 3'!P250</f>
        <v>1025013.33</v>
      </c>
      <c r="P182" s="266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175"/>
      <c r="AH182" s="175"/>
      <c r="AI182" s="175"/>
    </row>
    <row r="183" spans="1:35" s="21" customFormat="1" ht="27.75" customHeight="1" x14ac:dyDescent="0.25">
      <c r="A183" s="22" t="s">
        <v>144</v>
      </c>
      <c r="B183" s="22"/>
      <c r="C183" s="70" t="s">
        <v>218</v>
      </c>
      <c r="D183" s="48">
        <f>D185+D186+D190+D191+D193+D192</f>
        <v>0</v>
      </c>
      <c r="E183" s="48">
        <f t="shared" ref="E183:O183" si="46">E185+E186+E190+E191+E193+E192</f>
        <v>0</v>
      </c>
      <c r="F183" s="48">
        <f t="shared" si="46"/>
        <v>0</v>
      </c>
      <c r="G183" s="48">
        <f t="shared" si="46"/>
        <v>0</v>
      </c>
      <c r="H183" s="48">
        <f t="shared" si="46"/>
        <v>0</v>
      </c>
      <c r="I183" s="48">
        <f>I185+I186+I190+I191+I193+I192</f>
        <v>137816309.00999999</v>
      </c>
      <c r="J183" s="48">
        <f t="shared" si="46"/>
        <v>0</v>
      </c>
      <c r="K183" s="48">
        <f t="shared" si="46"/>
        <v>0</v>
      </c>
      <c r="L183" s="48">
        <f t="shared" si="46"/>
        <v>0</v>
      </c>
      <c r="M183" s="48">
        <f t="shared" si="46"/>
        <v>137816309.00999999</v>
      </c>
      <c r="N183" s="48">
        <f t="shared" si="46"/>
        <v>135235945.95999998</v>
      </c>
      <c r="O183" s="48">
        <f t="shared" si="46"/>
        <v>137816309.00999999</v>
      </c>
      <c r="P183" s="266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  <c r="AA183" s="179"/>
      <c r="AB183" s="179"/>
      <c r="AC183" s="179"/>
      <c r="AD183" s="179"/>
      <c r="AE183" s="179"/>
      <c r="AF183" s="179"/>
      <c r="AG183" s="179"/>
      <c r="AH183" s="179"/>
      <c r="AI183" s="179"/>
    </row>
    <row r="184" spans="1:35" s="21" customFormat="1" ht="27.75" customHeight="1" x14ac:dyDescent="0.25">
      <c r="A184" s="22"/>
      <c r="B184" s="22"/>
      <c r="C184" s="13" t="s">
        <v>416</v>
      </c>
      <c r="D184" s="48">
        <f>D194</f>
        <v>0</v>
      </c>
      <c r="E184" s="48">
        <f t="shared" ref="E184:O184" si="47">E194</f>
        <v>0</v>
      </c>
      <c r="F184" s="48">
        <f t="shared" si="47"/>
        <v>0</v>
      </c>
      <c r="G184" s="48">
        <f t="shared" si="47"/>
        <v>0</v>
      </c>
      <c r="H184" s="48">
        <f t="shared" si="47"/>
        <v>0</v>
      </c>
      <c r="I184" s="48">
        <f t="shared" si="47"/>
        <v>24163891.340000004</v>
      </c>
      <c r="J184" s="48">
        <f t="shared" si="47"/>
        <v>0</v>
      </c>
      <c r="K184" s="48">
        <f t="shared" si="47"/>
        <v>0</v>
      </c>
      <c r="L184" s="48">
        <f t="shared" si="47"/>
        <v>0</v>
      </c>
      <c r="M184" s="48">
        <f t="shared" si="47"/>
        <v>24163891.340000004</v>
      </c>
      <c r="N184" s="48">
        <f t="shared" si="47"/>
        <v>21583528.289999999</v>
      </c>
      <c r="O184" s="48">
        <f t="shared" si="47"/>
        <v>24163891.340000004</v>
      </c>
      <c r="P184" s="266"/>
      <c r="Q184" s="179"/>
      <c r="R184" s="179"/>
      <c r="S184" s="179"/>
      <c r="T184" s="179"/>
      <c r="U184" s="179"/>
      <c r="V184" s="179"/>
      <c r="W184" s="179"/>
      <c r="X184" s="179"/>
      <c r="Y184" s="179"/>
      <c r="Z184" s="179"/>
      <c r="AA184" s="179"/>
      <c r="AB184" s="179"/>
      <c r="AC184" s="179"/>
      <c r="AD184" s="179"/>
      <c r="AE184" s="179"/>
      <c r="AF184" s="179"/>
      <c r="AG184" s="179"/>
      <c r="AH184" s="179"/>
      <c r="AI184" s="179"/>
    </row>
    <row r="185" spans="1:35" ht="32.25" customHeight="1" x14ac:dyDescent="0.25">
      <c r="A185" s="26" t="s">
        <v>425</v>
      </c>
      <c r="B185" s="26" t="s">
        <v>166</v>
      </c>
      <c r="C185" s="13" t="s">
        <v>438</v>
      </c>
      <c r="D185" s="47">
        <f>'дод 3'!E251+'дод 3'!E277</f>
        <v>0</v>
      </c>
      <c r="E185" s="47">
        <f>'дод 3'!F251+'дод 3'!F277</f>
        <v>0</v>
      </c>
      <c r="F185" s="47">
        <f>'дод 3'!G251+'дод 3'!G277</f>
        <v>0</v>
      </c>
      <c r="G185" s="47">
        <f>'дод 3'!H251+'дод 3'!H277</f>
        <v>0</v>
      </c>
      <c r="H185" s="47">
        <f>'дод 3'!I251+'дод 3'!I277</f>
        <v>0</v>
      </c>
      <c r="I185" s="47">
        <f>'дод 3'!J251+'дод 3'!J277</f>
        <v>35027839.129999995</v>
      </c>
      <c r="J185" s="47">
        <f>'дод 3'!K251+'дод 3'!K277</f>
        <v>0</v>
      </c>
      <c r="K185" s="47">
        <f>'дод 3'!L251+'дод 3'!L277</f>
        <v>0</v>
      </c>
      <c r="L185" s="47">
        <f>'дод 3'!M251+'дод 3'!M277</f>
        <v>0</v>
      </c>
      <c r="M185" s="47">
        <f>'дод 3'!N251+'дод 3'!N277</f>
        <v>35027839.129999995</v>
      </c>
      <c r="N185" s="47">
        <f>'дод 3'!O251+'дод 3'!O277</f>
        <v>35027839.129999995</v>
      </c>
      <c r="O185" s="47">
        <f>'дод 3'!P251+'дод 3'!P277</f>
        <v>35027839.129999995</v>
      </c>
      <c r="P185" s="266"/>
      <c r="Q185" s="175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75"/>
      <c r="AE185" s="175"/>
      <c r="AF185" s="175"/>
      <c r="AG185" s="175"/>
      <c r="AH185" s="175"/>
      <c r="AI185" s="175"/>
    </row>
    <row r="186" spans="1:35" ht="32.25" customHeight="1" x14ac:dyDescent="0.25">
      <c r="A186" s="26" t="s">
        <v>430</v>
      </c>
      <c r="B186" s="26"/>
      <c r="C186" s="13" t="s">
        <v>440</v>
      </c>
      <c r="D186" s="47">
        <f>D187+D188+D189</f>
        <v>0</v>
      </c>
      <c r="E186" s="47">
        <f t="shared" ref="E186:O186" si="48">E187+E188+E189</f>
        <v>0</v>
      </c>
      <c r="F186" s="47">
        <f t="shared" si="48"/>
        <v>0</v>
      </c>
      <c r="G186" s="47">
        <f t="shared" si="48"/>
        <v>0</v>
      </c>
      <c r="H186" s="47">
        <f t="shared" si="48"/>
        <v>0</v>
      </c>
      <c r="I186" s="47">
        <f t="shared" si="48"/>
        <v>16411932</v>
      </c>
      <c r="J186" s="47">
        <f t="shared" si="48"/>
        <v>0</v>
      </c>
      <c r="K186" s="47">
        <f t="shared" si="48"/>
        <v>0</v>
      </c>
      <c r="L186" s="47">
        <f t="shared" si="48"/>
        <v>0</v>
      </c>
      <c r="M186" s="47">
        <f t="shared" si="48"/>
        <v>16411932</v>
      </c>
      <c r="N186" s="47">
        <f t="shared" si="48"/>
        <v>16411932</v>
      </c>
      <c r="O186" s="47">
        <f t="shared" si="48"/>
        <v>16411932</v>
      </c>
      <c r="P186" s="266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5"/>
      <c r="AH186" s="175"/>
      <c r="AI186" s="175"/>
    </row>
    <row r="187" spans="1:35" s="8" customFormat="1" ht="32.25" customHeight="1" x14ac:dyDescent="0.25">
      <c r="A187" s="27" t="s">
        <v>432</v>
      </c>
      <c r="B187" s="27" t="s">
        <v>166</v>
      </c>
      <c r="C187" s="14" t="s">
        <v>441</v>
      </c>
      <c r="D187" s="49">
        <f>'дод 3'!E279</f>
        <v>0</v>
      </c>
      <c r="E187" s="49">
        <f>'дод 3'!F279</f>
        <v>0</v>
      </c>
      <c r="F187" s="49">
        <f>'дод 3'!G279</f>
        <v>0</v>
      </c>
      <c r="G187" s="49">
        <f>'дод 3'!H279</f>
        <v>0</v>
      </c>
      <c r="H187" s="49">
        <f>'дод 3'!I279</f>
        <v>0</v>
      </c>
      <c r="I187" s="49">
        <f>'дод 3'!J279</f>
        <v>6670932</v>
      </c>
      <c r="J187" s="49">
        <f>'дод 3'!K279</f>
        <v>0</v>
      </c>
      <c r="K187" s="49">
        <f>'дод 3'!L279</f>
        <v>0</v>
      </c>
      <c r="L187" s="49">
        <f>'дод 3'!M279</f>
        <v>0</v>
      </c>
      <c r="M187" s="49">
        <f>'дод 3'!N279</f>
        <v>6670932</v>
      </c>
      <c r="N187" s="49">
        <f>'дод 3'!O279</f>
        <v>6670932</v>
      </c>
      <c r="O187" s="49">
        <f>'дод 3'!P279</f>
        <v>6670932</v>
      </c>
      <c r="P187" s="26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  <c r="AC187" s="176"/>
      <c r="AD187" s="176"/>
      <c r="AE187" s="176"/>
      <c r="AF187" s="176"/>
      <c r="AG187" s="176"/>
      <c r="AH187" s="176"/>
      <c r="AI187" s="176"/>
    </row>
    <row r="188" spans="1:35" s="8" customFormat="1" ht="32.25" customHeight="1" x14ac:dyDescent="0.25">
      <c r="A188" s="27" t="s">
        <v>434</v>
      </c>
      <c r="B188" s="27" t="s">
        <v>166</v>
      </c>
      <c r="C188" s="14" t="s">
        <v>443</v>
      </c>
      <c r="D188" s="49">
        <f>'дод 3'!E280</f>
        <v>0</v>
      </c>
      <c r="E188" s="49">
        <f>'дод 3'!F280</f>
        <v>0</v>
      </c>
      <c r="F188" s="49">
        <f>'дод 3'!G280</f>
        <v>0</v>
      </c>
      <c r="G188" s="49">
        <f>'дод 3'!H280</f>
        <v>0</v>
      </c>
      <c r="H188" s="49">
        <f>'дод 3'!I280</f>
        <v>0</v>
      </c>
      <c r="I188" s="49">
        <f>'дод 3'!J280</f>
        <v>4980000</v>
      </c>
      <c r="J188" s="49">
        <f>'дод 3'!K280</f>
        <v>0</v>
      </c>
      <c r="K188" s="49">
        <f>'дод 3'!L280</f>
        <v>0</v>
      </c>
      <c r="L188" s="49">
        <f>'дод 3'!M280</f>
        <v>0</v>
      </c>
      <c r="M188" s="49">
        <f>'дод 3'!N280</f>
        <v>4980000</v>
      </c>
      <c r="N188" s="49">
        <f>'дод 3'!O280</f>
        <v>4980000</v>
      </c>
      <c r="O188" s="49">
        <f>'дод 3'!P280</f>
        <v>4980000</v>
      </c>
      <c r="P188" s="26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76"/>
      <c r="AD188" s="176"/>
      <c r="AE188" s="176"/>
      <c r="AF188" s="176"/>
      <c r="AG188" s="176"/>
      <c r="AH188" s="176"/>
      <c r="AI188" s="176"/>
    </row>
    <row r="189" spans="1:35" s="8" customFormat="1" ht="32.25" customHeight="1" x14ac:dyDescent="0.25">
      <c r="A189" s="27" t="s">
        <v>436</v>
      </c>
      <c r="B189" s="27" t="s">
        <v>166</v>
      </c>
      <c r="C189" s="14" t="s">
        <v>442</v>
      </c>
      <c r="D189" s="49">
        <f>'дод 3'!E281</f>
        <v>0</v>
      </c>
      <c r="E189" s="49">
        <f>'дод 3'!F281</f>
        <v>0</v>
      </c>
      <c r="F189" s="49">
        <f>'дод 3'!G281</f>
        <v>0</v>
      </c>
      <c r="G189" s="49">
        <f>'дод 3'!H281</f>
        <v>0</v>
      </c>
      <c r="H189" s="49">
        <f>'дод 3'!I281</f>
        <v>0</v>
      </c>
      <c r="I189" s="49">
        <f>'дод 3'!J281</f>
        <v>4761000</v>
      </c>
      <c r="J189" s="49">
        <f>'дод 3'!K281</f>
        <v>0</v>
      </c>
      <c r="K189" s="49">
        <f>'дод 3'!L281</f>
        <v>0</v>
      </c>
      <c r="L189" s="49">
        <f>'дод 3'!M281</f>
        <v>0</v>
      </c>
      <c r="M189" s="49">
        <f>'дод 3'!N281</f>
        <v>4761000</v>
      </c>
      <c r="N189" s="49">
        <f>'дод 3'!O281</f>
        <v>4761000</v>
      </c>
      <c r="O189" s="49">
        <f>'дод 3'!P281</f>
        <v>4761000</v>
      </c>
      <c r="P189" s="26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  <c r="AC189" s="176"/>
      <c r="AD189" s="176"/>
      <c r="AE189" s="176"/>
      <c r="AF189" s="176"/>
      <c r="AG189" s="176"/>
      <c r="AH189" s="176"/>
      <c r="AI189" s="176"/>
    </row>
    <row r="190" spans="1:35" ht="32.25" customHeight="1" x14ac:dyDescent="0.25">
      <c r="A190" s="26" t="s">
        <v>427</v>
      </c>
      <c r="B190" s="26" t="s">
        <v>166</v>
      </c>
      <c r="C190" s="13" t="s">
        <v>439</v>
      </c>
      <c r="D190" s="47">
        <f>'дод 3'!E252+'дод 3'!E282</f>
        <v>0</v>
      </c>
      <c r="E190" s="47">
        <f>'дод 3'!F252+'дод 3'!F282</f>
        <v>0</v>
      </c>
      <c r="F190" s="47">
        <f>'дод 3'!G252+'дод 3'!G282</f>
        <v>0</v>
      </c>
      <c r="G190" s="47">
        <f>'дод 3'!H252+'дод 3'!H282</f>
        <v>0</v>
      </c>
      <c r="H190" s="47">
        <f>'дод 3'!I252+'дод 3'!I282</f>
        <v>0</v>
      </c>
      <c r="I190" s="47">
        <f>'дод 3'!J252+'дод 3'!J282</f>
        <v>49643274</v>
      </c>
      <c r="J190" s="47">
        <f>'дод 3'!K252+'дод 3'!K282</f>
        <v>0</v>
      </c>
      <c r="K190" s="47">
        <f>'дод 3'!L252+'дод 3'!L282</f>
        <v>0</v>
      </c>
      <c r="L190" s="47">
        <f>'дод 3'!M252+'дод 3'!M282</f>
        <v>0</v>
      </c>
      <c r="M190" s="47">
        <f>'дод 3'!N252+'дод 3'!N282</f>
        <v>49643274</v>
      </c>
      <c r="N190" s="47">
        <f>'дод 3'!O252+'дод 3'!O282</f>
        <v>49643274</v>
      </c>
      <c r="O190" s="47">
        <f>'дод 3'!P252+'дод 3'!P282</f>
        <v>49643274</v>
      </c>
      <c r="P190" s="266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</row>
    <row r="191" spans="1:35" ht="35.25" customHeight="1" x14ac:dyDescent="0.25">
      <c r="A191" s="5" t="s">
        <v>219</v>
      </c>
      <c r="B191" s="5" t="s">
        <v>166</v>
      </c>
      <c r="C191" s="13" t="s">
        <v>1</v>
      </c>
      <c r="D191" s="47">
        <f>'дод 3'!E253+'дод 3'!E283</f>
        <v>0</v>
      </c>
      <c r="E191" s="47">
        <f>'дод 3'!F253+'дод 3'!F283</f>
        <v>0</v>
      </c>
      <c r="F191" s="47">
        <f>'дод 3'!G253+'дод 3'!G283</f>
        <v>0</v>
      </c>
      <c r="G191" s="47">
        <f>'дод 3'!H253+'дод 3'!H283</f>
        <v>0</v>
      </c>
      <c r="H191" s="47">
        <f>'дод 3'!I253+'дод 3'!I283</f>
        <v>0</v>
      </c>
      <c r="I191" s="47">
        <f>'дод 3'!J253+'дод 3'!J283</f>
        <v>4453802</v>
      </c>
      <c r="J191" s="47">
        <f>'дод 3'!K253+'дод 3'!K283</f>
        <v>0</v>
      </c>
      <c r="K191" s="47">
        <f>'дод 3'!L253+'дод 3'!L283</f>
        <v>0</v>
      </c>
      <c r="L191" s="47">
        <f>'дод 3'!M253+'дод 3'!M283</f>
        <v>0</v>
      </c>
      <c r="M191" s="47">
        <f>'дод 3'!N253+'дод 3'!N283</f>
        <v>4453802</v>
      </c>
      <c r="N191" s="47">
        <f>'дод 3'!O253+'дод 3'!O283</f>
        <v>4453802</v>
      </c>
      <c r="O191" s="47">
        <f>'дод 3'!P253+'дод 3'!P283</f>
        <v>4453802</v>
      </c>
      <c r="P191" s="266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</row>
    <row r="192" spans="1:35" ht="35.25" customHeight="1" x14ac:dyDescent="0.25">
      <c r="A192" s="5" t="s">
        <v>633</v>
      </c>
      <c r="B192" s="5" t="s">
        <v>166</v>
      </c>
      <c r="C192" s="13" t="s">
        <v>634</v>
      </c>
      <c r="D192" s="47">
        <f>'дод 3'!E301</f>
        <v>0</v>
      </c>
      <c r="E192" s="47">
        <f>'дод 3'!F301</f>
        <v>0</v>
      </c>
      <c r="F192" s="47">
        <f>'дод 3'!G301</f>
        <v>0</v>
      </c>
      <c r="G192" s="47">
        <f>'дод 3'!H301</f>
        <v>0</v>
      </c>
      <c r="H192" s="47">
        <f>'дод 3'!I301</f>
        <v>0</v>
      </c>
      <c r="I192" s="47">
        <f>'дод 3'!J301</f>
        <v>140000</v>
      </c>
      <c r="J192" s="47">
        <f>'дод 3'!K301</f>
        <v>0</v>
      </c>
      <c r="K192" s="47">
        <f>'дод 3'!L301</f>
        <v>0</v>
      </c>
      <c r="L192" s="47">
        <f>'дод 3'!M301</f>
        <v>0</v>
      </c>
      <c r="M192" s="47">
        <f>'дод 3'!N301</f>
        <v>140000</v>
      </c>
      <c r="N192" s="47">
        <f>'дод 3'!O301</f>
        <v>140000</v>
      </c>
      <c r="O192" s="47">
        <f>'дод 3'!P301</f>
        <v>140000</v>
      </c>
      <c r="P192" s="266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</row>
    <row r="193" spans="1:35" ht="30" customHeight="1" x14ac:dyDescent="0.25">
      <c r="A193" s="5" t="s">
        <v>598</v>
      </c>
      <c r="B193" s="5"/>
      <c r="C193" s="13" t="s">
        <v>600</v>
      </c>
      <c r="D193" s="47">
        <f>D196+D195</f>
        <v>0</v>
      </c>
      <c r="E193" s="47">
        <f t="shared" ref="E193:O193" si="49">E196+E195</f>
        <v>0</v>
      </c>
      <c r="F193" s="47">
        <f t="shared" si="49"/>
        <v>0</v>
      </c>
      <c r="G193" s="47">
        <f t="shared" si="49"/>
        <v>0</v>
      </c>
      <c r="H193" s="47">
        <f t="shared" si="49"/>
        <v>0</v>
      </c>
      <c r="I193" s="47">
        <f t="shared" si="49"/>
        <v>32139461.880000003</v>
      </c>
      <c r="J193" s="47">
        <f t="shared" si="49"/>
        <v>0</v>
      </c>
      <c r="K193" s="47">
        <f t="shared" si="49"/>
        <v>0</v>
      </c>
      <c r="L193" s="47">
        <f t="shared" si="49"/>
        <v>0</v>
      </c>
      <c r="M193" s="47">
        <f t="shared" si="49"/>
        <v>32139461.880000003</v>
      </c>
      <c r="N193" s="47">
        <f t="shared" si="49"/>
        <v>29559098.829999998</v>
      </c>
      <c r="O193" s="47">
        <f t="shared" si="49"/>
        <v>32139461.880000003</v>
      </c>
      <c r="P193" s="266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</row>
    <row r="194" spans="1:35" ht="24.75" customHeight="1" x14ac:dyDescent="0.25">
      <c r="B194" s="5"/>
      <c r="C194" s="13" t="s">
        <v>416</v>
      </c>
      <c r="D194" s="47">
        <f>D197</f>
        <v>0</v>
      </c>
      <c r="E194" s="47">
        <f t="shared" ref="E194:O194" si="50">E197</f>
        <v>0</v>
      </c>
      <c r="F194" s="47">
        <f t="shared" si="50"/>
        <v>0</v>
      </c>
      <c r="G194" s="47">
        <f t="shared" si="50"/>
        <v>0</v>
      </c>
      <c r="H194" s="47">
        <f t="shared" si="50"/>
        <v>0</v>
      </c>
      <c r="I194" s="47">
        <f t="shared" si="50"/>
        <v>24163891.340000004</v>
      </c>
      <c r="J194" s="47">
        <f t="shared" si="50"/>
        <v>0</v>
      </c>
      <c r="K194" s="47">
        <f t="shared" si="50"/>
        <v>0</v>
      </c>
      <c r="L194" s="47">
        <f t="shared" si="50"/>
        <v>0</v>
      </c>
      <c r="M194" s="47">
        <f t="shared" si="50"/>
        <v>24163891.340000004</v>
      </c>
      <c r="N194" s="47">
        <f t="shared" si="50"/>
        <v>21583528.289999999</v>
      </c>
      <c r="O194" s="47">
        <f t="shared" si="50"/>
        <v>24163891.340000004</v>
      </c>
      <c r="P194" s="266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</row>
    <row r="195" spans="1:35" s="8" customFormat="1" ht="54.75" customHeight="1" x14ac:dyDescent="0.25">
      <c r="A195" s="7" t="s">
        <v>625</v>
      </c>
      <c r="B195" s="7" t="s">
        <v>126</v>
      </c>
      <c r="C195" s="14" t="s">
        <v>626</v>
      </c>
      <c r="D195" s="49">
        <f>'дод 3'!E256</f>
        <v>0</v>
      </c>
      <c r="E195" s="49">
        <f>'дод 3'!F256</f>
        <v>0</v>
      </c>
      <c r="F195" s="49">
        <f>'дод 3'!G256</f>
        <v>0</v>
      </c>
      <c r="G195" s="49">
        <f>'дод 3'!H256</f>
        <v>0</v>
      </c>
      <c r="H195" s="49">
        <f>'дод 3'!I256</f>
        <v>0</v>
      </c>
      <c r="I195" s="49">
        <f>'дод 3'!J256</f>
        <v>426739</v>
      </c>
      <c r="J195" s="49">
        <f>'дод 3'!K256</f>
        <v>0</v>
      </c>
      <c r="K195" s="49">
        <f>'дод 3'!L256</f>
        <v>0</v>
      </c>
      <c r="L195" s="49">
        <f>'дод 3'!M256</f>
        <v>0</v>
      </c>
      <c r="M195" s="49">
        <f>'дод 3'!N256</f>
        <v>426739</v>
      </c>
      <c r="N195" s="49">
        <f>'дод 3'!O256</f>
        <v>426739</v>
      </c>
      <c r="O195" s="49">
        <f>'дод 3'!P256</f>
        <v>426739</v>
      </c>
      <c r="P195" s="26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6"/>
      <c r="AC195" s="176"/>
      <c r="AD195" s="176"/>
      <c r="AE195" s="176"/>
      <c r="AF195" s="176"/>
      <c r="AG195" s="176"/>
      <c r="AH195" s="176"/>
      <c r="AI195" s="176"/>
    </row>
    <row r="196" spans="1:35" s="8" customFormat="1" ht="48.75" customHeight="1" x14ac:dyDescent="0.25">
      <c r="A196" s="7" t="s">
        <v>599</v>
      </c>
      <c r="B196" s="7" t="s">
        <v>126</v>
      </c>
      <c r="C196" s="14" t="s">
        <v>601</v>
      </c>
      <c r="D196" s="49">
        <f>'дод 3'!E88+'дод 3'!E125+'дод 3'!E257+'дод 3'!E286</f>
        <v>0</v>
      </c>
      <c r="E196" s="49">
        <f>'дод 3'!F88+'дод 3'!F125+'дод 3'!F257+'дод 3'!F286</f>
        <v>0</v>
      </c>
      <c r="F196" s="49">
        <f>'дод 3'!G88+'дод 3'!G125+'дод 3'!G257+'дод 3'!G286</f>
        <v>0</v>
      </c>
      <c r="G196" s="49">
        <f>'дод 3'!H88+'дод 3'!H125+'дод 3'!H257+'дод 3'!H286</f>
        <v>0</v>
      </c>
      <c r="H196" s="49">
        <f>'дод 3'!I88+'дод 3'!I125+'дод 3'!I257+'дод 3'!I286</f>
        <v>0</v>
      </c>
      <c r="I196" s="49">
        <f>'дод 3'!J88+'дод 3'!J125+'дод 3'!J257+'дод 3'!J286+'дод 3'!J227</f>
        <v>31712722.880000003</v>
      </c>
      <c r="J196" s="49">
        <f>'дод 3'!K88+'дод 3'!K125+'дод 3'!K257+'дод 3'!K286</f>
        <v>0</v>
      </c>
      <c r="K196" s="49">
        <f>'дод 3'!L88+'дод 3'!L125+'дод 3'!L257+'дод 3'!L286</f>
        <v>0</v>
      </c>
      <c r="L196" s="49">
        <f>'дод 3'!M88+'дод 3'!M125+'дод 3'!M257+'дод 3'!M286</f>
        <v>0</v>
      </c>
      <c r="M196" s="49">
        <f>'дод 3'!N88+'дод 3'!N125+'дод 3'!N257+'дод 3'!N286+'дод 3'!N227</f>
        <v>31712722.880000003</v>
      </c>
      <c r="N196" s="49">
        <f>'дод 3'!O88+'дод 3'!O125+'дод 3'!O257+'дод 3'!O286+'дод 3'!O227</f>
        <v>29132359.829999998</v>
      </c>
      <c r="O196" s="49">
        <f>'дод 3'!P88+'дод 3'!P125+'дод 3'!P257+'дод 3'!P286+'дод 3'!P227</f>
        <v>31712722.880000003</v>
      </c>
      <c r="P196" s="26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  <c r="AC196" s="176"/>
      <c r="AD196" s="176"/>
      <c r="AE196" s="176"/>
      <c r="AF196" s="176"/>
      <c r="AG196" s="176"/>
      <c r="AH196" s="176"/>
      <c r="AI196" s="176"/>
    </row>
    <row r="197" spans="1:35" s="8" customFormat="1" ht="27" customHeight="1" x14ac:dyDescent="0.25">
      <c r="A197" s="7"/>
      <c r="B197" s="7"/>
      <c r="C197" s="14" t="s">
        <v>416</v>
      </c>
      <c r="D197" s="49">
        <f>'дод 3'!E89+'дод 3'!E126+'дод 3'!E258+'дод 3'!E287</f>
        <v>0</v>
      </c>
      <c r="E197" s="49">
        <f>'дод 3'!F89+'дод 3'!F126+'дод 3'!F258+'дод 3'!F287</f>
        <v>0</v>
      </c>
      <c r="F197" s="49">
        <f>'дод 3'!G89+'дод 3'!G126+'дод 3'!G258+'дод 3'!G287</f>
        <v>0</v>
      </c>
      <c r="G197" s="49">
        <f>'дод 3'!H89+'дод 3'!H126+'дод 3'!H258+'дод 3'!H287</f>
        <v>0</v>
      </c>
      <c r="H197" s="49">
        <f>'дод 3'!I89+'дод 3'!I126+'дод 3'!I258+'дод 3'!I287</f>
        <v>0</v>
      </c>
      <c r="I197" s="49">
        <f>'дод 3'!J89+'дод 3'!J126+'дод 3'!J258+'дод 3'!J287+'дод 3'!J230</f>
        <v>24163891.340000004</v>
      </c>
      <c r="J197" s="49">
        <f>'дод 3'!K89+'дод 3'!K126+'дод 3'!K258+'дод 3'!K287+'дод 3'!K230</f>
        <v>0</v>
      </c>
      <c r="K197" s="49">
        <f>'дод 3'!L89+'дод 3'!L126+'дод 3'!L258+'дод 3'!L287+'дод 3'!L230</f>
        <v>0</v>
      </c>
      <c r="L197" s="49">
        <f>'дод 3'!M89+'дод 3'!M126+'дод 3'!M258+'дод 3'!M287+'дод 3'!M230</f>
        <v>0</v>
      </c>
      <c r="M197" s="49">
        <f>'дод 3'!N89+'дод 3'!N126+'дод 3'!N258+'дод 3'!N287+'дод 3'!N230</f>
        <v>24163891.340000004</v>
      </c>
      <c r="N197" s="49">
        <f>'дод 3'!O89+'дод 3'!O126+'дод 3'!O258+'дод 3'!O287+'дод 3'!O230</f>
        <v>21583528.289999999</v>
      </c>
      <c r="O197" s="49">
        <f>'дод 3'!P89+'дод 3'!P126+'дод 3'!P258+'дод 3'!P287+'дод 3'!P230</f>
        <v>24163891.340000004</v>
      </c>
      <c r="P197" s="26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  <c r="AC197" s="176"/>
      <c r="AD197" s="176"/>
      <c r="AE197" s="176"/>
      <c r="AF197" s="176"/>
      <c r="AG197" s="176"/>
      <c r="AH197" s="176"/>
      <c r="AI197" s="176"/>
    </row>
    <row r="198" spans="1:35" s="21" customFormat="1" ht="39.75" customHeight="1" x14ac:dyDescent="0.25">
      <c r="A198" s="22" t="s">
        <v>130</v>
      </c>
      <c r="B198" s="11"/>
      <c r="C198" s="11" t="s">
        <v>2</v>
      </c>
      <c r="D198" s="48">
        <f>D200+D202+D207+D205+D208</f>
        <v>31667436</v>
      </c>
      <c r="E198" s="48">
        <f>E200+E202+E207+E205+E208</f>
        <v>649800</v>
      </c>
      <c r="F198" s="48">
        <f>F200+F202+F207+F205</f>
        <v>0</v>
      </c>
      <c r="G198" s="48">
        <f>G200+G202+G207+G205</f>
        <v>0</v>
      </c>
      <c r="H198" s="48">
        <f>H200+H202+H207+H205+H208</f>
        <v>31017636</v>
      </c>
      <c r="I198" s="48">
        <f>I200+I202+I207+I205+I208</f>
        <v>41973389.140000001</v>
      </c>
      <c r="J198" s="48">
        <f>J200+J202+J207+J205+J208</f>
        <v>11900000</v>
      </c>
      <c r="K198" s="48">
        <f>K200+K202+K207+K205</f>
        <v>0</v>
      </c>
      <c r="L198" s="48">
        <f>L200+L202+L207+L205</f>
        <v>0</v>
      </c>
      <c r="M198" s="48">
        <f>M200+M202+M207+M205+M208</f>
        <v>30073389.140000001</v>
      </c>
      <c r="N198" s="48">
        <f>N200+N202+N207+N205+N208</f>
        <v>0</v>
      </c>
      <c r="O198" s="48">
        <f>O200+O202+O207+O205+O208</f>
        <v>73640825.140000001</v>
      </c>
      <c r="P198" s="266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  <c r="AA198" s="179"/>
      <c r="AB198" s="179"/>
      <c r="AC198" s="179"/>
      <c r="AD198" s="179"/>
      <c r="AE198" s="179"/>
      <c r="AF198" s="179"/>
      <c r="AG198" s="179"/>
      <c r="AH198" s="179"/>
      <c r="AI198" s="179"/>
    </row>
    <row r="199" spans="1:35" s="28" customFormat="1" ht="21" customHeight="1" x14ac:dyDescent="0.25">
      <c r="A199" s="226"/>
      <c r="B199" s="211"/>
      <c r="C199" s="211" t="s">
        <v>416</v>
      </c>
      <c r="D199" s="227">
        <f>D209</f>
        <v>0</v>
      </c>
      <c r="E199" s="227">
        <f t="shared" ref="E199:O199" si="51">E209</f>
        <v>0</v>
      </c>
      <c r="F199" s="227">
        <f t="shared" si="51"/>
        <v>0</v>
      </c>
      <c r="G199" s="227">
        <f t="shared" si="51"/>
        <v>0</v>
      </c>
      <c r="H199" s="227">
        <f t="shared" si="51"/>
        <v>0</v>
      </c>
      <c r="I199" s="227">
        <f t="shared" si="51"/>
        <v>41900000</v>
      </c>
      <c r="J199" s="227">
        <f t="shared" si="51"/>
        <v>11900000</v>
      </c>
      <c r="K199" s="227">
        <f t="shared" si="51"/>
        <v>0</v>
      </c>
      <c r="L199" s="227">
        <f t="shared" si="51"/>
        <v>0</v>
      </c>
      <c r="M199" s="227">
        <f t="shared" si="51"/>
        <v>30000000</v>
      </c>
      <c r="N199" s="227">
        <f t="shared" si="51"/>
        <v>0</v>
      </c>
      <c r="O199" s="227">
        <f t="shared" si="51"/>
        <v>41900000</v>
      </c>
      <c r="P199" s="266"/>
      <c r="Q199" s="228"/>
      <c r="R199" s="228"/>
      <c r="S199" s="228"/>
      <c r="T199" s="228"/>
      <c r="U199" s="228"/>
      <c r="V199" s="228"/>
      <c r="W199" s="228"/>
      <c r="X199" s="228"/>
      <c r="Y199" s="228"/>
      <c r="Z199" s="228"/>
      <c r="AA199" s="228"/>
      <c r="AB199" s="228"/>
      <c r="AC199" s="228"/>
      <c r="AD199" s="228"/>
      <c r="AE199" s="228"/>
      <c r="AF199" s="228"/>
      <c r="AG199" s="228"/>
      <c r="AH199" s="228"/>
      <c r="AI199" s="228"/>
    </row>
    <row r="200" spans="1:35" ht="39.75" customHeight="1" x14ac:dyDescent="0.25">
      <c r="A200" s="5" t="s">
        <v>131</v>
      </c>
      <c r="B200" s="13"/>
      <c r="C200" s="13" t="s">
        <v>4</v>
      </c>
      <c r="D200" s="47">
        <f t="shared" ref="D200:O200" si="52">D201</f>
        <v>7497000</v>
      </c>
      <c r="E200" s="47">
        <f t="shared" si="52"/>
        <v>0</v>
      </c>
      <c r="F200" s="47">
        <f t="shared" si="52"/>
        <v>0</v>
      </c>
      <c r="G200" s="47">
        <f t="shared" si="52"/>
        <v>0</v>
      </c>
      <c r="H200" s="47">
        <f t="shared" si="52"/>
        <v>7497000</v>
      </c>
      <c r="I200" s="47">
        <f t="shared" si="52"/>
        <v>0</v>
      </c>
      <c r="J200" s="47">
        <f t="shared" si="52"/>
        <v>0</v>
      </c>
      <c r="K200" s="47">
        <f t="shared" si="52"/>
        <v>0</v>
      </c>
      <c r="L200" s="47">
        <f t="shared" si="52"/>
        <v>0</v>
      </c>
      <c r="M200" s="47">
        <f t="shared" si="52"/>
        <v>0</v>
      </c>
      <c r="N200" s="47">
        <f t="shared" si="52"/>
        <v>0</v>
      </c>
      <c r="O200" s="47">
        <f t="shared" si="52"/>
        <v>7497000</v>
      </c>
      <c r="P200" s="266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</row>
    <row r="201" spans="1:35" s="8" customFormat="1" ht="39.75" customHeight="1" x14ac:dyDescent="0.25">
      <c r="A201" s="7" t="s">
        <v>5</v>
      </c>
      <c r="B201" s="7" t="s">
        <v>128</v>
      </c>
      <c r="C201" s="14" t="s">
        <v>68</v>
      </c>
      <c r="D201" s="49">
        <f>'дод 3'!E40</f>
        <v>7497000</v>
      </c>
      <c r="E201" s="49">
        <f>'дод 3'!F40</f>
        <v>0</v>
      </c>
      <c r="F201" s="49">
        <f>'дод 3'!G40</f>
        <v>0</v>
      </c>
      <c r="G201" s="49">
        <f>'дод 3'!H40</f>
        <v>0</v>
      </c>
      <c r="H201" s="49">
        <f>'дод 3'!I40</f>
        <v>7497000</v>
      </c>
      <c r="I201" s="49">
        <f>'дод 3'!J40</f>
        <v>0</v>
      </c>
      <c r="J201" s="49">
        <f>'дод 3'!K40</f>
        <v>0</v>
      </c>
      <c r="K201" s="49">
        <f>'дод 3'!L40</f>
        <v>0</v>
      </c>
      <c r="L201" s="49">
        <f>'дод 3'!M40</f>
        <v>0</v>
      </c>
      <c r="M201" s="49">
        <f>'дод 3'!N40</f>
        <v>0</v>
      </c>
      <c r="N201" s="49">
        <f>'дод 3'!O40</f>
        <v>0</v>
      </c>
      <c r="O201" s="49">
        <f>'дод 3'!P40</f>
        <v>7497000</v>
      </c>
      <c r="P201" s="26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6"/>
      <c r="AC201" s="176"/>
      <c r="AD201" s="176"/>
      <c r="AE201" s="176"/>
      <c r="AF201" s="176"/>
      <c r="AG201" s="176"/>
      <c r="AH201" s="176"/>
      <c r="AI201" s="176"/>
    </row>
    <row r="202" spans="1:35" ht="36" customHeight="1" x14ac:dyDescent="0.25">
      <c r="A202" s="5" t="s">
        <v>7</v>
      </c>
      <c r="B202" s="5"/>
      <c r="C202" s="13" t="s">
        <v>8</v>
      </c>
      <c r="D202" s="47">
        <f>D203+D204</f>
        <v>23520636</v>
      </c>
      <c r="E202" s="47">
        <f t="shared" ref="E202:O202" si="53">E203+E204</f>
        <v>0</v>
      </c>
      <c r="F202" s="47">
        <f t="shared" si="53"/>
        <v>0</v>
      </c>
      <c r="G202" s="47">
        <f t="shared" si="53"/>
        <v>0</v>
      </c>
      <c r="H202" s="47">
        <f t="shared" si="53"/>
        <v>23520636</v>
      </c>
      <c r="I202" s="47">
        <f t="shared" si="53"/>
        <v>0</v>
      </c>
      <c r="J202" s="47">
        <f t="shared" si="53"/>
        <v>0</v>
      </c>
      <c r="K202" s="47">
        <f t="shared" si="53"/>
        <v>0</v>
      </c>
      <c r="L202" s="47">
        <f t="shared" si="53"/>
        <v>0</v>
      </c>
      <c r="M202" s="47">
        <f t="shared" si="53"/>
        <v>0</v>
      </c>
      <c r="N202" s="47">
        <f t="shared" si="53"/>
        <v>0</v>
      </c>
      <c r="O202" s="47">
        <f t="shared" si="53"/>
        <v>23520636</v>
      </c>
      <c r="P202" s="266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75"/>
      <c r="AE202" s="175"/>
      <c r="AF202" s="175"/>
      <c r="AG202" s="175"/>
      <c r="AH202" s="175"/>
      <c r="AI202" s="175"/>
    </row>
    <row r="203" spans="1:35" s="8" customFormat="1" ht="39.75" customHeight="1" x14ac:dyDescent="0.25">
      <c r="A203" s="7" t="s">
        <v>6</v>
      </c>
      <c r="B203" s="7" t="s">
        <v>129</v>
      </c>
      <c r="C203" s="14" t="s">
        <v>232</v>
      </c>
      <c r="D203" s="49">
        <f>'дод 3'!E42</f>
        <v>10976000</v>
      </c>
      <c r="E203" s="49">
        <f>'дод 3'!F42</f>
        <v>0</v>
      </c>
      <c r="F203" s="49">
        <f>'дод 3'!G42</f>
        <v>0</v>
      </c>
      <c r="G203" s="49">
        <f>'дод 3'!H42</f>
        <v>0</v>
      </c>
      <c r="H203" s="49">
        <f>'дод 3'!I42</f>
        <v>10976000</v>
      </c>
      <c r="I203" s="49">
        <f>'дод 3'!J42</f>
        <v>0</v>
      </c>
      <c r="J203" s="49">
        <f>'дод 3'!K42</f>
        <v>0</v>
      </c>
      <c r="K203" s="49">
        <f>'дод 3'!L42</f>
        <v>0</v>
      </c>
      <c r="L203" s="49">
        <f>'дод 3'!M42</f>
        <v>0</v>
      </c>
      <c r="M203" s="49">
        <f>'дод 3'!N42</f>
        <v>0</v>
      </c>
      <c r="N203" s="49">
        <f>'дод 3'!O42</f>
        <v>0</v>
      </c>
      <c r="O203" s="49">
        <f>'дод 3'!P42</f>
        <v>10976000</v>
      </c>
      <c r="P203" s="26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6"/>
      <c r="AD203" s="176"/>
      <c r="AE203" s="176"/>
      <c r="AF203" s="176"/>
      <c r="AG203" s="176"/>
      <c r="AH203" s="176"/>
      <c r="AI203" s="176"/>
    </row>
    <row r="204" spans="1:35" s="8" customFormat="1" ht="24" customHeight="1" x14ac:dyDescent="0.25">
      <c r="A204" s="7" t="s">
        <v>9</v>
      </c>
      <c r="B204" s="7" t="s">
        <v>129</v>
      </c>
      <c r="C204" s="14" t="s">
        <v>33</v>
      </c>
      <c r="D204" s="49">
        <f>'дод 3'!E43</f>
        <v>12544636</v>
      </c>
      <c r="E204" s="49">
        <f>'дод 3'!F43</f>
        <v>0</v>
      </c>
      <c r="F204" s="49">
        <f>'дод 3'!G43</f>
        <v>0</v>
      </c>
      <c r="G204" s="49">
        <f>'дод 3'!H43</f>
        <v>0</v>
      </c>
      <c r="H204" s="49">
        <f>'дод 3'!I43</f>
        <v>12544636</v>
      </c>
      <c r="I204" s="49">
        <f>'дод 3'!J43</f>
        <v>0</v>
      </c>
      <c r="J204" s="49">
        <f>'дод 3'!K43</f>
        <v>0</v>
      </c>
      <c r="K204" s="49">
        <f>'дод 3'!L43</f>
        <v>0</v>
      </c>
      <c r="L204" s="49">
        <f>'дод 3'!M43</f>
        <v>0</v>
      </c>
      <c r="M204" s="49">
        <f>'дод 3'!N43</f>
        <v>0</v>
      </c>
      <c r="N204" s="49">
        <f>'дод 3'!O43</f>
        <v>0</v>
      </c>
      <c r="O204" s="49">
        <f>'дод 3'!P43</f>
        <v>12544636</v>
      </c>
      <c r="P204" s="266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  <c r="AA204" s="178"/>
      <c r="AB204" s="178"/>
      <c r="AC204" s="178"/>
      <c r="AD204" s="178"/>
      <c r="AE204" s="178"/>
      <c r="AF204" s="178"/>
      <c r="AG204" s="178"/>
      <c r="AH204" s="178"/>
      <c r="AI204" s="178"/>
    </row>
    <row r="205" spans="1:35" ht="24" customHeight="1" x14ac:dyDescent="0.25">
      <c r="A205" s="5" t="s">
        <v>617</v>
      </c>
      <c r="B205" s="5"/>
      <c r="C205" s="13" t="s">
        <v>618</v>
      </c>
      <c r="D205" s="47">
        <f>D206</f>
        <v>0</v>
      </c>
      <c r="E205" s="47">
        <f t="shared" ref="E205:O205" si="54">E206</f>
        <v>0</v>
      </c>
      <c r="F205" s="47">
        <f t="shared" si="54"/>
        <v>0</v>
      </c>
      <c r="G205" s="47">
        <f t="shared" si="54"/>
        <v>0</v>
      </c>
      <c r="H205" s="47">
        <f t="shared" si="54"/>
        <v>0</v>
      </c>
      <c r="I205" s="47">
        <f t="shared" si="54"/>
        <v>73389.14</v>
      </c>
      <c r="J205" s="47">
        <f t="shared" si="54"/>
        <v>0</v>
      </c>
      <c r="K205" s="47">
        <f t="shared" si="54"/>
        <v>0</v>
      </c>
      <c r="L205" s="47">
        <f t="shared" si="54"/>
        <v>0</v>
      </c>
      <c r="M205" s="47">
        <f t="shared" si="54"/>
        <v>73389.14</v>
      </c>
      <c r="N205" s="47">
        <f t="shared" si="54"/>
        <v>0</v>
      </c>
      <c r="O205" s="47">
        <f t="shared" si="54"/>
        <v>73389.14</v>
      </c>
      <c r="P205" s="266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  <c r="AA205" s="177"/>
      <c r="AB205" s="177"/>
      <c r="AC205" s="177"/>
      <c r="AD205" s="177"/>
      <c r="AE205" s="177"/>
      <c r="AF205" s="177"/>
      <c r="AG205" s="177"/>
      <c r="AH205" s="177"/>
      <c r="AI205" s="177"/>
    </row>
    <row r="206" spans="1:35" s="8" customFormat="1" ht="42.75" customHeight="1" x14ac:dyDescent="0.25">
      <c r="A206" s="7" t="s">
        <v>619</v>
      </c>
      <c r="B206" s="7" t="s">
        <v>493</v>
      </c>
      <c r="C206" s="14" t="s">
        <v>620</v>
      </c>
      <c r="D206" s="49">
        <f>'дод 3'!E289</f>
        <v>0</v>
      </c>
      <c r="E206" s="49">
        <f>'дод 3'!F289</f>
        <v>0</v>
      </c>
      <c r="F206" s="49">
        <f>'дод 3'!G289</f>
        <v>0</v>
      </c>
      <c r="G206" s="49">
        <f>'дод 3'!H289</f>
        <v>0</v>
      </c>
      <c r="H206" s="49">
        <f>'дод 3'!I289</f>
        <v>0</v>
      </c>
      <c r="I206" s="49">
        <f>'дод 3'!J289</f>
        <v>73389.14</v>
      </c>
      <c r="J206" s="49">
        <f>'дод 3'!K289</f>
        <v>0</v>
      </c>
      <c r="K206" s="49">
        <f>'дод 3'!L289</f>
        <v>0</v>
      </c>
      <c r="L206" s="49">
        <f>'дод 3'!M289</f>
        <v>0</v>
      </c>
      <c r="M206" s="49">
        <f>'дод 3'!N289</f>
        <v>73389.14</v>
      </c>
      <c r="N206" s="49">
        <f>'дод 3'!O289</f>
        <v>0</v>
      </c>
      <c r="O206" s="49">
        <f>'дод 3'!P289</f>
        <v>73389.14</v>
      </c>
      <c r="P206" s="266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8"/>
      <c r="AE206" s="178"/>
      <c r="AF206" s="178"/>
      <c r="AG206" s="178"/>
      <c r="AH206" s="178"/>
      <c r="AI206" s="178"/>
    </row>
    <row r="207" spans="1:35" ht="24" customHeight="1" x14ac:dyDescent="0.25">
      <c r="A207" s="5" t="s">
        <v>492</v>
      </c>
      <c r="B207" s="5" t="s">
        <v>493</v>
      </c>
      <c r="C207" s="13" t="s">
        <v>494</v>
      </c>
      <c r="D207" s="47">
        <f>'дод 3'!E44</f>
        <v>649800</v>
      </c>
      <c r="E207" s="47">
        <f>'дод 3'!F44</f>
        <v>649800</v>
      </c>
      <c r="F207" s="47">
        <f>'дод 3'!G44</f>
        <v>0</v>
      </c>
      <c r="G207" s="47">
        <f>'дод 3'!H44</f>
        <v>0</v>
      </c>
      <c r="H207" s="47">
        <f>'дод 3'!I44</f>
        <v>0</v>
      </c>
      <c r="I207" s="47">
        <f>'дод 3'!J44</f>
        <v>0</v>
      </c>
      <c r="J207" s="47">
        <f>'дод 3'!K44</f>
        <v>0</v>
      </c>
      <c r="K207" s="47">
        <f>'дод 3'!L44</f>
        <v>0</v>
      </c>
      <c r="L207" s="47">
        <f>'дод 3'!M44</f>
        <v>0</v>
      </c>
      <c r="M207" s="47">
        <f>'дод 3'!N44</f>
        <v>0</v>
      </c>
      <c r="N207" s="47">
        <f>'дод 3'!O44</f>
        <v>0</v>
      </c>
      <c r="O207" s="47">
        <f>'дод 3'!P44</f>
        <v>649800</v>
      </c>
      <c r="P207" s="266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</row>
    <row r="208" spans="1:35" ht="42.75" customHeight="1" x14ac:dyDescent="0.25">
      <c r="A208" s="5" t="s">
        <v>642</v>
      </c>
      <c r="B208" s="5"/>
      <c r="C208" s="13" t="s">
        <v>643</v>
      </c>
      <c r="D208" s="47">
        <f>D210</f>
        <v>0</v>
      </c>
      <c r="E208" s="47"/>
      <c r="F208" s="47"/>
      <c r="G208" s="47"/>
      <c r="H208" s="47"/>
      <c r="I208" s="47">
        <f t="shared" ref="I208:O209" si="55">I210</f>
        <v>41900000</v>
      </c>
      <c r="J208" s="47">
        <f t="shared" si="55"/>
        <v>11900000</v>
      </c>
      <c r="K208" s="47">
        <f t="shared" si="55"/>
        <v>0</v>
      </c>
      <c r="L208" s="47">
        <f t="shared" si="55"/>
        <v>0</v>
      </c>
      <c r="M208" s="47">
        <f t="shared" si="55"/>
        <v>30000000</v>
      </c>
      <c r="N208" s="47">
        <f t="shared" si="55"/>
        <v>0</v>
      </c>
      <c r="O208" s="47">
        <f t="shared" si="55"/>
        <v>41900000</v>
      </c>
      <c r="P208" s="266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H208" s="175"/>
      <c r="AI208" s="175"/>
    </row>
    <row r="209" spans="1:35" ht="24.75" customHeight="1" x14ac:dyDescent="0.25">
      <c r="B209" s="5"/>
      <c r="C209" s="13" t="s">
        <v>416</v>
      </c>
      <c r="D209" s="47">
        <f>D211</f>
        <v>0</v>
      </c>
      <c r="E209" s="47">
        <f>E211</f>
        <v>0</v>
      </c>
      <c r="F209" s="47">
        <f>F211</f>
        <v>0</v>
      </c>
      <c r="G209" s="47">
        <f>G211</f>
        <v>0</v>
      </c>
      <c r="H209" s="47">
        <f>H211</f>
        <v>0</v>
      </c>
      <c r="I209" s="47">
        <f t="shared" si="55"/>
        <v>41900000</v>
      </c>
      <c r="J209" s="47">
        <f t="shared" si="55"/>
        <v>11900000</v>
      </c>
      <c r="K209" s="47">
        <f t="shared" si="55"/>
        <v>0</v>
      </c>
      <c r="L209" s="47">
        <f t="shared" si="55"/>
        <v>0</v>
      </c>
      <c r="M209" s="47">
        <f t="shared" si="55"/>
        <v>30000000</v>
      </c>
      <c r="N209" s="47">
        <f t="shared" si="55"/>
        <v>0</v>
      </c>
      <c r="O209" s="47">
        <f t="shared" si="55"/>
        <v>41900000</v>
      </c>
      <c r="P209" s="26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6"/>
      <c r="AC209" s="216"/>
      <c r="AD209" s="216"/>
      <c r="AE209" s="216"/>
      <c r="AF209" s="216"/>
      <c r="AG209" s="216"/>
      <c r="AH209" s="216"/>
      <c r="AI209" s="216"/>
    </row>
    <row r="210" spans="1:35" ht="59.25" customHeight="1" x14ac:dyDescent="0.25">
      <c r="A210" s="7" t="s">
        <v>645</v>
      </c>
      <c r="B210" s="7" t="s">
        <v>493</v>
      </c>
      <c r="C210" s="14" t="s">
        <v>646</v>
      </c>
      <c r="D210" s="47">
        <f>'дод 3'!E292</f>
        <v>0</v>
      </c>
      <c r="E210" s="47"/>
      <c r="F210" s="47"/>
      <c r="G210" s="47"/>
      <c r="H210" s="47"/>
      <c r="I210" s="47">
        <f>J210+M210</f>
        <v>41900000</v>
      </c>
      <c r="J210" s="47">
        <f>'дод 3'!K292</f>
        <v>11900000</v>
      </c>
      <c r="K210" s="47"/>
      <c r="L210" s="47"/>
      <c r="M210" s="47">
        <f>'дод 3'!N292</f>
        <v>30000000</v>
      </c>
      <c r="N210" s="47"/>
      <c r="O210" s="47">
        <f>I210+D210</f>
        <v>41900000</v>
      </c>
      <c r="P210" s="266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</row>
    <row r="211" spans="1:35" ht="24" customHeight="1" x14ac:dyDescent="0.25">
      <c r="A211" s="7"/>
      <c r="B211" s="7"/>
      <c r="C211" s="14" t="s">
        <v>416</v>
      </c>
      <c r="D211" s="47">
        <f>'дод 3'!E293</f>
        <v>0</v>
      </c>
      <c r="E211" s="47">
        <f>'дод 3'!F293</f>
        <v>0</v>
      </c>
      <c r="F211" s="47">
        <f>'дод 3'!G293</f>
        <v>0</v>
      </c>
      <c r="G211" s="47">
        <f>'дод 3'!H293</f>
        <v>0</v>
      </c>
      <c r="H211" s="47">
        <f>'дод 3'!I293</f>
        <v>0</v>
      </c>
      <c r="I211" s="47">
        <f>'дод 3'!J293</f>
        <v>41900000</v>
      </c>
      <c r="J211" s="47">
        <f>'дод 3'!K293</f>
        <v>11900000</v>
      </c>
      <c r="K211" s="47">
        <f>'дод 3'!L293</f>
        <v>0</v>
      </c>
      <c r="L211" s="47">
        <f>'дод 3'!M293</f>
        <v>0</v>
      </c>
      <c r="M211" s="47">
        <f>'дод 3'!N293</f>
        <v>30000000</v>
      </c>
      <c r="N211" s="47">
        <f>'дод 3'!O293</f>
        <v>0</v>
      </c>
      <c r="O211" s="47">
        <f>'дод 3'!P293</f>
        <v>41900000</v>
      </c>
      <c r="P211" s="266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</row>
    <row r="212" spans="1:35" s="21" customFormat="1" ht="28.5" customHeight="1" x14ac:dyDescent="0.25">
      <c r="A212" s="34" t="s">
        <v>381</v>
      </c>
      <c r="B212" s="11"/>
      <c r="C212" s="11" t="s">
        <v>382</v>
      </c>
      <c r="D212" s="48">
        <f t="shared" ref="D212:O212" si="56">D213</f>
        <v>9247290</v>
      </c>
      <c r="E212" s="48">
        <f t="shared" si="56"/>
        <v>9247290</v>
      </c>
      <c r="F212" s="48">
        <f t="shared" si="56"/>
        <v>0</v>
      </c>
      <c r="G212" s="48">
        <f t="shared" si="56"/>
        <v>0</v>
      </c>
      <c r="H212" s="48">
        <f t="shared" si="56"/>
        <v>0</v>
      </c>
      <c r="I212" s="48">
        <f t="shared" si="56"/>
        <v>8111000</v>
      </c>
      <c r="J212" s="48">
        <f t="shared" si="56"/>
        <v>0</v>
      </c>
      <c r="K212" s="48">
        <f t="shared" si="56"/>
        <v>0</v>
      </c>
      <c r="L212" s="48">
        <f t="shared" si="56"/>
        <v>0</v>
      </c>
      <c r="M212" s="48">
        <f t="shared" si="56"/>
        <v>8111000</v>
      </c>
      <c r="N212" s="48">
        <f t="shared" si="56"/>
        <v>8111000</v>
      </c>
      <c r="O212" s="48">
        <f t="shared" si="56"/>
        <v>17358290</v>
      </c>
      <c r="P212" s="266">
        <v>45</v>
      </c>
      <c r="Q212" s="179"/>
      <c r="R212" s="179"/>
      <c r="S212" s="179"/>
      <c r="T212" s="179"/>
      <c r="U212" s="179"/>
      <c r="V212" s="179"/>
      <c r="W212" s="179"/>
      <c r="X212" s="179"/>
      <c r="Y212" s="179"/>
      <c r="Z212" s="179"/>
      <c r="AA212" s="179"/>
      <c r="AB212" s="179"/>
      <c r="AC212" s="179"/>
      <c r="AD212" s="179"/>
      <c r="AE212" s="179"/>
      <c r="AF212" s="179"/>
      <c r="AG212" s="179"/>
      <c r="AH212" s="179"/>
      <c r="AI212" s="179"/>
    </row>
    <row r="213" spans="1:35" ht="37.5" customHeight="1" x14ac:dyDescent="0.25">
      <c r="A213" s="26" t="s">
        <v>379</v>
      </c>
      <c r="B213" s="26" t="s">
        <v>380</v>
      </c>
      <c r="C213" s="52" t="s">
        <v>378</v>
      </c>
      <c r="D213" s="47">
        <f>'дод 3'!E45</f>
        <v>9247290</v>
      </c>
      <c r="E213" s="47">
        <f>'дод 3'!F45</f>
        <v>9247290</v>
      </c>
      <c r="F213" s="47">
        <f>'дод 3'!G45</f>
        <v>0</v>
      </c>
      <c r="G213" s="47">
        <f>'дод 3'!H45</f>
        <v>0</v>
      </c>
      <c r="H213" s="47">
        <f>'дод 3'!I45</f>
        <v>0</v>
      </c>
      <c r="I213" s="47">
        <f>'дод 3'!J45</f>
        <v>8111000</v>
      </c>
      <c r="J213" s="47">
        <f>'дод 3'!K45</f>
        <v>0</v>
      </c>
      <c r="K213" s="47">
        <f>'дод 3'!L45</f>
        <v>0</v>
      </c>
      <c r="L213" s="47">
        <f>'дод 3'!M45</f>
        <v>0</v>
      </c>
      <c r="M213" s="47">
        <f>'дод 3'!N45</f>
        <v>8111000</v>
      </c>
      <c r="N213" s="47">
        <f>'дод 3'!O45</f>
        <v>8111000</v>
      </c>
      <c r="O213" s="47">
        <f>'дод 3'!P45</f>
        <v>17358290</v>
      </c>
      <c r="P213" s="266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</row>
    <row r="214" spans="1:35" s="21" customFormat="1" ht="38.25" customHeight="1" x14ac:dyDescent="0.25">
      <c r="A214" s="22" t="s">
        <v>134</v>
      </c>
      <c r="B214" s="11"/>
      <c r="C214" s="11" t="s">
        <v>10</v>
      </c>
      <c r="D214" s="48">
        <f>D215+D216+D219+D220+D221+D217+D218</f>
        <v>7939128</v>
      </c>
      <c r="E214" s="48">
        <f t="shared" ref="E214:O214" si="57">E215+E216+E219+E220+E221+E217+E218</f>
        <v>6641228</v>
      </c>
      <c r="F214" s="48">
        <f t="shared" si="57"/>
        <v>0</v>
      </c>
      <c r="G214" s="48">
        <f t="shared" si="57"/>
        <v>78316.649999999994</v>
      </c>
      <c r="H214" s="48">
        <f t="shared" si="57"/>
        <v>1297900</v>
      </c>
      <c r="I214" s="48">
        <f t="shared" si="57"/>
        <v>75488803.329999998</v>
      </c>
      <c r="J214" s="48">
        <f t="shared" si="57"/>
        <v>1332343.53</v>
      </c>
      <c r="K214" s="48">
        <f t="shared" si="57"/>
        <v>0</v>
      </c>
      <c r="L214" s="48">
        <f t="shared" si="57"/>
        <v>0</v>
      </c>
      <c r="M214" s="48">
        <f t="shared" si="57"/>
        <v>74156459.799999997</v>
      </c>
      <c r="N214" s="48">
        <f t="shared" si="57"/>
        <v>72484374</v>
      </c>
      <c r="O214" s="48">
        <f t="shared" si="57"/>
        <v>83427931.329999998</v>
      </c>
      <c r="P214" s="266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  <c r="AA214" s="179"/>
      <c r="AB214" s="179"/>
      <c r="AC214" s="179"/>
      <c r="AD214" s="179"/>
      <c r="AE214" s="179"/>
      <c r="AF214" s="179"/>
      <c r="AG214" s="179"/>
      <c r="AH214" s="179"/>
      <c r="AI214" s="179"/>
    </row>
    <row r="215" spans="1:35" ht="38.25" customHeight="1" x14ac:dyDescent="0.25">
      <c r="A215" s="5" t="s">
        <v>11</v>
      </c>
      <c r="B215" s="5" t="s">
        <v>133</v>
      </c>
      <c r="C215" s="13" t="s">
        <v>46</v>
      </c>
      <c r="D215" s="47">
        <f>'дод 3'!E46+'дод 3'!E311</f>
        <v>1240000</v>
      </c>
      <c r="E215" s="47">
        <f>'дод 3'!F46+'дод 3'!F311</f>
        <v>340000</v>
      </c>
      <c r="F215" s="47">
        <f>'дод 3'!G46+'дод 3'!G311</f>
        <v>0</v>
      </c>
      <c r="G215" s="47">
        <f>'дод 3'!H46+'дод 3'!H311</f>
        <v>0</v>
      </c>
      <c r="H215" s="47">
        <f>'дод 3'!I46+'дод 3'!I311</f>
        <v>900000</v>
      </c>
      <c r="I215" s="47">
        <f>'дод 3'!J46+'дод 3'!J311</f>
        <v>16800</v>
      </c>
      <c r="J215" s="47">
        <f>'дод 3'!K46+'дод 3'!K311</f>
        <v>0</v>
      </c>
      <c r="K215" s="47">
        <f>'дод 3'!L46+'дод 3'!L311</f>
        <v>0</v>
      </c>
      <c r="L215" s="47">
        <f>'дод 3'!M46+'дод 3'!M311</f>
        <v>0</v>
      </c>
      <c r="M215" s="47">
        <f>'дод 3'!N46+'дод 3'!N311</f>
        <v>16800</v>
      </c>
      <c r="N215" s="47">
        <f>'дод 3'!O46+'дод 3'!O311</f>
        <v>16800</v>
      </c>
      <c r="O215" s="47">
        <f>'дод 3'!P46+'дод 3'!P311</f>
        <v>1256800</v>
      </c>
      <c r="P215" s="266"/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  <c r="AF215" s="175"/>
      <c r="AG215" s="175"/>
      <c r="AH215" s="175"/>
      <c r="AI215" s="175"/>
    </row>
    <row r="216" spans="1:35" ht="24.75" customHeight="1" x14ac:dyDescent="0.25">
      <c r="A216" s="5" t="s">
        <v>3</v>
      </c>
      <c r="B216" s="5" t="s">
        <v>132</v>
      </c>
      <c r="C216" s="13" t="s">
        <v>64</v>
      </c>
      <c r="D216" s="47">
        <f>'дод 3'!E90+'дод 3'!E127+'дод 3'!E207+'дод 3'!E231+'дод 3'!E259+'дод 3'!E294+'дод 3'!E47+'дод 3'!E324</f>
        <v>3900830</v>
      </c>
      <c r="E216" s="47">
        <f>'дод 3'!F90+'дод 3'!F127+'дод 3'!F207+'дод 3'!F231+'дод 3'!F259+'дод 3'!F294+'дод 3'!F47+'дод 3'!F324</f>
        <v>3700830</v>
      </c>
      <c r="F216" s="47">
        <f>'дод 3'!G90+'дод 3'!G127+'дод 3'!G207+'дод 3'!G231+'дод 3'!G259+'дод 3'!G294+'дод 3'!G47+'дод 3'!G324</f>
        <v>0</v>
      </c>
      <c r="G216" s="47">
        <f>'дод 3'!H90+'дод 3'!H127+'дод 3'!H207+'дод 3'!H231+'дод 3'!H259+'дод 3'!H294+'дод 3'!H47+'дод 3'!H324</f>
        <v>0</v>
      </c>
      <c r="H216" s="47">
        <f>'дод 3'!I90+'дод 3'!I127+'дод 3'!I207+'дод 3'!I231+'дод 3'!I259+'дод 3'!I294+'дод 3'!I47+'дод 3'!I324</f>
        <v>200000</v>
      </c>
      <c r="I216" s="47">
        <f>'дод 3'!J90+'дод 3'!J127+'дод 3'!J207+'дод 3'!J231+'дод 3'!J259+'дод 3'!J294+'дод 3'!J47+'дод 3'!J324</f>
        <v>43532574</v>
      </c>
      <c r="J216" s="47">
        <f>'дод 3'!K90+'дод 3'!K127+'дод 3'!K207+'дод 3'!K231+'дод 3'!K259+'дод 3'!K294+'дод 3'!K47+'дод 3'!K324</f>
        <v>0</v>
      </c>
      <c r="K216" s="47">
        <f>'дод 3'!L90+'дод 3'!L127+'дод 3'!L207+'дод 3'!L231+'дод 3'!L259+'дод 3'!L294+'дод 3'!L47+'дод 3'!L324</f>
        <v>0</v>
      </c>
      <c r="L216" s="47">
        <f>'дод 3'!M90+'дод 3'!M127+'дод 3'!M207+'дод 3'!M231+'дод 3'!M259+'дод 3'!M294+'дод 3'!M47+'дод 3'!M324</f>
        <v>0</v>
      </c>
      <c r="M216" s="47">
        <f>'дод 3'!N90+'дод 3'!N127+'дод 3'!N207+'дод 3'!N231+'дод 3'!N259+'дод 3'!N294+'дод 3'!N47+'дод 3'!N324</f>
        <v>43532574</v>
      </c>
      <c r="N216" s="47">
        <f>'дод 3'!O90+'дод 3'!O127+'дод 3'!O207+'дод 3'!O231+'дод 3'!O259+'дод 3'!O294+'дод 3'!O47+'дод 3'!O324</f>
        <v>43532574</v>
      </c>
      <c r="O216" s="47">
        <f>'дод 3'!P90+'дод 3'!P127+'дод 3'!P207+'дод 3'!P231+'дод 3'!P259+'дод 3'!P294+'дод 3'!P47+'дод 3'!P324</f>
        <v>47433404</v>
      </c>
      <c r="P216" s="266"/>
      <c r="Q216" s="175"/>
      <c r="R216" s="175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  <c r="AC216" s="175"/>
      <c r="AD216" s="175"/>
      <c r="AE216" s="175"/>
      <c r="AF216" s="175"/>
      <c r="AG216" s="175"/>
      <c r="AH216" s="175"/>
      <c r="AI216" s="175"/>
    </row>
    <row r="217" spans="1:35" ht="33.75" customHeight="1" x14ac:dyDescent="0.25">
      <c r="A217" s="5" t="s">
        <v>418</v>
      </c>
      <c r="B217" s="5" t="s">
        <v>126</v>
      </c>
      <c r="C217" s="13" t="s">
        <v>421</v>
      </c>
      <c r="D217" s="47">
        <f>'дод 3'!E312</f>
        <v>0</v>
      </c>
      <c r="E217" s="47">
        <f>'дод 3'!F312</f>
        <v>0</v>
      </c>
      <c r="F217" s="47">
        <f>'дод 3'!G312</f>
        <v>0</v>
      </c>
      <c r="G217" s="47">
        <f>'дод 3'!H312</f>
        <v>0</v>
      </c>
      <c r="H217" s="47">
        <f>'дод 3'!I312</f>
        <v>0</v>
      </c>
      <c r="I217" s="47">
        <f>'дод 3'!J312</f>
        <v>50000</v>
      </c>
      <c r="J217" s="47">
        <f>'дод 3'!K312</f>
        <v>0</v>
      </c>
      <c r="K217" s="47">
        <f>'дод 3'!L312</f>
        <v>0</v>
      </c>
      <c r="L217" s="47">
        <f>'дод 3'!M312</f>
        <v>0</v>
      </c>
      <c r="M217" s="47">
        <f>'дод 3'!N312</f>
        <v>50000</v>
      </c>
      <c r="N217" s="47">
        <f>'дод 3'!O312</f>
        <v>50000</v>
      </c>
      <c r="O217" s="47">
        <f>'дод 3'!P312</f>
        <v>50000</v>
      </c>
      <c r="P217" s="266"/>
      <c r="Q217" s="175"/>
      <c r="R217" s="175"/>
      <c r="S217" s="175"/>
      <c r="T217" s="175"/>
      <c r="U217" s="175"/>
      <c r="V217" s="175"/>
      <c r="W217" s="175"/>
      <c r="X217" s="175"/>
      <c r="Y217" s="175"/>
      <c r="Z217" s="175"/>
      <c r="AA217" s="175"/>
      <c r="AB217" s="175"/>
      <c r="AC217" s="175"/>
      <c r="AD217" s="175"/>
      <c r="AE217" s="175"/>
      <c r="AF217" s="175"/>
      <c r="AG217" s="175"/>
      <c r="AH217" s="175"/>
      <c r="AI217" s="175"/>
    </row>
    <row r="218" spans="1:35" ht="66.75" customHeight="1" x14ac:dyDescent="0.25">
      <c r="A218" s="5" t="s">
        <v>420</v>
      </c>
      <c r="B218" s="5" t="s">
        <v>126</v>
      </c>
      <c r="C218" s="13" t="s">
        <v>422</v>
      </c>
      <c r="D218" s="47">
        <f>'дод 3'!E313</f>
        <v>0</v>
      </c>
      <c r="E218" s="47">
        <f>'дод 3'!F313</f>
        <v>0</v>
      </c>
      <c r="F218" s="47">
        <f>'дод 3'!G313</f>
        <v>0</v>
      </c>
      <c r="G218" s="47">
        <f>'дод 3'!H313</f>
        <v>0</v>
      </c>
      <c r="H218" s="47">
        <f>'дод 3'!I313</f>
        <v>0</v>
      </c>
      <c r="I218" s="47">
        <f>'дод 3'!J313</f>
        <v>25000</v>
      </c>
      <c r="J218" s="47">
        <f>'дод 3'!K313</f>
        <v>0</v>
      </c>
      <c r="K218" s="47">
        <f>'дод 3'!L313</f>
        <v>0</v>
      </c>
      <c r="L218" s="47">
        <f>'дод 3'!M313</f>
        <v>0</v>
      </c>
      <c r="M218" s="47">
        <f>'дод 3'!N313</f>
        <v>25000</v>
      </c>
      <c r="N218" s="47">
        <f>'дод 3'!O313</f>
        <v>25000</v>
      </c>
      <c r="O218" s="47">
        <f>'дод 3'!P313</f>
        <v>25000</v>
      </c>
      <c r="P218" s="266"/>
      <c r="Q218" s="175"/>
      <c r="R218" s="175"/>
      <c r="S218" s="175"/>
      <c r="T218" s="175"/>
      <c r="U218" s="175"/>
      <c r="V218" s="175"/>
      <c r="W218" s="175"/>
      <c r="X218" s="175"/>
      <c r="Y218" s="175"/>
      <c r="Z218" s="175"/>
      <c r="AA218" s="175"/>
      <c r="AB218" s="175"/>
      <c r="AC218" s="175"/>
      <c r="AD218" s="175"/>
      <c r="AE218" s="175"/>
      <c r="AF218" s="175"/>
      <c r="AG218" s="175"/>
      <c r="AH218" s="175"/>
      <c r="AI218" s="175"/>
    </row>
    <row r="219" spans="1:35" x14ac:dyDescent="0.25">
      <c r="A219" s="5" t="s">
        <v>12</v>
      </c>
      <c r="B219" s="5" t="s">
        <v>126</v>
      </c>
      <c r="C219" s="13" t="s">
        <v>47</v>
      </c>
      <c r="D219" s="47">
        <f>'дод 3'!E48</f>
        <v>0</v>
      </c>
      <c r="E219" s="47">
        <f>'дод 3'!F48</f>
        <v>0</v>
      </c>
      <c r="F219" s="47">
        <f>'дод 3'!G48</f>
        <v>0</v>
      </c>
      <c r="G219" s="47">
        <f>'дод 3'!H48</f>
        <v>0</v>
      </c>
      <c r="H219" s="47">
        <f>'дод 3'!I48</f>
        <v>0</v>
      </c>
      <c r="I219" s="47">
        <f>'дод 3'!J48</f>
        <v>28860000</v>
      </c>
      <c r="J219" s="47">
        <f>'дод 3'!K48</f>
        <v>0</v>
      </c>
      <c r="K219" s="47">
        <f>'дод 3'!L48</f>
        <v>0</v>
      </c>
      <c r="L219" s="47">
        <f>'дод 3'!M48</f>
        <v>0</v>
      </c>
      <c r="M219" s="47">
        <f>'дод 3'!N48</f>
        <v>28860000</v>
      </c>
      <c r="N219" s="47">
        <f>'дод 3'!O48</f>
        <v>28860000</v>
      </c>
      <c r="O219" s="47">
        <f>'дод 3'!P48</f>
        <v>28860000</v>
      </c>
      <c r="P219" s="266"/>
      <c r="Q219" s="175"/>
      <c r="R219" s="175"/>
      <c r="S219" s="175"/>
      <c r="T219" s="175"/>
      <c r="U219" s="175"/>
      <c r="V219" s="175"/>
      <c r="W219" s="175"/>
      <c r="X219" s="175"/>
      <c r="Y219" s="175"/>
      <c r="Z219" s="175"/>
      <c r="AA219" s="175"/>
      <c r="AB219" s="175"/>
      <c r="AC219" s="175"/>
      <c r="AD219" s="175"/>
      <c r="AE219" s="175"/>
      <c r="AF219" s="175"/>
      <c r="AG219" s="175"/>
      <c r="AH219" s="175"/>
      <c r="AI219" s="175"/>
    </row>
    <row r="220" spans="1:35" ht="36.75" customHeight="1" x14ac:dyDescent="0.25">
      <c r="A220" s="5" t="s">
        <v>392</v>
      </c>
      <c r="B220" s="5" t="s">
        <v>126</v>
      </c>
      <c r="C220" s="13" t="s">
        <v>393</v>
      </c>
      <c r="D220" s="47">
        <f>'дод 3'!E49</f>
        <v>209333</v>
      </c>
      <c r="E220" s="47">
        <f>'дод 3'!F49</f>
        <v>209333</v>
      </c>
      <c r="F220" s="47">
        <f>'дод 3'!G49</f>
        <v>0</v>
      </c>
      <c r="G220" s="47">
        <f>'дод 3'!H49</f>
        <v>0</v>
      </c>
      <c r="H220" s="47">
        <f>'дод 3'!I49</f>
        <v>0</v>
      </c>
      <c r="I220" s="47">
        <f>'дод 3'!J49</f>
        <v>0</v>
      </c>
      <c r="J220" s="47">
        <f>'дод 3'!K49</f>
        <v>0</v>
      </c>
      <c r="K220" s="47">
        <f>'дод 3'!L49</f>
        <v>0</v>
      </c>
      <c r="L220" s="47">
        <f>'дод 3'!M49</f>
        <v>0</v>
      </c>
      <c r="M220" s="47">
        <f>'дод 3'!N49</f>
        <v>0</v>
      </c>
      <c r="N220" s="47">
        <f>'дод 3'!O49</f>
        <v>0</v>
      </c>
      <c r="O220" s="47">
        <f>'дод 3'!P49</f>
        <v>209333</v>
      </c>
      <c r="P220" s="266"/>
      <c r="Q220" s="175"/>
      <c r="R220" s="175"/>
      <c r="S220" s="175"/>
      <c r="T220" s="175"/>
      <c r="U220" s="175"/>
      <c r="V220" s="175"/>
      <c r="W220" s="175"/>
      <c r="X220" s="175"/>
      <c r="Y220" s="175"/>
      <c r="Z220" s="175"/>
      <c r="AA220" s="175"/>
      <c r="AB220" s="175"/>
      <c r="AC220" s="175"/>
      <c r="AD220" s="175"/>
      <c r="AE220" s="175"/>
      <c r="AF220" s="175"/>
      <c r="AG220" s="175"/>
      <c r="AH220" s="175"/>
      <c r="AI220" s="175"/>
    </row>
    <row r="221" spans="1:35" ht="29.25" customHeight="1" x14ac:dyDescent="0.25">
      <c r="A221" s="5" t="s">
        <v>13</v>
      </c>
      <c r="B221" s="5"/>
      <c r="C221" s="13" t="s">
        <v>413</v>
      </c>
      <c r="D221" s="47">
        <f>D222+D223</f>
        <v>2588965</v>
      </c>
      <c r="E221" s="47">
        <f t="shared" ref="E221:O221" si="58">E222+E223</f>
        <v>2391065</v>
      </c>
      <c r="F221" s="47">
        <f t="shared" si="58"/>
        <v>0</v>
      </c>
      <c r="G221" s="47">
        <f t="shared" si="58"/>
        <v>78316.649999999994</v>
      </c>
      <c r="H221" s="47">
        <f t="shared" si="58"/>
        <v>197900</v>
      </c>
      <c r="I221" s="47">
        <f t="shared" si="58"/>
        <v>3004429.33</v>
      </c>
      <c r="J221" s="47">
        <f t="shared" si="58"/>
        <v>1332343.53</v>
      </c>
      <c r="K221" s="47">
        <f t="shared" si="58"/>
        <v>0</v>
      </c>
      <c r="L221" s="47">
        <f t="shared" si="58"/>
        <v>0</v>
      </c>
      <c r="M221" s="47">
        <f t="shared" si="58"/>
        <v>1672085.8</v>
      </c>
      <c r="N221" s="47">
        <f t="shared" si="58"/>
        <v>0</v>
      </c>
      <c r="O221" s="47">
        <f t="shared" si="58"/>
        <v>5593394.3300000001</v>
      </c>
      <c r="P221" s="266"/>
      <c r="Q221" s="175"/>
      <c r="R221" s="175"/>
      <c r="S221" s="175"/>
      <c r="T221" s="175"/>
      <c r="U221" s="175"/>
      <c r="V221" s="175"/>
      <c r="W221" s="175"/>
      <c r="X221" s="175"/>
      <c r="Y221" s="175"/>
      <c r="Z221" s="175"/>
      <c r="AA221" s="175"/>
      <c r="AB221" s="175"/>
      <c r="AC221" s="175"/>
      <c r="AD221" s="175"/>
      <c r="AE221" s="175"/>
      <c r="AF221" s="175"/>
      <c r="AG221" s="175"/>
      <c r="AH221" s="175"/>
      <c r="AI221" s="175"/>
    </row>
    <row r="222" spans="1:35" s="8" customFormat="1" ht="122.25" customHeight="1" x14ac:dyDescent="0.25">
      <c r="A222" s="7" t="s">
        <v>468</v>
      </c>
      <c r="B222" s="7" t="s">
        <v>126</v>
      </c>
      <c r="C222" s="14" t="s">
        <v>499</v>
      </c>
      <c r="D222" s="49">
        <f>'дод 3'!E51+'дод 3'!E303+'дод 3'!E261+'дод 3'!E296</f>
        <v>0</v>
      </c>
      <c r="E222" s="49">
        <f>'дод 3'!F51+'дод 3'!F303+'дод 3'!F261+'дод 3'!F296</f>
        <v>0</v>
      </c>
      <c r="F222" s="49">
        <f>'дод 3'!G51+'дод 3'!G303+'дод 3'!G261+'дод 3'!G296</f>
        <v>0</v>
      </c>
      <c r="G222" s="49">
        <f>'дод 3'!H51+'дод 3'!H303+'дод 3'!H261+'дод 3'!H296</f>
        <v>0</v>
      </c>
      <c r="H222" s="49">
        <f>'дод 3'!I51+'дод 3'!I303+'дод 3'!I261+'дод 3'!I296</f>
        <v>0</v>
      </c>
      <c r="I222" s="49">
        <f>'дод 3'!J51+'дод 3'!J303+'дод 3'!J261+'дод 3'!J296</f>
        <v>3004429.33</v>
      </c>
      <c r="J222" s="49">
        <f>'дод 3'!K51+'дод 3'!K303+'дод 3'!K261+'дод 3'!K296</f>
        <v>1332343.53</v>
      </c>
      <c r="K222" s="49">
        <f>'дод 3'!L51+'дод 3'!L303+'дод 3'!L261+'дод 3'!L296</f>
        <v>0</v>
      </c>
      <c r="L222" s="49">
        <f>'дод 3'!M51+'дод 3'!M303+'дод 3'!M261+'дод 3'!M296</f>
        <v>0</v>
      </c>
      <c r="M222" s="49">
        <f>'дод 3'!N51+'дод 3'!N303+'дод 3'!N261+'дод 3'!N296</f>
        <v>1672085.8</v>
      </c>
      <c r="N222" s="49">
        <f>'дод 3'!O51+'дод 3'!O303+'дод 3'!O261+'дод 3'!O296</f>
        <v>0</v>
      </c>
      <c r="O222" s="49">
        <f>'дод 3'!P51+'дод 3'!P303+'дод 3'!P261+'дод 3'!P296</f>
        <v>3004429.33</v>
      </c>
      <c r="P222" s="266"/>
      <c r="Q222" s="176"/>
      <c r="R222" s="176"/>
      <c r="S222" s="176"/>
      <c r="T222" s="176"/>
      <c r="U222" s="176"/>
      <c r="V222" s="176"/>
      <c r="W222" s="176"/>
      <c r="X222" s="176"/>
      <c r="Y222" s="176"/>
      <c r="Z222" s="176"/>
      <c r="AA222" s="176"/>
      <c r="AB222" s="176"/>
      <c r="AC222" s="176"/>
      <c r="AD222" s="176"/>
      <c r="AE222" s="176"/>
      <c r="AF222" s="176"/>
      <c r="AG222" s="176"/>
      <c r="AH222" s="176"/>
      <c r="AI222" s="176"/>
    </row>
    <row r="223" spans="1:35" s="8" customFormat="1" ht="30.75" customHeight="1" x14ac:dyDescent="0.25">
      <c r="A223" s="7" t="s">
        <v>383</v>
      </c>
      <c r="B223" s="7" t="s">
        <v>126</v>
      </c>
      <c r="C223" s="14" t="s">
        <v>34</v>
      </c>
      <c r="D223" s="49">
        <f>'дод 3'!E52+'дод 3'!E315</f>
        <v>2588965</v>
      </c>
      <c r="E223" s="49">
        <f>'дод 3'!F52+'дод 3'!F315</f>
        <v>2391065</v>
      </c>
      <c r="F223" s="49">
        <f>'дод 3'!G52+'дод 3'!G315</f>
        <v>0</v>
      </c>
      <c r="G223" s="49">
        <f>'дод 3'!H52+'дод 3'!H315</f>
        <v>78316.649999999994</v>
      </c>
      <c r="H223" s="49">
        <f>'дод 3'!I52+'дод 3'!I315</f>
        <v>197900</v>
      </c>
      <c r="I223" s="49">
        <f>'дод 3'!J52+'дод 3'!J315</f>
        <v>0</v>
      </c>
      <c r="J223" s="49">
        <f>'дод 3'!K52+'дод 3'!K315</f>
        <v>0</v>
      </c>
      <c r="K223" s="49">
        <f>'дод 3'!L52+'дод 3'!L315</f>
        <v>0</v>
      </c>
      <c r="L223" s="49">
        <f>'дод 3'!M52+'дод 3'!M315</f>
        <v>0</v>
      </c>
      <c r="M223" s="49">
        <f>'дод 3'!N52+'дод 3'!N315</f>
        <v>0</v>
      </c>
      <c r="N223" s="49">
        <f>'дод 3'!O52+'дод 3'!O315</f>
        <v>0</v>
      </c>
      <c r="O223" s="49">
        <f>'дод 3'!P52+'дод 3'!P315</f>
        <v>2588965</v>
      </c>
      <c r="P223" s="266"/>
      <c r="Q223" s="176"/>
      <c r="R223" s="176"/>
      <c r="S223" s="176"/>
      <c r="T223" s="176"/>
      <c r="U223" s="176"/>
      <c r="V223" s="176"/>
      <c r="W223" s="176"/>
      <c r="X223" s="176"/>
      <c r="Y223" s="176"/>
      <c r="Z223" s="176"/>
      <c r="AA223" s="176"/>
      <c r="AB223" s="176"/>
      <c r="AC223" s="176"/>
      <c r="AD223" s="176"/>
      <c r="AE223" s="176"/>
      <c r="AF223" s="176"/>
      <c r="AG223" s="176"/>
      <c r="AH223" s="176"/>
      <c r="AI223" s="176"/>
    </row>
    <row r="224" spans="1:35" s="21" customFormat="1" ht="23.25" customHeight="1" x14ac:dyDescent="0.25">
      <c r="A224" s="22" t="s">
        <v>141</v>
      </c>
      <c r="B224" s="10"/>
      <c r="C224" s="11" t="s">
        <v>15</v>
      </c>
      <c r="D224" s="48">
        <f>D225+D228+D230+D233+D235+D236</f>
        <v>9094663.4799999986</v>
      </c>
      <c r="E224" s="48">
        <f t="shared" ref="E224:O224" si="59">E225+E228+E230+E233+E235+E236</f>
        <v>3327410.41</v>
      </c>
      <c r="F224" s="48">
        <f t="shared" si="59"/>
        <v>1087750</v>
      </c>
      <c r="G224" s="48">
        <f t="shared" si="59"/>
        <v>328141</v>
      </c>
      <c r="H224" s="48">
        <f t="shared" si="59"/>
        <v>0</v>
      </c>
      <c r="I224" s="48">
        <f t="shared" si="59"/>
        <v>6926408.8700000001</v>
      </c>
      <c r="J224" s="48">
        <f t="shared" si="59"/>
        <v>2493987</v>
      </c>
      <c r="K224" s="48">
        <f t="shared" si="59"/>
        <v>0</v>
      </c>
      <c r="L224" s="48">
        <f t="shared" si="59"/>
        <v>1200</v>
      </c>
      <c r="M224" s="48">
        <f t="shared" si="59"/>
        <v>4432421.87</v>
      </c>
      <c r="N224" s="48">
        <f t="shared" si="59"/>
        <v>113800</v>
      </c>
      <c r="O224" s="48">
        <f t="shared" si="59"/>
        <v>16021072.35</v>
      </c>
      <c r="P224" s="266"/>
      <c r="Q224" s="179"/>
      <c r="R224" s="179"/>
      <c r="S224" s="179"/>
      <c r="T224" s="179"/>
      <c r="U224" s="179"/>
      <c r="V224" s="179"/>
      <c r="W224" s="179"/>
      <c r="X224" s="179"/>
      <c r="Y224" s="179"/>
      <c r="Z224" s="179"/>
      <c r="AA224" s="179"/>
      <c r="AB224" s="179"/>
      <c r="AC224" s="179"/>
      <c r="AD224" s="179"/>
      <c r="AE224" s="179"/>
      <c r="AF224" s="179"/>
      <c r="AG224" s="179"/>
      <c r="AH224" s="179"/>
      <c r="AI224" s="179"/>
    </row>
    <row r="225" spans="1:35" s="21" customFormat="1" ht="49.5" customHeight="1" x14ac:dyDescent="0.25">
      <c r="A225" s="22" t="s">
        <v>143</v>
      </c>
      <c r="B225" s="30"/>
      <c r="C225" s="11" t="s">
        <v>16</v>
      </c>
      <c r="D225" s="48">
        <f>D226+D227</f>
        <v>2223743</v>
      </c>
      <c r="E225" s="48">
        <f t="shared" ref="E225:O225" si="60">E226+E227</f>
        <v>2223743</v>
      </c>
      <c r="F225" s="48">
        <f t="shared" si="60"/>
        <v>1087750</v>
      </c>
      <c r="G225" s="48">
        <f t="shared" si="60"/>
        <v>81385</v>
      </c>
      <c r="H225" s="48">
        <f t="shared" si="60"/>
        <v>0</v>
      </c>
      <c r="I225" s="48">
        <f t="shared" si="60"/>
        <v>118900</v>
      </c>
      <c r="J225" s="48">
        <f t="shared" si="60"/>
        <v>5100</v>
      </c>
      <c r="K225" s="48">
        <f t="shared" si="60"/>
        <v>0</v>
      </c>
      <c r="L225" s="48">
        <f t="shared" si="60"/>
        <v>1200</v>
      </c>
      <c r="M225" s="48">
        <f t="shared" si="60"/>
        <v>113800</v>
      </c>
      <c r="N225" s="48">
        <f t="shared" si="60"/>
        <v>113800</v>
      </c>
      <c r="O225" s="48">
        <f t="shared" si="60"/>
        <v>2342643</v>
      </c>
      <c r="P225" s="266"/>
      <c r="Q225" s="179"/>
      <c r="R225" s="179"/>
      <c r="S225" s="179"/>
      <c r="T225" s="179"/>
      <c r="U225" s="179"/>
      <c r="V225" s="179"/>
      <c r="W225" s="179"/>
      <c r="X225" s="179"/>
      <c r="Y225" s="179"/>
      <c r="Z225" s="179"/>
      <c r="AA225" s="179"/>
      <c r="AB225" s="179"/>
      <c r="AC225" s="179"/>
      <c r="AD225" s="179"/>
      <c r="AE225" s="179"/>
      <c r="AF225" s="179"/>
      <c r="AG225" s="179"/>
      <c r="AH225" s="179"/>
      <c r="AI225" s="179"/>
    </row>
    <row r="226" spans="1:35" s="21" customFormat="1" ht="36.75" customHeight="1" x14ac:dyDescent="0.25">
      <c r="A226" s="26" t="s">
        <v>17</v>
      </c>
      <c r="B226" s="26" t="s">
        <v>136</v>
      </c>
      <c r="C226" s="13" t="s">
        <v>469</v>
      </c>
      <c r="D226" s="47">
        <f>'дод 3'!E53+'дод 3'!E208</f>
        <v>706633</v>
      </c>
      <c r="E226" s="47">
        <f>'дод 3'!F53+'дод 3'!F208</f>
        <v>706633</v>
      </c>
      <c r="F226" s="47">
        <f>'дод 3'!G53+'дод 3'!G208</f>
        <v>0</v>
      </c>
      <c r="G226" s="47">
        <f>'дод 3'!H53+'дод 3'!H208</f>
        <v>5070</v>
      </c>
      <c r="H226" s="47">
        <f>'дод 3'!I53+'дод 3'!I208</f>
        <v>0</v>
      </c>
      <c r="I226" s="47">
        <f>'дод 3'!J53+'дод 3'!J208</f>
        <v>55900</v>
      </c>
      <c r="J226" s="47">
        <f>'дод 3'!K53+'дод 3'!K208</f>
        <v>0</v>
      </c>
      <c r="K226" s="47">
        <f>'дод 3'!L53+'дод 3'!L208</f>
        <v>0</v>
      </c>
      <c r="L226" s="47">
        <f>'дод 3'!M53+'дод 3'!M208</f>
        <v>0</v>
      </c>
      <c r="M226" s="47">
        <f>'дод 3'!N53+'дод 3'!N208</f>
        <v>55900</v>
      </c>
      <c r="N226" s="47">
        <f>'дод 3'!O53+'дод 3'!O208</f>
        <v>55900</v>
      </c>
      <c r="O226" s="47">
        <f>'дод 3'!P53+'дод 3'!P208</f>
        <v>762533</v>
      </c>
      <c r="P226" s="266"/>
      <c r="Q226" s="175"/>
      <c r="R226" s="175"/>
      <c r="S226" s="175"/>
      <c r="T226" s="175"/>
      <c r="U226" s="175"/>
      <c r="V226" s="175"/>
      <c r="W226" s="175"/>
      <c r="X226" s="175"/>
      <c r="Y226" s="175"/>
      <c r="Z226" s="175"/>
      <c r="AA226" s="175"/>
      <c r="AB226" s="175"/>
      <c r="AC226" s="175"/>
      <c r="AD226" s="175"/>
      <c r="AE226" s="175"/>
      <c r="AF226" s="175"/>
      <c r="AG226" s="175"/>
      <c r="AH226" s="175"/>
      <c r="AI226" s="175"/>
    </row>
    <row r="227" spans="1:35" ht="24.75" customHeight="1" x14ac:dyDescent="0.25">
      <c r="A227" s="5" t="s">
        <v>236</v>
      </c>
      <c r="B227" s="12" t="s">
        <v>136</v>
      </c>
      <c r="C227" s="13" t="s">
        <v>18</v>
      </c>
      <c r="D227" s="47">
        <f>'дод 3'!E54</f>
        <v>1517110</v>
      </c>
      <c r="E227" s="47">
        <f>'дод 3'!F54</f>
        <v>1517110</v>
      </c>
      <c r="F227" s="47">
        <f>'дод 3'!G54</f>
        <v>1087750</v>
      </c>
      <c r="G227" s="47">
        <f>'дод 3'!H54</f>
        <v>76315</v>
      </c>
      <c r="H227" s="47">
        <f>'дод 3'!I54</f>
        <v>0</v>
      </c>
      <c r="I227" s="47">
        <f>'дод 3'!J54</f>
        <v>63000</v>
      </c>
      <c r="J227" s="47">
        <f>'дод 3'!K54</f>
        <v>5100</v>
      </c>
      <c r="K227" s="47">
        <f>'дод 3'!L54</f>
        <v>0</v>
      </c>
      <c r="L227" s="47">
        <f>'дод 3'!M54</f>
        <v>1200</v>
      </c>
      <c r="M227" s="47">
        <f>'дод 3'!N54</f>
        <v>57900</v>
      </c>
      <c r="N227" s="47">
        <f>'дод 3'!O54</f>
        <v>57900</v>
      </c>
      <c r="O227" s="47">
        <f>'дод 3'!P54</f>
        <v>1580110</v>
      </c>
      <c r="P227" s="266"/>
      <c r="Q227" s="175"/>
      <c r="R227" s="175"/>
      <c r="S227" s="175"/>
      <c r="T227" s="175"/>
      <c r="U227" s="175"/>
      <c r="V227" s="175"/>
      <c r="W227" s="175"/>
      <c r="X227" s="175"/>
      <c r="Y227" s="175"/>
      <c r="Z227" s="175"/>
      <c r="AA227" s="175"/>
      <c r="AB227" s="175"/>
      <c r="AC227" s="175"/>
      <c r="AD227" s="175"/>
      <c r="AE227" s="175"/>
      <c r="AF227" s="175"/>
      <c r="AG227" s="175"/>
      <c r="AH227" s="175"/>
      <c r="AI227" s="175"/>
    </row>
    <row r="228" spans="1:35" s="21" customFormat="1" ht="30" customHeight="1" x14ac:dyDescent="0.25">
      <c r="A228" s="22" t="s">
        <v>394</v>
      </c>
      <c r="B228" s="22"/>
      <c r="C228" s="53" t="s">
        <v>395</v>
      </c>
      <c r="D228" s="48">
        <f t="shared" ref="D228:O228" si="61">D229</f>
        <v>681615</v>
      </c>
      <c r="E228" s="48">
        <f t="shared" si="61"/>
        <v>681615</v>
      </c>
      <c r="F228" s="48">
        <f t="shared" si="61"/>
        <v>0</v>
      </c>
      <c r="G228" s="48">
        <f t="shared" si="61"/>
        <v>246756</v>
      </c>
      <c r="H228" s="48">
        <f t="shared" si="61"/>
        <v>0</v>
      </c>
      <c r="I228" s="48">
        <f t="shared" si="61"/>
        <v>0</v>
      </c>
      <c r="J228" s="48">
        <f t="shared" si="61"/>
        <v>0</v>
      </c>
      <c r="K228" s="48">
        <f t="shared" si="61"/>
        <v>0</v>
      </c>
      <c r="L228" s="48">
        <f t="shared" si="61"/>
        <v>0</v>
      </c>
      <c r="M228" s="48">
        <f t="shared" si="61"/>
        <v>0</v>
      </c>
      <c r="N228" s="48">
        <f t="shared" si="61"/>
        <v>0</v>
      </c>
      <c r="O228" s="48">
        <f t="shared" si="61"/>
        <v>681615</v>
      </c>
      <c r="P228" s="266"/>
      <c r="Q228" s="179"/>
      <c r="R228" s="179"/>
      <c r="S228" s="179"/>
      <c r="T228" s="179"/>
      <c r="U228" s="179"/>
      <c r="V228" s="179"/>
      <c r="W228" s="179"/>
      <c r="X228" s="179"/>
      <c r="Y228" s="179"/>
      <c r="Z228" s="179"/>
      <c r="AA228" s="179"/>
      <c r="AB228" s="179"/>
      <c r="AC228" s="179"/>
      <c r="AD228" s="179"/>
      <c r="AE228" s="179"/>
      <c r="AF228" s="179"/>
      <c r="AG228" s="179"/>
      <c r="AH228" s="179"/>
      <c r="AI228" s="179"/>
    </row>
    <row r="229" spans="1:35" ht="30" customHeight="1" x14ac:dyDescent="0.25">
      <c r="A229" s="5" t="s">
        <v>388</v>
      </c>
      <c r="B229" s="12" t="s">
        <v>389</v>
      </c>
      <c r="C229" s="13" t="s">
        <v>390</v>
      </c>
      <c r="D229" s="47">
        <f>'дод 3'!E55</f>
        <v>681615</v>
      </c>
      <c r="E229" s="47">
        <f>'дод 3'!F55</f>
        <v>681615</v>
      </c>
      <c r="F229" s="47">
        <f>'дод 3'!G55</f>
        <v>0</v>
      </c>
      <c r="G229" s="47">
        <f>'дод 3'!H55</f>
        <v>246756</v>
      </c>
      <c r="H229" s="47">
        <f>'дод 3'!I55</f>
        <v>0</v>
      </c>
      <c r="I229" s="47">
        <f>'дод 3'!J55</f>
        <v>0</v>
      </c>
      <c r="J229" s="47">
        <f>'дод 3'!K55</f>
        <v>0</v>
      </c>
      <c r="K229" s="47">
        <f>'дод 3'!L55</f>
        <v>0</v>
      </c>
      <c r="L229" s="47">
        <f>'дод 3'!M55</f>
        <v>0</v>
      </c>
      <c r="M229" s="47">
        <f>'дод 3'!N55</f>
        <v>0</v>
      </c>
      <c r="N229" s="47">
        <f>'дод 3'!O55</f>
        <v>0</v>
      </c>
      <c r="O229" s="47">
        <f>'дод 3'!P55</f>
        <v>681615</v>
      </c>
      <c r="P229" s="266"/>
      <c r="Q229" s="175"/>
      <c r="R229" s="175"/>
      <c r="S229" s="175"/>
      <c r="T229" s="175"/>
      <c r="U229" s="175"/>
      <c r="V229" s="175"/>
      <c r="W229" s="175"/>
      <c r="X229" s="175"/>
      <c r="Y229" s="175"/>
      <c r="Z229" s="175"/>
      <c r="AA229" s="175"/>
      <c r="AB229" s="175"/>
      <c r="AC229" s="175"/>
      <c r="AD229" s="175"/>
      <c r="AE229" s="175"/>
      <c r="AF229" s="175"/>
      <c r="AG229" s="175"/>
      <c r="AH229" s="175"/>
      <c r="AI229" s="175"/>
    </row>
    <row r="230" spans="1:35" s="21" customFormat="1" ht="22.5" customHeight="1" x14ac:dyDescent="0.25">
      <c r="A230" s="22" t="s">
        <v>14</v>
      </c>
      <c r="B230" s="34"/>
      <c r="C230" s="11" t="s">
        <v>19</v>
      </c>
      <c r="D230" s="48">
        <f>D231+D232</f>
        <v>76600</v>
      </c>
      <c r="E230" s="48">
        <f t="shared" ref="E230:O230" si="62">E231+E232</f>
        <v>76600</v>
      </c>
      <c r="F230" s="48">
        <f t="shared" si="62"/>
        <v>0</v>
      </c>
      <c r="G230" s="48">
        <f t="shared" si="62"/>
        <v>0</v>
      </c>
      <c r="H230" s="48">
        <f t="shared" si="62"/>
        <v>0</v>
      </c>
      <c r="I230" s="48">
        <f t="shared" si="62"/>
        <v>6807508.8700000001</v>
      </c>
      <c r="J230" s="48">
        <f t="shared" si="62"/>
        <v>2488887</v>
      </c>
      <c r="K230" s="48">
        <f t="shared" si="62"/>
        <v>0</v>
      </c>
      <c r="L230" s="48">
        <f t="shared" si="62"/>
        <v>0</v>
      </c>
      <c r="M230" s="48">
        <f t="shared" si="62"/>
        <v>4318621.87</v>
      </c>
      <c r="N230" s="48">
        <f t="shared" si="62"/>
        <v>0</v>
      </c>
      <c r="O230" s="48">
        <f t="shared" si="62"/>
        <v>6884108.8700000001</v>
      </c>
      <c r="P230" s="266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179"/>
      <c r="AG230" s="179"/>
      <c r="AH230" s="179"/>
      <c r="AI230" s="179"/>
    </row>
    <row r="231" spans="1:35" s="21" customFormat="1" ht="26.25" customHeight="1" x14ac:dyDescent="0.25">
      <c r="A231" s="5" t="s">
        <v>20</v>
      </c>
      <c r="B231" s="5" t="s">
        <v>135</v>
      </c>
      <c r="C231" s="13" t="s">
        <v>35</v>
      </c>
      <c r="D231" s="47">
        <f>'дод 3'!E262</f>
        <v>76600</v>
      </c>
      <c r="E231" s="47">
        <f>'дод 3'!F262</f>
        <v>76600</v>
      </c>
      <c r="F231" s="47">
        <f>'дод 3'!G262</f>
        <v>0</v>
      </c>
      <c r="G231" s="47">
        <f>'дод 3'!H262</f>
        <v>0</v>
      </c>
      <c r="H231" s="47">
        <f>'дод 3'!I262</f>
        <v>0</v>
      </c>
      <c r="I231" s="47">
        <f>'дод 3'!J262</f>
        <v>0</v>
      </c>
      <c r="J231" s="47">
        <f>'дод 3'!K262</f>
        <v>0</v>
      </c>
      <c r="K231" s="47">
        <f>'дод 3'!L262</f>
        <v>0</v>
      </c>
      <c r="L231" s="47">
        <f>'дод 3'!M262</f>
        <v>0</v>
      </c>
      <c r="M231" s="47">
        <f>'дод 3'!N262</f>
        <v>0</v>
      </c>
      <c r="N231" s="47">
        <f>'дод 3'!O262</f>
        <v>0</v>
      </c>
      <c r="O231" s="47">
        <f>'дод 3'!P262</f>
        <v>76600</v>
      </c>
      <c r="P231" s="266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F231" s="175"/>
      <c r="AG231" s="175"/>
      <c r="AH231" s="175"/>
      <c r="AI231" s="175"/>
    </row>
    <row r="232" spans="1:35" s="21" customFormat="1" ht="37.5" customHeight="1" x14ac:dyDescent="0.25">
      <c r="A232" s="5" t="s">
        <v>21</v>
      </c>
      <c r="B232" s="5" t="s">
        <v>139</v>
      </c>
      <c r="C232" s="13" t="s">
        <v>22</v>
      </c>
      <c r="D232" s="47">
        <f>'дод 3'!E91+'дод 3'!E325+'дод 3'!E56+'дод 3'!E263</f>
        <v>0</v>
      </c>
      <c r="E232" s="47">
        <f>'дод 3'!F91+'дод 3'!F325+'дод 3'!F56+'дод 3'!F263</f>
        <v>0</v>
      </c>
      <c r="F232" s="47">
        <f>'дод 3'!G91+'дод 3'!G325+'дод 3'!G56+'дод 3'!G263</f>
        <v>0</v>
      </c>
      <c r="G232" s="47">
        <f>'дод 3'!H91+'дод 3'!H325+'дод 3'!H56+'дод 3'!H263</f>
        <v>0</v>
      </c>
      <c r="H232" s="47">
        <f>'дод 3'!I91+'дод 3'!I325+'дод 3'!I56+'дод 3'!I263</f>
        <v>0</v>
      </c>
      <c r="I232" s="47">
        <f>'дод 3'!J91+'дод 3'!J325+'дод 3'!J56+'дод 3'!J263+'дод 3'!J128</f>
        <v>6807508.8700000001</v>
      </c>
      <c r="J232" s="47">
        <f>'дод 3'!K91+'дод 3'!K325+'дод 3'!K56+'дод 3'!K263+'дод 3'!K128</f>
        <v>2488887</v>
      </c>
      <c r="K232" s="47">
        <f>'дод 3'!L91+'дод 3'!L325+'дод 3'!L56+'дод 3'!L263</f>
        <v>0</v>
      </c>
      <c r="L232" s="47">
        <f>'дод 3'!M91+'дод 3'!M325+'дод 3'!M56+'дод 3'!M263</f>
        <v>0</v>
      </c>
      <c r="M232" s="47">
        <f>'дод 3'!N91+'дод 3'!N325+'дод 3'!N56+'дод 3'!N263</f>
        <v>4318621.87</v>
      </c>
      <c r="N232" s="47">
        <f>'дод 3'!O91+'дод 3'!O325+'дод 3'!O56+'дод 3'!O263</f>
        <v>0</v>
      </c>
      <c r="O232" s="47">
        <f>'дод 3'!P91+'дод 3'!P325+'дод 3'!P56+'дод 3'!P263+'дод 3'!P128</f>
        <v>6807508.8700000001</v>
      </c>
      <c r="P232" s="266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75"/>
      <c r="AE232" s="175"/>
      <c r="AF232" s="175"/>
      <c r="AG232" s="175"/>
      <c r="AH232" s="175"/>
      <c r="AI232" s="175"/>
    </row>
    <row r="233" spans="1:35" s="21" customFormat="1" ht="26.25" customHeight="1" x14ac:dyDescent="0.25">
      <c r="A233" s="22" t="s">
        <v>211</v>
      </c>
      <c r="B233" s="34"/>
      <c r="C233" s="11" t="s">
        <v>117</v>
      </c>
      <c r="D233" s="48">
        <f t="shared" ref="D233:O233" si="63">D234</f>
        <v>167500</v>
      </c>
      <c r="E233" s="48">
        <f t="shared" si="63"/>
        <v>167500</v>
      </c>
      <c r="F233" s="48">
        <f t="shared" si="63"/>
        <v>0</v>
      </c>
      <c r="G233" s="48">
        <f t="shared" si="63"/>
        <v>0</v>
      </c>
      <c r="H233" s="48">
        <f t="shared" si="63"/>
        <v>0</v>
      </c>
      <c r="I233" s="48">
        <f t="shared" si="63"/>
        <v>0</v>
      </c>
      <c r="J233" s="48">
        <f t="shared" si="63"/>
        <v>0</v>
      </c>
      <c r="K233" s="48">
        <f t="shared" si="63"/>
        <v>0</v>
      </c>
      <c r="L233" s="48">
        <f t="shared" si="63"/>
        <v>0</v>
      </c>
      <c r="M233" s="48">
        <f t="shared" si="63"/>
        <v>0</v>
      </c>
      <c r="N233" s="48">
        <f t="shared" si="63"/>
        <v>0</v>
      </c>
      <c r="O233" s="48">
        <f t="shared" si="63"/>
        <v>167500</v>
      </c>
      <c r="P233" s="266"/>
      <c r="Q233" s="179"/>
      <c r="R233" s="179"/>
      <c r="S233" s="179"/>
      <c r="T233" s="179"/>
      <c r="U233" s="179"/>
      <c r="V233" s="179"/>
      <c r="W233" s="179"/>
      <c r="X233" s="179"/>
      <c r="Y233" s="179"/>
      <c r="Z233" s="179"/>
      <c r="AA233" s="179"/>
      <c r="AB233" s="179"/>
      <c r="AC233" s="179"/>
      <c r="AD233" s="179"/>
      <c r="AE233" s="179"/>
      <c r="AF233" s="179"/>
      <c r="AG233" s="179"/>
      <c r="AH233" s="179"/>
      <c r="AI233" s="179"/>
    </row>
    <row r="234" spans="1:35" s="21" customFormat="1" ht="25.5" customHeight="1" x14ac:dyDescent="0.25">
      <c r="A234" s="5" t="s">
        <v>399</v>
      </c>
      <c r="B234" s="12" t="s">
        <v>118</v>
      </c>
      <c r="C234" s="13" t="s">
        <v>400</v>
      </c>
      <c r="D234" s="47">
        <f>'дод 3'!E57</f>
        <v>167500</v>
      </c>
      <c r="E234" s="47">
        <f>'дод 3'!F57</f>
        <v>167500</v>
      </c>
      <c r="F234" s="47">
        <f>'дод 3'!G57</f>
        <v>0</v>
      </c>
      <c r="G234" s="47">
        <f>'дод 3'!H57</f>
        <v>0</v>
      </c>
      <c r="H234" s="47">
        <f>'дод 3'!I57</f>
        <v>0</v>
      </c>
      <c r="I234" s="47">
        <f>'дод 3'!J57</f>
        <v>0</v>
      </c>
      <c r="J234" s="47">
        <f>'дод 3'!K57</f>
        <v>0</v>
      </c>
      <c r="K234" s="47">
        <f>'дод 3'!L57</f>
        <v>0</v>
      </c>
      <c r="L234" s="47">
        <f>'дод 3'!M57</f>
        <v>0</v>
      </c>
      <c r="M234" s="47">
        <f>'дод 3'!N57</f>
        <v>0</v>
      </c>
      <c r="N234" s="47">
        <f>'дод 3'!O57</f>
        <v>0</v>
      </c>
      <c r="O234" s="47">
        <f>'дод 3'!P57</f>
        <v>167500</v>
      </c>
      <c r="P234" s="266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  <c r="AD234" s="175"/>
      <c r="AE234" s="175"/>
      <c r="AF234" s="175"/>
      <c r="AG234" s="175"/>
      <c r="AH234" s="175"/>
      <c r="AI234" s="175"/>
    </row>
    <row r="235" spans="1:35" s="21" customFormat="1" ht="26.25" customHeight="1" x14ac:dyDescent="0.25">
      <c r="A235" s="22" t="s">
        <v>142</v>
      </c>
      <c r="B235" s="22" t="s">
        <v>137</v>
      </c>
      <c r="C235" s="11" t="s">
        <v>23</v>
      </c>
      <c r="D235" s="48">
        <f>'дод 3'!E326</f>
        <v>177952.41</v>
      </c>
      <c r="E235" s="48">
        <f>'дод 3'!F326</f>
        <v>177952.41</v>
      </c>
      <c r="F235" s="48">
        <f>'дод 3'!G326</f>
        <v>0</v>
      </c>
      <c r="G235" s="48">
        <f>'дод 3'!H326</f>
        <v>0</v>
      </c>
      <c r="H235" s="48">
        <f>'дод 3'!I326</f>
        <v>0</v>
      </c>
      <c r="I235" s="48">
        <f>'дод 3'!J326</f>
        <v>0</v>
      </c>
      <c r="J235" s="48">
        <f>'дод 3'!K326</f>
        <v>0</v>
      </c>
      <c r="K235" s="48">
        <f>'дод 3'!L326</f>
        <v>0</v>
      </c>
      <c r="L235" s="48">
        <f>'дод 3'!M326</f>
        <v>0</v>
      </c>
      <c r="M235" s="48">
        <f>'дод 3'!N326</f>
        <v>0</v>
      </c>
      <c r="N235" s="48">
        <f>'дод 3'!O326</f>
        <v>0</v>
      </c>
      <c r="O235" s="48">
        <f>'дод 3'!P326</f>
        <v>177952.41</v>
      </c>
      <c r="P235" s="266"/>
      <c r="Q235" s="179"/>
      <c r="R235" s="179"/>
      <c r="S235" s="179"/>
      <c r="T235" s="179"/>
      <c r="U235" s="179"/>
      <c r="V235" s="179"/>
      <c r="W235" s="179"/>
      <c r="X235" s="179"/>
      <c r="Y235" s="179"/>
      <c r="Z235" s="179"/>
      <c r="AA235" s="179"/>
      <c r="AB235" s="179"/>
      <c r="AC235" s="179"/>
      <c r="AD235" s="179"/>
      <c r="AE235" s="179"/>
      <c r="AF235" s="179"/>
      <c r="AG235" s="179"/>
      <c r="AH235" s="179"/>
      <c r="AI235" s="179"/>
    </row>
    <row r="236" spans="1:35" s="21" customFormat="1" ht="26.25" customHeight="1" x14ac:dyDescent="0.25">
      <c r="A236" s="22" t="s">
        <v>24</v>
      </c>
      <c r="B236" s="22" t="s">
        <v>140</v>
      </c>
      <c r="C236" s="11" t="s">
        <v>38</v>
      </c>
      <c r="D236" s="48">
        <f>'дод 3'!E327</f>
        <v>5767253.0699999984</v>
      </c>
      <c r="E236" s="48">
        <f>'дод 3'!F327</f>
        <v>0</v>
      </c>
      <c r="F236" s="48">
        <f>'дод 3'!G327</f>
        <v>0</v>
      </c>
      <c r="G236" s="48">
        <f>'дод 3'!H327</f>
        <v>0</v>
      </c>
      <c r="H236" s="48">
        <f>'дод 3'!I327</f>
        <v>0</v>
      </c>
      <c r="I236" s="48">
        <f>'дод 3'!J327</f>
        <v>0</v>
      </c>
      <c r="J236" s="48">
        <f>'дод 3'!K327</f>
        <v>0</v>
      </c>
      <c r="K236" s="48">
        <f>'дод 3'!L327</f>
        <v>0</v>
      </c>
      <c r="L236" s="48">
        <f>'дод 3'!M327</f>
        <v>0</v>
      </c>
      <c r="M236" s="48">
        <f>'дод 3'!N327</f>
        <v>0</v>
      </c>
      <c r="N236" s="48">
        <f>'дод 3'!O327</f>
        <v>0</v>
      </c>
      <c r="O236" s="48">
        <f>'дод 3'!P327</f>
        <v>5767253.0699999984</v>
      </c>
      <c r="P236" s="266"/>
      <c r="Q236" s="179"/>
      <c r="R236" s="179"/>
      <c r="S236" s="179"/>
      <c r="T236" s="179"/>
      <c r="U236" s="179"/>
      <c r="V236" s="179"/>
      <c r="W236" s="179"/>
      <c r="X236" s="179"/>
      <c r="Y236" s="179"/>
      <c r="Z236" s="179"/>
      <c r="AA236" s="179"/>
      <c r="AB236" s="179"/>
      <c r="AC236" s="179"/>
      <c r="AD236" s="179"/>
      <c r="AE236" s="179"/>
      <c r="AF236" s="179"/>
      <c r="AG236" s="179"/>
      <c r="AH236" s="179"/>
      <c r="AI236" s="179"/>
    </row>
    <row r="237" spans="1:35" s="21" customFormat="1" ht="27.75" customHeight="1" x14ac:dyDescent="0.25">
      <c r="A237" s="22" t="s">
        <v>25</v>
      </c>
      <c r="B237" s="22"/>
      <c r="C237" s="11" t="s">
        <v>164</v>
      </c>
      <c r="D237" s="48">
        <f>D239+D241+D245+D247</f>
        <v>90340000</v>
      </c>
      <c r="E237" s="48">
        <f t="shared" ref="E237:O237" si="64">E239+E241+E245+E247</f>
        <v>90340000</v>
      </c>
      <c r="F237" s="48">
        <f t="shared" si="64"/>
        <v>0</v>
      </c>
      <c r="G237" s="48">
        <f t="shared" si="64"/>
        <v>0</v>
      </c>
      <c r="H237" s="48">
        <f t="shared" si="64"/>
        <v>0</v>
      </c>
      <c r="I237" s="48">
        <f t="shared" si="64"/>
        <v>12810580</v>
      </c>
      <c r="J237" s="48">
        <f t="shared" si="64"/>
        <v>4000000</v>
      </c>
      <c r="K237" s="48">
        <f t="shared" si="64"/>
        <v>0</v>
      </c>
      <c r="L237" s="48">
        <f t="shared" si="64"/>
        <v>0</v>
      </c>
      <c r="M237" s="48">
        <f t="shared" si="64"/>
        <v>8810580</v>
      </c>
      <c r="N237" s="48">
        <f t="shared" si="64"/>
        <v>8810580</v>
      </c>
      <c r="O237" s="48">
        <f t="shared" si="64"/>
        <v>103150580</v>
      </c>
      <c r="P237" s="266"/>
      <c r="Q237" s="179"/>
      <c r="R237" s="179"/>
      <c r="S237" s="179"/>
      <c r="T237" s="179"/>
      <c r="U237" s="179"/>
      <c r="V237" s="179"/>
      <c r="W237" s="179"/>
      <c r="X237" s="179"/>
      <c r="Y237" s="179"/>
      <c r="Z237" s="179"/>
      <c r="AA237" s="179"/>
      <c r="AB237" s="179"/>
      <c r="AC237" s="179"/>
      <c r="AD237" s="179"/>
      <c r="AE237" s="179"/>
      <c r="AF237" s="179"/>
      <c r="AG237" s="179"/>
      <c r="AH237" s="179"/>
      <c r="AI237" s="179"/>
    </row>
    <row r="238" spans="1:35" s="21" customFormat="1" ht="27.75" customHeight="1" x14ac:dyDescent="0.25">
      <c r="A238" s="22"/>
      <c r="B238" s="22"/>
      <c r="C238" s="211" t="s">
        <v>416</v>
      </c>
      <c r="D238" s="48">
        <f>D242</f>
        <v>0</v>
      </c>
      <c r="E238" s="48">
        <f t="shared" ref="E238:O238" si="65">E242</f>
        <v>0</v>
      </c>
      <c r="F238" s="48">
        <f t="shared" si="65"/>
        <v>0</v>
      </c>
      <c r="G238" s="48">
        <f t="shared" si="65"/>
        <v>0</v>
      </c>
      <c r="H238" s="48">
        <f t="shared" si="65"/>
        <v>0</v>
      </c>
      <c r="I238" s="48">
        <f t="shared" si="65"/>
        <v>4000000</v>
      </c>
      <c r="J238" s="48">
        <f t="shared" si="65"/>
        <v>4000000</v>
      </c>
      <c r="K238" s="48">
        <f t="shared" si="65"/>
        <v>0</v>
      </c>
      <c r="L238" s="48">
        <f t="shared" si="65"/>
        <v>0</v>
      </c>
      <c r="M238" s="48">
        <f t="shared" si="65"/>
        <v>0</v>
      </c>
      <c r="N238" s="48">
        <f t="shared" si="65"/>
        <v>0</v>
      </c>
      <c r="O238" s="48">
        <f t="shared" si="65"/>
        <v>4000000</v>
      </c>
      <c r="P238" s="266"/>
      <c r="Q238" s="179"/>
      <c r="R238" s="179"/>
      <c r="S238" s="179"/>
      <c r="T238" s="179"/>
      <c r="U238" s="179"/>
      <c r="V238" s="179"/>
      <c r="W238" s="179"/>
      <c r="X238" s="179"/>
      <c r="Y238" s="179"/>
      <c r="Z238" s="179"/>
      <c r="AA238" s="179"/>
      <c r="AB238" s="179"/>
      <c r="AC238" s="179"/>
      <c r="AD238" s="179"/>
      <c r="AE238" s="179"/>
      <c r="AF238" s="179"/>
      <c r="AG238" s="179"/>
      <c r="AH238" s="179"/>
      <c r="AI238" s="179"/>
    </row>
    <row r="239" spans="1:35" s="21" customFormat="1" ht="27.75" customHeight="1" x14ac:dyDescent="0.25">
      <c r="A239" s="22" t="s">
        <v>397</v>
      </c>
      <c r="B239" s="22"/>
      <c r="C239" s="11" t="s">
        <v>470</v>
      </c>
      <c r="D239" s="48">
        <f t="shared" ref="D239:O239" si="66">D240</f>
        <v>87299600</v>
      </c>
      <c r="E239" s="48">
        <f t="shared" si="66"/>
        <v>87299600</v>
      </c>
      <c r="F239" s="48">
        <f t="shared" si="66"/>
        <v>0</v>
      </c>
      <c r="G239" s="48">
        <f t="shared" si="66"/>
        <v>0</v>
      </c>
      <c r="H239" s="48">
        <f t="shared" si="66"/>
        <v>0</v>
      </c>
      <c r="I239" s="48">
        <f t="shared" si="66"/>
        <v>0</v>
      </c>
      <c r="J239" s="48">
        <f t="shared" si="66"/>
        <v>0</v>
      </c>
      <c r="K239" s="48">
        <f t="shared" si="66"/>
        <v>0</v>
      </c>
      <c r="L239" s="48">
        <f t="shared" si="66"/>
        <v>0</v>
      </c>
      <c r="M239" s="48">
        <f t="shared" si="66"/>
        <v>0</v>
      </c>
      <c r="N239" s="48">
        <f t="shared" si="66"/>
        <v>0</v>
      </c>
      <c r="O239" s="48">
        <f t="shared" si="66"/>
        <v>87299600</v>
      </c>
      <c r="P239" s="266"/>
      <c r="Q239" s="179"/>
      <c r="R239" s="179"/>
      <c r="S239" s="179"/>
      <c r="T239" s="179"/>
      <c r="U239" s="179"/>
      <c r="V239" s="179"/>
      <c r="W239" s="179"/>
      <c r="X239" s="179"/>
      <c r="Y239" s="179"/>
      <c r="Z239" s="179"/>
      <c r="AA239" s="179"/>
      <c r="AB239" s="179"/>
      <c r="AC239" s="179"/>
      <c r="AD239" s="179"/>
      <c r="AE239" s="179"/>
      <c r="AF239" s="179"/>
      <c r="AG239" s="179"/>
      <c r="AH239" s="179"/>
      <c r="AI239" s="179"/>
    </row>
    <row r="240" spans="1:35" s="21" customFormat="1" ht="21.75" customHeight="1" x14ac:dyDescent="0.25">
      <c r="A240" s="5" t="s">
        <v>138</v>
      </c>
      <c r="B240" s="12" t="s">
        <v>78</v>
      </c>
      <c r="C240" s="13" t="s">
        <v>162</v>
      </c>
      <c r="D240" s="47">
        <f>'дод 3'!E328</f>
        <v>87299600</v>
      </c>
      <c r="E240" s="47">
        <f>'дод 3'!F328</f>
        <v>87299600</v>
      </c>
      <c r="F240" s="47">
        <f>'дод 3'!G328</f>
        <v>0</v>
      </c>
      <c r="G240" s="47">
        <f>'дод 3'!H328</f>
        <v>0</v>
      </c>
      <c r="H240" s="47">
        <f>'дод 3'!I328</f>
        <v>0</v>
      </c>
      <c r="I240" s="47">
        <f>'дод 3'!J328</f>
        <v>0</v>
      </c>
      <c r="J240" s="47">
        <f>'дод 3'!K328</f>
        <v>0</v>
      </c>
      <c r="K240" s="47">
        <f>'дод 3'!L328</f>
        <v>0</v>
      </c>
      <c r="L240" s="47">
        <f>'дод 3'!M328</f>
        <v>0</v>
      </c>
      <c r="M240" s="47">
        <f>'дод 3'!N328</f>
        <v>0</v>
      </c>
      <c r="N240" s="47">
        <f>'дод 3'!O328</f>
        <v>0</v>
      </c>
      <c r="O240" s="47">
        <f>'дод 3'!P328</f>
        <v>87299600</v>
      </c>
      <c r="P240" s="266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  <c r="AD240" s="175"/>
      <c r="AE240" s="175"/>
      <c r="AF240" s="175"/>
      <c r="AG240" s="175"/>
      <c r="AH240" s="175"/>
      <c r="AI240" s="175"/>
    </row>
    <row r="241" spans="1:35" s="21" customFormat="1" ht="67.150000000000006" customHeight="1" x14ac:dyDescent="0.25">
      <c r="A241" s="22" t="s">
        <v>652</v>
      </c>
      <c r="B241" s="12"/>
      <c r="C241" s="230" t="s">
        <v>653</v>
      </c>
      <c r="D241" s="47">
        <f>D243</f>
        <v>0</v>
      </c>
      <c r="E241" s="47"/>
      <c r="F241" s="47"/>
      <c r="G241" s="47"/>
      <c r="H241" s="47"/>
      <c r="I241" s="48">
        <f>I243</f>
        <v>4000000</v>
      </c>
      <c r="J241" s="47">
        <f>J243</f>
        <v>4000000</v>
      </c>
      <c r="K241" s="47"/>
      <c r="L241" s="47"/>
      <c r="M241" s="47"/>
      <c r="N241" s="47"/>
      <c r="O241" s="48">
        <f>O243</f>
        <v>4000000</v>
      </c>
      <c r="P241" s="266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5"/>
      <c r="AD241" s="175"/>
      <c r="AE241" s="175"/>
      <c r="AF241" s="175"/>
      <c r="AG241" s="175"/>
      <c r="AH241" s="175"/>
      <c r="AI241" s="175"/>
    </row>
    <row r="242" spans="1:35" s="28" customFormat="1" ht="23.25" customHeight="1" x14ac:dyDescent="0.25">
      <c r="A242" s="226"/>
      <c r="B242" s="247"/>
      <c r="C242" s="211" t="s">
        <v>416</v>
      </c>
      <c r="D242" s="227"/>
      <c r="E242" s="227"/>
      <c r="F242" s="227"/>
      <c r="G242" s="227"/>
      <c r="H242" s="227"/>
      <c r="I242" s="227">
        <f>I244</f>
        <v>4000000</v>
      </c>
      <c r="J242" s="227">
        <f>J244</f>
        <v>4000000</v>
      </c>
      <c r="K242" s="227"/>
      <c r="L242" s="227"/>
      <c r="M242" s="227"/>
      <c r="N242" s="227"/>
      <c r="O242" s="227">
        <f>I242+D242</f>
        <v>4000000</v>
      </c>
      <c r="P242" s="259"/>
      <c r="Q242" s="228"/>
      <c r="R242" s="228"/>
      <c r="S242" s="228"/>
      <c r="T242" s="228"/>
      <c r="U242" s="228"/>
      <c r="V242" s="228"/>
      <c r="W242" s="228"/>
      <c r="X242" s="228"/>
      <c r="Y242" s="228"/>
      <c r="Z242" s="228"/>
      <c r="AA242" s="228"/>
      <c r="AB242" s="228"/>
      <c r="AC242" s="228"/>
      <c r="AD242" s="228"/>
      <c r="AE242" s="228"/>
      <c r="AF242" s="228"/>
      <c r="AG242" s="228"/>
      <c r="AH242" s="228"/>
      <c r="AI242" s="228"/>
    </row>
    <row r="243" spans="1:35" s="21" customFormat="1" ht="112.5" customHeight="1" x14ac:dyDescent="0.25">
      <c r="A243" s="5" t="s">
        <v>651</v>
      </c>
      <c r="B243" s="12" t="s">
        <v>78</v>
      </c>
      <c r="C243" s="229" t="s">
        <v>650</v>
      </c>
      <c r="D243" s="47"/>
      <c r="E243" s="47"/>
      <c r="F243" s="47"/>
      <c r="G243" s="47"/>
      <c r="H243" s="47"/>
      <c r="I243" s="47">
        <f>J243+M243</f>
        <v>4000000</v>
      </c>
      <c r="J243" s="47">
        <f>'дод 3'!K329</f>
        <v>4000000</v>
      </c>
      <c r="K243" s="47"/>
      <c r="L243" s="47"/>
      <c r="M243" s="47"/>
      <c r="N243" s="47"/>
      <c r="O243" s="47">
        <f>I243+D243</f>
        <v>4000000</v>
      </c>
      <c r="P243" s="259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75"/>
      <c r="AD243" s="175"/>
      <c r="AE243" s="175"/>
      <c r="AF243" s="175"/>
      <c r="AG243" s="175"/>
      <c r="AH243" s="175"/>
      <c r="AI243" s="175"/>
    </row>
    <row r="244" spans="1:35" s="21" customFormat="1" ht="23.25" customHeight="1" x14ac:dyDescent="0.25">
      <c r="A244" s="5"/>
      <c r="B244" s="12"/>
      <c r="C244" s="211" t="s">
        <v>416</v>
      </c>
      <c r="D244" s="47"/>
      <c r="E244" s="47"/>
      <c r="F244" s="47"/>
      <c r="G244" s="47"/>
      <c r="H244" s="47"/>
      <c r="I244" s="47">
        <f>J244+M244</f>
        <v>4000000</v>
      </c>
      <c r="J244" s="47">
        <f>'дод 3'!K330</f>
        <v>4000000</v>
      </c>
      <c r="K244" s="47"/>
      <c r="L244" s="47"/>
      <c r="M244" s="47"/>
      <c r="N244" s="47"/>
      <c r="O244" s="47">
        <f>I244+D244</f>
        <v>4000000</v>
      </c>
      <c r="P244" s="259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5"/>
      <c r="AE244" s="175"/>
      <c r="AF244" s="175"/>
      <c r="AG244" s="175"/>
      <c r="AH244" s="175"/>
      <c r="AI244" s="175"/>
    </row>
    <row r="245" spans="1:35" s="21" customFormat="1" ht="57" customHeight="1" x14ac:dyDescent="0.25">
      <c r="A245" s="22" t="s">
        <v>26</v>
      </c>
      <c r="B245" s="10"/>
      <c r="C245" s="11" t="s">
        <v>27</v>
      </c>
      <c r="D245" s="48">
        <f t="shared" ref="D245:O245" si="67">D246</f>
        <v>1974500</v>
      </c>
      <c r="E245" s="48">
        <f t="shared" si="67"/>
        <v>1974500</v>
      </c>
      <c r="F245" s="48">
        <f t="shared" si="67"/>
        <v>0</v>
      </c>
      <c r="G245" s="48">
        <f t="shared" si="67"/>
        <v>0</v>
      </c>
      <c r="H245" s="48">
        <f t="shared" si="67"/>
        <v>0</v>
      </c>
      <c r="I245" s="48">
        <f t="shared" si="67"/>
        <v>2116800</v>
      </c>
      <c r="J245" s="48">
        <f t="shared" si="67"/>
        <v>0</v>
      </c>
      <c r="K245" s="48">
        <f t="shared" si="67"/>
        <v>0</v>
      </c>
      <c r="L245" s="48">
        <f t="shared" si="67"/>
        <v>0</v>
      </c>
      <c r="M245" s="48">
        <f t="shared" si="67"/>
        <v>2116800</v>
      </c>
      <c r="N245" s="48">
        <f t="shared" si="67"/>
        <v>2116800</v>
      </c>
      <c r="O245" s="48">
        <f t="shared" si="67"/>
        <v>4091300</v>
      </c>
      <c r="P245" s="267">
        <v>46</v>
      </c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179"/>
      <c r="AG245" s="179"/>
      <c r="AH245" s="179"/>
      <c r="AI245" s="179"/>
    </row>
    <row r="246" spans="1:35" s="21" customFormat="1" ht="33.75" customHeight="1" x14ac:dyDescent="0.25">
      <c r="A246" s="5" t="s">
        <v>28</v>
      </c>
      <c r="B246" s="12" t="s">
        <v>78</v>
      </c>
      <c r="C246" s="18" t="s">
        <v>415</v>
      </c>
      <c r="D246" s="47">
        <f>'дод 3'!E264+'дод 3'!E209+'дод 3'!E331+'дод 3'!E58+'дод 3'!E129</f>
        <v>1974500</v>
      </c>
      <c r="E246" s="47">
        <f>'дод 3'!F264+'дод 3'!F209+'дод 3'!F331+'дод 3'!F58+'дод 3'!F129</f>
        <v>1974500</v>
      </c>
      <c r="F246" s="47">
        <f>'дод 3'!G264+'дод 3'!G209+'дод 3'!G331+'дод 3'!G58+'дод 3'!G129</f>
        <v>0</v>
      </c>
      <c r="G246" s="47">
        <f>'дод 3'!H264+'дод 3'!H209+'дод 3'!H331+'дод 3'!H58+'дод 3'!H129</f>
        <v>0</v>
      </c>
      <c r="H246" s="47">
        <f>'дод 3'!I264+'дод 3'!I209+'дод 3'!I331+'дод 3'!I58+'дод 3'!I129</f>
        <v>0</v>
      </c>
      <c r="I246" s="47">
        <f>'дод 3'!J264+'дод 3'!J209+'дод 3'!J331+'дод 3'!J58+'дод 3'!J129</f>
        <v>2116800</v>
      </c>
      <c r="J246" s="47">
        <f>'дод 3'!K264+'дод 3'!K209+'дод 3'!K331+'дод 3'!K58+'дод 3'!K129</f>
        <v>0</v>
      </c>
      <c r="K246" s="47">
        <f>'дод 3'!L264+'дод 3'!L209+'дод 3'!L331+'дод 3'!L58+'дод 3'!L129</f>
        <v>0</v>
      </c>
      <c r="L246" s="47">
        <f>'дод 3'!M264+'дод 3'!M209+'дод 3'!M331+'дод 3'!M58+'дод 3'!M129</f>
        <v>0</v>
      </c>
      <c r="M246" s="47">
        <f>'дод 3'!N264+'дод 3'!N209+'дод 3'!N331+'дод 3'!N58+'дод 3'!N129</f>
        <v>2116800</v>
      </c>
      <c r="N246" s="47">
        <f>'дод 3'!O264+'дод 3'!O209+'дод 3'!O331+'дод 3'!O58+'дод 3'!O129</f>
        <v>2116800</v>
      </c>
      <c r="O246" s="47">
        <f>'дод 3'!P264+'дод 3'!P209+'дод 3'!P331+'дод 3'!P58+'дод 3'!P129</f>
        <v>4091300</v>
      </c>
      <c r="P246" s="267"/>
      <c r="Q246" s="177"/>
      <c r="R246" s="177"/>
      <c r="S246" s="177"/>
      <c r="T246" s="177"/>
      <c r="U246" s="177"/>
      <c r="V246" s="177"/>
      <c r="W246" s="177"/>
      <c r="X246" s="177"/>
      <c r="Y246" s="177"/>
      <c r="Z246" s="177"/>
      <c r="AA246" s="177"/>
      <c r="AB246" s="177"/>
      <c r="AC246" s="177"/>
      <c r="AD246" s="177"/>
      <c r="AE246" s="177"/>
      <c r="AF246" s="177"/>
      <c r="AG246" s="177"/>
      <c r="AH246" s="177"/>
      <c r="AI246" s="177"/>
    </row>
    <row r="247" spans="1:35" s="21" customFormat="1" ht="60" customHeight="1" x14ac:dyDescent="0.25">
      <c r="A247" s="22" t="s">
        <v>590</v>
      </c>
      <c r="B247" s="10"/>
      <c r="C247" s="39" t="s">
        <v>591</v>
      </c>
      <c r="D247" s="48">
        <f>D248</f>
        <v>1065900</v>
      </c>
      <c r="E247" s="48">
        <f t="shared" ref="E247:O247" si="68">E248</f>
        <v>1065900</v>
      </c>
      <c r="F247" s="48">
        <f t="shared" si="68"/>
        <v>0</v>
      </c>
      <c r="G247" s="48">
        <f t="shared" si="68"/>
        <v>0</v>
      </c>
      <c r="H247" s="48">
        <f t="shared" si="68"/>
        <v>0</v>
      </c>
      <c r="I247" s="48">
        <f t="shared" si="68"/>
        <v>6693780</v>
      </c>
      <c r="J247" s="48">
        <f t="shared" si="68"/>
        <v>0</v>
      </c>
      <c r="K247" s="48">
        <f t="shared" si="68"/>
        <v>0</v>
      </c>
      <c r="L247" s="48">
        <f t="shared" si="68"/>
        <v>0</v>
      </c>
      <c r="M247" s="48">
        <f t="shared" si="68"/>
        <v>6693780</v>
      </c>
      <c r="N247" s="48">
        <f t="shared" si="68"/>
        <v>6693780</v>
      </c>
      <c r="O247" s="48">
        <f t="shared" si="68"/>
        <v>7759680</v>
      </c>
      <c r="P247" s="267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</row>
    <row r="248" spans="1:35" s="21" customFormat="1" ht="60.75" customHeight="1" x14ac:dyDescent="0.25">
      <c r="A248" s="5" t="s">
        <v>590</v>
      </c>
      <c r="B248" s="12" t="s">
        <v>78</v>
      </c>
      <c r="C248" s="18" t="s">
        <v>591</v>
      </c>
      <c r="D248" s="47">
        <f>'дод 3'!E59+'дод 3'!E92+'дод 3'!E316</f>
        <v>1065900</v>
      </c>
      <c r="E248" s="47">
        <f>'дод 3'!F59+'дод 3'!F92+'дод 3'!F316</f>
        <v>1065900</v>
      </c>
      <c r="F248" s="47">
        <f>'дод 3'!G59+'дод 3'!G92+'дод 3'!G316</f>
        <v>0</v>
      </c>
      <c r="G248" s="47">
        <f>'дод 3'!H59+'дод 3'!H92+'дод 3'!H316</f>
        <v>0</v>
      </c>
      <c r="H248" s="47">
        <f>'дод 3'!I59+'дод 3'!I92+'дод 3'!I316</f>
        <v>0</v>
      </c>
      <c r="I248" s="47">
        <f>'дод 3'!J59+'дод 3'!J92+'дод 3'!J316</f>
        <v>6693780</v>
      </c>
      <c r="J248" s="47">
        <f>'дод 3'!K59+'дод 3'!K92+'дод 3'!K316</f>
        <v>0</v>
      </c>
      <c r="K248" s="47">
        <f>'дод 3'!L59+'дод 3'!L92+'дод 3'!L316</f>
        <v>0</v>
      </c>
      <c r="L248" s="47">
        <f>'дод 3'!M59+'дод 3'!M92+'дод 3'!M316</f>
        <v>0</v>
      </c>
      <c r="M248" s="47">
        <f>'дод 3'!N59+'дод 3'!N92+'дод 3'!N316</f>
        <v>6693780</v>
      </c>
      <c r="N248" s="47">
        <f>'дод 3'!O59+'дод 3'!O92+'дод 3'!O316</f>
        <v>6693780</v>
      </c>
      <c r="O248" s="47">
        <f>'дод 3'!P59+'дод 3'!P92+'дод 3'!P316</f>
        <v>7759680</v>
      </c>
      <c r="P248" s="26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7"/>
      <c r="AB248" s="177"/>
      <c r="AC248" s="177"/>
      <c r="AD248" s="177"/>
      <c r="AE248" s="177"/>
      <c r="AF248" s="177"/>
      <c r="AG248" s="177"/>
      <c r="AH248" s="177"/>
      <c r="AI248" s="177"/>
    </row>
    <row r="249" spans="1:35" s="21" customFormat="1" ht="25.5" customHeight="1" x14ac:dyDescent="0.25">
      <c r="A249" s="22"/>
      <c r="B249" s="22"/>
      <c r="C249" s="11" t="s">
        <v>39</v>
      </c>
      <c r="D249" s="48">
        <f>D237+D224+D180+D159+D149+D143+D61+D33+D14+D11</f>
        <v>2950998154.2600002</v>
      </c>
      <c r="E249" s="48">
        <f t="shared" ref="E249:O249" si="69">E237+E224+E180+E159+E149+E143+E61+E33+E14+E11</f>
        <v>2892929052.6900005</v>
      </c>
      <c r="F249" s="48">
        <f t="shared" si="69"/>
        <v>673264046.73000002</v>
      </c>
      <c r="G249" s="48">
        <f t="shared" si="69"/>
        <v>100370595.65000001</v>
      </c>
      <c r="H249" s="48">
        <f t="shared" si="69"/>
        <v>52301848.5</v>
      </c>
      <c r="I249" s="48">
        <f t="shared" si="69"/>
        <v>657335254.05000007</v>
      </c>
      <c r="J249" s="48">
        <f t="shared" si="69"/>
        <v>89352387.859999999</v>
      </c>
      <c r="K249" s="48">
        <f t="shared" si="69"/>
        <v>6315206</v>
      </c>
      <c r="L249" s="48">
        <f t="shared" si="69"/>
        <v>2472134</v>
      </c>
      <c r="M249" s="48">
        <f t="shared" si="69"/>
        <v>567982866.19000006</v>
      </c>
      <c r="N249" s="48">
        <f t="shared" si="69"/>
        <v>515026245.63999993</v>
      </c>
      <c r="O249" s="48">
        <f t="shared" si="69"/>
        <v>3608333408.3100004</v>
      </c>
      <c r="P249" s="267"/>
      <c r="Q249" s="179">
        <f>O249-D249-I249</f>
        <v>0</v>
      </c>
      <c r="R249" s="179"/>
      <c r="S249" s="179"/>
      <c r="T249" s="179"/>
      <c r="U249" s="179"/>
      <c r="V249" s="179"/>
      <c r="W249" s="179"/>
      <c r="X249" s="179"/>
      <c r="Y249" s="179"/>
      <c r="Z249" s="179"/>
      <c r="AA249" s="179"/>
      <c r="AB249" s="179"/>
      <c r="AC249" s="179"/>
      <c r="AD249" s="179"/>
      <c r="AE249" s="179"/>
      <c r="AF249" s="179"/>
      <c r="AG249" s="179"/>
      <c r="AH249" s="179"/>
      <c r="AI249" s="179"/>
    </row>
    <row r="250" spans="1:35" s="21" customFormat="1" ht="25.5" customHeight="1" x14ac:dyDescent="0.25">
      <c r="A250" s="22"/>
      <c r="B250" s="22"/>
      <c r="C250" s="11" t="s">
        <v>416</v>
      </c>
      <c r="D250" s="48">
        <f>D238+D160+D62+D34+D15</f>
        <v>1651182512.9000001</v>
      </c>
      <c r="E250" s="48">
        <f>E238+E160+E62+E34+E15</f>
        <v>1651182512.9000001</v>
      </c>
      <c r="F250" s="48">
        <f>F238+F160+F62+F34+F15</f>
        <v>213388985</v>
      </c>
      <c r="G250" s="48">
        <f>G238+G160+G62+G34+G15</f>
        <v>0</v>
      </c>
      <c r="H250" s="48">
        <f>H238+H160+H62+H34+H15</f>
        <v>0</v>
      </c>
      <c r="I250" s="48">
        <f>I238+I160+I62+I34+I15+I184+I199</f>
        <v>103346733.02000001</v>
      </c>
      <c r="J250" s="48">
        <f t="shared" ref="J250:O250" si="70">J238+J160+J62+J34+J15+J184+J199</f>
        <v>15900000</v>
      </c>
      <c r="K250" s="48">
        <f t="shared" si="70"/>
        <v>0</v>
      </c>
      <c r="L250" s="48">
        <f t="shared" si="70"/>
        <v>0</v>
      </c>
      <c r="M250" s="48">
        <f t="shared" si="70"/>
        <v>87446733.020000011</v>
      </c>
      <c r="N250" s="48">
        <f t="shared" si="70"/>
        <v>41161369.969999999</v>
      </c>
      <c r="O250" s="48">
        <f t="shared" si="70"/>
        <v>1754529245.9199998</v>
      </c>
      <c r="P250" s="267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</row>
    <row r="251" spans="1:35" s="21" customFormat="1" ht="51" customHeight="1" x14ac:dyDescent="0.25">
      <c r="A251" s="93"/>
      <c r="B251" s="93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267"/>
      <c r="Q251" s="180"/>
      <c r="R251" s="180"/>
      <c r="S251" s="181"/>
      <c r="T251" s="181"/>
      <c r="U251" s="181"/>
      <c r="V251" s="181"/>
      <c r="W251" s="181"/>
      <c r="X251" s="181"/>
      <c r="Y251" s="181"/>
      <c r="Z251" s="181"/>
      <c r="AA251" s="181"/>
      <c r="AB251" s="181"/>
      <c r="AC251" s="181"/>
      <c r="AD251" s="181"/>
      <c r="AE251" s="181"/>
      <c r="AF251" s="181"/>
      <c r="AG251" s="181"/>
      <c r="AH251" s="181"/>
      <c r="AI251" s="182"/>
    </row>
    <row r="252" spans="1:35" s="21" customFormat="1" ht="39.75" customHeight="1" x14ac:dyDescent="0.25">
      <c r="A252" s="276"/>
      <c r="B252" s="277"/>
      <c r="C252" s="277"/>
      <c r="D252" s="220"/>
      <c r="E252" s="257"/>
      <c r="F252" s="257"/>
      <c r="G252" s="257"/>
      <c r="H252" s="257"/>
      <c r="I252" s="257"/>
      <c r="J252" s="257"/>
      <c r="K252" s="257"/>
      <c r="L252" s="257"/>
      <c r="M252" s="219"/>
      <c r="N252" s="198"/>
      <c r="O252" s="198"/>
      <c r="P252" s="267"/>
      <c r="Q252" s="180"/>
      <c r="R252" s="180"/>
      <c r="S252" s="181"/>
      <c r="T252" s="181"/>
      <c r="U252" s="181"/>
      <c r="V252" s="181"/>
      <c r="W252" s="181"/>
      <c r="X252" s="181"/>
      <c r="Y252" s="181"/>
      <c r="Z252" s="181"/>
      <c r="AA252" s="181"/>
      <c r="AB252" s="181"/>
      <c r="AC252" s="181"/>
      <c r="AD252" s="181"/>
      <c r="AE252" s="181"/>
      <c r="AF252" s="181"/>
      <c r="AG252" s="181"/>
      <c r="AH252" s="181"/>
      <c r="AI252" s="182"/>
    </row>
    <row r="253" spans="1:35" s="223" customFormat="1" ht="39.75" customHeight="1" x14ac:dyDescent="0.4">
      <c r="A253" s="196"/>
      <c r="B253" s="217"/>
      <c r="C253" s="217"/>
      <c r="D253" s="217"/>
      <c r="E253" s="217"/>
      <c r="F253" s="217"/>
      <c r="G253" s="217"/>
      <c r="H253" s="217"/>
      <c r="I253" s="257"/>
      <c r="J253" s="257"/>
      <c r="K253" s="197"/>
      <c r="L253" s="257"/>
      <c r="M253" s="198"/>
      <c r="N253" s="198"/>
      <c r="O253" s="198"/>
      <c r="P253" s="267"/>
      <c r="Q253" s="221"/>
      <c r="R253" s="221"/>
      <c r="S253" s="196"/>
      <c r="T253" s="196"/>
      <c r="U253" s="196"/>
      <c r="V253" s="196"/>
      <c r="W253" s="196"/>
      <c r="X253" s="196"/>
      <c r="Y253" s="196"/>
      <c r="Z253" s="196"/>
      <c r="AA253" s="196"/>
      <c r="AB253" s="196"/>
      <c r="AC253" s="196"/>
      <c r="AD253" s="196"/>
      <c r="AE253" s="196"/>
      <c r="AF253" s="196"/>
      <c r="AG253" s="196"/>
      <c r="AH253" s="196"/>
      <c r="AI253" s="222"/>
    </row>
    <row r="254" spans="1:35" s="223" customFormat="1" ht="31.5" customHeight="1" x14ac:dyDescent="0.4">
      <c r="A254" s="288" t="s">
        <v>674</v>
      </c>
      <c r="B254" s="288"/>
      <c r="C254" s="288"/>
      <c r="D254" s="199"/>
      <c r="E254" s="140"/>
      <c r="F254" s="140"/>
      <c r="G254" s="140"/>
      <c r="H254" s="140"/>
      <c r="I254" s="140"/>
      <c r="J254" s="140"/>
      <c r="K254" s="140"/>
      <c r="L254" s="140"/>
      <c r="M254" s="263" t="s">
        <v>676</v>
      </c>
      <c r="N254" s="140"/>
      <c r="O254" s="198"/>
      <c r="P254" s="267"/>
      <c r="Q254" s="221"/>
      <c r="R254" s="221"/>
      <c r="S254" s="196"/>
      <c r="T254" s="196"/>
      <c r="U254" s="196"/>
      <c r="V254" s="196"/>
      <c r="W254" s="196"/>
      <c r="X254" s="196"/>
      <c r="Y254" s="196"/>
      <c r="Z254" s="196"/>
      <c r="AA254" s="196"/>
      <c r="AB254" s="196"/>
      <c r="AC254" s="196"/>
      <c r="AD254" s="196"/>
      <c r="AE254" s="196"/>
      <c r="AF254" s="196"/>
      <c r="AG254" s="196"/>
      <c r="AH254" s="196"/>
      <c r="AI254" s="222"/>
    </row>
    <row r="255" spans="1:35" s="223" customFormat="1" ht="35.25" customHeight="1" x14ac:dyDescent="0.35">
      <c r="A255" s="288" t="s">
        <v>675</v>
      </c>
      <c r="B255" s="288"/>
      <c r="C255" s="288"/>
      <c r="D255" s="198"/>
      <c r="E255" s="198"/>
      <c r="F255" s="198"/>
      <c r="G255" s="198"/>
      <c r="H255" s="198"/>
      <c r="I255" s="198"/>
      <c r="J255" s="198"/>
      <c r="K255" s="198"/>
      <c r="L255" s="198"/>
      <c r="M255" s="198"/>
      <c r="N255" s="198"/>
      <c r="O255" s="198"/>
      <c r="P255" s="267"/>
      <c r="Q255" s="221"/>
      <c r="R255" s="221"/>
      <c r="S255" s="196"/>
      <c r="T255" s="196"/>
      <c r="U255" s="196"/>
      <c r="V255" s="196"/>
      <c r="W255" s="196"/>
      <c r="X255" s="196"/>
      <c r="Y255" s="196"/>
      <c r="Z255" s="196"/>
      <c r="AA255" s="196"/>
      <c r="AB255" s="196"/>
      <c r="AC255" s="196"/>
      <c r="AD255" s="196"/>
      <c r="AE255" s="196"/>
      <c r="AF255" s="196"/>
      <c r="AG255" s="196"/>
      <c r="AH255" s="196"/>
      <c r="AI255" s="222"/>
    </row>
    <row r="256" spans="1:35" s="223" customFormat="1" ht="23.45" customHeight="1" x14ac:dyDescent="0.4">
      <c r="A256" s="204"/>
      <c r="B256" s="204"/>
      <c r="C256" s="204"/>
      <c r="D256" s="199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98"/>
      <c r="P256" s="267"/>
      <c r="Q256" s="221"/>
      <c r="R256" s="221"/>
      <c r="S256" s="196"/>
      <c r="T256" s="196"/>
      <c r="U256" s="196"/>
      <c r="V256" s="196"/>
      <c r="W256" s="196"/>
      <c r="X256" s="196"/>
      <c r="Y256" s="196"/>
      <c r="Z256" s="196"/>
      <c r="AA256" s="196"/>
      <c r="AB256" s="196"/>
      <c r="AC256" s="196"/>
      <c r="AD256" s="196"/>
      <c r="AE256" s="196"/>
      <c r="AF256" s="196"/>
      <c r="AG256" s="196"/>
      <c r="AH256" s="196"/>
      <c r="AI256" s="222"/>
    </row>
    <row r="257" spans="1:35" s="21" customFormat="1" ht="29.25" customHeight="1" x14ac:dyDescent="0.4">
      <c r="A257" s="251"/>
      <c r="B257" s="243"/>
      <c r="C257" s="243"/>
      <c r="D257" s="198"/>
      <c r="E257" s="198"/>
      <c r="F257" s="198"/>
      <c r="G257" s="198"/>
      <c r="H257" s="198"/>
      <c r="I257" s="198"/>
      <c r="J257" s="198"/>
      <c r="K257" s="198"/>
      <c r="L257" s="198"/>
      <c r="M257" s="198"/>
      <c r="N257" s="198"/>
      <c r="O257" s="198"/>
      <c r="P257" s="267"/>
      <c r="Q257" s="180"/>
      <c r="R257" s="180"/>
      <c r="S257" s="181"/>
      <c r="T257" s="181"/>
      <c r="U257" s="181"/>
      <c r="V257" s="181"/>
      <c r="W257" s="181"/>
      <c r="X257" s="181"/>
      <c r="Y257" s="181"/>
      <c r="Z257" s="181"/>
      <c r="AA257" s="181"/>
      <c r="AB257" s="181"/>
      <c r="AC257" s="181"/>
      <c r="AD257" s="181"/>
      <c r="AE257" s="181"/>
      <c r="AF257" s="181"/>
      <c r="AG257" s="181"/>
      <c r="AH257" s="181"/>
      <c r="AI257" s="182"/>
    </row>
    <row r="258" spans="1:35" s="200" customFormat="1" ht="27" x14ac:dyDescent="0.4">
      <c r="A258" s="17"/>
      <c r="B258" s="6"/>
      <c r="C258" s="43"/>
      <c r="D258" s="56"/>
      <c r="E258" s="56"/>
      <c r="F258" s="16"/>
      <c r="G258" s="16"/>
      <c r="H258" s="16"/>
      <c r="I258" s="16"/>
      <c r="J258" s="55"/>
      <c r="K258" s="55"/>
      <c r="L258" s="16"/>
      <c r="M258" s="16"/>
      <c r="N258" s="16"/>
      <c r="O258" s="241"/>
      <c r="P258" s="267"/>
      <c r="Q258" s="224"/>
      <c r="R258" s="224"/>
      <c r="AI258" s="225"/>
    </row>
    <row r="259" spans="1:35" s="16" customFormat="1" ht="27" customHeight="1" x14ac:dyDescent="0.25">
      <c r="A259" s="258"/>
      <c r="B259" s="89"/>
      <c r="C259" s="89"/>
      <c r="D259" s="90"/>
      <c r="E259" s="91"/>
      <c r="F259" s="91"/>
      <c r="G259" s="91"/>
      <c r="H259" s="91"/>
      <c r="I259" s="91"/>
      <c r="J259" s="91"/>
      <c r="K259" s="91"/>
      <c r="L259" s="91"/>
      <c r="M259" s="91"/>
      <c r="N259" s="219"/>
      <c r="O259" s="91"/>
      <c r="P259" s="267"/>
      <c r="Q259" s="180"/>
      <c r="R259" s="180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  <c r="AD259" s="126"/>
      <c r="AE259" s="126"/>
      <c r="AF259" s="126"/>
      <c r="AG259" s="126"/>
      <c r="AH259" s="126"/>
      <c r="AI259" s="127"/>
    </row>
    <row r="260" spans="1:35" s="16" customFormat="1" ht="27.75" x14ac:dyDescent="0.25">
      <c r="A260" s="204"/>
      <c r="B260" s="204"/>
      <c r="C260" s="204"/>
      <c r="D260" s="66"/>
      <c r="E260" s="218"/>
      <c r="F260" s="260"/>
      <c r="G260" s="260"/>
      <c r="H260" s="260"/>
      <c r="I260" s="260"/>
      <c r="J260" s="260"/>
      <c r="K260" s="260"/>
      <c r="L260" s="260"/>
      <c r="M260" s="289"/>
      <c r="N260" s="289"/>
      <c r="O260" s="289"/>
      <c r="P260" s="267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  <c r="AD260" s="126"/>
      <c r="AE260" s="126"/>
      <c r="AF260" s="126"/>
      <c r="AG260" s="126"/>
      <c r="AH260" s="126"/>
      <c r="AI260" s="127"/>
    </row>
    <row r="261" spans="1:35" s="16" customFormat="1" ht="26.25" x14ac:dyDescent="0.4">
      <c r="A261" s="204"/>
      <c r="B261" s="204"/>
      <c r="C261" s="204"/>
      <c r="D261" s="25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P261" s="267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  <c r="AD261" s="126"/>
      <c r="AE261" s="126"/>
      <c r="AF261" s="126"/>
      <c r="AG261" s="126"/>
      <c r="AH261" s="126"/>
      <c r="AI261" s="127"/>
    </row>
    <row r="262" spans="1:35" s="16" customFormat="1" ht="27.75" x14ac:dyDescent="0.4">
      <c r="A262" s="251"/>
      <c r="B262" s="243"/>
      <c r="C262" s="243"/>
      <c r="D262" s="198"/>
      <c r="E262" s="198"/>
      <c r="F262" s="198"/>
      <c r="G262" s="198"/>
      <c r="H262" s="198"/>
      <c r="I262" s="198"/>
      <c r="J262" s="198"/>
      <c r="K262" s="198"/>
      <c r="L262" s="198"/>
      <c r="M262" s="198"/>
      <c r="N262" s="198"/>
      <c r="P262" s="267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  <c r="AD262" s="126"/>
      <c r="AE262" s="126"/>
      <c r="AF262" s="126"/>
      <c r="AG262" s="126"/>
      <c r="AH262" s="126"/>
      <c r="AI262" s="127"/>
    </row>
    <row r="263" spans="1:35" s="16" customFormat="1" x14ac:dyDescent="0.25">
      <c r="A263" s="17"/>
      <c r="B263" s="6"/>
      <c r="C263" s="43"/>
      <c r="D263" s="56"/>
      <c r="E263" s="56"/>
      <c r="J263" s="55"/>
      <c r="K263" s="55"/>
      <c r="P263" s="267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126"/>
      <c r="AE263" s="126"/>
      <c r="AF263" s="126"/>
      <c r="AG263" s="126"/>
      <c r="AH263" s="126"/>
      <c r="AI263" s="127"/>
    </row>
    <row r="264" spans="1:35" s="16" customFormat="1" x14ac:dyDescent="0.25">
      <c r="A264" s="17"/>
      <c r="B264" s="6"/>
      <c r="C264" s="43"/>
      <c r="J264" s="55"/>
      <c r="K264" s="55"/>
      <c r="P264" s="267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126"/>
      <c r="AE264" s="126"/>
      <c r="AF264" s="126"/>
      <c r="AG264" s="126"/>
      <c r="AH264" s="126"/>
      <c r="AI264" s="127"/>
    </row>
    <row r="265" spans="1:35" s="16" customFormat="1" x14ac:dyDescent="0.25">
      <c r="A265" s="17"/>
      <c r="B265" s="6"/>
      <c r="C265" s="43"/>
      <c r="D265" s="55"/>
      <c r="J265" s="55"/>
      <c r="K265" s="55"/>
      <c r="P265" s="267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  <c r="AE265" s="126"/>
      <c r="AF265" s="126"/>
      <c r="AG265" s="126"/>
      <c r="AH265" s="126"/>
      <c r="AI265" s="127"/>
    </row>
    <row r="266" spans="1:35" s="16" customFormat="1" x14ac:dyDescent="0.25">
      <c r="A266" s="17"/>
      <c r="B266" s="6"/>
      <c r="C266" s="43"/>
      <c r="D266" s="55"/>
      <c r="J266" s="55"/>
      <c r="K266" s="55"/>
      <c r="P266" s="267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  <c r="AF266" s="126"/>
      <c r="AG266" s="126"/>
      <c r="AH266" s="126"/>
      <c r="AI266" s="127"/>
    </row>
    <row r="267" spans="1:35" s="16" customFormat="1" x14ac:dyDescent="0.25">
      <c r="A267" s="17"/>
      <c r="B267" s="6"/>
      <c r="C267" s="43"/>
      <c r="J267" s="55"/>
      <c r="K267" s="55"/>
      <c r="P267" s="267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  <c r="AI267" s="127"/>
    </row>
    <row r="268" spans="1:35" s="16" customFormat="1" x14ac:dyDescent="0.25">
      <c r="A268" s="17"/>
      <c r="B268" s="6"/>
      <c r="C268" s="43"/>
      <c r="J268" s="55"/>
      <c r="K268" s="55"/>
      <c r="P268" s="267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6"/>
      <c r="AH268" s="126"/>
      <c r="AI268" s="127"/>
    </row>
    <row r="269" spans="1:35" s="16" customFormat="1" x14ac:dyDescent="0.25">
      <c r="A269" s="17"/>
      <c r="B269" s="6"/>
      <c r="C269" s="43"/>
      <c r="D269" s="55"/>
      <c r="J269" s="55"/>
      <c r="K269" s="55"/>
      <c r="P269" s="267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  <c r="AF269" s="126"/>
      <c r="AG269" s="126"/>
      <c r="AH269" s="126"/>
      <c r="AI269" s="127"/>
    </row>
    <row r="270" spans="1:35" s="16" customFormat="1" x14ac:dyDescent="0.25">
      <c r="A270" s="17"/>
      <c r="B270" s="6"/>
      <c r="C270" s="43"/>
      <c r="J270" s="55"/>
      <c r="K270" s="55"/>
      <c r="P270" s="267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  <c r="AF270" s="126"/>
      <c r="AG270" s="126"/>
      <c r="AH270" s="126"/>
      <c r="AI270" s="127"/>
    </row>
    <row r="271" spans="1:35" s="16" customFormat="1" x14ac:dyDescent="0.25">
      <c r="A271" s="17"/>
      <c r="B271" s="6"/>
      <c r="C271" s="43"/>
      <c r="J271" s="55"/>
      <c r="K271" s="55"/>
      <c r="P271" s="267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  <c r="AG271" s="126"/>
      <c r="AH271" s="126"/>
      <c r="AI271" s="127"/>
    </row>
    <row r="272" spans="1:35" s="16" customFormat="1" x14ac:dyDescent="0.25">
      <c r="A272" s="17"/>
      <c r="B272" s="6"/>
      <c r="C272" s="43"/>
      <c r="D272" s="55"/>
      <c r="J272" s="55"/>
      <c r="K272" s="55"/>
      <c r="P272" s="267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  <c r="AG272" s="126"/>
      <c r="AH272" s="126"/>
      <c r="AI272" s="127"/>
    </row>
    <row r="273" spans="1:35" s="16" customFormat="1" x14ac:dyDescent="0.25">
      <c r="A273" s="17"/>
      <c r="B273" s="6"/>
      <c r="C273" s="43"/>
      <c r="P273" s="267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6"/>
      <c r="AG273" s="126"/>
      <c r="AH273" s="126"/>
      <c r="AI273" s="127"/>
    </row>
    <row r="274" spans="1:35" s="16" customFormat="1" x14ac:dyDescent="0.25">
      <c r="A274" s="17"/>
      <c r="B274" s="6"/>
      <c r="C274" s="43"/>
      <c r="P274" s="267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  <c r="AF274" s="126"/>
      <c r="AG274" s="126"/>
      <c r="AH274" s="126"/>
      <c r="AI274" s="127"/>
    </row>
    <row r="275" spans="1:35" s="16" customFormat="1" ht="27.75" x14ac:dyDescent="0.25">
      <c r="A275" s="276"/>
      <c r="B275" s="277"/>
      <c r="C275" s="277"/>
      <c r="D275" s="220"/>
      <c r="E275" s="260"/>
      <c r="F275" s="260"/>
      <c r="G275" s="260"/>
      <c r="H275" s="260"/>
      <c r="I275" s="260"/>
      <c r="J275" s="260"/>
      <c r="K275" s="260"/>
      <c r="L275" s="260"/>
      <c r="M275" s="219"/>
      <c r="N275" s="198"/>
      <c r="P275" s="267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  <c r="AF275" s="126"/>
      <c r="AG275" s="126"/>
      <c r="AH275" s="126"/>
      <c r="AI275" s="127"/>
    </row>
    <row r="276" spans="1:35" s="16" customFormat="1" ht="27.75" x14ac:dyDescent="0.4">
      <c r="A276" s="196"/>
      <c r="B276" s="217"/>
      <c r="C276" s="217"/>
      <c r="D276" s="217"/>
      <c r="E276" s="217"/>
      <c r="F276" s="217"/>
      <c r="G276" s="217"/>
      <c r="H276" s="217"/>
      <c r="I276" s="260"/>
      <c r="J276" s="260"/>
      <c r="K276" s="264"/>
      <c r="L276" s="260"/>
      <c r="M276" s="198"/>
      <c r="N276" s="198"/>
      <c r="P276" s="267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26"/>
      <c r="AF276" s="126"/>
      <c r="AG276" s="126"/>
      <c r="AH276" s="126"/>
      <c r="AI276" s="127"/>
    </row>
    <row r="277" spans="1:35" s="16" customFormat="1" ht="26.25" x14ac:dyDescent="0.4">
      <c r="A277" s="284"/>
      <c r="B277" s="284"/>
      <c r="C277" s="284"/>
      <c r="D277" s="25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P277" s="267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  <c r="AD277" s="126"/>
      <c r="AE277" s="126"/>
      <c r="AF277" s="126"/>
      <c r="AG277" s="126"/>
      <c r="AH277" s="126"/>
      <c r="AI277" s="127"/>
    </row>
    <row r="278" spans="1:35" s="16" customFormat="1" ht="27.75" x14ac:dyDescent="0.4">
      <c r="A278" s="251"/>
      <c r="B278" s="243"/>
      <c r="C278" s="243"/>
      <c r="D278" s="198"/>
      <c r="E278" s="198"/>
      <c r="F278" s="198"/>
      <c r="G278" s="198"/>
      <c r="H278" s="198"/>
      <c r="I278" s="198"/>
      <c r="J278" s="198"/>
      <c r="K278" s="198"/>
      <c r="L278" s="198"/>
      <c r="M278" s="198"/>
      <c r="N278" s="198"/>
      <c r="P278" s="267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  <c r="AD278" s="126"/>
      <c r="AE278" s="126"/>
      <c r="AF278" s="126"/>
      <c r="AG278" s="126"/>
      <c r="AH278" s="126"/>
      <c r="AI278" s="127"/>
    </row>
    <row r="279" spans="1:35" s="16" customFormat="1" x14ac:dyDescent="0.25">
      <c r="A279" s="17"/>
      <c r="B279" s="6"/>
      <c r="C279" s="43"/>
      <c r="D279" s="56"/>
      <c r="E279" s="56"/>
      <c r="J279" s="20"/>
      <c r="K279" s="20"/>
      <c r="P279" s="254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  <c r="AF279" s="126"/>
      <c r="AG279" s="126"/>
      <c r="AH279" s="126"/>
      <c r="AI279" s="127"/>
    </row>
    <row r="280" spans="1:35" s="16" customFormat="1" x14ac:dyDescent="0.25">
      <c r="A280" s="17"/>
      <c r="B280" s="6"/>
      <c r="C280" s="43"/>
      <c r="J280" s="20"/>
      <c r="K280" s="20"/>
      <c r="P280" s="254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  <c r="AD280" s="126"/>
      <c r="AE280" s="126"/>
      <c r="AF280" s="126"/>
      <c r="AG280" s="126"/>
      <c r="AH280" s="126"/>
      <c r="AI280" s="127"/>
    </row>
    <row r="281" spans="1:35" s="16" customFormat="1" x14ac:dyDescent="0.25">
      <c r="A281" s="17"/>
      <c r="B281" s="6"/>
      <c r="C281" s="43"/>
      <c r="P281" s="254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  <c r="AD281" s="126"/>
      <c r="AE281" s="126"/>
      <c r="AF281" s="126"/>
      <c r="AG281" s="126"/>
      <c r="AH281" s="126"/>
      <c r="AI281" s="127"/>
    </row>
    <row r="282" spans="1:35" s="16" customFormat="1" x14ac:dyDescent="0.25">
      <c r="A282" s="17"/>
      <c r="B282" s="6"/>
      <c r="C282" s="43"/>
      <c r="P282" s="254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  <c r="AD282" s="126"/>
      <c r="AE282" s="126"/>
      <c r="AF282" s="126"/>
      <c r="AG282" s="126"/>
      <c r="AH282" s="126"/>
      <c r="AI282" s="127"/>
    </row>
    <row r="283" spans="1:35" s="16" customFormat="1" x14ac:dyDescent="0.25">
      <c r="A283" s="17"/>
      <c r="B283" s="6"/>
      <c r="C283" s="43"/>
      <c r="P283" s="254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  <c r="AF283" s="126"/>
      <c r="AG283" s="126"/>
      <c r="AH283" s="126"/>
      <c r="AI283" s="127"/>
    </row>
    <row r="284" spans="1:35" s="16" customFormat="1" x14ac:dyDescent="0.25">
      <c r="A284" s="17"/>
      <c r="B284" s="6"/>
      <c r="C284" s="43"/>
      <c r="P284" s="254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  <c r="AC284" s="126"/>
      <c r="AD284" s="126"/>
      <c r="AE284" s="126"/>
      <c r="AF284" s="126"/>
      <c r="AG284" s="126"/>
      <c r="AH284" s="126"/>
      <c r="AI284" s="127"/>
    </row>
    <row r="285" spans="1:35" s="16" customFormat="1" x14ac:dyDescent="0.25">
      <c r="A285" s="17"/>
      <c r="B285" s="6"/>
      <c r="C285" s="43"/>
      <c r="P285" s="254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  <c r="AD285" s="126"/>
      <c r="AE285" s="126"/>
      <c r="AF285" s="126"/>
      <c r="AG285" s="126"/>
      <c r="AH285" s="126"/>
      <c r="AI285" s="127"/>
    </row>
    <row r="286" spans="1:35" s="16" customFormat="1" ht="6.75" customHeight="1" x14ac:dyDescent="0.25">
      <c r="A286" s="17"/>
      <c r="B286" s="6"/>
      <c r="C286" s="43"/>
      <c r="P286" s="254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  <c r="AD286" s="126"/>
      <c r="AE286" s="126"/>
      <c r="AF286" s="126"/>
      <c r="AG286" s="126"/>
      <c r="AH286" s="126"/>
      <c r="AI286" s="127"/>
    </row>
    <row r="287" spans="1:35" s="16" customFormat="1" ht="1.5" customHeight="1" x14ac:dyDescent="0.25">
      <c r="A287" s="17"/>
      <c r="B287" s="6"/>
      <c r="C287" s="43"/>
      <c r="D287" s="55">
        <f>D267-D268-D258</f>
        <v>0</v>
      </c>
      <c r="P287" s="254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26"/>
      <c r="AF287" s="126"/>
      <c r="AG287" s="126"/>
      <c r="AH287" s="126"/>
      <c r="AI287" s="127"/>
    </row>
    <row r="288" spans="1:35" s="16" customFormat="1" ht="22.5" customHeight="1" x14ac:dyDescent="0.25">
      <c r="A288" s="17"/>
      <c r="B288" s="6"/>
      <c r="C288" s="43"/>
      <c r="D288" s="16">
        <v>259300600</v>
      </c>
      <c r="P288" s="254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26"/>
      <c r="AF288" s="126"/>
      <c r="AG288" s="126"/>
      <c r="AH288" s="126"/>
      <c r="AI288" s="127"/>
    </row>
    <row r="289" spans="1:35" s="16" customFormat="1" x14ac:dyDescent="0.25">
      <c r="A289" s="17"/>
      <c r="B289" s="6"/>
      <c r="C289" s="43"/>
      <c r="D289" s="16">
        <v>213805600</v>
      </c>
      <c r="P289" s="254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  <c r="AF289" s="126"/>
      <c r="AG289" s="126"/>
      <c r="AH289" s="126"/>
      <c r="AI289" s="127"/>
    </row>
    <row r="290" spans="1:35" s="16" customFormat="1" x14ac:dyDescent="0.25">
      <c r="A290" s="17"/>
      <c r="B290" s="6"/>
      <c r="C290" s="43"/>
      <c r="D290" s="55">
        <f>D287+D288+D289</f>
        <v>473106200</v>
      </c>
      <c r="P290" s="254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7"/>
    </row>
    <row r="291" spans="1:35" s="16" customFormat="1" x14ac:dyDescent="0.25">
      <c r="A291" s="17"/>
      <c r="B291" s="6"/>
      <c r="C291" s="43"/>
      <c r="P291" s="254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  <c r="AG291" s="126"/>
      <c r="AH291" s="126"/>
      <c r="AI291" s="127"/>
    </row>
    <row r="292" spans="1:35" s="16" customFormat="1" x14ac:dyDescent="0.25">
      <c r="A292" s="17"/>
      <c r="B292" s="6"/>
      <c r="C292" s="43"/>
      <c r="P292" s="254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  <c r="AF292" s="126"/>
      <c r="AG292" s="126"/>
      <c r="AH292" s="126"/>
      <c r="AI292" s="127"/>
    </row>
    <row r="293" spans="1:35" s="16" customFormat="1" x14ac:dyDescent="0.25">
      <c r="A293" s="17"/>
      <c r="B293" s="6"/>
      <c r="C293" s="43"/>
      <c r="P293" s="193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  <c r="AF293" s="126"/>
      <c r="AG293" s="126"/>
      <c r="AH293" s="126"/>
      <c r="AI293" s="127"/>
    </row>
    <row r="294" spans="1:35" s="16" customFormat="1" x14ac:dyDescent="0.25">
      <c r="A294" s="17"/>
      <c r="B294" s="6"/>
      <c r="C294" s="43"/>
      <c r="P294" s="193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  <c r="AF294" s="126"/>
      <c r="AG294" s="126"/>
      <c r="AH294" s="126"/>
      <c r="AI294" s="127"/>
    </row>
    <row r="295" spans="1:35" s="16" customFormat="1" x14ac:dyDescent="0.25">
      <c r="A295" s="17"/>
      <c r="B295" s="6"/>
      <c r="C295" s="43"/>
      <c r="P295" s="193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  <c r="AF295" s="126"/>
      <c r="AG295" s="126"/>
      <c r="AH295" s="126"/>
      <c r="AI295" s="127"/>
    </row>
    <row r="296" spans="1:35" s="16" customFormat="1" x14ac:dyDescent="0.25">
      <c r="A296" s="17"/>
      <c r="B296" s="6"/>
      <c r="C296" s="43"/>
      <c r="P296" s="193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  <c r="AF296" s="126"/>
      <c r="AG296" s="126"/>
      <c r="AH296" s="126"/>
      <c r="AI296" s="127"/>
    </row>
    <row r="297" spans="1:35" s="16" customFormat="1" x14ac:dyDescent="0.25">
      <c r="A297" s="17"/>
      <c r="B297" s="6"/>
      <c r="C297" s="43"/>
      <c r="P297" s="193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6"/>
      <c r="AH297" s="126"/>
      <c r="AI297" s="127"/>
    </row>
    <row r="298" spans="1:35" s="16" customFormat="1" x14ac:dyDescent="0.25">
      <c r="A298" s="17"/>
      <c r="B298" s="6"/>
      <c r="C298" s="43"/>
      <c r="P298" s="193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  <c r="AF298" s="126"/>
      <c r="AG298" s="126"/>
      <c r="AH298" s="126"/>
      <c r="AI298" s="127"/>
    </row>
    <row r="299" spans="1:35" s="16" customFormat="1" x14ac:dyDescent="0.25">
      <c r="A299" s="17"/>
      <c r="B299" s="6"/>
      <c r="C299" s="43"/>
      <c r="P299" s="193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  <c r="AG299" s="126"/>
      <c r="AH299" s="126"/>
      <c r="AI299" s="127"/>
    </row>
    <row r="300" spans="1:35" s="16" customFormat="1" x14ac:dyDescent="0.25">
      <c r="A300" s="17"/>
      <c r="B300" s="6"/>
      <c r="C300" s="43"/>
      <c r="P300" s="193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  <c r="AF300" s="126"/>
      <c r="AG300" s="126"/>
      <c r="AH300" s="126"/>
      <c r="AI300" s="127"/>
    </row>
    <row r="301" spans="1:35" s="16" customFormat="1" x14ac:dyDescent="0.25">
      <c r="A301" s="17"/>
      <c r="B301" s="6"/>
      <c r="C301" s="43"/>
      <c r="P301" s="193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  <c r="AF301" s="126"/>
      <c r="AG301" s="126"/>
      <c r="AH301" s="126"/>
      <c r="AI301" s="127"/>
    </row>
    <row r="302" spans="1:35" s="16" customFormat="1" x14ac:dyDescent="0.25">
      <c r="A302" s="17"/>
      <c r="B302" s="6"/>
      <c r="C302" s="43"/>
      <c r="P302" s="193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  <c r="AF302" s="126"/>
      <c r="AG302" s="126"/>
      <c r="AH302" s="126"/>
      <c r="AI302" s="127"/>
    </row>
    <row r="303" spans="1:35" s="16" customFormat="1" x14ac:dyDescent="0.25">
      <c r="A303" s="17"/>
      <c r="B303" s="6"/>
      <c r="C303" s="43"/>
      <c r="P303" s="193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126"/>
      <c r="AF303" s="126"/>
      <c r="AG303" s="126"/>
      <c r="AH303" s="126"/>
      <c r="AI303" s="127"/>
    </row>
    <row r="304" spans="1:35" s="16" customFormat="1" x14ac:dyDescent="0.25">
      <c r="A304" s="17"/>
      <c r="B304" s="6"/>
      <c r="C304" s="43"/>
      <c r="P304" s="193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  <c r="AF304" s="126"/>
      <c r="AG304" s="126"/>
      <c r="AH304" s="126"/>
      <c r="AI304" s="127"/>
    </row>
    <row r="305" spans="1:35" s="16" customFormat="1" x14ac:dyDescent="0.25">
      <c r="A305" s="17"/>
      <c r="B305" s="6"/>
      <c r="C305" s="43"/>
      <c r="P305" s="193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  <c r="AF305" s="126"/>
      <c r="AG305" s="126"/>
      <c r="AH305" s="126"/>
      <c r="AI305" s="127"/>
    </row>
    <row r="306" spans="1:35" s="16" customFormat="1" x14ac:dyDescent="0.25">
      <c r="A306" s="17"/>
      <c r="B306" s="6"/>
      <c r="C306" s="43"/>
      <c r="P306" s="193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26"/>
      <c r="AF306" s="126"/>
      <c r="AG306" s="126"/>
      <c r="AH306" s="126"/>
      <c r="AI306" s="127"/>
    </row>
    <row r="307" spans="1:35" s="16" customFormat="1" x14ac:dyDescent="0.25">
      <c r="A307" s="17"/>
      <c r="B307" s="6"/>
      <c r="C307" s="43"/>
      <c r="P307" s="193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126"/>
      <c r="AH307" s="126"/>
      <c r="AI307" s="127"/>
    </row>
    <row r="308" spans="1:35" s="16" customFormat="1" x14ac:dyDescent="0.25">
      <c r="A308" s="17"/>
      <c r="B308" s="6"/>
      <c r="C308" s="43"/>
      <c r="P308" s="193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  <c r="AF308" s="126"/>
      <c r="AG308" s="126"/>
      <c r="AH308" s="126"/>
      <c r="AI308" s="127"/>
    </row>
    <row r="309" spans="1:35" s="16" customFormat="1" x14ac:dyDescent="0.25">
      <c r="A309" s="17"/>
      <c r="B309" s="6"/>
      <c r="C309" s="43"/>
      <c r="P309" s="193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  <c r="AI309" s="127"/>
    </row>
    <row r="310" spans="1:35" s="16" customFormat="1" x14ac:dyDescent="0.25">
      <c r="A310" s="17"/>
      <c r="B310" s="6"/>
      <c r="C310" s="43"/>
      <c r="P310" s="193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  <c r="AI310" s="127"/>
    </row>
    <row r="311" spans="1:35" s="16" customFormat="1" x14ac:dyDescent="0.25">
      <c r="A311" s="17"/>
      <c r="B311" s="6"/>
      <c r="C311" s="43"/>
      <c r="P311" s="193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  <c r="AI311" s="127"/>
    </row>
    <row r="312" spans="1:35" s="16" customFormat="1" x14ac:dyDescent="0.25">
      <c r="A312" s="17"/>
      <c r="B312" s="6"/>
      <c r="C312" s="43"/>
      <c r="P312" s="193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  <c r="AH312" s="126"/>
      <c r="AI312" s="127"/>
    </row>
    <row r="313" spans="1:35" s="16" customFormat="1" x14ac:dyDescent="0.25">
      <c r="A313" s="17"/>
      <c r="B313" s="6"/>
      <c r="C313" s="43"/>
      <c r="P313" s="193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  <c r="AF313" s="126"/>
      <c r="AG313" s="126"/>
      <c r="AH313" s="126"/>
      <c r="AI313" s="127"/>
    </row>
    <row r="314" spans="1:35" s="16" customFormat="1" x14ac:dyDescent="0.25">
      <c r="A314" s="17"/>
      <c r="B314" s="6"/>
      <c r="C314" s="43"/>
      <c r="P314" s="193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  <c r="AF314" s="126"/>
      <c r="AG314" s="126"/>
      <c r="AH314" s="126"/>
      <c r="AI314" s="127"/>
    </row>
    <row r="315" spans="1:35" s="16" customFormat="1" x14ac:dyDescent="0.25">
      <c r="A315" s="17"/>
      <c r="B315" s="6"/>
      <c r="C315" s="43"/>
      <c r="P315" s="193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  <c r="AF315" s="126"/>
      <c r="AG315" s="126"/>
      <c r="AH315" s="126"/>
      <c r="AI315" s="127"/>
    </row>
    <row r="316" spans="1:35" s="16" customFormat="1" x14ac:dyDescent="0.25">
      <c r="A316" s="17"/>
      <c r="B316" s="6"/>
      <c r="C316" s="43"/>
      <c r="P316" s="193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  <c r="AF316" s="126"/>
      <c r="AG316" s="126"/>
      <c r="AH316" s="126"/>
      <c r="AI316" s="127"/>
    </row>
    <row r="317" spans="1:35" s="16" customFormat="1" x14ac:dyDescent="0.25">
      <c r="A317" s="17"/>
      <c r="B317" s="6"/>
      <c r="C317" s="43"/>
      <c r="P317" s="193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  <c r="AF317" s="126"/>
      <c r="AG317" s="126"/>
      <c r="AH317" s="126"/>
      <c r="AI317" s="127"/>
    </row>
    <row r="318" spans="1:35" s="16" customFormat="1" x14ac:dyDescent="0.25">
      <c r="A318" s="17"/>
      <c r="B318" s="6"/>
      <c r="C318" s="43"/>
      <c r="P318" s="193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  <c r="AF318" s="126"/>
      <c r="AG318" s="126"/>
      <c r="AH318" s="126"/>
      <c r="AI318" s="127"/>
    </row>
    <row r="319" spans="1:35" s="16" customFormat="1" x14ac:dyDescent="0.25">
      <c r="A319" s="17"/>
      <c r="B319" s="6"/>
      <c r="C319" s="43"/>
      <c r="P319" s="193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  <c r="AF319" s="126"/>
      <c r="AG319" s="126"/>
      <c r="AH319" s="126"/>
      <c r="AI319" s="127"/>
    </row>
    <row r="320" spans="1:35" s="16" customFormat="1" x14ac:dyDescent="0.25">
      <c r="A320" s="17"/>
      <c r="B320" s="6"/>
      <c r="C320" s="43"/>
      <c r="P320" s="193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26"/>
      <c r="AE320" s="126"/>
      <c r="AF320" s="126"/>
      <c r="AG320" s="126"/>
      <c r="AH320" s="126"/>
      <c r="AI320" s="127"/>
    </row>
    <row r="321" spans="1:35" s="16" customFormat="1" x14ac:dyDescent="0.25">
      <c r="A321" s="17"/>
      <c r="B321" s="6"/>
      <c r="C321" s="43"/>
      <c r="P321" s="193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  <c r="AF321" s="126"/>
      <c r="AG321" s="126"/>
      <c r="AH321" s="126"/>
      <c r="AI321" s="127"/>
    </row>
    <row r="322" spans="1:35" s="16" customFormat="1" x14ac:dyDescent="0.25">
      <c r="A322" s="17"/>
      <c r="B322" s="6"/>
      <c r="C322" s="43"/>
      <c r="P322" s="193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  <c r="AF322" s="126"/>
      <c r="AG322" s="126"/>
      <c r="AH322" s="126"/>
      <c r="AI322" s="127"/>
    </row>
    <row r="323" spans="1:35" s="16" customFormat="1" x14ac:dyDescent="0.25">
      <c r="A323" s="17"/>
      <c r="B323" s="6"/>
      <c r="C323" s="43"/>
      <c r="P323" s="193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  <c r="AD323" s="126"/>
      <c r="AE323" s="126"/>
      <c r="AF323" s="126"/>
      <c r="AG323" s="126"/>
      <c r="AH323" s="126"/>
      <c r="AI323" s="127"/>
    </row>
    <row r="324" spans="1:35" s="16" customFormat="1" x14ac:dyDescent="0.25">
      <c r="A324" s="17"/>
      <c r="B324" s="6"/>
      <c r="C324" s="43"/>
      <c r="P324" s="193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26"/>
      <c r="AD324" s="126"/>
      <c r="AE324" s="126"/>
      <c r="AF324" s="126"/>
      <c r="AG324" s="126"/>
      <c r="AH324" s="126"/>
      <c r="AI324" s="127"/>
    </row>
    <row r="325" spans="1:35" s="16" customFormat="1" x14ac:dyDescent="0.25">
      <c r="A325" s="17"/>
      <c r="B325" s="6"/>
      <c r="C325" s="43"/>
      <c r="P325" s="193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  <c r="AD325" s="126"/>
      <c r="AE325" s="126"/>
      <c r="AF325" s="126"/>
      <c r="AG325" s="126"/>
      <c r="AH325" s="126"/>
      <c r="AI325" s="127"/>
    </row>
    <row r="326" spans="1:35" s="16" customFormat="1" x14ac:dyDescent="0.25">
      <c r="A326" s="17"/>
      <c r="B326" s="6"/>
      <c r="C326" s="43"/>
      <c r="P326" s="193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  <c r="AF326" s="126"/>
      <c r="AG326" s="126"/>
      <c r="AH326" s="126"/>
      <c r="AI326" s="127"/>
    </row>
    <row r="327" spans="1:35" s="16" customFormat="1" x14ac:dyDescent="0.25">
      <c r="A327" s="17"/>
      <c r="B327" s="6"/>
      <c r="C327" s="43"/>
      <c r="P327" s="193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  <c r="AD327" s="126"/>
      <c r="AE327" s="126"/>
      <c r="AF327" s="126"/>
      <c r="AG327" s="126"/>
      <c r="AH327" s="126"/>
      <c r="AI327" s="127"/>
    </row>
    <row r="328" spans="1:35" s="16" customFormat="1" x14ac:dyDescent="0.25">
      <c r="A328" s="17"/>
      <c r="B328" s="6"/>
      <c r="C328" s="43"/>
      <c r="P328" s="193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26"/>
      <c r="AE328" s="126"/>
      <c r="AF328" s="126"/>
      <c r="AG328" s="126"/>
      <c r="AH328" s="126"/>
      <c r="AI328" s="127"/>
    </row>
    <row r="329" spans="1:35" s="16" customFormat="1" x14ac:dyDescent="0.25">
      <c r="A329" s="17"/>
      <c r="B329" s="6"/>
      <c r="C329" s="43"/>
      <c r="P329" s="193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  <c r="AF329" s="126"/>
      <c r="AG329" s="126"/>
      <c r="AH329" s="126"/>
      <c r="AI329" s="127"/>
    </row>
    <row r="330" spans="1:35" s="16" customFormat="1" x14ac:dyDescent="0.25">
      <c r="A330" s="17"/>
      <c r="B330" s="6"/>
      <c r="C330" s="43"/>
      <c r="P330" s="193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  <c r="AF330" s="126"/>
      <c r="AG330" s="126"/>
      <c r="AH330" s="126"/>
      <c r="AI330" s="127"/>
    </row>
    <row r="331" spans="1:35" s="16" customFormat="1" x14ac:dyDescent="0.25">
      <c r="A331" s="17"/>
      <c r="B331" s="6"/>
      <c r="C331" s="43"/>
      <c r="P331" s="193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  <c r="AF331" s="126"/>
      <c r="AG331" s="126"/>
      <c r="AH331" s="126"/>
      <c r="AI331" s="127"/>
    </row>
    <row r="332" spans="1:35" s="16" customFormat="1" x14ac:dyDescent="0.25">
      <c r="A332" s="17"/>
      <c r="B332" s="6"/>
      <c r="C332" s="43"/>
      <c r="P332" s="193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  <c r="AD332" s="126"/>
      <c r="AE332" s="126"/>
      <c r="AF332" s="126"/>
      <c r="AG332" s="126"/>
      <c r="AH332" s="126"/>
      <c r="AI332" s="127"/>
    </row>
    <row r="333" spans="1:35" s="16" customFormat="1" x14ac:dyDescent="0.25">
      <c r="A333" s="17"/>
      <c r="B333" s="6"/>
      <c r="C333" s="43"/>
      <c r="P333" s="193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  <c r="AD333" s="126"/>
      <c r="AE333" s="126"/>
      <c r="AF333" s="126"/>
      <c r="AG333" s="126"/>
      <c r="AH333" s="126"/>
      <c r="AI333" s="127"/>
    </row>
    <row r="334" spans="1:35" s="16" customFormat="1" x14ac:dyDescent="0.25">
      <c r="A334" s="17"/>
      <c r="B334" s="6"/>
      <c r="C334" s="43"/>
      <c r="P334" s="193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  <c r="AC334" s="126"/>
      <c r="AD334" s="126"/>
      <c r="AE334" s="126"/>
      <c r="AF334" s="126"/>
      <c r="AG334" s="126"/>
      <c r="AH334" s="126"/>
      <c r="AI334" s="127"/>
    </row>
    <row r="335" spans="1:35" s="16" customFormat="1" x14ac:dyDescent="0.25">
      <c r="A335" s="17"/>
      <c r="B335" s="6"/>
      <c r="C335" s="43"/>
      <c r="P335" s="193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  <c r="AD335" s="126"/>
      <c r="AE335" s="126"/>
      <c r="AF335" s="126"/>
      <c r="AG335" s="126"/>
      <c r="AH335" s="126"/>
      <c r="AI335" s="127"/>
    </row>
    <row r="336" spans="1:35" s="16" customFormat="1" x14ac:dyDescent="0.25">
      <c r="A336" s="17"/>
      <c r="B336" s="6"/>
      <c r="C336" s="43"/>
      <c r="P336" s="193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26"/>
      <c r="AE336" s="126"/>
      <c r="AF336" s="126"/>
      <c r="AG336" s="126"/>
      <c r="AH336" s="126"/>
      <c r="AI336" s="127"/>
    </row>
    <row r="337" spans="1:35" s="16" customFormat="1" x14ac:dyDescent="0.25">
      <c r="A337" s="17"/>
      <c r="B337" s="6"/>
      <c r="C337" s="43"/>
      <c r="P337" s="193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  <c r="AD337" s="126"/>
      <c r="AE337" s="126"/>
      <c r="AF337" s="126"/>
      <c r="AG337" s="126"/>
      <c r="AH337" s="126"/>
      <c r="AI337" s="127"/>
    </row>
    <row r="338" spans="1:35" s="16" customFormat="1" x14ac:dyDescent="0.25">
      <c r="A338" s="17"/>
      <c r="B338" s="6"/>
      <c r="C338" s="43"/>
      <c r="P338" s="193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  <c r="AC338" s="126"/>
      <c r="AD338" s="126"/>
      <c r="AE338" s="126"/>
      <c r="AF338" s="126"/>
      <c r="AG338" s="126"/>
      <c r="AH338" s="126"/>
      <c r="AI338" s="127"/>
    </row>
    <row r="339" spans="1:35" s="16" customFormat="1" x14ac:dyDescent="0.25">
      <c r="A339" s="17"/>
      <c r="B339" s="6"/>
      <c r="C339" s="43"/>
      <c r="P339" s="193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  <c r="AF339" s="126"/>
      <c r="AG339" s="126"/>
      <c r="AH339" s="126"/>
      <c r="AI339" s="127"/>
    </row>
    <row r="340" spans="1:35" s="16" customFormat="1" x14ac:dyDescent="0.25">
      <c r="A340" s="17"/>
      <c r="B340" s="6"/>
      <c r="C340" s="43"/>
      <c r="P340" s="193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  <c r="AD340" s="126"/>
      <c r="AE340" s="126"/>
      <c r="AF340" s="126"/>
      <c r="AG340" s="126"/>
      <c r="AH340" s="126"/>
      <c r="AI340" s="127"/>
    </row>
    <row r="341" spans="1:35" s="16" customFormat="1" x14ac:dyDescent="0.25">
      <c r="A341" s="17"/>
      <c r="B341" s="6"/>
      <c r="C341" s="43"/>
      <c r="P341" s="193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  <c r="AF341" s="126"/>
      <c r="AG341" s="126"/>
      <c r="AH341" s="126"/>
      <c r="AI341" s="127"/>
    </row>
    <row r="342" spans="1:35" s="16" customFormat="1" x14ac:dyDescent="0.25">
      <c r="A342" s="17"/>
      <c r="B342" s="6"/>
      <c r="C342" s="43"/>
      <c r="P342" s="193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  <c r="AD342" s="126"/>
      <c r="AE342" s="126"/>
      <c r="AF342" s="126"/>
      <c r="AG342" s="126"/>
      <c r="AH342" s="126"/>
      <c r="AI342" s="127"/>
    </row>
    <row r="343" spans="1:35" s="16" customFormat="1" x14ac:dyDescent="0.25">
      <c r="A343" s="17"/>
      <c r="B343" s="6"/>
      <c r="C343" s="43"/>
      <c r="P343" s="193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26"/>
      <c r="AD343" s="126"/>
      <c r="AE343" s="126"/>
      <c r="AF343" s="126"/>
      <c r="AG343" s="126"/>
      <c r="AH343" s="126"/>
      <c r="AI343" s="127"/>
    </row>
    <row r="344" spans="1:35" s="16" customFormat="1" x14ac:dyDescent="0.25">
      <c r="A344" s="17"/>
      <c r="B344" s="6"/>
      <c r="C344" s="43"/>
      <c r="P344" s="193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26"/>
      <c r="AE344" s="126"/>
      <c r="AF344" s="126"/>
      <c r="AG344" s="126"/>
      <c r="AH344" s="126"/>
      <c r="AI344" s="127"/>
    </row>
    <row r="345" spans="1:35" s="16" customFormat="1" x14ac:dyDescent="0.25">
      <c r="A345" s="17"/>
      <c r="B345" s="6"/>
      <c r="C345" s="43"/>
      <c r="P345" s="193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  <c r="AD345" s="126"/>
      <c r="AE345" s="126"/>
      <c r="AF345" s="126"/>
      <c r="AG345" s="126"/>
      <c r="AH345" s="126"/>
      <c r="AI345" s="127"/>
    </row>
    <row r="346" spans="1:35" s="16" customFormat="1" x14ac:dyDescent="0.25">
      <c r="A346" s="17"/>
      <c r="B346" s="6"/>
      <c r="C346" s="43"/>
      <c r="P346" s="193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26"/>
      <c r="AF346" s="126"/>
      <c r="AG346" s="126"/>
      <c r="AH346" s="126"/>
      <c r="AI346" s="127"/>
    </row>
    <row r="347" spans="1:35" s="16" customFormat="1" x14ac:dyDescent="0.25">
      <c r="A347" s="17"/>
      <c r="B347" s="6"/>
      <c r="C347" s="43"/>
      <c r="P347" s="193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126"/>
      <c r="AE347" s="126"/>
      <c r="AF347" s="126"/>
      <c r="AG347" s="126"/>
      <c r="AH347" s="126"/>
      <c r="AI347" s="127"/>
    </row>
    <row r="348" spans="1:35" s="16" customFormat="1" x14ac:dyDescent="0.25">
      <c r="A348" s="17"/>
      <c r="B348" s="6"/>
      <c r="C348" s="43"/>
      <c r="P348" s="193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  <c r="AF348" s="126"/>
      <c r="AG348" s="126"/>
      <c r="AH348" s="126"/>
      <c r="AI348" s="127"/>
    </row>
    <row r="349" spans="1:35" s="16" customFormat="1" x14ac:dyDescent="0.25">
      <c r="A349" s="17"/>
      <c r="B349" s="6"/>
      <c r="C349" s="43"/>
      <c r="P349" s="193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126"/>
      <c r="AE349" s="126"/>
      <c r="AF349" s="126"/>
      <c r="AG349" s="126"/>
      <c r="AH349" s="126"/>
      <c r="AI349" s="127"/>
    </row>
    <row r="350" spans="1:35" s="16" customFormat="1" x14ac:dyDescent="0.25">
      <c r="A350" s="17"/>
      <c r="B350" s="6"/>
      <c r="C350" s="43"/>
      <c r="P350" s="193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  <c r="AD350" s="126"/>
      <c r="AE350" s="126"/>
      <c r="AF350" s="126"/>
      <c r="AG350" s="126"/>
      <c r="AH350" s="126"/>
      <c r="AI350" s="127"/>
    </row>
    <row r="351" spans="1:35" s="16" customFormat="1" x14ac:dyDescent="0.25">
      <c r="A351" s="17"/>
      <c r="B351" s="6"/>
      <c r="C351" s="43"/>
      <c r="P351" s="193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  <c r="AC351" s="126"/>
      <c r="AD351" s="126"/>
      <c r="AE351" s="126"/>
      <c r="AF351" s="126"/>
      <c r="AG351" s="126"/>
      <c r="AH351" s="126"/>
      <c r="AI351" s="127"/>
    </row>
    <row r="352" spans="1:35" s="16" customFormat="1" x14ac:dyDescent="0.25">
      <c r="A352" s="17"/>
      <c r="B352" s="6"/>
      <c r="C352" s="43"/>
      <c r="P352" s="193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  <c r="AF352" s="126"/>
      <c r="AG352" s="126"/>
      <c r="AH352" s="126"/>
      <c r="AI352" s="127"/>
    </row>
    <row r="353" spans="1:35" s="16" customFormat="1" x14ac:dyDescent="0.25">
      <c r="A353" s="17"/>
      <c r="B353" s="6"/>
      <c r="C353" s="43"/>
      <c r="P353" s="193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  <c r="AF353" s="126"/>
      <c r="AG353" s="126"/>
      <c r="AH353" s="126"/>
      <c r="AI353" s="127"/>
    </row>
    <row r="354" spans="1:35" s="16" customFormat="1" x14ac:dyDescent="0.25">
      <c r="A354" s="17"/>
      <c r="B354" s="6"/>
      <c r="C354" s="43"/>
      <c r="P354" s="193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  <c r="AF354" s="126"/>
      <c r="AG354" s="126"/>
      <c r="AH354" s="126"/>
      <c r="AI354" s="127"/>
    </row>
    <row r="355" spans="1:35" s="16" customFormat="1" x14ac:dyDescent="0.25">
      <c r="A355" s="17"/>
      <c r="B355" s="6"/>
      <c r="C355" s="43"/>
      <c r="P355" s="193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6"/>
      <c r="AH355" s="126"/>
      <c r="AI355" s="127"/>
    </row>
    <row r="356" spans="1:35" s="16" customFormat="1" x14ac:dyDescent="0.25">
      <c r="A356" s="17"/>
      <c r="B356" s="6"/>
      <c r="C356" s="43"/>
      <c r="P356" s="193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26"/>
      <c r="AF356" s="126"/>
      <c r="AG356" s="126"/>
      <c r="AH356" s="126"/>
      <c r="AI356" s="127"/>
    </row>
    <row r="357" spans="1:35" s="16" customFormat="1" x14ac:dyDescent="0.25">
      <c r="A357" s="17"/>
      <c r="B357" s="6"/>
      <c r="C357" s="43"/>
      <c r="P357" s="193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26"/>
      <c r="AE357" s="126"/>
      <c r="AF357" s="126"/>
      <c r="AG357" s="126"/>
      <c r="AH357" s="126"/>
      <c r="AI357" s="127"/>
    </row>
    <row r="358" spans="1:35" s="16" customFormat="1" x14ac:dyDescent="0.25">
      <c r="A358" s="17"/>
      <c r="B358" s="6"/>
      <c r="C358" s="43"/>
      <c r="P358" s="193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  <c r="AD358" s="126"/>
      <c r="AE358" s="126"/>
      <c r="AF358" s="126"/>
      <c r="AG358" s="126"/>
      <c r="AH358" s="126"/>
      <c r="AI358" s="127"/>
    </row>
    <row r="359" spans="1:35" s="16" customFormat="1" x14ac:dyDescent="0.25">
      <c r="A359" s="17"/>
      <c r="B359" s="6"/>
      <c r="C359" s="43"/>
      <c r="P359" s="193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126"/>
      <c r="AE359" s="126"/>
      <c r="AF359" s="126"/>
      <c r="AG359" s="126"/>
      <c r="AH359" s="126"/>
      <c r="AI359" s="127"/>
    </row>
    <row r="360" spans="1:35" s="16" customFormat="1" x14ac:dyDescent="0.25">
      <c r="A360" s="17"/>
      <c r="B360" s="6"/>
      <c r="C360" s="43"/>
      <c r="P360" s="193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  <c r="AD360" s="126"/>
      <c r="AE360" s="126"/>
      <c r="AF360" s="126"/>
      <c r="AG360" s="126"/>
      <c r="AH360" s="126"/>
      <c r="AI360" s="127"/>
    </row>
    <row r="361" spans="1:35" s="16" customFormat="1" x14ac:dyDescent="0.25">
      <c r="A361" s="17"/>
      <c r="B361" s="6"/>
      <c r="C361" s="43"/>
      <c r="P361" s="193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  <c r="AD361" s="126"/>
      <c r="AE361" s="126"/>
      <c r="AF361" s="126"/>
      <c r="AG361" s="126"/>
      <c r="AH361" s="126"/>
      <c r="AI361" s="127"/>
    </row>
    <row r="362" spans="1:35" s="16" customFormat="1" x14ac:dyDescent="0.25">
      <c r="A362" s="17"/>
      <c r="B362" s="6"/>
      <c r="C362" s="43"/>
      <c r="P362" s="193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  <c r="AF362" s="126"/>
      <c r="AG362" s="126"/>
      <c r="AH362" s="126"/>
      <c r="AI362" s="127"/>
    </row>
    <row r="363" spans="1:35" s="16" customFormat="1" x14ac:dyDescent="0.25">
      <c r="A363" s="17"/>
      <c r="B363" s="6"/>
      <c r="C363" s="43"/>
      <c r="P363" s="193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126"/>
      <c r="AE363" s="126"/>
      <c r="AF363" s="126"/>
      <c r="AG363" s="126"/>
      <c r="AH363" s="126"/>
      <c r="AI363" s="127"/>
    </row>
    <row r="364" spans="1:35" s="16" customFormat="1" x14ac:dyDescent="0.25">
      <c r="A364" s="17"/>
      <c r="B364" s="6"/>
      <c r="C364" s="43"/>
      <c r="P364" s="193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126"/>
      <c r="AE364" s="126"/>
      <c r="AF364" s="126"/>
      <c r="AG364" s="126"/>
      <c r="AH364" s="126"/>
      <c r="AI364" s="127"/>
    </row>
    <row r="365" spans="1:35" s="16" customFormat="1" x14ac:dyDescent="0.25">
      <c r="A365" s="17"/>
      <c r="B365" s="6"/>
      <c r="C365" s="43"/>
      <c r="P365" s="193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126"/>
      <c r="AE365" s="126"/>
      <c r="AF365" s="126"/>
      <c r="AG365" s="126"/>
      <c r="AH365" s="126"/>
      <c r="AI365" s="127"/>
    </row>
    <row r="366" spans="1:35" s="16" customFormat="1" x14ac:dyDescent="0.25">
      <c r="A366" s="17"/>
      <c r="B366" s="6"/>
      <c r="C366" s="43"/>
      <c r="P366" s="193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  <c r="AF366" s="126"/>
      <c r="AG366" s="126"/>
      <c r="AH366" s="126"/>
      <c r="AI366" s="127"/>
    </row>
    <row r="367" spans="1:35" s="16" customFormat="1" x14ac:dyDescent="0.25">
      <c r="A367" s="17"/>
      <c r="B367" s="6"/>
      <c r="C367" s="43"/>
      <c r="P367" s="193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  <c r="AF367" s="126"/>
      <c r="AG367" s="126"/>
      <c r="AH367" s="126"/>
      <c r="AI367" s="127"/>
    </row>
    <row r="368" spans="1:35" s="16" customFormat="1" x14ac:dyDescent="0.25">
      <c r="A368" s="17"/>
      <c r="B368" s="6"/>
      <c r="C368" s="43"/>
      <c r="P368" s="193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  <c r="AF368" s="126"/>
      <c r="AG368" s="126"/>
      <c r="AH368" s="126"/>
      <c r="AI368" s="127"/>
    </row>
    <row r="369" spans="1:35" s="16" customFormat="1" x14ac:dyDescent="0.25">
      <c r="A369" s="17"/>
      <c r="B369" s="6"/>
      <c r="C369" s="43"/>
      <c r="P369" s="193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  <c r="AC369" s="126"/>
      <c r="AD369" s="126"/>
      <c r="AE369" s="126"/>
      <c r="AF369" s="126"/>
      <c r="AG369" s="126"/>
      <c r="AH369" s="126"/>
      <c r="AI369" s="127"/>
    </row>
    <row r="370" spans="1:35" s="16" customFormat="1" x14ac:dyDescent="0.25">
      <c r="A370" s="17"/>
      <c r="B370" s="6"/>
      <c r="C370" s="43"/>
      <c r="P370" s="193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126"/>
      <c r="AE370" s="126"/>
      <c r="AF370" s="126"/>
      <c r="AG370" s="126"/>
      <c r="AH370" s="126"/>
      <c r="AI370" s="127"/>
    </row>
    <row r="371" spans="1:35" s="16" customFormat="1" x14ac:dyDescent="0.25">
      <c r="A371" s="17"/>
      <c r="B371" s="6"/>
      <c r="C371" s="43"/>
      <c r="P371" s="193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  <c r="AF371" s="126"/>
      <c r="AG371" s="126"/>
      <c r="AH371" s="126"/>
      <c r="AI371" s="127"/>
    </row>
    <row r="372" spans="1:35" s="16" customFormat="1" x14ac:dyDescent="0.25">
      <c r="A372" s="17"/>
      <c r="B372" s="6"/>
      <c r="C372" s="43"/>
      <c r="P372" s="193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  <c r="AF372" s="126"/>
      <c r="AG372" s="126"/>
      <c r="AH372" s="126"/>
      <c r="AI372" s="127"/>
    </row>
    <row r="373" spans="1:35" s="16" customFormat="1" x14ac:dyDescent="0.25">
      <c r="A373" s="17"/>
      <c r="B373" s="6"/>
      <c r="C373" s="43"/>
      <c r="P373" s="193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26"/>
      <c r="AF373" s="126"/>
      <c r="AG373" s="126"/>
      <c r="AH373" s="126"/>
      <c r="AI373" s="127"/>
    </row>
    <row r="374" spans="1:35" s="16" customFormat="1" x14ac:dyDescent="0.25">
      <c r="A374" s="17"/>
      <c r="B374" s="6"/>
      <c r="C374" s="43"/>
      <c r="P374" s="193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26"/>
      <c r="AF374" s="126"/>
      <c r="AG374" s="126"/>
      <c r="AH374" s="126"/>
      <c r="AI374" s="127"/>
    </row>
    <row r="375" spans="1:35" s="16" customFormat="1" x14ac:dyDescent="0.25">
      <c r="A375" s="17"/>
      <c r="B375" s="6"/>
      <c r="C375" s="43"/>
      <c r="P375" s="193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  <c r="AD375" s="126"/>
      <c r="AE375" s="126"/>
      <c r="AF375" s="126"/>
      <c r="AG375" s="126"/>
      <c r="AH375" s="126"/>
      <c r="AI375" s="127"/>
    </row>
    <row r="376" spans="1:35" s="16" customFormat="1" x14ac:dyDescent="0.25">
      <c r="A376" s="17"/>
      <c r="B376" s="6"/>
      <c r="C376" s="43"/>
      <c r="P376" s="193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26"/>
      <c r="AE376" s="126"/>
      <c r="AF376" s="126"/>
      <c r="AG376" s="126"/>
      <c r="AH376" s="126"/>
      <c r="AI376" s="127"/>
    </row>
    <row r="377" spans="1:35" s="16" customFormat="1" x14ac:dyDescent="0.25">
      <c r="A377" s="17"/>
      <c r="B377" s="6"/>
      <c r="C377" s="43"/>
      <c r="P377" s="193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  <c r="AF377" s="126"/>
      <c r="AG377" s="126"/>
      <c r="AH377" s="126"/>
      <c r="AI377" s="127"/>
    </row>
    <row r="378" spans="1:35" s="16" customFormat="1" x14ac:dyDescent="0.25">
      <c r="A378" s="17"/>
      <c r="B378" s="6"/>
      <c r="C378" s="43"/>
      <c r="P378" s="193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  <c r="AF378" s="126"/>
      <c r="AG378" s="126"/>
      <c r="AH378" s="126"/>
      <c r="AI378" s="127"/>
    </row>
    <row r="379" spans="1:35" s="16" customFormat="1" x14ac:dyDescent="0.25">
      <c r="A379" s="17"/>
      <c r="B379" s="6"/>
      <c r="C379" s="43"/>
      <c r="P379" s="193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  <c r="AI379" s="127"/>
    </row>
    <row r="380" spans="1:35" s="16" customFormat="1" x14ac:dyDescent="0.25">
      <c r="A380" s="17"/>
      <c r="B380" s="6"/>
      <c r="C380" s="43"/>
      <c r="P380" s="193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  <c r="AF380" s="126"/>
      <c r="AG380" s="126"/>
      <c r="AH380" s="126"/>
      <c r="AI380" s="127"/>
    </row>
    <row r="381" spans="1:35" s="16" customFormat="1" x14ac:dyDescent="0.25">
      <c r="A381" s="17"/>
      <c r="B381" s="6"/>
      <c r="C381" s="43"/>
      <c r="P381" s="193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26"/>
      <c r="AD381" s="126"/>
      <c r="AE381" s="126"/>
      <c r="AF381" s="126"/>
      <c r="AG381" s="126"/>
      <c r="AH381" s="126"/>
      <c r="AI381" s="127"/>
    </row>
    <row r="382" spans="1:35" s="16" customFormat="1" x14ac:dyDescent="0.25">
      <c r="A382" s="17"/>
      <c r="B382" s="6"/>
      <c r="C382" s="43"/>
      <c r="P382" s="193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26"/>
      <c r="AD382" s="126"/>
      <c r="AE382" s="126"/>
      <c r="AF382" s="126"/>
      <c r="AG382" s="126"/>
      <c r="AH382" s="126"/>
      <c r="AI382" s="127"/>
    </row>
    <row r="383" spans="1:35" s="16" customFormat="1" x14ac:dyDescent="0.25">
      <c r="A383" s="17"/>
      <c r="B383" s="6"/>
      <c r="C383" s="43"/>
      <c r="P383" s="193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26"/>
      <c r="AD383" s="126"/>
      <c r="AE383" s="126"/>
      <c r="AF383" s="126"/>
      <c r="AG383" s="126"/>
      <c r="AH383" s="126"/>
      <c r="AI383" s="127"/>
    </row>
    <row r="384" spans="1:35" s="16" customFormat="1" x14ac:dyDescent="0.25">
      <c r="A384" s="17"/>
      <c r="B384" s="6"/>
      <c r="C384" s="43"/>
      <c r="P384" s="193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26"/>
      <c r="AE384" s="126"/>
      <c r="AF384" s="126"/>
      <c r="AG384" s="126"/>
      <c r="AH384" s="126"/>
      <c r="AI384" s="127"/>
    </row>
    <row r="385" spans="1:35" s="16" customFormat="1" x14ac:dyDescent="0.25">
      <c r="A385" s="17"/>
      <c r="B385" s="6"/>
      <c r="C385" s="43"/>
      <c r="P385" s="193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  <c r="AD385" s="126"/>
      <c r="AE385" s="126"/>
      <c r="AF385" s="126"/>
      <c r="AG385" s="126"/>
      <c r="AH385" s="126"/>
      <c r="AI385" s="127"/>
    </row>
    <row r="386" spans="1:35" s="16" customFormat="1" x14ac:dyDescent="0.25">
      <c r="A386" s="17"/>
      <c r="B386" s="6"/>
      <c r="C386" s="43"/>
      <c r="P386" s="193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  <c r="AC386" s="126"/>
      <c r="AD386" s="126"/>
      <c r="AE386" s="126"/>
      <c r="AF386" s="126"/>
      <c r="AG386" s="126"/>
      <c r="AH386" s="126"/>
      <c r="AI386" s="127"/>
    </row>
    <row r="387" spans="1:35" s="16" customFormat="1" x14ac:dyDescent="0.25">
      <c r="A387" s="17"/>
      <c r="B387" s="6"/>
      <c r="C387" s="43"/>
      <c r="P387" s="193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26"/>
      <c r="AD387" s="126"/>
      <c r="AE387" s="126"/>
      <c r="AF387" s="126"/>
      <c r="AG387" s="126"/>
      <c r="AH387" s="126"/>
      <c r="AI387" s="127"/>
    </row>
    <row r="388" spans="1:35" s="16" customFormat="1" x14ac:dyDescent="0.25">
      <c r="A388" s="17"/>
      <c r="B388" s="6"/>
      <c r="C388" s="43"/>
      <c r="P388" s="193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  <c r="AC388" s="126"/>
      <c r="AD388" s="126"/>
      <c r="AE388" s="126"/>
      <c r="AF388" s="126"/>
      <c r="AG388" s="126"/>
      <c r="AH388" s="126"/>
      <c r="AI388" s="127"/>
    </row>
    <row r="389" spans="1:35" s="16" customFormat="1" x14ac:dyDescent="0.25">
      <c r="A389" s="17"/>
      <c r="B389" s="6"/>
      <c r="C389" s="43"/>
      <c r="P389" s="193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26"/>
      <c r="AC389" s="126"/>
      <c r="AD389" s="126"/>
      <c r="AE389" s="126"/>
      <c r="AF389" s="126"/>
      <c r="AG389" s="126"/>
      <c r="AH389" s="126"/>
      <c r="AI389" s="127"/>
    </row>
    <row r="390" spans="1:35" s="16" customFormat="1" x14ac:dyDescent="0.25">
      <c r="A390" s="17"/>
      <c r="B390" s="6"/>
      <c r="C390" s="43"/>
      <c r="P390" s="193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  <c r="AF390" s="126"/>
      <c r="AG390" s="126"/>
      <c r="AH390" s="126"/>
      <c r="AI390" s="127"/>
    </row>
    <row r="391" spans="1:35" s="16" customFormat="1" x14ac:dyDescent="0.25">
      <c r="A391" s="17"/>
      <c r="B391" s="6"/>
      <c r="C391" s="43"/>
      <c r="P391" s="193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26"/>
      <c r="AC391" s="126"/>
      <c r="AD391" s="126"/>
      <c r="AE391" s="126"/>
      <c r="AF391" s="126"/>
      <c r="AG391" s="126"/>
      <c r="AH391" s="126"/>
      <c r="AI391" s="127"/>
    </row>
    <row r="392" spans="1:35" s="16" customFormat="1" x14ac:dyDescent="0.25">
      <c r="A392" s="17"/>
      <c r="B392" s="6"/>
      <c r="C392" s="43"/>
      <c r="P392" s="193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  <c r="AC392" s="126"/>
      <c r="AD392" s="126"/>
      <c r="AE392" s="126"/>
      <c r="AF392" s="126"/>
      <c r="AG392" s="126"/>
      <c r="AH392" s="126"/>
      <c r="AI392" s="127"/>
    </row>
    <row r="393" spans="1:35" s="16" customFormat="1" x14ac:dyDescent="0.25">
      <c r="A393" s="17"/>
      <c r="B393" s="6"/>
      <c r="C393" s="43"/>
      <c r="P393" s="193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26"/>
      <c r="AC393" s="126"/>
      <c r="AD393" s="126"/>
      <c r="AE393" s="126"/>
      <c r="AF393" s="126"/>
      <c r="AG393" s="126"/>
      <c r="AH393" s="126"/>
      <c r="AI393" s="127"/>
    </row>
    <row r="394" spans="1:35" s="16" customFormat="1" x14ac:dyDescent="0.25">
      <c r="A394" s="17"/>
      <c r="B394" s="6"/>
      <c r="C394" s="43"/>
      <c r="P394" s="193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26"/>
      <c r="AC394" s="126"/>
      <c r="AD394" s="126"/>
      <c r="AE394" s="126"/>
      <c r="AF394" s="126"/>
      <c r="AG394" s="126"/>
      <c r="AH394" s="126"/>
      <c r="AI394" s="127"/>
    </row>
    <row r="395" spans="1:35" s="16" customFormat="1" x14ac:dyDescent="0.25">
      <c r="A395" s="17"/>
      <c r="B395" s="6"/>
      <c r="C395" s="43"/>
      <c r="P395" s="193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26"/>
      <c r="AC395" s="126"/>
      <c r="AD395" s="126"/>
      <c r="AE395" s="126"/>
      <c r="AF395" s="126"/>
      <c r="AG395" s="126"/>
      <c r="AH395" s="126"/>
      <c r="AI395" s="127"/>
    </row>
    <row r="396" spans="1:35" s="16" customFormat="1" x14ac:dyDescent="0.25">
      <c r="A396" s="17"/>
      <c r="B396" s="6"/>
      <c r="C396" s="43"/>
      <c r="P396" s="193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  <c r="AC396" s="126"/>
      <c r="AD396" s="126"/>
      <c r="AE396" s="126"/>
      <c r="AF396" s="126"/>
      <c r="AG396" s="126"/>
      <c r="AH396" s="126"/>
      <c r="AI396" s="127"/>
    </row>
    <row r="397" spans="1:35" s="16" customFormat="1" x14ac:dyDescent="0.25">
      <c r="A397" s="17"/>
      <c r="B397" s="6"/>
      <c r="C397" s="43"/>
      <c r="P397" s="193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  <c r="AC397" s="126"/>
      <c r="AD397" s="126"/>
      <c r="AE397" s="126"/>
      <c r="AF397" s="126"/>
      <c r="AG397" s="126"/>
      <c r="AH397" s="126"/>
      <c r="AI397" s="127"/>
    </row>
    <row r="398" spans="1:35" s="16" customFormat="1" x14ac:dyDescent="0.25">
      <c r="A398" s="17"/>
      <c r="B398" s="6"/>
      <c r="C398" s="43"/>
      <c r="P398" s="193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  <c r="AC398" s="126"/>
      <c r="AD398" s="126"/>
      <c r="AE398" s="126"/>
      <c r="AF398" s="126"/>
      <c r="AG398" s="126"/>
      <c r="AH398" s="126"/>
      <c r="AI398" s="127"/>
    </row>
    <row r="399" spans="1:35" s="16" customFormat="1" x14ac:dyDescent="0.25">
      <c r="A399" s="17"/>
      <c r="B399" s="6"/>
      <c r="C399" s="43"/>
      <c r="P399" s="193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  <c r="AB399" s="126"/>
      <c r="AC399" s="126"/>
      <c r="AD399" s="126"/>
      <c r="AE399" s="126"/>
      <c r="AF399" s="126"/>
      <c r="AG399" s="126"/>
      <c r="AH399" s="126"/>
      <c r="AI399" s="127"/>
    </row>
    <row r="400" spans="1:35" s="16" customFormat="1" x14ac:dyDescent="0.25">
      <c r="A400" s="17"/>
      <c r="B400" s="6"/>
      <c r="C400" s="43"/>
      <c r="P400" s="193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  <c r="AE400" s="126"/>
      <c r="AF400" s="126"/>
      <c r="AG400" s="126"/>
      <c r="AH400" s="126"/>
      <c r="AI400" s="127"/>
    </row>
    <row r="401" spans="1:35" s="16" customFormat="1" x14ac:dyDescent="0.25">
      <c r="A401" s="17"/>
      <c r="B401" s="6"/>
      <c r="C401" s="43"/>
      <c r="P401" s="193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  <c r="AC401" s="126"/>
      <c r="AD401" s="126"/>
      <c r="AE401" s="126"/>
      <c r="AF401" s="126"/>
      <c r="AG401" s="126"/>
      <c r="AH401" s="126"/>
      <c r="AI401" s="127"/>
    </row>
    <row r="402" spans="1:35" s="16" customFormat="1" x14ac:dyDescent="0.25">
      <c r="A402" s="17"/>
      <c r="B402" s="6"/>
      <c r="C402" s="43"/>
      <c r="P402" s="193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  <c r="AF402" s="126"/>
      <c r="AG402" s="126"/>
      <c r="AH402" s="126"/>
      <c r="AI402" s="127"/>
    </row>
    <row r="403" spans="1:35" s="16" customFormat="1" x14ac:dyDescent="0.25">
      <c r="A403" s="17"/>
      <c r="B403" s="6"/>
      <c r="C403" s="43"/>
      <c r="P403" s="193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  <c r="AB403" s="126"/>
      <c r="AC403" s="126"/>
      <c r="AD403" s="126"/>
      <c r="AE403" s="126"/>
      <c r="AF403" s="126"/>
      <c r="AG403" s="126"/>
      <c r="AH403" s="126"/>
      <c r="AI403" s="127"/>
    </row>
    <row r="404" spans="1:35" s="16" customFormat="1" x14ac:dyDescent="0.25">
      <c r="A404" s="17"/>
      <c r="B404" s="6"/>
      <c r="C404" s="43"/>
      <c r="P404" s="193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  <c r="AB404" s="126"/>
      <c r="AC404" s="126"/>
      <c r="AD404" s="126"/>
      <c r="AE404" s="126"/>
      <c r="AF404" s="126"/>
      <c r="AG404" s="126"/>
      <c r="AH404" s="126"/>
      <c r="AI404" s="127"/>
    </row>
    <row r="405" spans="1:35" s="16" customFormat="1" x14ac:dyDescent="0.25">
      <c r="A405" s="17"/>
      <c r="B405" s="6"/>
      <c r="C405" s="43"/>
      <c r="P405" s="193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  <c r="AB405" s="126"/>
      <c r="AC405" s="126"/>
      <c r="AD405" s="126"/>
      <c r="AE405" s="126"/>
      <c r="AF405" s="126"/>
      <c r="AG405" s="126"/>
      <c r="AH405" s="126"/>
      <c r="AI405" s="127"/>
    </row>
    <row r="406" spans="1:35" s="16" customFormat="1" x14ac:dyDescent="0.25">
      <c r="A406" s="17"/>
      <c r="B406" s="6"/>
      <c r="C406" s="43"/>
      <c r="P406" s="193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  <c r="AB406" s="126"/>
      <c r="AC406" s="126"/>
      <c r="AD406" s="126"/>
      <c r="AE406" s="126"/>
      <c r="AF406" s="126"/>
      <c r="AG406" s="126"/>
      <c r="AH406" s="126"/>
      <c r="AI406" s="127"/>
    </row>
    <row r="407" spans="1:35" s="16" customFormat="1" x14ac:dyDescent="0.25">
      <c r="A407" s="17"/>
      <c r="B407" s="6"/>
      <c r="C407" s="43"/>
      <c r="P407" s="193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126"/>
      <c r="AE407" s="126"/>
      <c r="AF407" s="126"/>
      <c r="AG407" s="126"/>
      <c r="AH407" s="126"/>
      <c r="AI407" s="127"/>
    </row>
    <row r="408" spans="1:35" s="16" customFormat="1" x14ac:dyDescent="0.25">
      <c r="A408" s="17"/>
      <c r="B408" s="6"/>
      <c r="C408" s="43"/>
      <c r="P408" s="193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  <c r="AB408" s="126"/>
      <c r="AC408" s="126"/>
      <c r="AD408" s="126"/>
      <c r="AE408" s="126"/>
      <c r="AF408" s="126"/>
      <c r="AG408" s="126"/>
      <c r="AH408" s="126"/>
      <c r="AI408" s="127"/>
    </row>
    <row r="409" spans="1:35" s="16" customFormat="1" x14ac:dyDescent="0.25">
      <c r="A409" s="17"/>
      <c r="B409" s="6"/>
      <c r="C409" s="43"/>
      <c r="P409" s="193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  <c r="AB409" s="126"/>
      <c r="AC409" s="126"/>
      <c r="AD409" s="126"/>
      <c r="AE409" s="126"/>
      <c r="AF409" s="126"/>
      <c r="AG409" s="126"/>
      <c r="AH409" s="126"/>
      <c r="AI409" s="127"/>
    </row>
    <row r="410" spans="1:35" s="16" customFormat="1" x14ac:dyDescent="0.25">
      <c r="A410" s="17"/>
      <c r="B410" s="6"/>
      <c r="C410" s="43"/>
      <c r="P410" s="193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  <c r="AB410" s="126"/>
      <c r="AC410" s="126"/>
      <c r="AD410" s="126"/>
      <c r="AE410" s="126"/>
      <c r="AF410" s="126"/>
      <c r="AG410" s="126"/>
      <c r="AH410" s="126"/>
      <c r="AI410" s="127"/>
    </row>
    <row r="411" spans="1:35" s="16" customFormat="1" x14ac:dyDescent="0.25">
      <c r="A411" s="17"/>
      <c r="B411" s="6"/>
      <c r="C411" s="43"/>
      <c r="P411" s="193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  <c r="AF411" s="126"/>
      <c r="AG411" s="126"/>
      <c r="AH411" s="126"/>
      <c r="AI411" s="127"/>
    </row>
    <row r="412" spans="1:35" s="16" customFormat="1" x14ac:dyDescent="0.25">
      <c r="A412" s="17"/>
      <c r="B412" s="6"/>
      <c r="C412" s="43"/>
      <c r="P412" s="193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  <c r="AB412" s="126"/>
      <c r="AC412" s="126"/>
      <c r="AD412" s="126"/>
      <c r="AE412" s="126"/>
      <c r="AF412" s="126"/>
      <c r="AG412" s="126"/>
      <c r="AH412" s="126"/>
      <c r="AI412" s="127"/>
    </row>
    <row r="413" spans="1:35" s="16" customFormat="1" x14ac:dyDescent="0.25">
      <c r="A413" s="17"/>
      <c r="B413" s="6"/>
      <c r="C413" s="43"/>
      <c r="P413" s="193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  <c r="AB413" s="126"/>
      <c r="AC413" s="126"/>
      <c r="AD413" s="126"/>
      <c r="AE413" s="126"/>
      <c r="AF413" s="126"/>
      <c r="AG413" s="126"/>
      <c r="AH413" s="126"/>
      <c r="AI413" s="127"/>
    </row>
    <row r="414" spans="1:35" s="16" customFormat="1" x14ac:dyDescent="0.25">
      <c r="A414" s="17"/>
      <c r="B414" s="6"/>
      <c r="C414" s="43"/>
      <c r="P414" s="193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26"/>
      <c r="AC414" s="126"/>
      <c r="AD414" s="126"/>
      <c r="AE414" s="126"/>
      <c r="AF414" s="126"/>
      <c r="AG414" s="126"/>
      <c r="AH414" s="126"/>
      <c r="AI414" s="127"/>
    </row>
    <row r="415" spans="1:35" s="16" customFormat="1" x14ac:dyDescent="0.25">
      <c r="A415" s="17"/>
      <c r="B415" s="6"/>
      <c r="C415" s="43"/>
      <c r="P415" s="193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  <c r="AF415" s="126"/>
      <c r="AG415" s="126"/>
      <c r="AH415" s="126"/>
      <c r="AI415" s="127"/>
    </row>
    <row r="416" spans="1:35" s="16" customFormat="1" x14ac:dyDescent="0.25">
      <c r="A416" s="17"/>
      <c r="B416" s="6"/>
      <c r="C416" s="43"/>
      <c r="P416" s="193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26"/>
      <c r="AD416" s="126"/>
      <c r="AE416" s="126"/>
      <c r="AF416" s="126"/>
      <c r="AG416" s="126"/>
      <c r="AH416" s="126"/>
      <c r="AI416" s="127"/>
    </row>
    <row r="417" spans="1:35" s="16" customFormat="1" x14ac:dyDescent="0.25">
      <c r="A417" s="17"/>
      <c r="B417" s="6"/>
      <c r="C417" s="43"/>
      <c r="P417" s="193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  <c r="AA417" s="126"/>
      <c r="AB417" s="126"/>
      <c r="AC417" s="126"/>
      <c r="AD417" s="126"/>
      <c r="AE417" s="126"/>
      <c r="AF417" s="126"/>
      <c r="AG417" s="126"/>
      <c r="AH417" s="126"/>
      <c r="AI417" s="127"/>
    </row>
    <row r="418" spans="1:35" s="16" customFormat="1" x14ac:dyDescent="0.25">
      <c r="A418" s="17"/>
      <c r="B418" s="6"/>
      <c r="C418" s="43"/>
      <c r="P418" s="193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26"/>
      <c r="AC418" s="126"/>
      <c r="AD418" s="126"/>
      <c r="AE418" s="126"/>
      <c r="AF418" s="126"/>
      <c r="AG418" s="126"/>
      <c r="AH418" s="126"/>
      <c r="AI418" s="127"/>
    </row>
    <row r="419" spans="1:35" s="16" customFormat="1" x14ac:dyDescent="0.25">
      <c r="A419" s="17"/>
      <c r="B419" s="6"/>
      <c r="C419" s="43"/>
      <c r="P419" s="193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  <c r="AD419" s="126"/>
      <c r="AE419" s="126"/>
      <c r="AF419" s="126"/>
      <c r="AG419" s="126"/>
      <c r="AH419" s="126"/>
      <c r="AI419" s="127"/>
    </row>
    <row r="420" spans="1:35" s="16" customFormat="1" x14ac:dyDescent="0.25">
      <c r="A420" s="17"/>
      <c r="B420" s="6"/>
      <c r="C420" s="43"/>
      <c r="P420" s="193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26"/>
      <c r="AC420" s="126"/>
      <c r="AD420" s="126"/>
      <c r="AE420" s="126"/>
      <c r="AF420" s="126"/>
      <c r="AG420" s="126"/>
      <c r="AH420" s="126"/>
      <c r="AI420" s="127"/>
    </row>
    <row r="421" spans="1:35" s="16" customFormat="1" x14ac:dyDescent="0.25">
      <c r="A421" s="17"/>
      <c r="B421" s="6"/>
      <c r="C421" s="43"/>
      <c r="P421" s="193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  <c r="AD421" s="126"/>
      <c r="AE421" s="126"/>
      <c r="AF421" s="126"/>
      <c r="AG421" s="126"/>
      <c r="AH421" s="126"/>
      <c r="AI421" s="127"/>
    </row>
    <row r="422" spans="1:35" s="16" customFormat="1" x14ac:dyDescent="0.25">
      <c r="A422" s="17"/>
      <c r="B422" s="6"/>
      <c r="C422" s="43"/>
      <c r="P422" s="193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  <c r="AC422" s="126"/>
      <c r="AD422" s="126"/>
      <c r="AE422" s="126"/>
      <c r="AF422" s="126"/>
      <c r="AG422" s="126"/>
      <c r="AH422" s="126"/>
      <c r="AI422" s="127"/>
    </row>
    <row r="423" spans="1:35" s="16" customFormat="1" x14ac:dyDescent="0.25">
      <c r="A423" s="17"/>
      <c r="B423" s="6"/>
      <c r="C423" s="43"/>
      <c r="P423" s="193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26"/>
      <c r="AD423" s="126"/>
      <c r="AE423" s="126"/>
      <c r="AF423" s="126"/>
      <c r="AG423" s="126"/>
      <c r="AH423" s="126"/>
      <c r="AI423" s="127"/>
    </row>
    <row r="424" spans="1:35" s="16" customFormat="1" x14ac:dyDescent="0.25">
      <c r="A424" s="17"/>
      <c r="B424" s="6"/>
      <c r="C424" s="43"/>
      <c r="P424" s="193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  <c r="AD424" s="126"/>
      <c r="AE424" s="126"/>
      <c r="AF424" s="126"/>
      <c r="AG424" s="126"/>
      <c r="AH424" s="126"/>
      <c r="AI424" s="127"/>
    </row>
    <row r="425" spans="1:35" s="16" customFormat="1" x14ac:dyDescent="0.25">
      <c r="A425" s="17"/>
      <c r="B425" s="6"/>
      <c r="C425" s="43"/>
      <c r="P425" s="193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26"/>
      <c r="AD425" s="126"/>
      <c r="AE425" s="126"/>
      <c r="AF425" s="126"/>
      <c r="AG425" s="126"/>
      <c r="AH425" s="126"/>
      <c r="AI425" s="127"/>
    </row>
    <row r="426" spans="1:35" s="16" customFormat="1" x14ac:dyDescent="0.25">
      <c r="A426" s="17"/>
      <c r="B426" s="6"/>
      <c r="C426" s="43"/>
      <c r="P426" s="193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26"/>
      <c r="AC426" s="126"/>
      <c r="AD426" s="126"/>
      <c r="AE426" s="126"/>
      <c r="AF426" s="126"/>
      <c r="AG426" s="126"/>
      <c r="AH426" s="126"/>
      <c r="AI426" s="127"/>
    </row>
    <row r="427" spans="1:35" s="16" customFormat="1" x14ac:dyDescent="0.25">
      <c r="A427" s="17"/>
      <c r="B427" s="6"/>
      <c r="C427" s="43"/>
      <c r="P427" s="193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  <c r="AE427" s="126"/>
      <c r="AF427" s="126"/>
      <c r="AG427" s="126"/>
      <c r="AH427" s="126"/>
      <c r="AI427" s="127"/>
    </row>
    <row r="428" spans="1:35" s="16" customFormat="1" x14ac:dyDescent="0.25">
      <c r="A428" s="17"/>
      <c r="B428" s="6"/>
      <c r="C428" s="43"/>
      <c r="P428" s="193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  <c r="AC428" s="126"/>
      <c r="AD428" s="126"/>
      <c r="AE428" s="126"/>
      <c r="AF428" s="126"/>
      <c r="AG428" s="126"/>
      <c r="AH428" s="126"/>
      <c r="AI428" s="127"/>
    </row>
    <row r="429" spans="1:35" s="16" customFormat="1" x14ac:dyDescent="0.25">
      <c r="A429" s="17"/>
      <c r="B429" s="6"/>
      <c r="C429" s="43"/>
      <c r="P429" s="193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  <c r="AC429" s="126"/>
      <c r="AD429" s="126"/>
      <c r="AE429" s="126"/>
      <c r="AF429" s="126"/>
      <c r="AG429" s="126"/>
      <c r="AH429" s="126"/>
      <c r="AI429" s="127"/>
    </row>
    <row r="430" spans="1:35" s="16" customFormat="1" x14ac:dyDescent="0.25">
      <c r="A430" s="17"/>
      <c r="B430" s="6"/>
      <c r="C430" s="43"/>
      <c r="P430" s="193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  <c r="AA430" s="126"/>
      <c r="AB430" s="126"/>
      <c r="AC430" s="126"/>
      <c r="AD430" s="126"/>
      <c r="AE430" s="126"/>
      <c r="AF430" s="126"/>
      <c r="AG430" s="126"/>
      <c r="AH430" s="126"/>
      <c r="AI430" s="127"/>
    </row>
    <row r="431" spans="1:35" s="16" customFormat="1" x14ac:dyDescent="0.25">
      <c r="A431" s="17"/>
      <c r="B431" s="6"/>
      <c r="C431" s="43"/>
      <c r="P431" s="193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  <c r="AD431" s="126"/>
      <c r="AE431" s="126"/>
      <c r="AF431" s="126"/>
      <c r="AG431" s="126"/>
      <c r="AH431" s="126"/>
      <c r="AI431" s="127"/>
    </row>
    <row r="432" spans="1:35" s="16" customFormat="1" x14ac:dyDescent="0.25">
      <c r="A432" s="17"/>
      <c r="B432" s="6"/>
      <c r="C432" s="43"/>
      <c r="P432" s="193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26"/>
      <c r="AC432" s="126"/>
      <c r="AD432" s="126"/>
      <c r="AE432" s="126"/>
      <c r="AF432" s="126"/>
      <c r="AG432" s="126"/>
      <c r="AH432" s="126"/>
      <c r="AI432" s="127"/>
    </row>
    <row r="433" spans="1:35" s="16" customFormat="1" x14ac:dyDescent="0.25">
      <c r="A433" s="17"/>
      <c r="B433" s="6"/>
      <c r="C433" s="43"/>
      <c r="P433" s="193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  <c r="AC433" s="126"/>
      <c r="AD433" s="126"/>
      <c r="AE433" s="126"/>
      <c r="AF433" s="126"/>
      <c r="AG433" s="126"/>
      <c r="AH433" s="126"/>
      <c r="AI433" s="127"/>
    </row>
    <row r="434" spans="1:35" s="16" customFormat="1" x14ac:dyDescent="0.25">
      <c r="A434" s="17"/>
      <c r="B434" s="6"/>
      <c r="C434" s="43"/>
      <c r="P434" s="193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  <c r="AA434" s="126"/>
      <c r="AB434" s="126"/>
      <c r="AC434" s="126"/>
      <c r="AD434" s="126"/>
      <c r="AE434" s="126"/>
      <c r="AF434" s="126"/>
      <c r="AG434" s="126"/>
      <c r="AH434" s="126"/>
      <c r="AI434" s="127"/>
    </row>
    <row r="435" spans="1:35" s="16" customFormat="1" x14ac:dyDescent="0.25">
      <c r="A435" s="17"/>
      <c r="B435" s="6"/>
      <c r="C435" s="43"/>
      <c r="P435" s="193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  <c r="AB435" s="126"/>
      <c r="AC435" s="126"/>
      <c r="AD435" s="126"/>
      <c r="AE435" s="126"/>
      <c r="AF435" s="126"/>
      <c r="AG435" s="126"/>
      <c r="AH435" s="126"/>
      <c r="AI435" s="127"/>
    </row>
    <row r="436" spans="1:35" s="16" customFormat="1" x14ac:dyDescent="0.25">
      <c r="A436" s="17"/>
      <c r="B436" s="6"/>
      <c r="C436" s="43"/>
      <c r="P436" s="193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126"/>
      <c r="AE436" s="126"/>
      <c r="AF436" s="126"/>
      <c r="AG436" s="126"/>
      <c r="AH436" s="126"/>
      <c r="AI436" s="127"/>
    </row>
    <row r="437" spans="1:35" s="16" customFormat="1" x14ac:dyDescent="0.25">
      <c r="A437" s="17"/>
      <c r="B437" s="6"/>
      <c r="C437" s="43"/>
      <c r="P437" s="193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  <c r="AC437" s="126"/>
      <c r="AD437" s="126"/>
      <c r="AE437" s="126"/>
      <c r="AF437" s="126"/>
      <c r="AG437" s="126"/>
      <c r="AH437" s="126"/>
      <c r="AI437" s="127"/>
    </row>
    <row r="438" spans="1:35" s="16" customFormat="1" x14ac:dyDescent="0.25">
      <c r="A438" s="17"/>
      <c r="B438" s="6"/>
      <c r="C438" s="43"/>
      <c r="P438" s="193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  <c r="AA438" s="126"/>
      <c r="AB438" s="126"/>
      <c r="AC438" s="126"/>
      <c r="AD438" s="126"/>
      <c r="AE438" s="126"/>
      <c r="AF438" s="126"/>
      <c r="AG438" s="126"/>
      <c r="AH438" s="126"/>
      <c r="AI438" s="127"/>
    </row>
    <row r="439" spans="1:35" s="16" customFormat="1" x14ac:dyDescent="0.25">
      <c r="A439" s="17"/>
      <c r="B439" s="6"/>
      <c r="C439" s="43"/>
      <c r="P439" s="193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  <c r="AA439" s="126"/>
      <c r="AB439" s="126"/>
      <c r="AC439" s="126"/>
      <c r="AD439" s="126"/>
      <c r="AE439" s="126"/>
      <c r="AF439" s="126"/>
      <c r="AG439" s="126"/>
      <c r="AH439" s="126"/>
      <c r="AI439" s="127"/>
    </row>
    <row r="440" spans="1:35" s="16" customFormat="1" x14ac:dyDescent="0.25">
      <c r="A440" s="17"/>
      <c r="B440" s="6"/>
      <c r="C440" s="43"/>
      <c r="P440" s="193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  <c r="AA440" s="126"/>
      <c r="AB440" s="126"/>
      <c r="AC440" s="126"/>
      <c r="AD440" s="126"/>
      <c r="AE440" s="126"/>
      <c r="AF440" s="126"/>
      <c r="AG440" s="126"/>
      <c r="AH440" s="126"/>
      <c r="AI440" s="127"/>
    </row>
    <row r="441" spans="1:35" s="16" customFormat="1" x14ac:dyDescent="0.25">
      <c r="A441" s="17"/>
      <c r="B441" s="6"/>
      <c r="C441" s="43"/>
      <c r="P441" s="193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  <c r="AA441" s="126"/>
      <c r="AB441" s="126"/>
      <c r="AC441" s="126"/>
      <c r="AD441" s="126"/>
      <c r="AE441" s="126"/>
      <c r="AF441" s="126"/>
      <c r="AG441" s="126"/>
      <c r="AH441" s="126"/>
      <c r="AI441" s="127"/>
    </row>
    <row r="442" spans="1:35" s="16" customFormat="1" x14ac:dyDescent="0.25">
      <c r="A442" s="17"/>
      <c r="B442" s="6"/>
      <c r="C442" s="43"/>
      <c r="P442" s="193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  <c r="AA442" s="126"/>
      <c r="AB442" s="126"/>
      <c r="AC442" s="126"/>
      <c r="AD442" s="126"/>
      <c r="AE442" s="126"/>
      <c r="AF442" s="126"/>
      <c r="AG442" s="126"/>
      <c r="AH442" s="126"/>
      <c r="AI442" s="127"/>
    </row>
    <row r="443" spans="1:35" s="16" customFormat="1" x14ac:dyDescent="0.25">
      <c r="A443" s="17"/>
      <c r="B443" s="6"/>
      <c r="C443" s="43"/>
      <c r="P443" s="193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  <c r="AB443" s="126"/>
      <c r="AC443" s="126"/>
      <c r="AD443" s="126"/>
      <c r="AE443" s="126"/>
      <c r="AF443" s="126"/>
      <c r="AG443" s="126"/>
      <c r="AH443" s="126"/>
      <c r="AI443" s="127"/>
    </row>
    <row r="444" spans="1:35" s="16" customFormat="1" x14ac:dyDescent="0.25">
      <c r="A444" s="17"/>
      <c r="B444" s="6"/>
      <c r="C444" s="43"/>
      <c r="P444" s="193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  <c r="AA444" s="126"/>
      <c r="AB444" s="126"/>
      <c r="AC444" s="126"/>
      <c r="AD444" s="126"/>
      <c r="AE444" s="126"/>
      <c r="AF444" s="126"/>
      <c r="AG444" s="126"/>
      <c r="AH444" s="126"/>
      <c r="AI444" s="127"/>
    </row>
    <row r="445" spans="1:35" s="16" customFormat="1" x14ac:dyDescent="0.25">
      <c r="A445" s="17"/>
      <c r="B445" s="6"/>
      <c r="C445" s="43"/>
      <c r="P445" s="193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  <c r="AA445" s="126"/>
      <c r="AB445" s="126"/>
      <c r="AC445" s="126"/>
      <c r="AD445" s="126"/>
      <c r="AE445" s="126"/>
      <c r="AF445" s="126"/>
      <c r="AG445" s="126"/>
      <c r="AH445" s="126"/>
      <c r="AI445" s="127"/>
    </row>
    <row r="446" spans="1:35" s="16" customFormat="1" x14ac:dyDescent="0.25">
      <c r="A446" s="17"/>
      <c r="B446" s="6"/>
      <c r="C446" s="43"/>
      <c r="P446" s="193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  <c r="AA446" s="126"/>
      <c r="AB446" s="126"/>
      <c r="AC446" s="126"/>
      <c r="AD446" s="126"/>
      <c r="AE446" s="126"/>
      <c r="AF446" s="126"/>
      <c r="AG446" s="126"/>
      <c r="AH446" s="126"/>
      <c r="AI446" s="127"/>
    </row>
    <row r="447" spans="1:35" s="16" customFormat="1" x14ac:dyDescent="0.25">
      <c r="A447" s="17"/>
      <c r="B447" s="6"/>
      <c r="C447" s="43"/>
      <c r="P447" s="193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26"/>
      <c r="AC447" s="126"/>
      <c r="AD447" s="126"/>
      <c r="AE447" s="126"/>
      <c r="AF447" s="126"/>
      <c r="AG447" s="126"/>
      <c r="AH447" s="126"/>
      <c r="AI447" s="127"/>
    </row>
    <row r="448" spans="1:35" s="16" customFormat="1" x14ac:dyDescent="0.25">
      <c r="A448" s="17"/>
      <c r="B448" s="6"/>
      <c r="C448" s="43"/>
      <c r="P448" s="193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26"/>
      <c r="AC448" s="126"/>
      <c r="AD448" s="126"/>
      <c r="AE448" s="126"/>
      <c r="AF448" s="126"/>
      <c r="AG448" s="126"/>
      <c r="AH448" s="126"/>
      <c r="AI448" s="127"/>
    </row>
    <row r="449" spans="1:35" s="16" customFormat="1" x14ac:dyDescent="0.25">
      <c r="A449" s="17"/>
      <c r="B449" s="6"/>
      <c r="C449" s="43"/>
      <c r="P449" s="193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  <c r="AF449" s="126"/>
      <c r="AG449" s="126"/>
      <c r="AH449" s="126"/>
      <c r="AI449" s="127"/>
    </row>
    <row r="450" spans="1:35" s="16" customFormat="1" x14ac:dyDescent="0.25">
      <c r="A450" s="17"/>
      <c r="B450" s="6"/>
      <c r="C450" s="43"/>
      <c r="P450" s="193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  <c r="AC450" s="126"/>
      <c r="AD450" s="126"/>
      <c r="AE450" s="126"/>
      <c r="AF450" s="126"/>
      <c r="AG450" s="126"/>
      <c r="AH450" s="126"/>
      <c r="AI450" s="127"/>
    </row>
    <row r="451" spans="1:35" s="16" customFormat="1" x14ac:dyDescent="0.25">
      <c r="A451" s="17"/>
      <c r="B451" s="6"/>
      <c r="C451" s="43"/>
      <c r="P451" s="193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26"/>
      <c r="AC451" s="126"/>
      <c r="AD451" s="126"/>
      <c r="AE451" s="126"/>
      <c r="AF451" s="126"/>
      <c r="AG451" s="126"/>
      <c r="AH451" s="126"/>
      <c r="AI451" s="127"/>
    </row>
    <row r="452" spans="1:35" s="16" customFormat="1" x14ac:dyDescent="0.25">
      <c r="A452" s="17"/>
      <c r="B452" s="6"/>
      <c r="C452" s="43"/>
      <c r="P452" s="193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  <c r="AD452" s="126"/>
      <c r="AE452" s="126"/>
      <c r="AF452" s="126"/>
      <c r="AG452" s="126"/>
      <c r="AH452" s="126"/>
      <c r="AI452" s="127"/>
    </row>
    <row r="453" spans="1:35" s="16" customFormat="1" x14ac:dyDescent="0.25">
      <c r="A453" s="17"/>
      <c r="B453" s="6"/>
      <c r="C453" s="43"/>
      <c r="P453" s="193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  <c r="AD453" s="126"/>
      <c r="AE453" s="126"/>
      <c r="AF453" s="126"/>
      <c r="AG453" s="126"/>
      <c r="AH453" s="126"/>
      <c r="AI453" s="127"/>
    </row>
    <row r="454" spans="1:35" s="16" customFormat="1" x14ac:dyDescent="0.25">
      <c r="A454" s="17"/>
      <c r="B454" s="6"/>
      <c r="C454" s="43"/>
      <c r="P454" s="193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  <c r="AD454" s="126"/>
      <c r="AE454" s="126"/>
      <c r="AF454" s="126"/>
      <c r="AG454" s="126"/>
      <c r="AH454" s="126"/>
      <c r="AI454" s="127"/>
    </row>
    <row r="455" spans="1:35" s="16" customFormat="1" x14ac:dyDescent="0.25">
      <c r="A455" s="17"/>
      <c r="B455" s="6"/>
      <c r="C455" s="43"/>
      <c r="P455" s="193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  <c r="AD455" s="126"/>
      <c r="AE455" s="126"/>
      <c r="AF455" s="126"/>
      <c r="AG455" s="126"/>
      <c r="AH455" s="126"/>
      <c r="AI455" s="127"/>
    </row>
    <row r="456" spans="1:35" s="16" customFormat="1" x14ac:dyDescent="0.25">
      <c r="A456" s="17"/>
      <c r="B456" s="6"/>
      <c r="C456" s="43"/>
      <c r="P456" s="193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  <c r="AD456" s="126"/>
      <c r="AE456" s="126"/>
      <c r="AF456" s="126"/>
      <c r="AG456" s="126"/>
      <c r="AH456" s="126"/>
      <c r="AI456" s="127"/>
    </row>
    <row r="457" spans="1:35" s="16" customFormat="1" x14ac:dyDescent="0.25">
      <c r="A457" s="17"/>
      <c r="B457" s="6"/>
      <c r="C457" s="43"/>
      <c r="P457" s="193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26"/>
      <c r="AC457" s="126"/>
      <c r="AD457" s="126"/>
      <c r="AE457" s="126"/>
      <c r="AF457" s="126"/>
      <c r="AG457" s="126"/>
      <c r="AH457" s="126"/>
      <c r="AI457" s="127"/>
    </row>
    <row r="458" spans="1:35" s="16" customFormat="1" x14ac:dyDescent="0.25">
      <c r="A458" s="17"/>
      <c r="B458" s="6"/>
      <c r="C458" s="43"/>
      <c r="P458" s="193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7"/>
    </row>
    <row r="459" spans="1:35" s="16" customFormat="1" x14ac:dyDescent="0.25">
      <c r="A459" s="17"/>
      <c r="B459" s="6"/>
      <c r="C459" s="43"/>
      <c r="P459" s="193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7"/>
    </row>
    <row r="460" spans="1:35" s="16" customFormat="1" x14ac:dyDescent="0.25">
      <c r="A460" s="17"/>
      <c r="B460" s="6"/>
      <c r="C460" s="43"/>
      <c r="P460" s="193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  <c r="AD460" s="126"/>
      <c r="AE460" s="126"/>
      <c r="AF460" s="126"/>
      <c r="AG460" s="126"/>
      <c r="AH460" s="126"/>
      <c r="AI460" s="127"/>
    </row>
    <row r="461" spans="1:35" s="16" customFormat="1" x14ac:dyDescent="0.25">
      <c r="A461" s="17"/>
      <c r="B461" s="6"/>
      <c r="C461" s="43"/>
      <c r="P461" s="193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6"/>
      <c r="AE461" s="126"/>
      <c r="AF461" s="126"/>
      <c r="AG461" s="126"/>
      <c r="AH461" s="126"/>
      <c r="AI461" s="127"/>
    </row>
    <row r="462" spans="1:35" s="16" customFormat="1" x14ac:dyDescent="0.25">
      <c r="A462" s="17"/>
      <c r="B462" s="6"/>
      <c r="C462" s="43"/>
      <c r="P462" s="193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26"/>
      <c r="AC462" s="126"/>
      <c r="AD462" s="126"/>
      <c r="AE462" s="126"/>
      <c r="AF462" s="126"/>
      <c r="AG462" s="126"/>
      <c r="AH462" s="126"/>
      <c r="AI462" s="127"/>
    </row>
    <row r="463" spans="1:35" s="16" customFormat="1" x14ac:dyDescent="0.25">
      <c r="A463" s="17"/>
      <c r="B463" s="6"/>
      <c r="C463" s="43"/>
      <c r="P463" s="193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  <c r="AA463" s="126"/>
      <c r="AB463" s="126"/>
      <c r="AC463" s="126"/>
      <c r="AD463" s="126"/>
      <c r="AE463" s="126"/>
      <c r="AF463" s="126"/>
      <c r="AG463" s="126"/>
      <c r="AH463" s="126"/>
      <c r="AI463" s="127"/>
    </row>
    <row r="464" spans="1:35" s="16" customFormat="1" x14ac:dyDescent="0.25">
      <c r="A464" s="17"/>
      <c r="B464" s="6"/>
      <c r="C464" s="43"/>
      <c r="P464" s="193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  <c r="AA464" s="126"/>
      <c r="AB464" s="126"/>
      <c r="AC464" s="126"/>
      <c r="AD464" s="126"/>
      <c r="AE464" s="126"/>
      <c r="AF464" s="126"/>
      <c r="AG464" s="126"/>
      <c r="AH464" s="126"/>
      <c r="AI464" s="127"/>
    </row>
    <row r="465" spans="1:35" s="16" customFormat="1" x14ac:dyDescent="0.25">
      <c r="A465" s="17"/>
      <c r="B465" s="6"/>
      <c r="C465" s="43"/>
      <c r="P465" s="193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126"/>
      <c r="AB465" s="126"/>
      <c r="AC465" s="126"/>
      <c r="AD465" s="126"/>
      <c r="AE465" s="126"/>
      <c r="AF465" s="126"/>
      <c r="AG465" s="126"/>
      <c r="AH465" s="126"/>
      <c r="AI465" s="127"/>
    </row>
    <row r="466" spans="1:35" s="16" customFormat="1" x14ac:dyDescent="0.25">
      <c r="A466" s="17"/>
      <c r="B466" s="6"/>
      <c r="C466" s="43"/>
      <c r="P466" s="193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  <c r="AD466" s="126"/>
      <c r="AE466" s="126"/>
      <c r="AF466" s="126"/>
      <c r="AG466" s="126"/>
      <c r="AH466" s="126"/>
      <c r="AI466" s="127"/>
    </row>
    <row r="467" spans="1:35" s="16" customFormat="1" x14ac:dyDescent="0.25">
      <c r="A467" s="17"/>
      <c r="B467" s="6"/>
      <c r="C467" s="43"/>
      <c r="P467" s="193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  <c r="AD467" s="126"/>
      <c r="AE467" s="126"/>
      <c r="AF467" s="126"/>
      <c r="AG467" s="126"/>
      <c r="AH467" s="126"/>
      <c r="AI467" s="127"/>
    </row>
    <row r="468" spans="1:35" s="16" customFormat="1" x14ac:dyDescent="0.25">
      <c r="A468" s="17"/>
      <c r="B468" s="6"/>
      <c r="C468" s="43"/>
      <c r="P468" s="193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26"/>
      <c r="AC468" s="126"/>
      <c r="AD468" s="126"/>
      <c r="AE468" s="126"/>
      <c r="AF468" s="126"/>
      <c r="AG468" s="126"/>
      <c r="AH468" s="126"/>
      <c r="AI468" s="127"/>
    </row>
    <row r="469" spans="1:35" s="16" customFormat="1" x14ac:dyDescent="0.25">
      <c r="A469" s="17"/>
      <c r="B469" s="6"/>
      <c r="C469" s="43"/>
      <c r="P469" s="193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  <c r="AC469" s="126"/>
      <c r="AD469" s="126"/>
      <c r="AE469" s="126"/>
      <c r="AF469" s="126"/>
      <c r="AG469" s="126"/>
      <c r="AH469" s="126"/>
      <c r="AI469" s="127"/>
    </row>
    <row r="470" spans="1:35" s="16" customFormat="1" x14ac:dyDescent="0.25">
      <c r="A470" s="17"/>
      <c r="B470" s="6"/>
      <c r="C470" s="43"/>
      <c r="P470" s="193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  <c r="AD470" s="126"/>
      <c r="AE470" s="126"/>
      <c r="AF470" s="126"/>
      <c r="AG470" s="126"/>
      <c r="AH470" s="126"/>
      <c r="AI470" s="127"/>
    </row>
    <row r="471" spans="1:35" s="16" customFormat="1" x14ac:dyDescent="0.25">
      <c r="A471" s="17"/>
      <c r="B471" s="6"/>
      <c r="C471" s="43"/>
      <c r="P471" s="193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  <c r="AD471" s="126"/>
      <c r="AE471" s="126"/>
      <c r="AF471" s="126"/>
      <c r="AG471" s="126"/>
      <c r="AH471" s="126"/>
      <c r="AI471" s="127"/>
    </row>
    <row r="472" spans="1:35" s="16" customFormat="1" x14ac:dyDescent="0.25">
      <c r="A472" s="17"/>
      <c r="B472" s="6"/>
      <c r="C472" s="43"/>
      <c r="P472" s="193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26"/>
      <c r="AC472" s="126"/>
      <c r="AD472" s="126"/>
      <c r="AE472" s="126"/>
      <c r="AF472" s="126"/>
      <c r="AG472" s="126"/>
      <c r="AH472" s="126"/>
      <c r="AI472" s="127"/>
    </row>
    <row r="473" spans="1:35" s="16" customFormat="1" x14ac:dyDescent="0.25">
      <c r="A473" s="17"/>
      <c r="B473" s="6"/>
      <c r="C473" s="43"/>
      <c r="P473" s="193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  <c r="AC473" s="126"/>
      <c r="AD473" s="126"/>
      <c r="AE473" s="126"/>
      <c r="AF473" s="126"/>
      <c r="AG473" s="126"/>
      <c r="AH473" s="126"/>
      <c r="AI473" s="127"/>
    </row>
    <row r="474" spans="1:35" s="16" customFormat="1" x14ac:dyDescent="0.25">
      <c r="A474" s="17"/>
      <c r="B474" s="6"/>
      <c r="C474" s="43"/>
      <c r="P474" s="193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  <c r="AD474" s="126"/>
      <c r="AE474" s="126"/>
      <c r="AF474" s="126"/>
      <c r="AG474" s="126"/>
      <c r="AH474" s="126"/>
      <c r="AI474" s="127"/>
    </row>
    <row r="475" spans="1:35" s="16" customFormat="1" x14ac:dyDescent="0.25">
      <c r="A475" s="17"/>
      <c r="B475" s="6"/>
      <c r="C475" s="43"/>
      <c r="P475" s="193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  <c r="AD475" s="126"/>
      <c r="AE475" s="126"/>
      <c r="AF475" s="126"/>
      <c r="AG475" s="126"/>
      <c r="AH475" s="126"/>
      <c r="AI475" s="127"/>
    </row>
    <row r="476" spans="1:35" s="16" customFormat="1" x14ac:dyDescent="0.25">
      <c r="A476" s="17"/>
      <c r="B476" s="6"/>
      <c r="C476" s="43"/>
      <c r="P476" s="193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  <c r="AC476" s="126"/>
      <c r="AD476" s="126"/>
      <c r="AE476" s="126"/>
      <c r="AF476" s="126"/>
      <c r="AG476" s="126"/>
      <c r="AH476" s="126"/>
      <c r="AI476" s="127"/>
    </row>
    <row r="477" spans="1:35" s="16" customFormat="1" x14ac:dyDescent="0.25">
      <c r="A477" s="17"/>
      <c r="B477" s="6"/>
      <c r="C477" s="43"/>
      <c r="P477" s="193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  <c r="AC477" s="126"/>
      <c r="AD477" s="126"/>
      <c r="AE477" s="126"/>
      <c r="AF477" s="126"/>
      <c r="AG477" s="126"/>
      <c r="AH477" s="126"/>
      <c r="AI477" s="127"/>
    </row>
    <row r="478" spans="1:35" s="16" customFormat="1" x14ac:dyDescent="0.25">
      <c r="A478" s="17"/>
      <c r="B478" s="6"/>
      <c r="C478" s="43"/>
      <c r="P478" s="193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26"/>
      <c r="AC478" s="126"/>
      <c r="AD478" s="126"/>
      <c r="AE478" s="126"/>
      <c r="AF478" s="126"/>
      <c r="AG478" s="126"/>
      <c r="AH478" s="126"/>
      <c r="AI478" s="127"/>
    </row>
    <row r="479" spans="1:35" s="16" customFormat="1" x14ac:dyDescent="0.25">
      <c r="A479" s="17"/>
      <c r="B479" s="6"/>
      <c r="C479" s="43"/>
      <c r="P479" s="193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26"/>
      <c r="AC479" s="126"/>
      <c r="AD479" s="126"/>
      <c r="AE479" s="126"/>
      <c r="AF479" s="126"/>
      <c r="AG479" s="126"/>
      <c r="AH479" s="126"/>
      <c r="AI479" s="127"/>
    </row>
    <row r="480" spans="1:35" s="16" customFormat="1" x14ac:dyDescent="0.25">
      <c r="A480" s="17"/>
      <c r="B480" s="6"/>
      <c r="C480" s="43"/>
      <c r="P480" s="193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  <c r="AD480" s="126"/>
      <c r="AE480" s="126"/>
      <c r="AF480" s="126"/>
      <c r="AG480" s="126"/>
      <c r="AH480" s="126"/>
      <c r="AI480" s="127"/>
    </row>
    <row r="481" spans="1:35" s="16" customFormat="1" x14ac:dyDescent="0.25">
      <c r="A481" s="17"/>
      <c r="B481" s="6"/>
      <c r="C481" s="43"/>
      <c r="P481" s="193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  <c r="AC481" s="126"/>
      <c r="AD481" s="126"/>
      <c r="AE481" s="126"/>
      <c r="AF481" s="126"/>
      <c r="AG481" s="126"/>
      <c r="AH481" s="126"/>
      <c r="AI481" s="127"/>
    </row>
    <row r="482" spans="1:35" s="16" customFormat="1" x14ac:dyDescent="0.25">
      <c r="A482" s="17"/>
      <c r="B482" s="6"/>
      <c r="C482" s="43"/>
      <c r="P482" s="193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  <c r="AD482" s="126"/>
      <c r="AE482" s="126"/>
      <c r="AF482" s="126"/>
      <c r="AG482" s="126"/>
      <c r="AH482" s="126"/>
      <c r="AI482" s="127"/>
    </row>
    <row r="483" spans="1:35" s="16" customFormat="1" x14ac:dyDescent="0.25">
      <c r="A483" s="17"/>
      <c r="B483" s="6"/>
      <c r="C483" s="43"/>
      <c r="P483" s="193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  <c r="AD483" s="126"/>
      <c r="AE483" s="126"/>
      <c r="AF483" s="126"/>
      <c r="AG483" s="126"/>
      <c r="AH483" s="126"/>
      <c r="AI483" s="127"/>
    </row>
    <row r="484" spans="1:35" s="16" customFormat="1" x14ac:dyDescent="0.25">
      <c r="A484" s="17"/>
      <c r="B484" s="6"/>
      <c r="C484" s="43"/>
      <c r="P484" s="193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126"/>
      <c r="AE484" s="126"/>
      <c r="AF484" s="126"/>
      <c r="AG484" s="126"/>
      <c r="AH484" s="126"/>
      <c r="AI484" s="127"/>
    </row>
    <row r="485" spans="1:35" s="16" customFormat="1" x14ac:dyDescent="0.25">
      <c r="A485" s="17"/>
      <c r="B485" s="6"/>
      <c r="C485" s="43"/>
      <c r="P485" s="193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  <c r="AC485" s="126"/>
      <c r="AD485" s="126"/>
      <c r="AE485" s="126"/>
      <c r="AF485" s="126"/>
      <c r="AG485" s="126"/>
      <c r="AH485" s="126"/>
      <c r="AI485" s="127"/>
    </row>
    <row r="486" spans="1:35" s="16" customFormat="1" x14ac:dyDescent="0.25">
      <c r="A486" s="17"/>
      <c r="B486" s="6"/>
      <c r="C486" s="43"/>
      <c r="P486" s="193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26"/>
      <c r="AC486" s="126"/>
      <c r="AD486" s="126"/>
      <c r="AE486" s="126"/>
      <c r="AF486" s="126"/>
      <c r="AG486" s="126"/>
      <c r="AH486" s="126"/>
      <c r="AI486" s="127"/>
    </row>
    <row r="487" spans="1:35" s="16" customFormat="1" x14ac:dyDescent="0.25">
      <c r="A487" s="17"/>
      <c r="B487" s="6"/>
      <c r="C487" s="43"/>
      <c r="P487" s="193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  <c r="AD487" s="126"/>
      <c r="AE487" s="126"/>
      <c r="AF487" s="126"/>
      <c r="AG487" s="126"/>
      <c r="AH487" s="126"/>
      <c r="AI487" s="127"/>
    </row>
    <row r="488" spans="1:35" s="16" customFormat="1" x14ac:dyDescent="0.25">
      <c r="A488" s="17"/>
      <c r="B488" s="6"/>
      <c r="C488" s="43"/>
      <c r="P488" s="193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  <c r="AE488" s="126"/>
      <c r="AF488" s="126"/>
      <c r="AG488" s="126"/>
      <c r="AH488" s="126"/>
      <c r="AI488" s="127"/>
    </row>
    <row r="489" spans="1:35" s="16" customFormat="1" x14ac:dyDescent="0.25">
      <c r="A489" s="17"/>
      <c r="B489" s="6"/>
      <c r="C489" s="43"/>
      <c r="P489" s="193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  <c r="AC489" s="126"/>
      <c r="AD489" s="126"/>
      <c r="AE489" s="126"/>
      <c r="AF489" s="126"/>
      <c r="AG489" s="126"/>
      <c r="AH489" s="126"/>
      <c r="AI489" s="127"/>
    </row>
    <row r="490" spans="1:35" s="16" customFormat="1" x14ac:dyDescent="0.25">
      <c r="A490" s="17"/>
      <c r="B490" s="6"/>
      <c r="C490" s="43"/>
      <c r="P490" s="193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  <c r="AC490" s="126"/>
      <c r="AD490" s="126"/>
      <c r="AE490" s="126"/>
      <c r="AF490" s="126"/>
      <c r="AG490" s="126"/>
      <c r="AH490" s="126"/>
      <c r="AI490" s="127"/>
    </row>
    <row r="491" spans="1:35" s="16" customFormat="1" x14ac:dyDescent="0.25">
      <c r="A491" s="17"/>
      <c r="B491" s="6"/>
      <c r="C491" s="43"/>
      <c r="P491" s="193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  <c r="AC491" s="126"/>
      <c r="AD491" s="126"/>
      <c r="AE491" s="126"/>
      <c r="AF491" s="126"/>
      <c r="AG491" s="126"/>
      <c r="AH491" s="126"/>
      <c r="AI491" s="127"/>
    </row>
    <row r="492" spans="1:35" s="16" customFormat="1" x14ac:dyDescent="0.25">
      <c r="A492" s="17"/>
      <c r="B492" s="6"/>
      <c r="C492" s="43"/>
      <c r="P492" s="193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  <c r="AD492" s="126"/>
      <c r="AE492" s="126"/>
      <c r="AF492" s="126"/>
      <c r="AG492" s="126"/>
      <c r="AH492" s="126"/>
      <c r="AI492" s="127"/>
    </row>
    <row r="493" spans="1:35" s="16" customFormat="1" x14ac:dyDescent="0.25">
      <c r="A493" s="17"/>
      <c r="B493" s="6"/>
      <c r="C493" s="43"/>
      <c r="P493" s="193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  <c r="AD493" s="126"/>
      <c r="AE493" s="126"/>
      <c r="AF493" s="126"/>
      <c r="AG493" s="126"/>
      <c r="AH493" s="126"/>
      <c r="AI493" s="127"/>
    </row>
    <row r="494" spans="1:35" s="16" customFormat="1" x14ac:dyDescent="0.25">
      <c r="A494" s="17"/>
      <c r="B494" s="6"/>
      <c r="C494" s="43"/>
      <c r="P494" s="193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6"/>
      <c r="AE494" s="126"/>
      <c r="AF494" s="126"/>
      <c r="AG494" s="126"/>
      <c r="AH494" s="126"/>
      <c r="AI494" s="127"/>
    </row>
    <row r="495" spans="1:35" s="16" customFormat="1" x14ac:dyDescent="0.25">
      <c r="A495" s="17"/>
      <c r="B495" s="6"/>
      <c r="C495" s="43"/>
      <c r="P495" s="193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  <c r="AF495" s="126"/>
      <c r="AG495" s="126"/>
      <c r="AH495" s="126"/>
      <c r="AI495" s="127"/>
    </row>
    <row r="496" spans="1:35" s="16" customFormat="1" x14ac:dyDescent="0.25">
      <c r="A496" s="17"/>
      <c r="B496" s="6"/>
      <c r="C496" s="43"/>
      <c r="P496" s="193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  <c r="AC496" s="126"/>
      <c r="AD496" s="126"/>
      <c r="AE496" s="126"/>
      <c r="AF496" s="126"/>
      <c r="AG496" s="126"/>
      <c r="AH496" s="126"/>
      <c r="AI496" s="127"/>
    </row>
    <row r="497" spans="1:35" s="16" customFormat="1" x14ac:dyDescent="0.25">
      <c r="A497" s="17"/>
      <c r="B497" s="6"/>
      <c r="C497" s="43"/>
      <c r="P497" s="193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  <c r="AF497" s="126"/>
      <c r="AG497" s="126"/>
      <c r="AH497" s="126"/>
      <c r="AI497" s="127"/>
    </row>
    <row r="498" spans="1:35" s="16" customFormat="1" x14ac:dyDescent="0.25">
      <c r="A498" s="17"/>
      <c r="B498" s="6"/>
      <c r="C498" s="43"/>
      <c r="P498" s="193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  <c r="AC498" s="126"/>
      <c r="AD498" s="126"/>
      <c r="AE498" s="126"/>
      <c r="AF498" s="126"/>
      <c r="AG498" s="126"/>
      <c r="AH498" s="126"/>
      <c r="AI498" s="127"/>
    </row>
    <row r="499" spans="1:35" s="16" customFormat="1" x14ac:dyDescent="0.25">
      <c r="A499" s="17"/>
      <c r="B499" s="6"/>
      <c r="C499" s="43"/>
      <c r="P499" s="193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  <c r="AD499" s="126"/>
      <c r="AE499" s="126"/>
      <c r="AF499" s="126"/>
      <c r="AG499" s="126"/>
      <c r="AH499" s="126"/>
      <c r="AI499" s="127"/>
    </row>
    <row r="500" spans="1:35" s="16" customFormat="1" x14ac:dyDescent="0.25">
      <c r="A500" s="17"/>
      <c r="B500" s="6"/>
      <c r="C500" s="43"/>
      <c r="P500" s="193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26"/>
      <c r="AC500" s="126"/>
      <c r="AD500" s="126"/>
      <c r="AE500" s="126"/>
      <c r="AF500" s="126"/>
      <c r="AG500" s="126"/>
      <c r="AH500" s="126"/>
      <c r="AI500" s="127"/>
    </row>
    <row r="501" spans="1:35" s="16" customFormat="1" x14ac:dyDescent="0.25">
      <c r="A501" s="17"/>
      <c r="B501" s="6"/>
      <c r="C501" s="43"/>
      <c r="P501" s="193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  <c r="AA501" s="126"/>
      <c r="AB501" s="126"/>
      <c r="AC501" s="126"/>
      <c r="AD501" s="126"/>
      <c r="AE501" s="126"/>
      <c r="AF501" s="126"/>
      <c r="AG501" s="126"/>
      <c r="AH501" s="126"/>
      <c r="AI501" s="127"/>
    </row>
    <row r="502" spans="1:35" s="16" customFormat="1" x14ac:dyDescent="0.25">
      <c r="A502" s="17"/>
      <c r="B502" s="6"/>
      <c r="C502" s="43"/>
      <c r="P502" s="193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  <c r="AB502" s="126"/>
      <c r="AC502" s="126"/>
      <c r="AD502" s="126"/>
      <c r="AE502" s="126"/>
      <c r="AF502" s="126"/>
      <c r="AG502" s="126"/>
      <c r="AH502" s="126"/>
      <c r="AI502" s="127"/>
    </row>
    <row r="503" spans="1:35" s="16" customFormat="1" x14ac:dyDescent="0.25">
      <c r="A503" s="17"/>
      <c r="B503" s="6"/>
      <c r="C503" s="43"/>
      <c r="P503" s="193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26"/>
      <c r="AC503" s="126"/>
      <c r="AD503" s="126"/>
      <c r="AE503" s="126"/>
      <c r="AF503" s="126"/>
      <c r="AG503" s="126"/>
      <c r="AH503" s="126"/>
      <c r="AI503" s="127"/>
    </row>
    <row r="504" spans="1:35" s="16" customFormat="1" x14ac:dyDescent="0.25">
      <c r="A504" s="17"/>
      <c r="B504" s="6"/>
      <c r="C504" s="43"/>
      <c r="P504" s="193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  <c r="AA504" s="126"/>
      <c r="AB504" s="126"/>
      <c r="AC504" s="126"/>
      <c r="AD504" s="126"/>
      <c r="AE504" s="126"/>
      <c r="AF504" s="126"/>
      <c r="AG504" s="126"/>
      <c r="AH504" s="126"/>
      <c r="AI504" s="127"/>
    </row>
    <row r="505" spans="1:35" s="16" customFormat="1" x14ac:dyDescent="0.25">
      <c r="A505" s="17"/>
      <c r="B505" s="6"/>
      <c r="C505" s="43"/>
      <c r="P505" s="193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  <c r="AC505" s="126"/>
      <c r="AD505" s="126"/>
      <c r="AE505" s="126"/>
      <c r="AF505" s="126"/>
      <c r="AG505" s="126"/>
      <c r="AH505" s="126"/>
      <c r="AI505" s="127"/>
    </row>
    <row r="506" spans="1:35" s="16" customFormat="1" x14ac:dyDescent="0.25">
      <c r="A506" s="17"/>
      <c r="B506" s="6"/>
      <c r="C506" s="43"/>
      <c r="P506" s="193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  <c r="AC506" s="126"/>
      <c r="AD506" s="126"/>
      <c r="AE506" s="126"/>
      <c r="AF506" s="126"/>
      <c r="AG506" s="126"/>
      <c r="AH506" s="126"/>
      <c r="AI506" s="127"/>
    </row>
    <row r="507" spans="1:35" s="16" customFormat="1" x14ac:dyDescent="0.25">
      <c r="A507" s="17"/>
      <c r="B507" s="6"/>
      <c r="C507" s="43"/>
      <c r="P507" s="193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  <c r="AC507" s="126"/>
      <c r="AD507" s="126"/>
      <c r="AE507" s="126"/>
      <c r="AF507" s="126"/>
      <c r="AG507" s="126"/>
      <c r="AH507" s="126"/>
      <c r="AI507" s="127"/>
    </row>
    <row r="508" spans="1:35" s="16" customFormat="1" x14ac:dyDescent="0.25">
      <c r="A508" s="17"/>
      <c r="B508" s="6"/>
      <c r="C508" s="43"/>
      <c r="P508" s="193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  <c r="AC508" s="126"/>
      <c r="AD508" s="126"/>
      <c r="AE508" s="126"/>
      <c r="AF508" s="126"/>
      <c r="AG508" s="126"/>
      <c r="AH508" s="126"/>
      <c r="AI508" s="127"/>
    </row>
    <row r="509" spans="1:35" s="16" customFormat="1" x14ac:dyDescent="0.25">
      <c r="A509" s="17"/>
      <c r="B509" s="6"/>
      <c r="C509" s="43"/>
      <c r="P509" s="193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26"/>
      <c r="AC509" s="126"/>
      <c r="AD509" s="126"/>
      <c r="AE509" s="126"/>
      <c r="AF509" s="126"/>
      <c r="AG509" s="126"/>
      <c r="AH509" s="126"/>
      <c r="AI509" s="127"/>
    </row>
    <row r="510" spans="1:35" s="16" customFormat="1" x14ac:dyDescent="0.25">
      <c r="A510" s="17"/>
      <c r="B510" s="6"/>
      <c r="C510" s="43"/>
      <c r="P510" s="193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126"/>
      <c r="AE510" s="126"/>
      <c r="AF510" s="126"/>
      <c r="AG510" s="126"/>
      <c r="AH510" s="126"/>
      <c r="AI510" s="127"/>
    </row>
    <row r="511" spans="1:35" s="16" customFormat="1" x14ac:dyDescent="0.25">
      <c r="A511" s="17"/>
      <c r="B511" s="6"/>
      <c r="C511" s="43"/>
      <c r="P511" s="193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  <c r="AC511" s="126"/>
      <c r="AD511" s="126"/>
      <c r="AE511" s="126"/>
      <c r="AF511" s="126"/>
      <c r="AG511" s="126"/>
      <c r="AH511" s="126"/>
      <c r="AI511" s="127"/>
    </row>
    <row r="512" spans="1:35" s="16" customFormat="1" x14ac:dyDescent="0.25">
      <c r="A512" s="17"/>
      <c r="B512" s="6"/>
      <c r="C512" s="43"/>
      <c r="P512" s="193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  <c r="AC512" s="126"/>
      <c r="AD512" s="126"/>
      <c r="AE512" s="126"/>
      <c r="AF512" s="126"/>
      <c r="AG512" s="126"/>
      <c r="AH512" s="126"/>
      <c r="AI512" s="127"/>
    </row>
    <row r="513" spans="1:35" s="16" customFormat="1" x14ac:dyDescent="0.25">
      <c r="A513" s="17"/>
      <c r="B513" s="6"/>
      <c r="C513" s="43"/>
      <c r="P513" s="193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  <c r="AB513" s="126"/>
      <c r="AC513" s="126"/>
      <c r="AD513" s="126"/>
      <c r="AE513" s="126"/>
      <c r="AF513" s="126"/>
      <c r="AG513" s="126"/>
      <c r="AH513" s="126"/>
      <c r="AI513" s="127"/>
    </row>
    <row r="514" spans="1:35" s="16" customFormat="1" x14ac:dyDescent="0.25">
      <c r="A514" s="17"/>
      <c r="B514" s="6"/>
      <c r="C514" s="43"/>
      <c r="P514" s="193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26"/>
      <c r="AC514" s="126"/>
      <c r="AD514" s="126"/>
      <c r="AE514" s="126"/>
      <c r="AF514" s="126"/>
      <c r="AG514" s="126"/>
      <c r="AH514" s="126"/>
      <c r="AI514" s="127"/>
    </row>
    <row r="515" spans="1:35" s="16" customFormat="1" x14ac:dyDescent="0.25">
      <c r="A515" s="17"/>
      <c r="B515" s="6"/>
      <c r="C515" s="43"/>
      <c r="P515" s="193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  <c r="AF515" s="126"/>
      <c r="AG515" s="126"/>
      <c r="AH515" s="126"/>
      <c r="AI515" s="127"/>
    </row>
    <row r="516" spans="1:35" s="16" customFormat="1" x14ac:dyDescent="0.25">
      <c r="A516" s="17"/>
      <c r="B516" s="6"/>
      <c r="C516" s="43"/>
      <c r="P516" s="193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26"/>
      <c r="AE516" s="126"/>
      <c r="AF516" s="126"/>
      <c r="AG516" s="126"/>
      <c r="AH516" s="126"/>
      <c r="AI516" s="127"/>
    </row>
    <row r="517" spans="1:35" s="16" customFormat="1" x14ac:dyDescent="0.25">
      <c r="A517" s="17"/>
      <c r="B517" s="6"/>
      <c r="C517" s="43"/>
      <c r="P517" s="193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126"/>
      <c r="AE517" s="126"/>
      <c r="AF517" s="126"/>
      <c r="AG517" s="126"/>
      <c r="AH517" s="126"/>
      <c r="AI517" s="127"/>
    </row>
    <row r="518" spans="1:35" s="16" customFormat="1" x14ac:dyDescent="0.25">
      <c r="A518" s="17"/>
      <c r="B518" s="6"/>
      <c r="C518" s="43"/>
      <c r="P518" s="193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26"/>
      <c r="AC518" s="126"/>
      <c r="AD518" s="126"/>
      <c r="AE518" s="126"/>
      <c r="AF518" s="126"/>
      <c r="AG518" s="126"/>
      <c r="AH518" s="126"/>
      <c r="AI518" s="127"/>
    </row>
    <row r="519" spans="1:35" s="16" customFormat="1" x14ac:dyDescent="0.25">
      <c r="A519" s="17"/>
      <c r="B519" s="6"/>
      <c r="C519" s="43"/>
      <c r="P519" s="193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26"/>
      <c r="AC519" s="126"/>
      <c r="AD519" s="126"/>
      <c r="AE519" s="126"/>
      <c r="AF519" s="126"/>
      <c r="AG519" s="126"/>
      <c r="AH519" s="126"/>
      <c r="AI519" s="127"/>
    </row>
    <row r="520" spans="1:35" s="16" customFormat="1" x14ac:dyDescent="0.25">
      <c r="A520" s="17"/>
      <c r="B520" s="6"/>
      <c r="C520" s="43"/>
      <c r="P520" s="193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  <c r="AB520" s="126"/>
      <c r="AC520" s="126"/>
      <c r="AD520" s="126"/>
      <c r="AE520" s="126"/>
      <c r="AF520" s="126"/>
      <c r="AG520" s="126"/>
      <c r="AH520" s="126"/>
      <c r="AI520" s="127"/>
    </row>
    <row r="521" spans="1:35" s="16" customFormat="1" x14ac:dyDescent="0.25">
      <c r="A521" s="17"/>
      <c r="B521" s="6"/>
      <c r="C521" s="43"/>
      <c r="P521" s="193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  <c r="AB521" s="126"/>
      <c r="AC521" s="126"/>
      <c r="AD521" s="126"/>
      <c r="AE521" s="126"/>
      <c r="AF521" s="126"/>
      <c r="AG521" s="126"/>
      <c r="AH521" s="126"/>
      <c r="AI521" s="127"/>
    </row>
    <row r="522" spans="1:35" s="16" customFormat="1" x14ac:dyDescent="0.25">
      <c r="A522" s="17"/>
      <c r="B522" s="6"/>
      <c r="C522" s="43"/>
      <c r="P522" s="193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26"/>
      <c r="AC522" s="126"/>
      <c r="AD522" s="126"/>
      <c r="AE522" s="126"/>
      <c r="AF522" s="126"/>
      <c r="AG522" s="126"/>
      <c r="AH522" s="126"/>
      <c r="AI522" s="127"/>
    </row>
    <row r="523" spans="1:35" s="16" customFormat="1" x14ac:dyDescent="0.25">
      <c r="A523" s="17"/>
      <c r="B523" s="6"/>
      <c r="C523" s="43"/>
      <c r="P523" s="193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  <c r="AC523" s="126"/>
      <c r="AD523" s="126"/>
      <c r="AE523" s="126"/>
      <c r="AF523" s="126"/>
      <c r="AG523" s="126"/>
      <c r="AH523" s="126"/>
      <c r="AI523" s="127"/>
    </row>
    <row r="524" spans="1:35" s="16" customFormat="1" x14ac:dyDescent="0.25">
      <c r="A524" s="17"/>
      <c r="B524" s="6"/>
      <c r="C524" s="43"/>
      <c r="P524" s="193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  <c r="AC524" s="126"/>
      <c r="AD524" s="126"/>
      <c r="AE524" s="126"/>
      <c r="AF524" s="126"/>
      <c r="AG524" s="126"/>
      <c r="AH524" s="126"/>
      <c r="AI524" s="127"/>
    </row>
    <row r="525" spans="1:35" s="16" customFormat="1" x14ac:dyDescent="0.25">
      <c r="A525" s="17"/>
      <c r="B525" s="6"/>
      <c r="C525" s="43"/>
      <c r="P525" s="193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  <c r="AB525" s="126"/>
      <c r="AC525" s="126"/>
      <c r="AD525" s="126"/>
      <c r="AE525" s="126"/>
      <c r="AF525" s="126"/>
      <c r="AG525" s="126"/>
      <c r="AH525" s="126"/>
      <c r="AI525" s="127"/>
    </row>
    <row r="526" spans="1:35" s="16" customFormat="1" x14ac:dyDescent="0.25">
      <c r="A526" s="17"/>
      <c r="B526" s="6"/>
      <c r="C526" s="43"/>
      <c r="P526" s="193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  <c r="AB526" s="126"/>
      <c r="AC526" s="126"/>
      <c r="AD526" s="126"/>
      <c r="AE526" s="126"/>
      <c r="AF526" s="126"/>
      <c r="AG526" s="126"/>
      <c r="AH526" s="126"/>
      <c r="AI526" s="127"/>
    </row>
    <row r="527" spans="1:35" s="16" customFormat="1" x14ac:dyDescent="0.25">
      <c r="A527" s="17"/>
      <c r="B527" s="6"/>
      <c r="C527" s="43"/>
      <c r="P527" s="193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  <c r="AB527" s="126"/>
      <c r="AC527" s="126"/>
      <c r="AD527" s="126"/>
      <c r="AE527" s="126"/>
      <c r="AF527" s="126"/>
      <c r="AG527" s="126"/>
      <c r="AH527" s="126"/>
      <c r="AI527" s="127"/>
    </row>
    <row r="528" spans="1:35" s="16" customFormat="1" x14ac:dyDescent="0.25">
      <c r="A528" s="17"/>
      <c r="B528" s="6"/>
      <c r="C528" s="43"/>
      <c r="P528" s="193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26"/>
      <c r="AC528" s="126"/>
      <c r="AD528" s="126"/>
      <c r="AE528" s="126"/>
      <c r="AF528" s="126"/>
      <c r="AG528" s="126"/>
      <c r="AH528" s="126"/>
      <c r="AI528" s="127"/>
    </row>
    <row r="529" spans="1:35" s="16" customFormat="1" x14ac:dyDescent="0.25">
      <c r="A529" s="17"/>
      <c r="B529" s="6"/>
      <c r="C529" s="43"/>
      <c r="P529" s="193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26"/>
      <c r="AC529" s="126"/>
      <c r="AD529" s="126"/>
      <c r="AE529" s="126"/>
      <c r="AF529" s="126"/>
      <c r="AG529" s="126"/>
      <c r="AH529" s="126"/>
      <c r="AI529" s="127"/>
    </row>
    <row r="530" spans="1:35" s="16" customFormat="1" x14ac:dyDescent="0.25">
      <c r="A530" s="17"/>
      <c r="B530" s="6"/>
      <c r="C530" s="43"/>
      <c r="P530" s="193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26"/>
      <c r="AC530" s="126"/>
      <c r="AD530" s="126"/>
      <c r="AE530" s="126"/>
      <c r="AF530" s="126"/>
      <c r="AG530" s="126"/>
      <c r="AH530" s="126"/>
      <c r="AI530" s="127"/>
    </row>
    <row r="531" spans="1:35" s="16" customFormat="1" x14ac:dyDescent="0.25">
      <c r="A531" s="17"/>
      <c r="B531" s="6"/>
      <c r="C531" s="43"/>
      <c r="P531" s="193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  <c r="AC531" s="126"/>
      <c r="AD531" s="126"/>
      <c r="AE531" s="126"/>
      <c r="AF531" s="126"/>
      <c r="AG531" s="126"/>
      <c r="AH531" s="126"/>
      <c r="AI531" s="127"/>
    </row>
    <row r="532" spans="1:35" s="16" customFormat="1" x14ac:dyDescent="0.25">
      <c r="A532" s="17"/>
      <c r="B532" s="6"/>
      <c r="C532" s="43"/>
      <c r="P532" s="193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26"/>
      <c r="AC532" s="126"/>
      <c r="AD532" s="126"/>
      <c r="AE532" s="126"/>
      <c r="AF532" s="126"/>
      <c r="AG532" s="126"/>
      <c r="AH532" s="126"/>
      <c r="AI532" s="127"/>
    </row>
    <row r="533" spans="1:35" s="16" customFormat="1" x14ac:dyDescent="0.25">
      <c r="A533" s="17"/>
      <c r="B533" s="6"/>
      <c r="C533" s="43"/>
      <c r="P533" s="193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  <c r="AA533" s="126"/>
      <c r="AB533" s="126"/>
      <c r="AC533" s="126"/>
      <c r="AD533" s="126"/>
      <c r="AE533" s="126"/>
      <c r="AF533" s="126"/>
      <c r="AG533" s="126"/>
      <c r="AH533" s="126"/>
      <c r="AI533" s="127"/>
    </row>
    <row r="534" spans="1:35" s="16" customFormat="1" x14ac:dyDescent="0.25">
      <c r="A534" s="17"/>
      <c r="B534" s="6"/>
      <c r="C534" s="43"/>
      <c r="P534" s="193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  <c r="AA534" s="126"/>
      <c r="AB534" s="126"/>
      <c r="AC534" s="126"/>
      <c r="AD534" s="126"/>
      <c r="AE534" s="126"/>
      <c r="AF534" s="126"/>
      <c r="AG534" s="126"/>
      <c r="AH534" s="126"/>
      <c r="AI534" s="127"/>
    </row>
    <row r="535" spans="1:35" s="16" customFormat="1" x14ac:dyDescent="0.25">
      <c r="A535" s="17"/>
      <c r="B535" s="6"/>
      <c r="C535" s="43"/>
      <c r="P535" s="193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  <c r="AB535" s="126"/>
      <c r="AC535" s="126"/>
      <c r="AD535" s="126"/>
      <c r="AE535" s="126"/>
      <c r="AF535" s="126"/>
      <c r="AG535" s="126"/>
      <c r="AH535" s="126"/>
      <c r="AI535" s="127"/>
    </row>
    <row r="536" spans="1:35" s="16" customFormat="1" x14ac:dyDescent="0.25">
      <c r="A536" s="17"/>
      <c r="B536" s="6"/>
      <c r="C536" s="43"/>
      <c r="P536" s="193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  <c r="AB536" s="126"/>
      <c r="AC536" s="126"/>
      <c r="AD536" s="126"/>
      <c r="AE536" s="126"/>
      <c r="AF536" s="126"/>
      <c r="AG536" s="126"/>
      <c r="AH536" s="126"/>
      <c r="AI536" s="127"/>
    </row>
    <row r="537" spans="1:35" s="16" customFormat="1" x14ac:dyDescent="0.25">
      <c r="A537" s="17"/>
      <c r="B537" s="6"/>
      <c r="C537" s="43"/>
      <c r="P537" s="193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  <c r="AB537" s="126"/>
      <c r="AC537" s="126"/>
      <c r="AD537" s="126"/>
      <c r="AE537" s="126"/>
      <c r="AF537" s="126"/>
      <c r="AG537" s="126"/>
      <c r="AH537" s="126"/>
      <c r="AI537" s="127"/>
    </row>
    <row r="538" spans="1:35" s="16" customFormat="1" x14ac:dyDescent="0.25">
      <c r="A538" s="17"/>
      <c r="B538" s="6"/>
      <c r="C538" s="43"/>
      <c r="P538" s="193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  <c r="AF538" s="126"/>
      <c r="AG538" s="126"/>
      <c r="AH538" s="126"/>
      <c r="AI538" s="127"/>
    </row>
    <row r="539" spans="1:35" s="16" customFormat="1" x14ac:dyDescent="0.25">
      <c r="A539" s="17"/>
      <c r="B539" s="6"/>
      <c r="C539" s="43"/>
      <c r="P539" s="193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  <c r="AC539" s="126"/>
      <c r="AD539" s="126"/>
      <c r="AE539" s="126"/>
      <c r="AF539" s="126"/>
      <c r="AG539" s="126"/>
      <c r="AH539" s="126"/>
      <c r="AI539" s="127"/>
    </row>
    <row r="540" spans="1:35" s="16" customFormat="1" x14ac:dyDescent="0.25">
      <c r="A540" s="17"/>
      <c r="B540" s="6"/>
      <c r="C540" s="43"/>
      <c r="P540" s="193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  <c r="AC540" s="126"/>
      <c r="AD540" s="126"/>
      <c r="AE540" s="126"/>
      <c r="AF540" s="126"/>
      <c r="AG540" s="126"/>
      <c r="AH540" s="126"/>
      <c r="AI540" s="127"/>
    </row>
    <row r="541" spans="1:35" s="16" customFormat="1" x14ac:dyDescent="0.25">
      <c r="A541" s="17"/>
      <c r="B541" s="6"/>
      <c r="C541" s="43"/>
      <c r="P541" s="193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26"/>
      <c r="AC541" s="126"/>
      <c r="AD541" s="126"/>
      <c r="AE541" s="126"/>
      <c r="AF541" s="126"/>
      <c r="AG541" s="126"/>
      <c r="AH541" s="126"/>
      <c r="AI541" s="127"/>
    </row>
    <row r="542" spans="1:35" s="16" customFormat="1" x14ac:dyDescent="0.25">
      <c r="A542" s="17"/>
      <c r="B542" s="6"/>
      <c r="C542" s="43"/>
      <c r="P542" s="193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26"/>
      <c r="AC542" s="126"/>
      <c r="AD542" s="126"/>
      <c r="AE542" s="126"/>
      <c r="AF542" s="126"/>
      <c r="AG542" s="126"/>
      <c r="AH542" s="126"/>
      <c r="AI542" s="127"/>
    </row>
    <row r="543" spans="1:35" s="16" customFormat="1" x14ac:dyDescent="0.25">
      <c r="A543" s="17"/>
      <c r="B543" s="6"/>
      <c r="C543" s="43"/>
      <c r="P543" s="193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  <c r="AB543" s="126"/>
      <c r="AC543" s="126"/>
      <c r="AD543" s="126"/>
      <c r="AE543" s="126"/>
      <c r="AF543" s="126"/>
      <c r="AG543" s="126"/>
      <c r="AH543" s="126"/>
      <c r="AI543" s="127"/>
    </row>
    <row r="544" spans="1:35" s="16" customFormat="1" x14ac:dyDescent="0.25">
      <c r="A544" s="17"/>
      <c r="B544" s="6"/>
      <c r="C544" s="43"/>
      <c r="P544" s="193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  <c r="AB544" s="126"/>
      <c r="AC544" s="126"/>
      <c r="AD544" s="126"/>
      <c r="AE544" s="126"/>
      <c r="AF544" s="126"/>
      <c r="AG544" s="126"/>
      <c r="AH544" s="126"/>
      <c r="AI544" s="127"/>
    </row>
    <row r="545" spans="1:35" s="16" customFormat="1" x14ac:dyDescent="0.25">
      <c r="A545" s="17"/>
      <c r="B545" s="6"/>
      <c r="C545" s="43"/>
      <c r="P545" s="193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  <c r="AB545" s="126"/>
      <c r="AC545" s="126"/>
      <c r="AD545" s="126"/>
      <c r="AE545" s="126"/>
      <c r="AF545" s="126"/>
      <c r="AG545" s="126"/>
      <c r="AH545" s="126"/>
      <c r="AI545" s="127"/>
    </row>
    <row r="546" spans="1:35" s="16" customFormat="1" x14ac:dyDescent="0.25">
      <c r="A546" s="17"/>
      <c r="B546" s="6"/>
      <c r="C546" s="43"/>
      <c r="P546" s="193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126"/>
      <c r="AB546" s="126"/>
      <c r="AC546" s="126"/>
      <c r="AD546" s="126"/>
      <c r="AE546" s="126"/>
      <c r="AF546" s="126"/>
      <c r="AG546" s="126"/>
      <c r="AH546" s="126"/>
      <c r="AI546" s="127"/>
    </row>
    <row r="547" spans="1:35" s="16" customFormat="1" x14ac:dyDescent="0.25">
      <c r="A547" s="17"/>
      <c r="B547" s="6"/>
      <c r="C547" s="43"/>
      <c r="P547" s="193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  <c r="AB547" s="126"/>
      <c r="AC547" s="126"/>
      <c r="AD547" s="126"/>
      <c r="AE547" s="126"/>
      <c r="AF547" s="126"/>
      <c r="AG547" s="126"/>
      <c r="AH547" s="126"/>
      <c r="AI547" s="127"/>
    </row>
    <row r="548" spans="1:35" s="16" customFormat="1" x14ac:dyDescent="0.25">
      <c r="A548" s="17"/>
      <c r="B548" s="6"/>
      <c r="C548" s="43"/>
      <c r="P548" s="193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  <c r="AC548" s="126"/>
      <c r="AD548" s="126"/>
      <c r="AE548" s="126"/>
      <c r="AF548" s="126"/>
      <c r="AG548" s="126"/>
      <c r="AH548" s="126"/>
      <c r="AI548" s="127"/>
    </row>
    <row r="549" spans="1:35" s="16" customFormat="1" x14ac:dyDescent="0.25">
      <c r="A549" s="17"/>
      <c r="B549" s="6"/>
      <c r="C549" s="43"/>
      <c r="P549" s="193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  <c r="AA549" s="126"/>
      <c r="AB549" s="126"/>
      <c r="AC549" s="126"/>
      <c r="AD549" s="126"/>
      <c r="AE549" s="126"/>
      <c r="AF549" s="126"/>
      <c r="AG549" s="126"/>
      <c r="AH549" s="126"/>
      <c r="AI549" s="127"/>
    </row>
    <row r="550" spans="1:35" s="16" customFormat="1" x14ac:dyDescent="0.25">
      <c r="A550" s="17"/>
      <c r="B550" s="6"/>
      <c r="C550" s="43"/>
      <c r="P550" s="193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26"/>
      <c r="AE550" s="126"/>
      <c r="AF550" s="126"/>
      <c r="AG550" s="126"/>
      <c r="AH550" s="126"/>
      <c r="AI550" s="127"/>
    </row>
    <row r="551" spans="1:35" s="16" customFormat="1" x14ac:dyDescent="0.25">
      <c r="A551" s="17"/>
      <c r="B551" s="6"/>
      <c r="C551" s="43"/>
      <c r="P551" s="193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  <c r="AC551" s="126"/>
      <c r="AD551" s="126"/>
      <c r="AE551" s="126"/>
      <c r="AF551" s="126"/>
      <c r="AG551" s="126"/>
      <c r="AH551" s="126"/>
      <c r="AI551" s="127"/>
    </row>
    <row r="552" spans="1:35" s="16" customFormat="1" x14ac:dyDescent="0.25">
      <c r="A552" s="17"/>
      <c r="B552" s="6"/>
      <c r="C552" s="43"/>
      <c r="P552" s="193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  <c r="AA552" s="126"/>
      <c r="AB552" s="126"/>
      <c r="AC552" s="126"/>
      <c r="AD552" s="126"/>
      <c r="AE552" s="126"/>
      <c r="AF552" s="126"/>
      <c r="AG552" s="126"/>
      <c r="AH552" s="126"/>
      <c r="AI552" s="127"/>
    </row>
    <row r="553" spans="1:35" s="16" customFormat="1" x14ac:dyDescent="0.25">
      <c r="A553" s="17"/>
      <c r="B553" s="6"/>
      <c r="C553" s="43"/>
      <c r="P553" s="193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  <c r="AB553" s="126"/>
      <c r="AC553" s="126"/>
      <c r="AD553" s="126"/>
      <c r="AE553" s="126"/>
      <c r="AF553" s="126"/>
      <c r="AG553" s="126"/>
      <c r="AH553" s="126"/>
      <c r="AI553" s="127"/>
    </row>
    <row r="554" spans="1:35" s="16" customFormat="1" x14ac:dyDescent="0.25">
      <c r="A554" s="17"/>
      <c r="B554" s="6"/>
      <c r="C554" s="43"/>
      <c r="P554" s="193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  <c r="AB554" s="126"/>
      <c r="AC554" s="126"/>
      <c r="AD554" s="126"/>
      <c r="AE554" s="126"/>
      <c r="AF554" s="126"/>
      <c r="AG554" s="126"/>
      <c r="AH554" s="126"/>
      <c r="AI554" s="127"/>
    </row>
    <row r="555" spans="1:35" s="16" customFormat="1" x14ac:dyDescent="0.25">
      <c r="A555" s="17"/>
      <c r="B555" s="6"/>
      <c r="C555" s="43"/>
      <c r="P555" s="193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  <c r="AA555" s="126"/>
      <c r="AB555" s="126"/>
      <c r="AC555" s="126"/>
      <c r="AD555" s="126"/>
      <c r="AE555" s="126"/>
      <c r="AF555" s="126"/>
      <c r="AG555" s="126"/>
      <c r="AH555" s="126"/>
      <c r="AI555" s="127"/>
    </row>
    <row r="556" spans="1:35" s="16" customFormat="1" x14ac:dyDescent="0.25">
      <c r="A556" s="17"/>
      <c r="B556" s="6"/>
      <c r="C556" s="43"/>
      <c r="P556" s="193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  <c r="AA556" s="126"/>
      <c r="AB556" s="126"/>
      <c r="AC556" s="126"/>
      <c r="AD556" s="126"/>
      <c r="AE556" s="126"/>
      <c r="AF556" s="126"/>
      <c r="AG556" s="126"/>
      <c r="AH556" s="126"/>
      <c r="AI556" s="127"/>
    </row>
    <row r="557" spans="1:35" s="16" customFormat="1" x14ac:dyDescent="0.25">
      <c r="A557" s="17"/>
      <c r="B557" s="6"/>
      <c r="C557" s="43"/>
      <c r="P557" s="193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26"/>
      <c r="AC557" s="126"/>
      <c r="AD557" s="126"/>
      <c r="AE557" s="126"/>
      <c r="AF557" s="126"/>
      <c r="AG557" s="126"/>
      <c r="AH557" s="126"/>
      <c r="AI557" s="127"/>
    </row>
    <row r="558" spans="1:35" s="16" customFormat="1" x14ac:dyDescent="0.25">
      <c r="A558" s="17"/>
      <c r="B558" s="6"/>
      <c r="C558" s="43"/>
      <c r="P558" s="193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  <c r="AA558" s="126"/>
      <c r="AB558" s="126"/>
      <c r="AC558" s="126"/>
      <c r="AD558" s="126"/>
      <c r="AE558" s="126"/>
      <c r="AF558" s="126"/>
      <c r="AG558" s="126"/>
      <c r="AH558" s="126"/>
      <c r="AI558" s="127"/>
    </row>
    <row r="559" spans="1:35" s="16" customFormat="1" x14ac:dyDescent="0.25">
      <c r="A559" s="17"/>
      <c r="B559" s="6"/>
      <c r="C559" s="43"/>
      <c r="P559" s="193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  <c r="AA559" s="126"/>
      <c r="AB559" s="126"/>
      <c r="AC559" s="126"/>
      <c r="AD559" s="126"/>
      <c r="AE559" s="126"/>
      <c r="AF559" s="126"/>
      <c r="AG559" s="126"/>
      <c r="AH559" s="126"/>
      <c r="AI559" s="127"/>
    </row>
    <row r="560" spans="1:35" s="16" customFormat="1" x14ac:dyDescent="0.25">
      <c r="A560" s="17"/>
      <c r="B560" s="6"/>
      <c r="C560" s="43"/>
      <c r="P560" s="193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26"/>
      <c r="AC560" s="126"/>
      <c r="AD560" s="126"/>
      <c r="AE560" s="126"/>
      <c r="AF560" s="126"/>
      <c r="AG560" s="126"/>
      <c r="AH560" s="126"/>
      <c r="AI560" s="127"/>
    </row>
    <row r="561" spans="1:35" s="16" customFormat="1" x14ac:dyDescent="0.25">
      <c r="A561" s="17"/>
      <c r="B561" s="6"/>
      <c r="C561" s="43"/>
      <c r="P561" s="193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  <c r="AA561" s="126"/>
      <c r="AB561" s="126"/>
      <c r="AC561" s="126"/>
      <c r="AD561" s="126"/>
      <c r="AE561" s="126"/>
      <c r="AF561" s="126"/>
      <c r="AG561" s="126"/>
      <c r="AH561" s="126"/>
      <c r="AI561" s="127"/>
    </row>
    <row r="562" spans="1:35" s="16" customFormat="1" x14ac:dyDescent="0.25">
      <c r="A562" s="17"/>
      <c r="B562" s="6"/>
      <c r="C562" s="43"/>
      <c r="P562" s="193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  <c r="AB562" s="126"/>
      <c r="AC562" s="126"/>
      <c r="AD562" s="126"/>
      <c r="AE562" s="126"/>
      <c r="AF562" s="126"/>
      <c r="AG562" s="126"/>
      <c r="AH562" s="126"/>
      <c r="AI562" s="127"/>
    </row>
    <row r="563" spans="1:35" s="16" customFormat="1" x14ac:dyDescent="0.25">
      <c r="A563" s="17"/>
      <c r="B563" s="6"/>
      <c r="C563" s="43"/>
      <c r="P563" s="193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26"/>
      <c r="AC563" s="126"/>
      <c r="AD563" s="126"/>
      <c r="AE563" s="126"/>
      <c r="AF563" s="126"/>
      <c r="AG563" s="126"/>
      <c r="AH563" s="126"/>
      <c r="AI563" s="127"/>
    </row>
    <row r="564" spans="1:35" s="16" customFormat="1" x14ac:dyDescent="0.25">
      <c r="A564" s="17"/>
      <c r="B564" s="6"/>
      <c r="C564" s="43"/>
      <c r="P564" s="193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26"/>
      <c r="AC564" s="126"/>
      <c r="AD564" s="126"/>
      <c r="AE564" s="126"/>
      <c r="AF564" s="126"/>
      <c r="AG564" s="126"/>
      <c r="AH564" s="126"/>
      <c r="AI564" s="127"/>
    </row>
    <row r="565" spans="1:35" s="16" customFormat="1" x14ac:dyDescent="0.25">
      <c r="A565" s="17"/>
      <c r="B565" s="6"/>
      <c r="C565" s="43"/>
      <c r="P565" s="193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  <c r="AB565" s="126"/>
      <c r="AC565" s="126"/>
      <c r="AD565" s="126"/>
      <c r="AE565" s="126"/>
      <c r="AF565" s="126"/>
      <c r="AG565" s="126"/>
      <c r="AH565" s="126"/>
      <c r="AI565" s="127"/>
    </row>
    <row r="566" spans="1:35" s="16" customFormat="1" x14ac:dyDescent="0.25">
      <c r="A566" s="17"/>
      <c r="B566" s="6"/>
      <c r="C566" s="43"/>
      <c r="P566" s="193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26"/>
      <c r="AC566" s="126"/>
      <c r="AD566" s="126"/>
      <c r="AE566" s="126"/>
      <c r="AF566" s="126"/>
      <c r="AG566" s="126"/>
      <c r="AH566" s="126"/>
      <c r="AI566" s="127"/>
    </row>
    <row r="567" spans="1:35" s="16" customFormat="1" x14ac:dyDescent="0.25">
      <c r="A567" s="17"/>
      <c r="B567" s="6"/>
      <c r="C567" s="43"/>
      <c r="P567" s="193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  <c r="AB567" s="126"/>
      <c r="AC567" s="126"/>
      <c r="AD567" s="126"/>
      <c r="AE567" s="126"/>
      <c r="AF567" s="126"/>
      <c r="AG567" s="126"/>
      <c r="AH567" s="126"/>
      <c r="AI567" s="127"/>
    </row>
    <row r="568" spans="1:35" s="16" customFormat="1" x14ac:dyDescent="0.25">
      <c r="A568" s="17"/>
      <c r="B568" s="6"/>
      <c r="C568" s="43"/>
      <c r="P568" s="193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  <c r="AA568" s="126"/>
      <c r="AB568" s="126"/>
      <c r="AC568" s="126"/>
      <c r="AD568" s="126"/>
      <c r="AE568" s="126"/>
      <c r="AF568" s="126"/>
      <c r="AG568" s="126"/>
      <c r="AH568" s="126"/>
      <c r="AI568" s="127"/>
    </row>
    <row r="569" spans="1:35" s="16" customFormat="1" x14ac:dyDescent="0.25">
      <c r="A569" s="17"/>
      <c r="B569" s="6"/>
      <c r="C569" s="43"/>
      <c r="P569" s="193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26"/>
      <c r="AC569" s="126"/>
      <c r="AD569" s="126"/>
      <c r="AE569" s="126"/>
      <c r="AF569" s="126"/>
      <c r="AG569" s="126"/>
      <c r="AH569" s="126"/>
      <c r="AI569" s="127"/>
    </row>
    <row r="570" spans="1:35" s="16" customFormat="1" x14ac:dyDescent="0.25">
      <c r="A570" s="17"/>
      <c r="B570" s="6"/>
      <c r="C570" s="43"/>
      <c r="P570" s="193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  <c r="AB570" s="126"/>
      <c r="AC570" s="126"/>
      <c r="AD570" s="126"/>
      <c r="AE570" s="126"/>
      <c r="AF570" s="126"/>
      <c r="AG570" s="126"/>
      <c r="AH570" s="126"/>
      <c r="AI570" s="127"/>
    </row>
    <row r="571" spans="1:35" s="16" customFormat="1" x14ac:dyDescent="0.25">
      <c r="A571" s="17"/>
      <c r="B571" s="6"/>
      <c r="C571" s="43"/>
      <c r="P571" s="193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  <c r="AB571" s="126"/>
      <c r="AC571" s="126"/>
      <c r="AD571" s="126"/>
      <c r="AE571" s="126"/>
      <c r="AF571" s="126"/>
      <c r="AG571" s="126"/>
      <c r="AH571" s="126"/>
      <c r="AI571" s="127"/>
    </row>
    <row r="572" spans="1:35" s="16" customFormat="1" x14ac:dyDescent="0.25">
      <c r="A572" s="17"/>
      <c r="B572" s="6"/>
      <c r="C572" s="43"/>
      <c r="P572" s="193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  <c r="AB572" s="126"/>
      <c r="AC572" s="126"/>
      <c r="AD572" s="126"/>
      <c r="AE572" s="126"/>
      <c r="AF572" s="126"/>
      <c r="AG572" s="126"/>
      <c r="AH572" s="126"/>
      <c r="AI572" s="127"/>
    </row>
    <row r="573" spans="1:35" s="16" customFormat="1" x14ac:dyDescent="0.25">
      <c r="A573" s="17"/>
      <c r="B573" s="6"/>
      <c r="C573" s="43"/>
      <c r="P573" s="193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  <c r="AB573" s="126"/>
      <c r="AC573" s="126"/>
      <c r="AD573" s="126"/>
      <c r="AE573" s="126"/>
      <c r="AF573" s="126"/>
      <c r="AG573" s="126"/>
      <c r="AH573" s="126"/>
      <c r="AI573" s="127"/>
    </row>
    <row r="574" spans="1:35" s="16" customFormat="1" x14ac:dyDescent="0.25">
      <c r="A574" s="17"/>
      <c r="B574" s="6"/>
      <c r="C574" s="43"/>
      <c r="P574" s="193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  <c r="AA574" s="126"/>
      <c r="AB574" s="126"/>
      <c r="AC574" s="126"/>
      <c r="AD574" s="126"/>
      <c r="AE574" s="126"/>
      <c r="AF574" s="126"/>
      <c r="AG574" s="126"/>
      <c r="AH574" s="126"/>
      <c r="AI574" s="127"/>
    </row>
    <row r="575" spans="1:35" s="16" customFormat="1" x14ac:dyDescent="0.25">
      <c r="A575" s="17"/>
      <c r="B575" s="6"/>
      <c r="C575" s="43"/>
      <c r="P575" s="193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  <c r="AC575" s="126"/>
      <c r="AD575" s="126"/>
      <c r="AE575" s="126"/>
      <c r="AF575" s="126"/>
      <c r="AG575" s="126"/>
      <c r="AH575" s="126"/>
      <c r="AI575" s="127"/>
    </row>
    <row r="576" spans="1:35" s="16" customFormat="1" x14ac:dyDescent="0.25">
      <c r="A576" s="17"/>
      <c r="B576" s="6"/>
      <c r="C576" s="43"/>
      <c r="P576" s="193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  <c r="AA576" s="126"/>
      <c r="AB576" s="126"/>
      <c r="AC576" s="126"/>
      <c r="AD576" s="126"/>
      <c r="AE576" s="126"/>
      <c r="AF576" s="126"/>
      <c r="AG576" s="126"/>
      <c r="AH576" s="126"/>
      <c r="AI576" s="127"/>
    </row>
    <row r="577" spans="1:35" s="16" customFormat="1" x14ac:dyDescent="0.25">
      <c r="A577" s="17"/>
      <c r="B577" s="6"/>
      <c r="C577" s="43"/>
      <c r="P577" s="193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  <c r="AA577" s="126"/>
      <c r="AB577" s="126"/>
      <c r="AC577" s="126"/>
      <c r="AD577" s="126"/>
      <c r="AE577" s="126"/>
      <c r="AF577" s="126"/>
      <c r="AG577" s="126"/>
      <c r="AH577" s="126"/>
      <c r="AI577" s="127"/>
    </row>
    <row r="578" spans="1:35" s="16" customFormat="1" x14ac:dyDescent="0.25">
      <c r="A578" s="17"/>
      <c r="B578" s="6"/>
      <c r="C578" s="43"/>
      <c r="P578" s="193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  <c r="AA578" s="126"/>
      <c r="AB578" s="126"/>
      <c r="AC578" s="126"/>
      <c r="AD578" s="126"/>
      <c r="AE578" s="126"/>
      <c r="AF578" s="126"/>
      <c r="AG578" s="126"/>
      <c r="AH578" s="126"/>
      <c r="AI578" s="127"/>
    </row>
    <row r="579" spans="1:35" s="16" customFormat="1" x14ac:dyDescent="0.25">
      <c r="A579" s="17"/>
      <c r="B579" s="6"/>
      <c r="C579" s="43"/>
      <c r="P579" s="193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  <c r="AA579" s="126"/>
      <c r="AB579" s="126"/>
      <c r="AC579" s="126"/>
      <c r="AD579" s="126"/>
      <c r="AE579" s="126"/>
      <c r="AF579" s="126"/>
      <c r="AG579" s="126"/>
      <c r="AH579" s="126"/>
      <c r="AI579" s="127"/>
    </row>
    <row r="580" spans="1:35" s="16" customFormat="1" x14ac:dyDescent="0.25">
      <c r="A580" s="17"/>
      <c r="B580" s="6"/>
      <c r="C580" s="43"/>
      <c r="P580" s="193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  <c r="AB580" s="126"/>
      <c r="AC580" s="126"/>
      <c r="AD580" s="126"/>
      <c r="AE580" s="126"/>
      <c r="AF580" s="126"/>
      <c r="AG580" s="126"/>
      <c r="AH580" s="126"/>
      <c r="AI580" s="127"/>
    </row>
    <row r="581" spans="1:35" s="16" customFormat="1" x14ac:dyDescent="0.25">
      <c r="A581" s="17"/>
      <c r="B581" s="6"/>
      <c r="C581" s="43"/>
      <c r="P581" s="193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  <c r="AB581" s="126"/>
      <c r="AC581" s="126"/>
      <c r="AD581" s="126"/>
      <c r="AE581" s="126"/>
      <c r="AF581" s="126"/>
      <c r="AG581" s="126"/>
      <c r="AH581" s="126"/>
      <c r="AI581" s="127"/>
    </row>
    <row r="582" spans="1:35" s="16" customFormat="1" x14ac:dyDescent="0.25">
      <c r="A582" s="17"/>
      <c r="B582" s="6"/>
      <c r="C582" s="43"/>
      <c r="P582" s="193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  <c r="AA582" s="126"/>
      <c r="AB582" s="126"/>
      <c r="AC582" s="126"/>
      <c r="AD582" s="126"/>
      <c r="AE582" s="126"/>
      <c r="AF582" s="126"/>
      <c r="AG582" s="126"/>
      <c r="AH582" s="126"/>
      <c r="AI582" s="127"/>
    </row>
    <row r="583" spans="1:35" s="16" customFormat="1" x14ac:dyDescent="0.25">
      <c r="A583" s="17"/>
      <c r="B583" s="6"/>
      <c r="C583" s="43"/>
      <c r="P583" s="193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126"/>
      <c r="AB583" s="126"/>
      <c r="AC583" s="126"/>
      <c r="AD583" s="126"/>
      <c r="AE583" s="126"/>
      <c r="AF583" s="126"/>
      <c r="AG583" s="126"/>
      <c r="AH583" s="126"/>
      <c r="AI583" s="127"/>
    </row>
    <row r="584" spans="1:35" s="16" customFormat="1" x14ac:dyDescent="0.25">
      <c r="A584" s="17"/>
      <c r="B584" s="6"/>
      <c r="C584" s="43"/>
      <c r="P584" s="193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  <c r="AB584" s="126"/>
      <c r="AC584" s="126"/>
      <c r="AD584" s="126"/>
      <c r="AE584" s="126"/>
      <c r="AF584" s="126"/>
      <c r="AG584" s="126"/>
      <c r="AH584" s="126"/>
      <c r="AI584" s="127"/>
    </row>
    <row r="585" spans="1:35" s="16" customFormat="1" x14ac:dyDescent="0.25">
      <c r="A585" s="17"/>
      <c r="B585" s="6"/>
      <c r="C585" s="43"/>
      <c r="P585" s="193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26"/>
      <c r="AC585" s="126"/>
      <c r="AD585" s="126"/>
      <c r="AE585" s="126"/>
      <c r="AF585" s="126"/>
      <c r="AG585" s="126"/>
      <c r="AH585" s="126"/>
      <c r="AI585" s="127"/>
    </row>
    <row r="586" spans="1:35" s="16" customFormat="1" x14ac:dyDescent="0.25">
      <c r="A586" s="17"/>
      <c r="B586" s="6"/>
      <c r="C586" s="43"/>
      <c r="P586" s="193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  <c r="AA586" s="126"/>
      <c r="AB586" s="126"/>
      <c r="AC586" s="126"/>
      <c r="AD586" s="126"/>
      <c r="AE586" s="126"/>
      <c r="AF586" s="126"/>
      <c r="AG586" s="126"/>
      <c r="AH586" s="126"/>
      <c r="AI586" s="127"/>
    </row>
    <row r="587" spans="1:35" s="16" customFormat="1" x14ac:dyDescent="0.25">
      <c r="A587" s="17"/>
      <c r="B587" s="6"/>
      <c r="C587" s="43"/>
      <c r="P587" s="193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  <c r="AC587" s="126"/>
      <c r="AD587" s="126"/>
      <c r="AE587" s="126"/>
      <c r="AF587" s="126"/>
      <c r="AG587" s="126"/>
      <c r="AH587" s="126"/>
      <c r="AI587" s="127"/>
    </row>
    <row r="588" spans="1:35" s="16" customFormat="1" x14ac:dyDescent="0.25">
      <c r="A588" s="17"/>
      <c r="B588" s="6"/>
      <c r="C588" s="43"/>
      <c r="P588" s="193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  <c r="AC588" s="126"/>
      <c r="AD588" s="126"/>
      <c r="AE588" s="126"/>
      <c r="AF588" s="126"/>
      <c r="AG588" s="126"/>
      <c r="AH588" s="126"/>
      <c r="AI588" s="127"/>
    </row>
    <row r="589" spans="1:35" s="16" customFormat="1" x14ac:dyDescent="0.25">
      <c r="A589" s="17"/>
      <c r="B589" s="6"/>
      <c r="C589" s="43"/>
      <c r="P589" s="193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  <c r="AB589" s="126"/>
      <c r="AC589" s="126"/>
      <c r="AD589" s="126"/>
      <c r="AE589" s="126"/>
      <c r="AF589" s="126"/>
      <c r="AG589" s="126"/>
      <c r="AH589" s="126"/>
      <c r="AI589" s="127"/>
    </row>
    <row r="590" spans="1:35" s="16" customFormat="1" x14ac:dyDescent="0.25">
      <c r="A590" s="17"/>
      <c r="B590" s="6"/>
      <c r="C590" s="43"/>
      <c r="P590" s="193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  <c r="AB590" s="126"/>
      <c r="AC590" s="126"/>
      <c r="AD590" s="126"/>
      <c r="AE590" s="126"/>
      <c r="AF590" s="126"/>
      <c r="AG590" s="126"/>
      <c r="AH590" s="126"/>
      <c r="AI590" s="127"/>
    </row>
    <row r="591" spans="1:35" s="16" customFormat="1" x14ac:dyDescent="0.25">
      <c r="A591" s="17"/>
      <c r="B591" s="6"/>
      <c r="C591" s="43"/>
      <c r="P591" s="193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26"/>
      <c r="AC591" s="126"/>
      <c r="AD591" s="126"/>
      <c r="AE591" s="126"/>
      <c r="AF591" s="126"/>
      <c r="AG591" s="126"/>
      <c r="AH591" s="126"/>
      <c r="AI591" s="127"/>
    </row>
    <row r="592" spans="1:35" s="16" customFormat="1" x14ac:dyDescent="0.25">
      <c r="A592" s="17"/>
      <c r="B592" s="6"/>
      <c r="C592" s="43"/>
      <c r="P592" s="193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  <c r="AB592" s="126"/>
      <c r="AC592" s="126"/>
      <c r="AD592" s="126"/>
      <c r="AE592" s="126"/>
      <c r="AF592" s="126"/>
      <c r="AG592" s="126"/>
      <c r="AH592" s="126"/>
      <c r="AI592" s="127"/>
    </row>
    <row r="593" spans="1:35" s="16" customFormat="1" x14ac:dyDescent="0.25">
      <c r="A593" s="17"/>
      <c r="B593" s="6"/>
      <c r="C593" s="43"/>
      <c r="P593" s="193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  <c r="AA593" s="126"/>
      <c r="AB593" s="126"/>
      <c r="AC593" s="126"/>
      <c r="AD593" s="126"/>
      <c r="AE593" s="126"/>
      <c r="AF593" s="126"/>
      <c r="AG593" s="126"/>
      <c r="AH593" s="126"/>
      <c r="AI593" s="127"/>
    </row>
    <row r="594" spans="1:35" s="16" customFormat="1" x14ac:dyDescent="0.25">
      <c r="A594" s="17"/>
      <c r="B594" s="6"/>
      <c r="C594" s="43"/>
      <c r="P594" s="193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  <c r="AB594" s="126"/>
      <c r="AC594" s="126"/>
      <c r="AD594" s="126"/>
      <c r="AE594" s="126"/>
      <c r="AF594" s="126"/>
      <c r="AG594" s="126"/>
      <c r="AH594" s="126"/>
      <c r="AI594" s="127"/>
    </row>
    <row r="595" spans="1:35" s="16" customFormat="1" x14ac:dyDescent="0.25">
      <c r="A595" s="17"/>
      <c r="B595" s="6"/>
      <c r="C595" s="43"/>
      <c r="P595" s="193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  <c r="AC595" s="126"/>
      <c r="AD595" s="126"/>
      <c r="AE595" s="126"/>
      <c r="AF595" s="126"/>
      <c r="AG595" s="126"/>
      <c r="AH595" s="126"/>
      <c r="AI595" s="127"/>
    </row>
    <row r="596" spans="1:35" s="16" customFormat="1" x14ac:dyDescent="0.25">
      <c r="A596" s="17"/>
      <c r="B596" s="6"/>
      <c r="C596" s="43"/>
      <c r="P596" s="193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26"/>
      <c r="AC596" s="126"/>
      <c r="AD596" s="126"/>
      <c r="AE596" s="126"/>
      <c r="AF596" s="126"/>
      <c r="AG596" s="126"/>
      <c r="AH596" s="126"/>
      <c r="AI596" s="127"/>
    </row>
  </sheetData>
  <mergeCells count="44">
    <mergeCell ref="K1:N1"/>
    <mergeCell ref="P1:P36"/>
    <mergeCell ref="P37:P70"/>
    <mergeCell ref="L9:L10"/>
    <mergeCell ref="K3:O3"/>
    <mergeCell ref="K8:L8"/>
    <mergeCell ref="N9:N10"/>
    <mergeCell ref="O7:O10"/>
    <mergeCell ref="M8:M10"/>
    <mergeCell ref="K9:K10"/>
    <mergeCell ref="Z6:AI6"/>
    <mergeCell ref="Z7:AC8"/>
    <mergeCell ref="AD7:AD10"/>
    <mergeCell ref="AE7:AE10"/>
    <mergeCell ref="AF7:AI7"/>
    <mergeCell ref="AF8:AF10"/>
    <mergeCell ref="A5:O5"/>
    <mergeCell ref="I8:I10"/>
    <mergeCell ref="C7:C10"/>
    <mergeCell ref="D7:H7"/>
    <mergeCell ref="I7:N7"/>
    <mergeCell ref="H8:H10"/>
    <mergeCell ref="F9:F10"/>
    <mergeCell ref="A7:A10"/>
    <mergeCell ref="D8:D10"/>
    <mergeCell ref="E8:E10"/>
    <mergeCell ref="B7:B10"/>
    <mergeCell ref="F8:G8"/>
    <mergeCell ref="G9:G10"/>
    <mergeCell ref="J8:J10"/>
    <mergeCell ref="P71:P99"/>
    <mergeCell ref="P100:P121"/>
    <mergeCell ref="A277:C277"/>
    <mergeCell ref="A275:C275"/>
    <mergeCell ref="A255:C255"/>
    <mergeCell ref="P122:P135"/>
    <mergeCell ref="P136:P157"/>
    <mergeCell ref="P158:P179"/>
    <mergeCell ref="P180:P211"/>
    <mergeCell ref="P212:P241"/>
    <mergeCell ref="P245:P278"/>
    <mergeCell ref="A252:C252"/>
    <mergeCell ref="A254:C254"/>
    <mergeCell ref="M260:O260"/>
  </mergeCells>
  <phoneticPr fontId="3" type="noConversion"/>
  <printOptions horizontalCentered="1"/>
  <pageMargins left="0.27559055118110237" right="0.27559055118110237" top="0.59055118110236227" bottom="0.39370078740157483" header="0.27559055118110237" footer="0.23622047244094491"/>
  <pageSetup paperSize="9" scale="42" fitToHeight="10" orientation="landscape" verticalDpi="300" r:id="rId1"/>
  <headerFooter differentFirst="1" alignWithMargins="0">
    <oddHeader>&amp;RПродовження додатка  4</oddHeader>
  </headerFooter>
  <rowBreaks count="1" manualBreakCount="1">
    <brk id="23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</vt:lpstr>
      <vt:lpstr>дод. 4</vt:lpstr>
      <vt:lpstr>'дод 3'!Заголовки_для_печати</vt:lpstr>
      <vt:lpstr>'дод. 4'!Заголовки_для_печати</vt:lpstr>
      <vt:lpstr>'дод 3'!Область_печати</vt:lpstr>
      <vt:lpstr>'дод.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Нікітіна Тетяна Миколаївна</cp:lastModifiedBy>
  <cp:lastPrinted>2018-08-17T08:03:44Z</cp:lastPrinted>
  <dcterms:created xsi:type="dcterms:W3CDTF">2014-01-17T10:52:16Z</dcterms:created>
  <dcterms:modified xsi:type="dcterms:W3CDTF">2018-08-21T06:26:07Z</dcterms:modified>
</cp:coreProperties>
</file>