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425" windowWidth="12390" windowHeight="8415" tabRatio="246" activeTab="0"/>
  </bookViews>
  <sheets>
    <sheet name="дод 4 (в)" sheetId="1" r:id="rId1"/>
  </sheets>
  <definedNames>
    <definedName name="_xlfn.AGGREGATE" hidden="1">#NAME?</definedName>
    <definedName name="_xlnm.Print_Titles" localSheetId="0">'дод 4 (в)'!$11:$11</definedName>
    <definedName name="_xlnm.Print_Area" localSheetId="0">'дод 4 (в)'!$A$1:$L$353</definedName>
  </definedNames>
  <calcPr fullCalcOnLoad="1"/>
</workbook>
</file>

<file path=xl/sharedStrings.xml><?xml version="1.0" encoding="utf-8"?>
<sst xmlns="http://schemas.openxmlformats.org/spreadsheetml/2006/main" count="651" uniqueCount="484">
  <si>
    <t>1410160</t>
  </si>
  <si>
    <t>Проектування, реставрація та охорона пам'яток архітектури</t>
  </si>
  <si>
    <t>7640</t>
  </si>
  <si>
    <t>7670</t>
  </si>
  <si>
    <t>Забезпечення діяльності бібліотек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</si>
  <si>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</si>
  <si>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4080</t>
  </si>
  <si>
    <t>Iншi заклади та заходи в галузі культури і мистецтва</t>
  </si>
  <si>
    <t>Всього видатків</t>
  </si>
  <si>
    <t>Здійснення соціальної роботи з вразливими категоріями населення</t>
  </si>
  <si>
    <t>Утримання та навчально-тренувальна робота комунальних дитячо-юнацьких спортивних шкіл</t>
  </si>
  <si>
    <t>Внески до статутного капіталу суб’єктів господарювання</t>
  </si>
  <si>
    <t>Управління  освіти і науки Сумської міської ради</t>
  </si>
  <si>
    <t>1000000</t>
  </si>
  <si>
    <t xml:space="preserve">Відділ охорони здоров’я Сумської міської ради  </t>
  </si>
  <si>
    <t>1400000</t>
  </si>
  <si>
    <t>Багатопрофільна стаціонарна медична допомога населенню</t>
  </si>
  <si>
    <t>1500000</t>
  </si>
  <si>
    <t>1510000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</si>
  <si>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</si>
  <si>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Відділ культури та туризму Сумської міської ради</t>
  </si>
  <si>
    <t>Департамент інфраструктури міста Сумської міської ради</t>
  </si>
  <si>
    <t>Заходи з енергозбереження</t>
  </si>
  <si>
    <t>Управління капітального будівництва та дорожнього господарства Сумської міської ради</t>
  </si>
  <si>
    <t>Управління «Інспекція з благоустрою міста Суми» Сумської міської ради</t>
  </si>
  <si>
    <t>Виконавчий комітет Сумської міської ради</t>
  </si>
  <si>
    <t xml:space="preserve">Департамент соціального захисту населення Сумської міської ради </t>
  </si>
  <si>
    <t>Департамент забезпечення ресурсних платежів Сумської міської ради</t>
  </si>
  <si>
    <t>Департамент фінансів, економіки та інвестицій Сумської міської ради</t>
  </si>
  <si>
    <t>Управління державного архітектурно-будівельного контролю Сумської міської ради</t>
  </si>
  <si>
    <t>0180</t>
  </si>
  <si>
    <t>0111</t>
  </si>
  <si>
    <t>Код функціональної класифікації видатків та кредитування бюджету</t>
  </si>
  <si>
    <t>1010</t>
  </si>
  <si>
    <t>0910</t>
  </si>
  <si>
    <t>1020</t>
  </si>
  <si>
    <t>0921</t>
  </si>
  <si>
    <t>1070</t>
  </si>
  <si>
    <t>0922</t>
  </si>
  <si>
    <t>1090</t>
  </si>
  <si>
    <t>0960</t>
  </si>
  <si>
    <t>1100</t>
  </si>
  <si>
    <t>0990</t>
  </si>
  <si>
    <t>2010</t>
  </si>
  <si>
    <t>0731</t>
  </si>
  <si>
    <t>6010</t>
  </si>
  <si>
    <t>0620</t>
  </si>
  <si>
    <t>4030</t>
  </si>
  <si>
    <t>0824</t>
  </si>
  <si>
    <t>0829</t>
  </si>
  <si>
    <t>0810</t>
  </si>
  <si>
    <t>5060</t>
  </si>
  <si>
    <t>0490</t>
  </si>
  <si>
    <t>0470</t>
  </si>
  <si>
    <t>1040</t>
  </si>
  <si>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</si>
  <si>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 (КТПКВКМБ)</t>
  </si>
  <si>
    <t>0443</t>
  </si>
  <si>
    <t>Інші заходи з розвитку фізичної культури та спорту</t>
  </si>
  <si>
    <t>5061</t>
  </si>
  <si>
    <t>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t>
  </si>
  <si>
    <t>5030</t>
  </si>
  <si>
    <t>5031</t>
  </si>
  <si>
    <t>Розвиток дитячо-юнацького та резервного спорту</t>
  </si>
  <si>
    <t>Найменування головного розпорядника, відповідального виконавця, бюджетної програми або напряму видатків згідно з типовою відомчою / типовою програмною класифікацією видатків та кредитування місцевого бюджету (ТПКВКМБ)</t>
  </si>
  <si>
    <t>1410000</t>
  </si>
  <si>
    <t>0160</t>
  </si>
  <si>
    <t>Керівництво і управління у відповідній сфері у містах (місті Києві), селищах, селах, об’єднаних територіальних громадах</t>
  </si>
  <si>
    <t>Надання загальної середньої освіти спеціальними  загальноосвітніми школами-інтернатами, школами та іншими навчальними закладами для дітей, які потребують корекції фізичного та (або) розумового розвитку</t>
  </si>
  <si>
    <t>Надання пільг з оплати послуг зв’язку, інших передбачених законодавством пільг окремим категоріям громадян та компенсації за пільговий проїзд окремих категорій громадян</t>
  </si>
  <si>
    <t>Надання інших пільг окремим категоріям громадян відповідно до законодавства</t>
  </si>
  <si>
    <t>3120</t>
  </si>
  <si>
    <t>3121</t>
  </si>
  <si>
    <t>Утримання та забезпечення діяльності центрів соціальних служб для сім’ї, дітей та молоді</t>
  </si>
  <si>
    <t xml:space="preserve">Інші заклади та заходи </t>
  </si>
  <si>
    <t>Утримання та ефективна експлуатація об’єктів житлово-комунального господарства</t>
  </si>
  <si>
    <t>6011</t>
  </si>
  <si>
    <t>Експлуатація та технічне обслуговування житлового фонду</t>
  </si>
  <si>
    <t>6030</t>
  </si>
  <si>
    <t>Організація благоустрою населених пунктів</t>
  </si>
  <si>
    <t>7340</t>
  </si>
  <si>
    <t>1010160</t>
  </si>
  <si>
    <t>Надання дошкільної освіти</t>
  </si>
  <si>
    <t>Надання загальної середньої освіти загальноосвітніми навчальними закладами (в т. ч. школою-дитячим садком, інтернатом при школі), спеціалізованими школами, ліцеями, гімназіями, колегіумами</t>
  </si>
  <si>
    <t xml:space="preserve">Надання позашкільної освіти позашкільними закладами освіти, заходи із позашкільної роботи з дітьми </t>
  </si>
  <si>
    <t>1017640</t>
  </si>
  <si>
    <t>1517640</t>
  </si>
  <si>
    <t>0200000</t>
  </si>
  <si>
    <t>0210000</t>
  </si>
  <si>
    <t>0210160</t>
  </si>
  <si>
    <t>0213120</t>
  </si>
  <si>
    <t>0213121</t>
  </si>
  <si>
    <t>0214080</t>
  </si>
  <si>
    <t>0215030</t>
  </si>
  <si>
    <t>0215031</t>
  </si>
  <si>
    <t>0215060</t>
  </si>
  <si>
    <t>0215061</t>
  </si>
  <si>
    <t>0217670</t>
  </si>
  <si>
    <t>0600000</t>
  </si>
  <si>
    <t>0610000</t>
  </si>
  <si>
    <t>0610160</t>
  </si>
  <si>
    <t>0611010</t>
  </si>
  <si>
    <t>0611020</t>
  </si>
  <si>
    <t>0615030</t>
  </si>
  <si>
    <t>0615031</t>
  </si>
  <si>
    <t>0617640</t>
  </si>
  <si>
    <t>0700000</t>
  </si>
  <si>
    <t>0710000</t>
  </si>
  <si>
    <t>0712010</t>
  </si>
  <si>
    <t>0717640</t>
  </si>
  <si>
    <t>0800000</t>
  </si>
  <si>
    <t>0810000</t>
  </si>
  <si>
    <t>0810160</t>
  </si>
  <si>
    <t>0813030</t>
  </si>
  <si>
    <t>0813031</t>
  </si>
  <si>
    <t>0813100</t>
  </si>
  <si>
    <t>0813104</t>
  </si>
  <si>
    <t>1010000</t>
  </si>
  <si>
    <t>1014030</t>
  </si>
  <si>
    <t>1014080</t>
  </si>
  <si>
    <t>1200000</t>
  </si>
  <si>
    <t>1210000</t>
  </si>
  <si>
    <t>1210160</t>
  </si>
  <si>
    <t>1216010</t>
  </si>
  <si>
    <t>1216011</t>
  </si>
  <si>
    <t>1216030</t>
  </si>
  <si>
    <t>1217340</t>
  </si>
  <si>
    <t>1219770</t>
  </si>
  <si>
    <t>1516030</t>
  </si>
  <si>
    <t>1710000</t>
  </si>
  <si>
    <t>1710160</t>
  </si>
  <si>
    <t>1700000</t>
  </si>
  <si>
    <t>3100000</t>
  </si>
  <si>
    <t>3110000</t>
  </si>
  <si>
    <t>3110160</t>
  </si>
  <si>
    <t>3700000</t>
  </si>
  <si>
    <t>3710000</t>
  </si>
  <si>
    <t>3710160</t>
  </si>
  <si>
    <t>1011100</t>
  </si>
  <si>
    <t>0611070</t>
  </si>
  <si>
    <t>0611090</t>
  </si>
  <si>
    <t>Інші програми, заклади та заходи у сфері освіти</t>
  </si>
  <si>
    <t>0611160</t>
  </si>
  <si>
    <t>1160</t>
  </si>
  <si>
    <t>грн.</t>
  </si>
  <si>
    <t>1216015</t>
  </si>
  <si>
    <t>6015</t>
  </si>
  <si>
    <t>Забезпечення надійної та безперебійної експлуатації ліфтів</t>
  </si>
  <si>
    <t>3117650</t>
  </si>
  <si>
    <t>7650</t>
  </si>
  <si>
    <t>3117660</t>
  </si>
  <si>
    <t>7660</t>
  </si>
  <si>
    <t>Проведення експертної  грошової  оцінки  земельної ділянки чи права на неї</t>
  </si>
  <si>
    <t>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</t>
  </si>
  <si>
    <t>1217310</t>
  </si>
  <si>
    <t>7310</t>
  </si>
  <si>
    <t>1217330</t>
  </si>
  <si>
    <t>7330</t>
  </si>
  <si>
    <t>7320</t>
  </si>
  <si>
    <t>7321</t>
  </si>
  <si>
    <t>7322</t>
  </si>
  <si>
    <t>7325</t>
  </si>
  <si>
    <t>Будівництво об'єктів житлово-комунального господарства</t>
  </si>
  <si>
    <t>Будівництво інших об'єктів соціальної та виробничої інфраструктури комунальної власності</t>
  </si>
  <si>
    <t>Будівництво об'єктів соціально-культурного призначення</t>
  </si>
  <si>
    <t>Будівництво освітніх установ та закладів</t>
  </si>
  <si>
    <t>Будівництво споруд, установ та закладів фізичної культури і спорту</t>
  </si>
  <si>
    <t>Будівництво медичних установ та закладів</t>
  </si>
  <si>
    <t>1. Будівництво</t>
  </si>
  <si>
    <t>Будівництво інженерних мереж селища Ганнівка (2 черга)</t>
  </si>
  <si>
    <t>Будівництво каналізації по вул. Молодіжній</t>
  </si>
  <si>
    <t xml:space="preserve">2. Реконструкція інших об’єктів   </t>
  </si>
  <si>
    <t>Реконструкція дороги по вул. Ковпака</t>
  </si>
  <si>
    <t xml:space="preserve">Реконструкція лінії освітлення в районі житлових будинків №36, 42 по вул. Прокоф'єва </t>
  </si>
  <si>
    <t xml:space="preserve">Реконструкція лінії освітлення по вул.Партизанська </t>
  </si>
  <si>
    <t>Реконструкція лінії освітлення в районі житлових будинків №13, 15, 17 по вул. Заливна</t>
  </si>
  <si>
    <t xml:space="preserve">Реконструкція лінії освітлення по пер. Чугуївський </t>
  </si>
  <si>
    <t>Будівництво дитячого садка у 12 МР</t>
  </si>
  <si>
    <t>Будівництво дитячого майданчика на території ДНЗ №38 по вул. Серпнева, 1</t>
  </si>
  <si>
    <t>Реконструкція будівлі ССШ №29 по вул. Заливній, 25</t>
  </si>
  <si>
    <t>Реконструкція інженерних мереж (електрозабезпечення) КУ Піщанська ЗОШ І-ІІ ступенів по вул. Шкільна, 26</t>
  </si>
  <si>
    <t>Реконструкція будівлі міжшкільного навчально-виробничого комбінату з влаштуванням туалету по вул. М. Раскової, 72</t>
  </si>
  <si>
    <t>Реконструкція спортивного майданчика з влаштуванням штучного покриття на території КУ «Сумська СШ №9» по вул. Даргомижського, 3</t>
  </si>
  <si>
    <t>Реконструкція неврологічного відділення КУ  «СМКЛ №4» по вул. Металургів, 38</t>
  </si>
  <si>
    <t xml:space="preserve">Реконструкція лорвідділення  КУ  «Сумська міська дитяча лікарня Святої Зінаїди» </t>
  </si>
  <si>
    <t>Реконструкція грального поля по вул. Якіра</t>
  </si>
  <si>
    <t>Реконструкція стадіону «Авангард»</t>
  </si>
  <si>
    <t>Будівництво кладовища в районі 40-ї підстанції</t>
  </si>
  <si>
    <t>Будівництво тролейбусної лінії по вул. Набережна р. Сумки</t>
  </si>
  <si>
    <t>Реконструкція приміщення по вул. Шишкіна, 12</t>
  </si>
  <si>
    <t>Будівля Реального училища (школа №4), м. Суми - реконструкція</t>
  </si>
  <si>
    <t xml:space="preserve">Реконструкція будівлі молодіжного центру «Романтика» </t>
  </si>
  <si>
    <t>Реконструкція Театральної площі</t>
  </si>
  <si>
    <t>Реконструкція спортивного майданчика з влаштуванням штучного покриття в районі житлового будинку №13 по вул. Заливна</t>
  </si>
  <si>
    <t>Реконструкція спортивного майданчика з влаштуванням штучного покриття в районі житлового будинку №51 В по вул. Іллінська</t>
  </si>
  <si>
    <t>Реконструкція спортивного майданчика з влаштуванням штучного покриття в районі житлового будинку №27 по вул. Заливна</t>
  </si>
  <si>
    <t>Реконструкція спортивного майданчика з влаштуванням штучного покриття по пров. Чугуївський</t>
  </si>
  <si>
    <t>1</t>
  </si>
  <si>
    <t>Назва об’єктів відповідно  до проектно- кошторисної документації тощо</t>
  </si>
  <si>
    <t xml:space="preserve">Загальний обсяг фінансування будівництва </t>
  </si>
  <si>
    <t>Відсоток завершеності будівництва об’єктів на майбутні роки</t>
  </si>
  <si>
    <t>Всього видатків на завершення будівництва об’єктів на майбутні роки</t>
  </si>
  <si>
    <t>Разом видатків на поточний рік</t>
  </si>
  <si>
    <t>Перелік об’єктів, видатки на які у 2018 році будуть проводитися за рахунок коштів бюджету розвитку</t>
  </si>
  <si>
    <t>Реставрація споруди «Альтанка» в м.Суми</t>
  </si>
  <si>
    <t>Реконструкція операційного блоку КУ  «СМКЛ №5»</t>
  </si>
  <si>
    <t>Реконструкція ортопедичного відділення та сходових клітин КУ «Сумська міська клінічна лікарня №1» по вул. 20 років Перемоги, 13</t>
  </si>
  <si>
    <t>Реконструкція приміщень «Муніципальний спортивний клуб з хокею на траві «Сумчанка»</t>
  </si>
  <si>
    <t>Реконструкція теплиць КП  «Зелене будівництво»  Сумської міської ради по вул. Пролетарська,77</t>
  </si>
  <si>
    <t xml:space="preserve">Реконструкція фонтану в дитячому парку  «Казка» </t>
  </si>
  <si>
    <t xml:space="preserve">Реконструкція (санація) самотічного каналізаційного колектора Д 400-600 мм від вул. Харківська, 30/1 по вул. Прокоф'єва до КНС-6 </t>
  </si>
  <si>
    <t>КП Сумської міської ради «Електроавтотранс»</t>
  </si>
  <si>
    <t>2. Реконструкція об'єктів житлового фонду</t>
  </si>
  <si>
    <t>Влаштування пандусів до житлового будинку      № 2/6 по вул. Котляревського</t>
  </si>
  <si>
    <t>Влаштування пандусів до житлового будинку      № 25 по вул. Інтернаціоналістів</t>
  </si>
  <si>
    <t>Реставрація покрівлі та фасаду житлового будинку по вул.Соборна, 32 в м. Суми</t>
  </si>
  <si>
    <t>0214081</t>
  </si>
  <si>
    <t>4081</t>
  </si>
  <si>
    <t xml:space="preserve">Забезпечення діяльності інших закладів в галузі культури і мистецтва </t>
  </si>
  <si>
    <t>0611161</t>
  </si>
  <si>
    <t>1161</t>
  </si>
  <si>
    <t>Забезпечення діяльності інших закладів у сфері освіти</t>
  </si>
  <si>
    <t>0813241</t>
  </si>
  <si>
    <t>Забезпечення діяльності інших закладів у сфері соціального захисту і соціального забезпечення</t>
  </si>
  <si>
    <t>0813242</t>
  </si>
  <si>
    <t>Інші заходи у сфері соціального захисту і соціального забезпечення</t>
  </si>
  <si>
    <t>1014081</t>
  </si>
  <si>
    <t>0217530</t>
  </si>
  <si>
    <t>7530</t>
  </si>
  <si>
    <t>Інші заходи у сфері зв'язку, телекомунікації та інформатики</t>
  </si>
  <si>
    <t>0460</t>
  </si>
  <si>
    <t>0813240</t>
  </si>
  <si>
    <t>Інші субвенції з місцевого бюджету</t>
  </si>
  <si>
    <t>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обслуговування</t>
  </si>
  <si>
    <t>3719770</t>
  </si>
  <si>
    <t>9770</t>
  </si>
  <si>
    <t xml:space="preserve">Інші субвенції з місцевого бюджету </t>
  </si>
  <si>
    <t>Будівництво міського пляжу в парку                                   ім. І.М. Кожедуба</t>
  </si>
  <si>
    <t xml:space="preserve">Реконструкція полігону для складування твердих побутових відходів на території В.Бобрицької сільської ради Краснопільського району Сумської області </t>
  </si>
  <si>
    <t>Реконструкція дитячого парку «Казка»</t>
  </si>
  <si>
    <t>Будівництво скейт-парку в міському парку                         ім. І.М. Кожедуба</t>
  </si>
  <si>
    <t xml:space="preserve">3. Реконструкція інших об’єктів   </t>
  </si>
  <si>
    <t>Внесено змін +, -</t>
  </si>
  <si>
    <t>Всього видатків з урахуванням змін</t>
  </si>
  <si>
    <t>0215010</t>
  </si>
  <si>
    <t>0215011</t>
  </si>
  <si>
    <t>Проведення спортивної роботи в регіоні</t>
  </si>
  <si>
    <t>5010</t>
  </si>
  <si>
    <t>5011</t>
  </si>
  <si>
    <t>Проведення навчально-тренувальних зборів і змагань з олімпійських видів спорту</t>
  </si>
  <si>
    <t>Міні - скейтпарк на Роменській</t>
  </si>
  <si>
    <t>Інклюзивний спортивно-ігровий майданчик у парку ім. І.Кожедуба</t>
  </si>
  <si>
    <t>Спортивний майданчик на Ковпака</t>
  </si>
  <si>
    <t>Мрії збуваються (дитячий майданчик та зона відпочинку – вулиця Холодногірська, будинки 49 та 51)</t>
  </si>
  <si>
    <t>Спортивний майданчик з вуличними тренажерами для дітей та дорослих</t>
  </si>
  <si>
    <t>Спортивний центр «Єдність нації»</t>
  </si>
  <si>
    <t>Будівництво волейбольного майданчика по вул. Ковпака, 77Б - 81Б  в м. Суми</t>
  </si>
  <si>
    <t xml:space="preserve">«Доріжка здоров’я» в селищі Ганнівка, м.Суми </t>
  </si>
  <si>
    <t>Будівництво спортивного майданчика з тренажерами</t>
  </si>
  <si>
    <t xml:space="preserve">Будівництво дитячого майданчика в районі житлового будинку № 4 по вул. Героїв Крут </t>
  </si>
  <si>
    <t>1517340</t>
  </si>
  <si>
    <t xml:space="preserve">Реконструкція спортивного майданчика з влаштуванням штучного покриття на території ДНЗ № 3 «Калинка» по вул. Герасима Кондратьєва, 124 </t>
  </si>
  <si>
    <t>Реконструкція приміщення за адресою: м.Суми, вул. Петропавлівська, 70</t>
  </si>
  <si>
    <t>Забезпечення діяльності палаців i будинків культури, клубів, центрів дозвілля та iнших клубних закладів</t>
  </si>
  <si>
    <t>0828</t>
  </si>
  <si>
    <t>0214060</t>
  </si>
  <si>
    <t>4060</t>
  </si>
  <si>
    <t xml:space="preserve">Будівництво дитячого майданчика на розі вулиць 2-га Північна та пров. Веретинівський </t>
  </si>
  <si>
    <t>Нове будівництво амбулаторії по вул. Шишкіна, 12 м. Суми</t>
  </si>
  <si>
    <t>Реставрація будівлі по вул. Петропавлівська, 91</t>
  </si>
  <si>
    <t>0217610</t>
  </si>
  <si>
    <t>7610</t>
  </si>
  <si>
    <t>Сприяння розвитку малого та середнього підприємництва</t>
  </si>
  <si>
    <t>0411</t>
  </si>
  <si>
    <t>0218110</t>
  </si>
  <si>
    <t>8110</t>
  </si>
  <si>
    <t>0320</t>
  </si>
  <si>
    <t>Заходи із запобігання та ліквідації надзвичайних ситуацій та наслідків стихійного лиха</t>
  </si>
  <si>
    <t>1216013</t>
  </si>
  <si>
    <t>6013</t>
  </si>
  <si>
    <t>Забезпечення діяльності водопровідно-каналізаційного господарства</t>
  </si>
  <si>
    <t>1216016</t>
  </si>
  <si>
    <t>6016</t>
  </si>
  <si>
    <t>Впровадження засобів обліку витрат та регулювання споживання води та теплової енергії</t>
  </si>
  <si>
    <t>3119800</t>
  </si>
  <si>
    <t>9800</t>
  </si>
  <si>
    <t>Реконструкція другого поверху  адмінбудівлі по вул.Першотравнева,21</t>
  </si>
  <si>
    <t>0617363</t>
  </si>
  <si>
    <t>Виконання інвестиційних проектів в рамках здійснення заходів щодо соціально-економічного розвитку окремих територій</t>
  </si>
  <si>
    <t>0617360</t>
  </si>
  <si>
    <t>7360</t>
  </si>
  <si>
    <t xml:space="preserve">Виконання інвестиційних проектів </t>
  </si>
  <si>
    <t>1217363</t>
  </si>
  <si>
    <t>1217360</t>
  </si>
  <si>
    <t>1517360</t>
  </si>
  <si>
    <t>1517363</t>
  </si>
  <si>
    <t xml:space="preserve">Субвенція з місцевого бюджету державному бюджету на виконання програм соціально-економічного розвитку регіонів </t>
  </si>
  <si>
    <t>0219800</t>
  </si>
  <si>
    <t>7363</t>
  </si>
  <si>
    <t>Реконструкція  відповідних технологічних  вузлів  та обладнання  міських очисних  споруд: решіток  у грабельній. Адреса об'єкта:вул.Гамалія,40,м.Суми</t>
  </si>
  <si>
    <t>1217361</t>
  </si>
  <si>
    <t>7361</t>
  </si>
  <si>
    <t>Співфінансування інвестиційних проектів, що реалізуються за рахунок коштів державного фонду регіонального розвитку</t>
  </si>
  <si>
    <t>Будівництво ліній освітлення ХІІ МР</t>
  </si>
  <si>
    <t>Реконструкція лінії освітлення по вул. Виноградна</t>
  </si>
  <si>
    <t>Реконструкція лінії освітлення по вул. Осіння</t>
  </si>
  <si>
    <t>Реконструкція лінії освітлення по вул. Сонячна</t>
  </si>
  <si>
    <t>Реконструкція водоводу від Тополянського водозабору до пожежного депо в м. Суми</t>
  </si>
  <si>
    <t>Реконструкція водопроводу Д500 мм від Тополянського водозабору до пр. Курський</t>
  </si>
  <si>
    <t>Реконструкція ДНЗ №22 «Джерельце»</t>
  </si>
  <si>
    <t>Реконструкція будівлі ДНЗ №2 по вул. Інтернаціоналістів,39</t>
  </si>
  <si>
    <t>Реконструкція інженерних мереж КУ Піщанська ЗОШ І-ІІ ступенів</t>
  </si>
  <si>
    <t>Будівництво дитячого майданчика в районі житлового будинку № 23 по вул. Охтирська</t>
  </si>
  <si>
    <t>Будівництво дитячого майданчика в районі житлового будинку № 26 по вул. Римського - Корсакова</t>
  </si>
  <si>
    <t>Будівництво спортивного майданчика                         по вул. Роменській, 88</t>
  </si>
  <si>
    <t>Будівництво спортивного майданчика по                            вул. Роменській, 100А</t>
  </si>
  <si>
    <t>0717360</t>
  </si>
  <si>
    <t>0717363</t>
  </si>
  <si>
    <t>1516080</t>
  </si>
  <si>
    <t>1516082</t>
  </si>
  <si>
    <t xml:space="preserve">Реалізація державних та місцевих житлових програм </t>
  </si>
  <si>
    <t>Придбання житла для окремих категорій населення відповідно до законодавства</t>
  </si>
  <si>
    <t>0610</t>
  </si>
  <si>
    <t>6082</t>
  </si>
  <si>
    <t>6080</t>
  </si>
  <si>
    <t>0619800</t>
  </si>
  <si>
    <t>Будівництво кабельної лінії електроживлення (резервний кабель) каналізаційно – насосної станції по вул. Привокзальна, 4/13</t>
  </si>
  <si>
    <t>Реконструкція системи електрозабезпечення 48-квартирного будинку по вулиці Холодногірська, 30/1 м. Суми</t>
  </si>
  <si>
    <t>Будівництво  зливної каналізації по                            вул. Косівщинській, вул. Кавалерідзе,                               вул. Нахімова, вул. Дарвіна, вул. Жуковського,                                       вул. Макаренка</t>
  </si>
  <si>
    <t>0218120</t>
  </si>
  <si>
    <t>Реконструкція приміщення по вул. Г.Кондратьєва, 165/71 під розміщення КУ «Центр надання соціально - медичних, психологічних послуг учасникам антитерористичної операції та членам їх сімей»</t>
  </si>
  <si>
    <t>Заходи з організації рятування на водах</t>
  </si>
  <si>
    <t>8120</t>
  </si>
  <si>
    <t>Будівництво дитячо-спортивного майданчика в районі житлових будинків № 49, 53, по вул.Романа Атаманюка</t>
  </si>
  <si>
    <t>Будівництво дитячого майданчика в районі житлових будинків № 13-15 по вул.Романа Атаманюка</t>
  </si>
  <si>
    <t>Будівництво дитячого майданчика за адресою: м. Суми, вул. Г.Кондратьєва, 52</t>
  </si>
  <si>
    <t xml:space="preserve">Реконструкція (санація) самотічного каналізаційного колектора Д 500 мм по вул. Замостянській від перехрестя вул. Харківська та вул. Сумсько-Київських дивізій до перехрестя вул. Черкаська та вул. Лінійна в м. Суми </t>
  </si>
  <si>
    <t>Реконструкція (санація) самотічного каналізаційного колектора Д 600-800 мм від вул. Харківська, 32 по вул. Сумсько-Київських дивізій до КНС-6</t>
  </si>
  <si>
    <t xml:space="preserve">Реконструкція (санація) самотічного каналізаційного колектора Д 400-500 мм від вул. Романа Атаманюка по вул. Генерала Чибісова, Новорічній до вул. Київської </t>
  </si>
  <si>
    <t xml:space="preserve">Реконструкція системи водопостачання та водовідведення в приміщенні по вул. Г.Кондратьєва, 165/71 </t>
  </si>
  <si>
    <t>1600000</t>
  </si>
  <si>
    <t>Управління архітектури та містобудування Сумської міської ради</t>
  </si>
  <si>
    <t>1610000</t>
  </si>
  <si>
    <t>1617350</t>
  </si>
  <si>
    <t>7350</t>
  </si>
  <si>
    <t>Розроблення схем планування та забудови територій (містобудівної документації)</t>
  </si>
  <si>
    <t>Реконструкція хлорного господарства на очисних спорудах м. Суми з переведенням на гіпохлорит натрію</t>
  </si>
  <si>
    <t>0219770</t>
  </si>
  <si>
    <t xml:space="preserve">Будівництво дитячого майданчика на території ДНЗ № 25 «Білосніжка» по вул. Лесі Українки, 2/1 </t>
  </si>
  <si>
    <t>Будівництво свердловини №15 на нижню крейду з розширеним контуром на Лепехівському водозаборі м.Суми</t>
  </si>
  <si>
    <t>Будівництво виробничого комплексу з переробки рослинних відходів та виробництва паливних брикетів і органічних добрив на площах майданчику для складування рослинних відходів по вул. М. Лукаша, м. Суми</t>
  </si>
  <si>
    <t>Реконструкція каналізаційного залізобетонного самотічного колектора Д=600 мм, який проходить по вул. Сеченова від залізничної дороги (вул. Київська) до перехрестя  вул. Слобідської та вул. Вигонопоселенській</t>
  </si>
  <si>
    <t xml:space="preserve">Реконструкція волейбольного майданчику в парку культури та відпочинку  імені І.М. Кожедуба, м. Суми </t>
  </si>
  <si>
    <t xml:space="preserve">Реконструкція баскетбольного майданчика в парку культури і відпочинку  ім. І.М. Кожедуба </t>
  </si>
  <si>
    <t>0712030</t>
  </si>
  <si>
    <t>2030</t>
  </si>
  <si>
    <t>Лікарсько-акушерська допомога вагітним, породіллям та новонародженим</t>
  </si>
  <si>
    <t>0733</t>
  </si>
  <si>
    <t>0712110</t>
  </si>
  <si>
    <t>2110</t>
  </si>
  <si>
    <t>Первинна медична допомога населенню</t>
  </si>
  <si>
    <t>0712111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</si>
  <si>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</si>
  <si>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</si>
  <si>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0726</t>
  </si>
  <si>
    <t>0611110</t>
  </si>
  <si>
    <t>1110</t>
  </si>
  <si>
    <t>Підготовка кадрів професійно-технічними закладами та іншими закладами освіти</t>
  </si>
  <si>
    <t>0930</t>
  </si>
  <si>
    <t>Будівництво скверу по вул. Петропавлівська, 94</t>
  </si>
  <si>
    <t xml:space="preserve">Добудова шляхопроводу по вул. 20 років Перемоги з реконструкцією дороги від вул. Прокоф'єва до  вул. Роменської </t>
  </si>
  <si>
    <t>Реконструкція будівлі по вул. Герасима Кондратьєва, 159</t>
  </si>
  <si>
    <t>Реконструкція нежитлового приміщення по вул. Г. Кондратьєва, 159</t>
  </si>
  <si>
    <t>Реконструкція фасаду будівлі по вул. Герасима Кондратьєва, 79</t>
  </si>
  <si>
    <t>Будівництво спортивного майданчика по                               вул. Роменській, 81</t>
  </si>
  <si>
    <t>Будівництво дитячого майданчика за адресою: вул.Реміснича, 35</t>
  </si>
  <si>
    <t>Будівництво дитячого майданчика за адресою: вул.Горького, 5А</t>
  </si>
  <si>
    <t>Реконструкція підпірної стінки на території Сумської гімназії № 1</t>
  </si>
  <si>
    <t>0712150</t>
  </si>
  <si>
    <t>2150</t>
  </si>
  <si>
    <t>2152</t>
  </si>
  <si>
    <t>0712152</t>
  </si>
  <si>
    <t>Інші програми, заклади та заходи у сфері охорони здоров’я</t>
  </si>
  <si>
    <t>Інші програми та заходи у сфері охорони здоров’я</t>
  </si>
  <si>
    <t>0763</t>
  </si>
  <si>
    <t>Будівництво дитячого майданчика в районі ЖК «Зарічний»</t>
  </si>
  <si>
    <t>Будівництво напірного каналізаційного колектору від КНС-9 до пр. Михайла Лушпи в м. Суми з переврізкою в збудований напірний колектор</t>
  </si>
  <si>
    <t>Будівництво напірного каналізаційного колектору від КНС-6 до вул. Прокоф’єва в м. Суми з переврізкою в збудований напірний колектор</t>
  </si>
  <si>
    <t>Реконструкція житлового будинку з влаштуванням пандусу по вул. Харківська, 1/1 (4-й під'їзд)</t>
  </si>
  <si>
    <t>Будівництво дитячого майданчика в районі житлового будинку № 18 по вул. СКД</t>
  </si>
  <si>
    <t xml:space="preserve">Будівництво дитячого майданчика в районі  житлового будинку № 51 А по вул. Інтернаціоналістів </t>
  </si>
  <si>
    <t xml:space="preserve">Методичне забезпечення діяльності навчальних закладів </t>
  </si>
  <si>
    <t>0611150</t>
  </si>
  <si>
    <t>1150</t>
  </si>
  <si>
    <t>Реконструкція каналізаційного залізобетонного самотічного колектора Д-600-1000 мм, який проходить по вул. Пушкіна, Садова, Засумська та Ярослава Мудрого (Пролетарська) до КНС-2 від вул. Степана Бандери (Баумана)  до вул. Лугової (коригування)</t>
  </si>
  <si>
    <t>Будівництво дитячого майданчика в районі житлового будинку № 35 Д по вул. Інтернаціоналістів</t>
  </si>
  <si>
    <t>Будівництво спортивного майданчика по                               вул. Металургів, 17</t>
  </si>
  <si>
    <t>0215032</t>
  </si>
  <si>
    <t>5032</t>
  </si>
  <si>
    <t>Фінансова підтримка дитячо-юнацьких спортивних шкіл фізкультурно-спортивних товариств</t>
  </si>
  <si>
    <t xml:space="preserve">Реконструкція 1-го поверху КУ «Сумська спеціалізована школа І ступеня № 30 «Унікум» </t>
  </si>
  <si>
    <t xml:space="preserve">Реконструкція цокольного поверху адмінбудівлі по вул. Першотравнева, 21 </t>
  </si>
  <si>
    <t>Будівництво спортивного майданчика за адресою: вул. Герасима Кондратьєва, 127</t>
  </si>
  <si>
    <t xml:space="preserve">Реконструкція каналізаційного самопливного колектору Д – 1000 мм по вул.1-ша Набережна р. Стрілка </t>
  </si>
  <si>
    <t>Будівництво каналізації фекальної по                         вул. Нижньолепехівській, вул. Лепехівській,           вул. Ново-Лепехівській, вул. Андрія Шептицького, вул. Жуковського,                                          вул. Косівщинській,  вул. Нахімова, вул. Дарвіна</t>
  </si>
  <si>
    <t>Реконструкція каналізаційного залізобетонного самотічного колектора Д=1000 мм, який проходить по яру між   пров. Степана Тимошенка (пров. Урицького) та вул. Панфілова</t>
  </si>
  <si>
    <t>0813220</t>
  </si>
  <si>
    <t>0813221</t>
  </si>
  <si>
    <t>Грошова компенсація за належні для отримання жилі приміщення для окремих категорій населення відповідно до законодавства</t>
  </si>
  <si>
    <t>Грошова компенсація за належні для отримання жилі приміщення для сімей загиблих осіб, визначених абзацами 5-8 пункту 1 статті 10 Закону України «Про статус ветеранів війни, гарантії їх соціального захисту», для осіб з інвалідністю І-ІІ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визначених пунктами 11-14 частини другої статті 7 Закону України «Про статус ветеранів війни, гарантії їх соціального захисту», та які потребують поліпшення житлових умов</t>
  </si>
  <si>
    <t>Реставраційний ремонт будівлі по вул. Покровська, 9</t>
  </si>
  <si>
    <t xml:space="preserve">Реконструкція будівлі КУ Сумський НВК № 16 з облаштуванням ліфту </t>
  </si>
  <si>
    <t>Реконструкція стадіону «Авангард» з влаштуванням штучного покриття грального поля</t>
  </si>
  <si>
    <t>Реконструкція стадіону «Авангард» з влаштуванням штучного покриття бігових доріжок</t>
  </si>
  <si>
    <t>Будівництво дитячого майданчика в районі житлового будинку № 33 по вул. Прокоф'єва</t>
  </si>
  <si>
    <t>Будівництво дитячого майданчика в районі житлового будинку № 92 по вул. Робітнича</t>
  </si>
  <si>
    <t>Будівництво дитячого майданчика за адресою: вул. Іллінська, 52/2</t>
  </si>
  <si>
    <t>Будівництво дитячо - спортивного майданчика за адресою: вул. Металургів, 3</t>
  </si>
  <si>
    <t>1017360</t>
  </si>
  <si>
    <t>1017363</t>
  </si>
  <si>
    <t>0215062</t>
  </si>
  <si>
    <t>5062</t>
  </si>
  <si>
    <t>Підтримка спорту вищих досягнень та організацій, які здійснюють фізкультурно-спортивну діяльність в регіоні</t>
  </si>
  <si>
    <t>0813223</t>
  </si>
  <si>
    <t>Капітальні видатки</t>
  </si>
  <si>
    <t>Реконструкція багатофункціонального спортивного майданчика по вул. Новомістенській, 4, м.Суми</t>
  </si>
  <si>
    <t>Реконструкція дитячого та спортивного майданчику по вул. Рибалко, 4 у м. Суми</t>
  </si>
  <si>
    <t>Будівництво огорожі для Комунальної установи Сумська загальноосвітня школа I—III ступенів № 22 імені Ігоря Гольченко Сумської міської ради, вул. Ковпака, 57</t>
  </si>
  <si>
    <t xml:space="preserve">Реконструкція волейбольного майданчику в парку культури та відпочинку імені І.М. Кожедуба, м.Суми </t>
  </si>
  <si>
    <t>Реконструкція спортивного майданчика в районі житлового будинку № 12 по вул. Шишкіна в м. Суми Сумська міська рада</t>
  </si>
  <si>
    <t>Грошова компенсація за належні для отримання жилі приміщення для сімей загиблих учасників бойових дій на території інших держав, визначених у абзаці першому пункту 1 статті 10 Закону України «Про статус ветеранів війни, гарантії їх соціального захисту», для осіб з інвалідністю І-ІІ групи з числа учасників бойових дій на території інших держав, які стали інвалідами внаслідок поранення, контузії, каліцтва або захворювання, пов’язаних з перебуванням у цих державах, визначених пунктом 7 частини другої статті 7 Закону України «Про статус ветеранів війни, гарантії їх соціального захисту», та які потребують поліпшення житлових умов</t>
  </si>
  <si>
    <t>Будівництво дитячого майданчика за адресою: м.Суми, вул. Богуна, 16</t>
  </si>
  <si>
    <t>Будівництво дитячого майданчика за адресою: м.Суми, вул. І. Сірка, 2</t>
  </si>
  <si>
    <t>Будівництво дитячого майданчика за адресою: м.Суми, пров. Інститутський, 3</t>
  </si>
  <si>
    <t>Будівництво дитячого майданчика по вул. Котляревського, 2/7</t>
  </si>
  <si>
    <t>Реконструкція шкільного стадіону КУ «ССШ І-ІІІ ступенів № 25» по вул. Декабристів, 80</t>
  </si>
  <si>
    <t>Реконструкція 1-го поверху КУ «ССШ № 3» по вул. 20 років Перемоги, 9</t>
  </si>
  <si>
    <t>Будівництво дитячого майданчика по просп. М.Лушпи, буд. 22</t>
  </si>
  <si>
    <t>0813222</t>
  </si>
  <si>
    <t>3222</t>
  </si>
  <si>
    <t>1060</t>
  </si>
  <si>
    <t>0916080</t>
  </si>
  <si>
    <t>0900000</t>
  </si>
  <si>
    <t>Служба у справах  дітей  Сумської міської ради</t>
  </si>
  <si>
    <t>0916083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</si>
  <si>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</t>
  </si>
  <si>
    <t>0910000</t>
  </si>
  <si>
    <t>Грошова компенсація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та визнані особами з інвалідністю в наслідок війни ІІІ групи відповідно до пунктів 11-14 частини другої статті 7 або учасниками бойових дій відповідно до пунктів 19-20 частини першої статті 6 Закону України «Про статус ветеранів війни, гарантії їх соціального захисту », та які потребують поліпшення житлових умов</t>
  </si>
  <si>
    <t>Будівництво дитячого майданчика за адресою: м. Суми, вул. Інтернаціоналістів,4</t>
  </si>
  <si>
    <t xml:space="preserve">Реконструкція І та ІІ черг полігону для складування твердих побутових  відходів на території В.Бобрицької  сільської ради Краснопільського  району Сумської області </t>
  </si>
  <si>
    <t>Реконструкція  об'єктів  житлово- комунального господарства: влаштування пандусів до житлового будинку за адресою: вул. Івана Сірка №33 м. Суми</t>
  </si>
  <si>
    <t>Реконструкція  об'єктів  житлово- комунального господарства: влаштування пандусів до житлового будинку за адресою: вул. І. Сірка,15 м. Суми</t>
  </si>
  <si>
    <t>Реконструкція  об'єктів  житлово- комунального господарства: влаштування пандусів до житлового будинку за адресою: просп. М.Лушпи № 29 м. Суми</t>
  </si>
  <si>
    <t>Реконструкція  об'єктів  житлово- комунального господарства: влаштування пандусів до житлового будинку за адресою: вул. Харківська №1/1 м. Суми</t>
  </si>
  <si>
    <t>Реконструкція  об'єктів  житлово- комунального господарства: влаштування пандусів до житлового будинку за адресою:   вул. Г. Кондратьєва  № 144/2 м.Суми</t>
  </si>
  <si>
    <t>Реконструкція  об'єктів  житлово- комунального господарства: влаштування пандусу до житлового будинку за адресою: вул. Холодногірська № 31 м. Суми</t>
  </si>
  <si>
    <t>у т.ч. за рахунок субвенції з держбюджету</t>
  </si>
  <si>
    <t>1516083</t>
  </si>
  <si>
    <t>6083</t>
  </si>
  <si>
    <t xml:space="preserve">Будівництво малого групового будинку в м. Суми </t>
  </si>
  <si>
    <t>Будівництво дитячого майданчика в районі житлових будинків № 30, 32 по вул. Римського - Корсакова</t>
  </si>
  <si>
    <t>1517361</t>
  </si>
  <si>
    <t>Будівництво дитячого майданчика на території КУ Сумський НВК № 16 СМР по вул. Шишкіна, 12</t>
  </si>
  <si>
    <t>Реконструкція грального поля на території КУ Сумський НВК № 16 СМР по вул. Шишкіна, 12</t>
  </si>
  <si>
    <t xml:space="preserve">Реконструкція спортивного майданчика на території КУ Сумська ЗОШ № 20 м. Суми по вул. Металургів, 71 </t>
  </si>
  <si>
    <t xml:space="preserve">4. Капітальні трансферти підприємствам (установам, організаціям) </t>
  </si>
  <si>
    <t>0719770</t>
  </si>
  <si>
    <t>Будівництво дитячого майданчика на території ДНЗ № 14 по вул. Прокоф’єва, 15</t>
  </si>
  <si>
    <t>Реконструкція спортивного майданчика по вул. Криничній</t>
  </si>
  <si>
    <t>Будівництво дитячого майданчика на території КУ Піщанська ЗОШ І-ІІ ступенів по вул. Шкільна, 26</t>
  </si>
  <si>
    <t>Будівництво дитячого майданчика в районі житлового будинку № 17 по вул. Ковпака</t>
  </si>
  <si>
    <t>Реконструкція– термомодернізація будівлі та модернізація інженерних мереж ССШ №24</t>
  </si>
  <si>
    <t>Реконструкція– термомодернізація будівлі НВК ДНЗ №16</t>
  </si>
  <si>
    <t>Реконструкція-термомодернізація ССШ №7</t>
  </si>
  <si>
    <t>Реконструкція-термомодернізація ССШ №9</t>
  </si>
  <si>
    <t>Реконструкція-термомодернізація ССШ №20</t>
  </si>
  <si>
    <t>Реконструкція–термомодернізація будівлі та модернізація інженерних мереж ССШ №25</t>
  </si>
  <si>
    <t>Реконструкція будівлі КУ СЗОШ І-ІІІ ступенів № 22 по вул. Ковпака, 57</t>
  </si>
  <si>
    <t>Реконструкція спортивного майданчика на території КУ  Сумська СШ  № 25 по вул. Декабристів, 80</t>
  </si>
  <si>
    <t xml:space="preserve">                      Додаток  4</t>
  </si>
  <si>
    <t xml:space="preserve">до   рішення  виконавчого комітету </t>
  </si>
  <si>
    <t xml:space="preserve">Директор департаменту фінансів, економіки та інвестицій </t>
  </si>
  <si>
    <t>С.А. Липова</t>
  </si>
  <si>
    <t>від 09.10.2018 № 521</t>
  </si>
</sst>
</file>

<file path=xl/styles.xml><?xml version="1.0" encoding="utf-8"?>
<styleSheet xmlns="http://schemas.openxmlformats.org/spreadsheetml/2006/main">
  <numFmts count="6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* #,##0;* \-#,##0;* &quot;-&quot;;@"/>
    <numFmt numFmtId="197" formatCode="* #,##0.00;* \-#,##0.00;* &quot;-&quot;??;@"/>
    <numFmt numFmtId="198" formatCode="* _-#,##0&quot;р.&quot;;* \-#,##0&quot;р.&quot;;* _-&quot;-&quot;&quot;р.&quot;;@"/>
    <numFmt numFmtId="199" formatCode="* _-#,##0.00&quot;р.&quot;;* \-#,##0.00&quot;р.&quot;;* _-&quot;-&quot;??&quot;р.&quot;;@"/>
    <numFmt numFmtId="200" formatCode="#,##0.0"/>
    <numFmt numFmtId="201" formatCode="#,##0_ ;[Red]\-#,##0\ "/>
    <numFmt numFmtId="202" formatCode="#,##0.0_ ;[Red]\-#,##0.0\ "/>
    <numFmt numFmtId="203" formatCode="0.0"/>
    <numFmt numFmtId="204" formatCode="0.0000"/>
    <numFmt numFmtId="205" formatCode="#,##0.0000"/>
    <numFmt numFmtId="206" formatCode="00000000000"/>
    <numFmt numFmtId="207" formatCode="&quot;Так&quot;;&quot;Так&quot;;&quot;Ні&quot;"/>
    <numFmt numFmtId="208" formatCode="&quot;Істина&quot;;&quot;Істина&quot;;&quot;Хибність&quot;"/>
    <numFmt numFmtId="209" formatCode="&quot;Увімк&quot;;&quot;Увімк&quot;;&quot;Вимк&quot;"/>
    <numFmt numFmtId="210" formatCode="[$-FC19]d\ mmmm\ yyyy\ &quot;г.&quot;"/>
    <numFmt numFmtId="211" formatCode="&quot;True&quot;;&quot;True&quot;;&quot;False&quot;"/>
    <numFmt numFmtId="212" formatCode="[$¥€-2]\ ###,000_);[Red]\([$€-2]\ ###,000\)"/>
    <numFmt numFmtId="213" formatCode="#,##0.000"/>
    <numFmt numFmtId="214" formatCode="&quot;Да&quot;;&quot;Да&quot;;&quot;Нет&quot;"/>
    <numFmt numFmtId="215" formatCode="&quot;Истина&quot;;&quot;Истина&quot;;&quot;Ложь&quot;"/>
    <numFmt numFmtId="216" formatCode="&quot;Вкл&quot;;&quot;Вкл&quot;;&quot;Выкл&quot;"/>
    <numFmt numFmtId="217" formatCode="[$€-2]\ ###,000_);[Red]\([$€-2]\ ###,000\)"/>
    <numFmt numFmtId="218" formatCode="[$-FC19]d\ mmmm\ yyyy\ \г\."/>
    <numFmt numFmtId="219" formatCode="#,##0.00000"/>
    <numFmt numFmtId="220" formatCode="#,##0.000000"/>
    <numFmt numFmtId="221" formatCode="#,##0.00_ ;[Red]\-#,##0.00\ "/>
  </numFmts>
  <fonts count="63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18"/>
      <name val="Times New Roman"/>
      <family val="1"/>
    </font>
    <font>
      <sz val="11"/>
      <name val="Times New Roman"/>
      <family val="1"/>
    </font>
    <font>
      <sz val="2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22"/>
      <name val="Times New Roman"/>
      <family val="1"/>
    </font>
    <font>
      <b/>
      <sz val="22"/>
      <name val="Times New Roman"/>
      <family val="1"/>
    </font>
    <font>
      <b/>
      <sz val="12"/>
      <name val="Times New Roman"/>
      <family val="1"/>
    </font>
    <font>
      <sz val="24"/>
      <color indexed="8"/>
      <name val="Times New Roman"/>
      <family val="1"/>
    </font>
    <font>
      <i/>
      <sz val="12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1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5" borderId="0" applyNumberFormat="0" applyBorder="0" applyAlignment="0" applyProtection="0"/>
    <xf numFmtId="0" fontId="14" fillId="14" borderId="0" applyNumberFormat="0" applyBorder="0" applyAlignment="0" applyProtection="0"/>
    <xf numFmtId="0" fontId="14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7" fillId="32" borderId="0" applyNumberFormat="0" applyBorder="0" applyAlignment="0" applyProtection="0"/>
    <xf numFmtId="0" fontId="47" fillId="33" borderId="0" applyNumberFormat="0" applyBorder="0" applyAlignment="0" applyProtection="0"/>
    <xf numFmtId="0" fontId="20" fillId="0" borderId="0">
      <alignment/>
      <protection/>
    </xf>
    <xf numFmtId="0" fontId="13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37" borderId="0" applyNumberFormat="0" applyBorder="0" applyAlignment="0" applyProtection="0"/>
    <xf numFmtId="0" fontId="47" fillId="38" borderId="0" applyNumberFormat="0" applyBorder="0" applyAlignment="0" applyProtection="0"/>
    <xf numFmtId="0" fontId="47" fillId="39" borderId="0" applyNumberFormat="0" applyBorder="0" applyAlignment="0" applyProtection="0"/>
    <xf numFmtId="0" fontId="47" fillId="40" borderId="0" applyNumberFormat="0" applyBorder="0" applyAlignment="0" applyProtection="0"/>
    <xf numFmtId="0" fontId="47" fillId="41" borderId="0" applyNumberFormat="0" applyBorder="0" applyAlignment="0" applyProtection="0"/>
    <xf numFmtId="0" fontId="47" fillId="42" borderId="0" applyNumberFormat="0" applyBorder="0" applyAlignment="0" applyProtection="0"/>
    <xf numFmtId="0" fontId="47" fillId="43" borderId="0" applyNumberFormat="0" applyBorder="0" applyAlignment="0" applyProtection="0"/>
    <xf numFmtId="0" fontId="48" fillId="44" borderId="1" applyNumberFormat="0" applyAlignment="0" applyProtection="0"/>
    <xf numFmtId="0" fontId="7" fillId="7" borderId="2" applyNumberFormat="0" applyAlignment="0" applyProtection="0"/>
    <xf numFmtId="0" fontId="8" fillId="45" borderId="3" applyNumberFormat="0" applyAlignment="0" applyProtection="0"/>
    <xf numFmtId="0" fontId="15" fillId="45" borderId="2" applyNumberFormat="0" applyAlignment="0" applyProtection="0"/>
    <xf numFmtId="0" fontId="21" fillId="0" borderId="0" applyNumberFormat="0" applyFill="0" applyBorder="0" applyAlignment="0" applyProtection="0"/>
    <xf numFmtId="197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0" fontId="49" fillId="46" borderId="0" applyNumberFormat="0" applyBorder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2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0" fillId="0" borderId="0">
      <alignment/>
      <protection/>
    </xf>
    <xf numFmtId="0" fontId="22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5" fillId="0" borderId="0">
      <alignment vertical="top"/>
      <protection/>
    </xf>
    <xf numFmtId="0" fontId="53" fillId="0" borderId="7" applyNumberFormat="0" applyFill="0" applyAlignment="0" applyProtection="0"/>
    <xf numFmtId="0" fontId="12" fillId="0" borderId="8" applyNumberFormat="0" applyFill="0" applyAlignment="0" applyProtection="0"/>
    <xf numFmtId="0" fontId="54" fillId="47" borderId="9" applyNumberFormat="0" applyAlignment="0" applyProtection="0"/>
    <xf numFmtId="0" fontId="10" fillId="48" borderId="10" applyNumberFormat="0" applyAlignment="0" applyProtection="0"/>
    <xf numFmtId="0" fontId="5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49" borderId="0" applyNumberFormat="0" applyBorder="0" applyAlignment="0" applyProtection="0"/>
    <xf numFmtId="0" fontId="56" fillId="50" borderId="1" applyNumberFormat="0" applyAlignment="0" applyProtection="0"/>
    <xf numFmtId="0" fontId="20" fillId="0" borderId="0">
      <alignment/>
      <protection/>
    </xf>
    <xf numFmtId="0" fontId="23" fillId="0" borderId="0" applyNumberFormat="0" applyFill="0" applyBorder="0" applyAlignment="0" applyProtection="0"/>
    <xf numFmtId="0" fontId="57" fillId="0" borderId="11" applyNumberFormat="0" applyFill="0" applyAlignment="0" applyProtection="0"/>
    <xf numFmtId="0" fontId="6" fillId="3" borderId="0" applyNumberFormat="0" applyBorder="0" applyAlignment="0" applyProtection="0"/>
    <xf numFmtId="0" fontId="58" fillId="51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52" borderId="12" applyNumberFormat="0" applyFont="0" applyAlignment="0" applyProtection="0"/>
    <xf numFmtId="0" fontId="0" fillId="53" borderId="13" applyNumberFormat="0" applyFont="0" applyAlignment="0" applyProtection="0"/>
    <xf numFmtId="199" fontId="1" fillId="0" borderId="0" applyFont="0" applyFill="0" applyBorder="0" applyAlignment="0" applyProtection="0"/>
    <xf numFmtId="0" fontId="59" fillId="50" borderId="14" applyNumberFormat="0" applyAlignment="0" applyProtection="0"/>
    <xf numFmtId="0" fontId="18" fillId="0" borderId="15" applyNumberFormat="0" applyFill="0" applyAlignment="0" applyProtection="0"/>
    <xf numFmtId="0" fontId="60" fillId="54" borderId="0" applyNumberFormat="0" applyBorder="0" applyAlignment="0" applyProtection="0"/>
    <xf numFmtId="0" fontId="19" fillId="0" borderId="0">
      <alignment/>
      <protection/>
    </xf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98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172">
    <xf numFmtId="0" fontId="0" fillId="0" borderId="0" xfId="0" applyAlignment="1">
      <alignment/>
    </xf>
    <xf numFmtId="0" fontId="30" fillId="55" borderId="0" xfId="0" applyFont="1" applyFill="1" applyAlignment="1">
      <alignment/>
    </xf>
    <xf numFmtId="0" fontId="0" fillId="55" borderId="0" xfId="0" applyFont="1" applyFill="1" applyAlignment="1">
      <alignment/>
    </xf>
    <xf numFmtId="0" fontId="24" fillId="55" borderId="0" xfId="0" applyFont="1" applyFill="1" applyAlignment="1">
      <alignment/>
    </xf>
    <xf numFmtId="0" fontId="27" fillId="55" borderId="0" xfId="0" applyFont="1" applyFill="1" applyAlignment="1">
      <alignment/>
    </xf>
    <xf numFmtId="0" fontId="29" fillId="55" borderId="0" xfId="0" applyFont="1" applyFill="1" applyAlignment="1">
      <alignment vertical="center"/>
    </xf>
    <xf numFmtId="0" fontId="31" fillId="55" borderId="0" xfId="0" applyFont="1" applyFill="1" applyAlignment="1">
      <alignment vertical="center"/>
    </xf>
    <xf numFmtId="0" fontId="30" fillId="55" borderId="0" xfId="0" applyFont="1" applyFill="1" applyAlignment="1">
      <alignment vertical="center"/>
    </xf>
    <xf numFmtId="0" fontId="32" fillId="55" borderId="0" xfId="0" applyFont="1" applyFill="1" applyAlignment="1">
      <alignment horizontal="right" vertical="center"/>
    </xf>
    <xf numFmtId="0" fontId="30" fillId="55" borderId="0" xfId="0" applyFont="1" applyFill="1" applyAlignment="1">
      <alignment horizontal="right" vertical="center"/>
    </xf>
    <xf numFmtId="0" fontId="32" fillId="55" borderId="0" xfId="0" applyFont="1" applyFill="1" applyAlignment="1">
      <alignment vertical="center"/>
    </xf>
    <xf numFmtId="0" fontId="30" fillId="55" borderId="0" xfId="0" applyFont="1" applyFill="1" applyBorder="1" applyAlignment="1">
      <alignment vertical="center"/>
    </xf>
    <xf numFmtId="0" fontId="32" fillId="55" borderId="0" xfId="0" applyFont="1" applyFill="1" applyBorder="1" applyAlignment="1">
      <alignment vertical="center"/>
    </xf>
    <xf numFmtId="0" fontId="29" fillId="55" borderId="0" xfId="0" applyFont="1" applyFill="1" applyBorder="1" applyAlignment="1">
      <alignment vertical="center"/>
    </xf>
    <xf numFmtId="0" fontId="30" fillId="55" borderId="0" xfId="0" applyFont="1" applyFill="1" applyBorder="1" applyAlignment="1">
      <alignment/>
    </xf>
    <xf numFmtId="0" fontId="31" fillId="55" borderId="0" xfId="0" applyFont="1" applyFill="1" applyBorder="1" applyAlignment="1">
      <alignment horizontal="right" vertical="center"/>
    </xf>
    <xf numFmtId="0" fontId="31" fillId="55" borderId="0" xfId="0" applyFont="1" applyFill="1" applyAlignment="1">
      <alignment horizontal="right" vertical="center"/>
    </xf>
    <xf numFmtId="0" fontId="32" fillId="55" borderId="0" xfId="0" applyFont="1" applyFill="1" applyBorder="1" applyAlignment="1">
      <alignment/>
    </xf>
    <xf numFmtId="0" fontId="32" fillId="55" borderId="0" xfId="0" applyFont="1" applyFill="1" applyAlignment="1">
      <alignment/>
    </xf>
    <xf numFmtId="0" fontId="33" fillId="55" borderId="0" xfId="0" applyFont="1" applyFill="1" applyAlignment="1">
      <alignment/>
    </xf>
    <xf numFmtId="0" fontId="26" fillId="55" borderId="0" xfId="0" applyFont="1" applyFill="1" applyAlignment="1">
      <alignment/>
    </xf>
    <xf numFmtId="4" fontId="32" fillId="55" borderId="16" xfId="0" applyNumberFormat="1" applyFont="1" applyFill="1" applyBorder="1" applyAlignment="1">
      <alignment horizontal="center" vertical="center"/>
    </xf>
    <xf numFmtId="4" fontId="30" fillId="55" borderId="16" xfId="0" applyNumberFormat="1" applyFont="1" applyFill="1" applyBorder="1" applyAlignment="1">
      <alignment horizontal="center" vertical="center"/>
    </xf>
    <xf numFmtId="0" fontId="27" fillId="55" borderId="16" xfId="0" applyFont="1" applyFill="1" applyBorder="1" applyAlignment="1">
      <alignment horizontal="center"/>
    </xf>
    <xf numFmtId="4" fontId="29" fillId="55" borderId="16" xfId="0" applyNumberFormat="1" applyFont="1" applyFill="1" applyBorder="1" applyAlignment="1">
      <alignment horizontal="right" vertical="center"/>
    </xf>
    <xf numFmtId="4" fontId="31" fillId="55" borderId="16" xfId="0" applyNumberFormat="1" applyFont="1" applyFill="1" applyBorder="1" applyAlignment="1">
      <alignment horizontal="right" vertical="center"/>
    </xf>
    <xf numFmtId="4" fontId="30" fillId="55" borderId="16" xfId="0" applyNumberFormat="1" applyFont="1" applyFill="1" applyBorder="1" applyAlignment="1">
      <alignment horizontal="right" vertical="center"/>
    </xf>
    <xf numFmtId="4" fontId="32" fillId="55" borderId="16" xfId="0" applyNumberFormat="1" applyFont="1" applyFill="1" applyBorder="1" applyAlignment="1">
      <alignment horizontal="right" vertical="center"/>
    </xf>
    <xf numFmtId="4" fontId="37" fillId="55" borderId="16" xfId="0" applyNumberFormat="1" applyFont="1" applyFill="1" applyBorder="1" applyAlignment="1">
      <alignment horizontal="right" vertical="center"/>
    </xf>
    <xf numFmtId="4" fontId="29" fillId="55" borderId="16" xfId="0" applyNumberFormat="1" applyFont="1" applyFill="1" applyBorder="1" applyAlignment="1">
      <alignment horizontal="right" vertical="center" wrapText="1"/>
    </xf>
    <xf numFmtId="4" fontId="30" fillId="55" borderId="16" xfId="0" applyNumberFormat="1" applyFont="1" applyFill="1" applyBorder="1" applyAlignment="1">
      <alignment horizontal="right" vertical="center" wrapText="1"/>
    </xf>
    <xf numFmtId="4" fontId="30" fillId="55" borderId="16" xfId="0" applyNumberFormat="1" applyFont="1" applyFill="1" applyBorder="1" applyAlignment="1">
      <alignment vertical="center"/>
    </xf>
    <xf numFmtId="0" fontId="30" fillId="55" borderId="16" xfId="0" applyFont="1" applyFill="1" applyBorder="1" applyAlignment="1">
      <alignment horizontal="justify" vertical="center" wrapText="1"/>
    </xf>
    <xf numFmtId="0" fontId="30" fillId="55" borderId="16" xfId="0" applyFont="1" applyFill="1" applyBorder="1" applyAlignment="1">
      <alignment horizontal="left" vertical="center" wrapText="1"/>
    </xf>
    <xf numFmtId="49" fontId="27" fillId="55" borderId="0" xfId="0" applyNumberFormat="1" applyFont="1" applyFill="1" applyAlignment="1" applyProtection="1">
      <alignment horizontal="center"/>
      <protection/>
    </xf>
    <xf numFmtId="0" fontId="27" fillId="55" borderId="0" xfId="0" applyNumberFormat="1" applyFont="1" applyFill="1" applyAlignment="1" applyProtection="1">
      <alignment horizontal="center"/>
      <protection/>
    </xf>
    <xf numFmtId="0" fontId="27" fillId="55" borderId="0" xfId="0" applyNumberFormat="1" applyFont="1" applyFill="1" applyAlignment="1" applyProtection="1">
      <alignment/>
      <protection/>
    </xf>
    <xf numFmtId="0" fontId="28" fillId="55" borderId="0" xfId="0" applyNumberFormat="1" applyFont="1" applyFill="1" applyAlignment="1" applyProtection="1">
      <alignment/>
      <protection/>
    </xf>
    <xf numFmtId="0" fontId="27" fillId="55" borderId="0" xfId="0" applyNumberFormat="1" applyFont="1" applyFill="1" applyAlignment="1" applyProtection="1">
      <alignment vertical="top"/>
      <protection/>
    </xf>
    <xf numFmtId="0" fontId="28" fillId="55" borderId="0" xfId="0" applyNumberFormat="1" applyFont="1" applyFill="1" applyAlignment="1" applyProtection="1">
      <alignment horizontal="left"/>
      <protection/>
    </xf>
    <xf numFmtId="0" fontId="27" fillId="55" borderId="0" xfId="0" applyFont="1" applyFill="1" applyBorder="1" applyAlignment="1">
      <alignment horizontal="center"/>
    </xf>
    <xf numFmtId="0" fontId="30" fillId="55" borderId="0" xfId="0" applyFont="1" applyFill="1" applyBorder="1" applyAlignment="1">
      <alignment horizontal="center"/>
    </xf>
    <xf numFmtId="49" fontId="29" fillId="55" borderId="16" xfId="0" applyNumberFormat="1" applyFont="1" applyFill="1" applyBorder="1" applyAlignment="1" applyProtection="1">
      <alignment horizontal="center" vertical="center"/>
      <protection/>
    </xf>
    <xf numFmtId="0" fontId="29" fillId="55" borderId="16" xfId="0" applyFont="1" applyFill="1" applyBorder="1" applyAlignment="1">
      <alignment vertical="center" wrapText="1"/>
    </xf>
    <xf numFmtId="49" fontId="31" fillId="55" borderId="16" xfId="0" applyNumberFormat="1" applyFont="1" applyFill="1" applyBorder="1" applyAlignment="1" applyProtection="1">
      <alignment horizontal="center" vertical="center"/>
      <protection/>
    </xf>
    <xf numFmtId="0" fontId="31" fillId="55" borderId="17" xfId="0" applyFont="1" applyFill="1" applyBorder="1" applyAlignment="1">
      <alignment vertical="center" wrapText="1"/>
    </xf>
    <xf numFmtId="49" fontId="30" fillId="55" borderId="16" xfId="0" applyNumberFormat="1" applyFont="1" applyFill="1" applyBorder="1" applyAlignment="1" applyProtection="1">
      <alignment horizontal="center" vertical="center"/>
      <protection/>
    </xf>
    <xf numFmtId="49" fontId="32" fillId="55" borderId="16" xfId="0" applyNumberFormat="1" applyFont="1" applyFill="1" applyBorder="1" applyAlignment="1" applyProtection="1">
      <alignment horizontal="center" vertical="center"/>
      <protection/>
    </xf>
    <xf numFmtId="0" fontId="32" fillId="55" borderId="16" xfId="0" applyFont="1" applyFill="1" applyBorder="1" applyAlignment="1">
      <alignment horizontal="left" vertical="center" wrapText="1"/>
    </xf>
    <xf numFmtId="0" fontId="32" fillId="55" borderId="16" xfId="0" applyFont="1" applyFill="1" applyBorder="1" applyAlignment="1">
      <alignment horizontal="right" vertical="center" wrapText="1"/>
    </xf>
    <xf numFmtId="0" fontId="30" fillId="55" borderId="16" xfId="0" applyFont="1" applyFill="1" applyBorder="1" applyAlignment="1">
      <alignment horizontal="right" vertical="center" wrapText="1"/>
    </xf>
    <xf numFmtId="49" fontId="30" fillId="55" borderId="16" xfId="0" applyNumberFormat="1" applyFont="1" applyFill="1" applyBorder="1" applyAlignment="1">
      <alignment horizontal="center" vertical="center"/>
    </xf>
    <xf numFmtId="49" fontId="32" fillId="55" borderId="16" xfId="0" applyNumberFormat="1" applyFont="1" applyFill="1" applyBorder="1" applyAlignment="1">
      <alignment horizontal="center" vertical="center"/>
    </xf>
    <xf numFmtId="0" fontId="30" fillId="55" borderId="0" xfId="0" applyFont="1" applyFill="1" applyAlignment="1">
      <alignment vertical="center" wrapText="1"/>
    </xf>
    <xf numFmtId="0" fontId="30" fillId="55" borderId="16" xfId="0" applyFont="1" applyFill="1" applyBorder="1" applyAlignment="1">
      <alignment vertical="center" wrapText="1"/>
    </xf>
    <xf numFmtId="49" fontId="29" fillId="55" borderId="16" xfId="0" applyNumberFormat="1" applyFont="1" applyFill="1" applyBorder="1" applyAlignment="1">
      <alignment horizontal="center" vertical="center"/>
    </xf>
    <xf numFmtId="0" fontId="29" fillId="55" borderId="16" xfId="0" applyFont="1" applyFill="1" applyBorder="1" applyAlignment="1">
      <alignment horizontal="left" vertical="center" wrapText="1"/>
    </xf>
    <xf numFmtId="49" fontId="31" fillId="55" borderId="16" xfId="0" applyNumberFormat="1" applyFont="1" applyFill="1" applyBorder="1" applyAlignment="1">
      <alignment horizontal="center" vertical="center"/>
    </xf>
    <xf numFmtId="0" fontId="31" fillId="55" borderId="16" xfId="0" applyFont="1" applyFill="1" applyBorder="1" applyAlignment="1">
      <alignment horizontal="left" vertical="center" wrapText="1"/>
    </xf>
    <xf numFmtId="0" fontId="32" fillId="55" borderId="16" xfId="0" applyFont="1" applyFill="1" applyBorder="1" applyAlignment="1">
      <alignment vertical="center" wrapText="1"/>
    </xf>
    <xf numFmtId="0" fontId="30" fillId="55" borderId="16" xfId="0" applyFont="1" applyFill="1" applyBorder="1" applyAlignment="1">
      <alignment horizontal="justify" vertical="center"/>
    </xf>
    <xf numFmtId="0" fontId="32" fillId="55" borderId="0" xfId="0" applyFont="1" applyFill="1" applyAlignment="1">
      <alignment horizontal="justify" vertical="center"/>
    </xf>
    <xf numFmtId="0" fontId="30" fillId="55" borderId="18" xfId="0" applyFont="1" applyFill="1" applyBorder="1" applyAlignment="1">
      <alignment horizontal="left" vertical="center" wrapText="1"/>
    </xf>
    <xf numFmtId="49" fontId="30" fillId="55" borderId="17" xfId="0" applyNumberFormat="1" applyFont="1" applyFill="1" applyBorder="1" applyAlignment="1" applyProtection="1">
      <alignment horizontal="center" vertical="center"/>
      <protection/>
    </xf>
    <xf numFmtId="0" fontId="30" fillId="55" borderId="17" xfId="0" applyFont="1" applyFill="1" applyBorder="1" applyAlignment="1">
      <alignment horizontal="left" vertical="center" wrapText="1"/>
    </xf>
    <xf numFmtId="4" fontId="30" fillId="55" borderId="17" xfId="0" applyNumberFormat="1" applyFont="1" applyFill="1" applyBorder="1" applyAlignment="1">
      <alignment horizontal="right" vertical="center"/>
    </xf>
    <xf numFmtId="0" fontId="30" fillId="55" borderId="16" xfId="0" applyNumberFormat="1" applyFont="1" applyFill="1" applyBorder="1" applyAlignment="1" applyProtection="1">
      <alignment horizontal="center" vertical="center"/>
      <protection/>
    </xf>
    <xf numFmtId="49" fontId="32" fillId="55" borderId="18" xfId="0" applyNumberFormat="1" applyFont="1" applyFill="1" applyBorder="1" applyAlignment="1" applyProtection="1">
      <alignment horizontal="center" vertical="center"/>
      <protection/>
    </xf>
    <xf numFmtId="0" fontId="32" fillId="55" borderId="18" xfId="0" applyNumberFormat="1" applyFont="1" applyFill="1" applyBorder="1" applyAlignment="1" applyProtection="1">
      <alignment horizontal="center" vertical="center"/>
      <protection/>
    </xf>
    <xf numFmtId="0" fontId="32" fillId="55" borderId="18" xfId="0" applyFont="1" applyFill="1" applyBorder="1" applyAlignment="1">
      <alignment horizontal="left" vertical="center" wrapText="1"/>
    </xf>
    <xf numFmtId="4" fontId="32" fillId="55" borderId="18" xfId="0" applyNumberFormat="1" applyFont="1" applyFill="1" applyBorder="1" applyAlignment="1">
      <alignment horizontal="right" vertical="center"/>
    </xf>
    <xf numFmtId="0" fontId="32" fillId="55" borderId="16" xfId="0" applyNumberFormat="1" applyFont="1" applyFill="1" applyBorder="1" applyAlignment="1" applyProtection="1">
      <alignment horizontal="center" vertical="center"/>
      <protection/>
    </xf>
    <xf numFmtId="0" fontId="31" fillId="55" borderId="16" xfId="0" applyNumberFormat="1" applyFont="1" applyFill="1" applyBorder="1" applyAlignment="1" applyProtection="1">
      <alignment horizontal="center" vertical="center"/>
      <protection/>
    </xf>
    <xf numFmtId="0" fontId="31" fillId="55" borderId="17" xfId="0" applyFont="1" applyFill="1" applyBorder="1" applyAlignment="1">
      <alignment horizontal="left" vertical="center" wrapText="1"/>
    </xf>
    <xf numFmtId="49" fontId="32" fillId="55" borderId="19" xfId="0" applyNumberFormat="1" applyFont="1" applyFill="1" applyBorder="1" applyAlignment="1" applyProtection="1">
      <alignment horizontal="center" vertical="center"/>
      <protection/>
    </xf>
    <xf numFmtId="0" fontId="30" fillId="55" borderId="20" xfId="0" applyFont="1" applyFill="1" applyBorder="1" applyAlignment="1">
      <alignment horizontal="left" vertical="center" wrapText="1"/>
    </xf>
    <xf numFmtId="0" fontId="32" fillId="55" borderId="0" xfId="0" applyFont="1" applyFill="1" applyAlignment="1">
      <alignment vertical="center" wrapText="1"/>
    </xf>
    <xf numFmtId="0" fontId="29" fillId="55" borderId="20" xfId="0" applyFont="1" applyFill="1" applyBorder="1" applyAlignment="1">
      <alignment horizontal="left" vertical="center"/>
    </xf>
    <xf numFmtId="0" fontId="30" fillId="55" borderId="0" xfId="0" applyFont="1" applyFill="1" applyAlignment="1">
      <alignment horizontal="justify" vertical="center"/>
    </xf>
    <xf numFmtId="0" fontId="30" fillId="55" borderId="21" xfId="0" applyFont="1" applyFill="1" applyBorder="1" applyAlignment="1">
      <alignment horizontal="left" vertical="center" wrapText="1"/>
    </xf>
    <xf numFmtId="0" fontId="30" fillId="55" borderId="22" xfId="0" applyFont="1" applyFill="1" applyBorder="1" applyAlignment="1">
      <alignment horizontal="left" vertical="center" wrapText="1"/>
    </xf>
    <xf numFmtId="0" fontId="30" fillId="55" borderId="16" xfId="0" applyFont="1" applyFill="1" applyBorder="1" applyAlignment="1">
      <alignment wrapText="1"/>
    </xf>
    <xf numFmtId="0" fontId="32" fillId="55" borderId="16" xfId="0" applyFont="1" applyFill="1" applyBorder="1" applyAlignment="1">
      <alignment wrapText="1"/>
    </xf>
    <xf numFmtId="49" fontId="37" fillId="55" borderId="16" xfId="0" applyNumberFormat="1" applyFont="1" applyFill="1" applyBorder="1" applyAlignment="1" applyProtection="1">
      <alignment horizontal="center" vertical="center"/>
      <protection/>
    </xf>
    <xf numFmtId="0" fontId="37" fillId="55" borderId="16" xfId="0" applyFont="1" applyFill="1" applyBorder="1" applyAlignment="1">
      <alignment horizontal="left" vertical="center" wrapText="1"/>
    </xf>
    <xf numFmtId="0" fontId="29" fillId="55" borderId="16" xfId="0" applyNumberFormat="1" applyFont="1" applyFill="1" applyBorder="1" applyAlignment="1" applyProtection="1">
      <alignment horizontal="center" vertical="center"/>
      <protection/>
    </xf>
    <xf numFmtId="0" fontId="32" fillId="55" borderId="20" xfId="0" applyFont="1" applyFill="1" applyBorder="1" applyAlignment="1">
      <alignment horizontal="left" vertical="center" wrapText="1"/>
    </xf>
    <xf numFmtId="0" fontId="29" fillId="55" borderId="16" xfId="0" applyFont="1" applyFill="1" applyBorder="1" applyAlignment="1">
      <alignment horizontal="center" vertical="center" wrapText="1"/>
    </xf>
    <xf numFmtId="0" fontId="29" fillId="55" borderId="20" xfId="0" applyFont="1" applyFill="1" applyBorder="1" applyAlignment="1">
      <alignment horizontal="left" vertical="center" wrapText="1"/>
    </xf>
    <xf numFmtId="4" fontId="29" fillId="55" borderId="16" xfId="0" applyNumberFormat="1" applyFont="1" applyFill="1" applyBorder="1" applyAlignment="1">
      <alignment horizontal="center" vertical="center"/>
    </xf>
    <xf numFmtId="0" fontId="30" fillId="55" borderId="16" xfId="0" applyFont="1" applyFill="1" applyBorder="1" applyAlignment="1">
      <alignment horizontal="center" vertical="center" wrapText="1"/>
    </xf>
    <xf numFmtId="0" fontId="29" fillId="55" borderId="16" xfId="0" applyFont="1" applyFill="1" applyBorder="1" applyAlignment="1">
      <alignment horizontal="center" wrapText="1"/>
    </xf>
    <xf numFmtId="0" fontId="30" fillId="55" borderId="0" xfId="0" applyFont="1" applyFill="1" applyAlignment="1">
      <alignment wrapText="1"/>
    </xf>
    <xf numFmtId="3" fontId="30" fillId="55" borderId="16" xfId="0" applyNumberFormat="1" applyFont="1" applyFill="1" applyBorder="1" applyAlignment="1">
      <alignment horizontal="center" vertical="center"/>
    </xf>
    <xf numFmtId="200" fontId="30" fillId="55" borderId="16" xfId="0" applyNumberFormat="1" applyFont="1" applyFill="1" applyBorder="1" applyAlignment="1">
      <alignment horizontal="center" vertical="center" wrapText="1"/>
    </xf>
    <xf numFmtId="0" fontId="31" fillId="55" borderId="16" xfId="0" applyFont="1" applyFill="1" applyBorder="1" applyAlignment="1">
      <alignment horizontal="center" vertical="center" wrapText="1"/>
    </xf>
    <xf numFmtId="0" fontId="31" fillId="55" borderId="16" xfId="0" applyFont="1" applyFill="1" applyBorder="1" applyAlignment="1">
      <alignment vertical="center" wrapText="1"/>
    </xf>
    <xf numFmtId="0" fontId="31" fillId="55" borderId="16" xfId="0" applyFont="1" applyFill="1" applyBorder="1" applyAlignment="1">
      <alignment/>
    </xf>
    <xf numFmtId="0" fontId="29" fillId="55" borderId="16" xfId="0" applyFont="1" applyFill="1" applyBorder="1" applyAlignment="1">
      <alignment horizontal="left" vertical="center"/>
    </xf>
    <xf numFmtId="200" fontId="30" fillId="55" borderId="16" xfId="0" applyNumberFormat="1" applyFont="1" applyFill="1" applyBorder="1" applyAlignment="1">
      <alignment horizontal="center" vertical="center"/>
    </xf>
    <xf numFmtId="0" fontId="31" fillId="55" borderId="0" xfId="0" applyFont="1" applyFill="1" applyAlignment="1">
      <alignment/>
    </xf>
    <xf numFmtId="200" fontId="32" fillId="55" borderId="16" xfId="0" applyNumberFormat="1" applyFont="1" applyFill="1" applyBorder="1" applyAlignment="1">
      <alignment horizontal="center" vertical="center" wrapText="1"/>
    </xf>
    <xf numFmtId="200" fontId="30" fillId="55" borderId="16" xfId="95" applyNumberFormat="1" applyFont="1" applyFill="1" applyBorder="1" applyAlignment="1">
      <alignment horizontal="center" vertical="center"/>
      <protection/>
    </xf>
    <xf numFmtId="4" fontId="30" fillId="55" borderId="16" xfId="95" applyNumberFormat="1" applyFont="1" applyFill="1" applyBorder="1" applyAlignment="1">
      <alignment horizontal="center" vertical="center"/>
      <protection/>
    </xf>
    <xf numFmtId="0" fontId="31" fillId="55" borderId="0" xfId="0" applyFont="1" applyFill="1" applyAlignment="1">
      <alignment wrapText="1"/>
    </xf>
    <xf numFmtId="0" fontId="29" fillId="55" borderId="0" xfId="0" applyFont="1" applyFill="1" applyAlignment="1">
      <alignment wrapText="1"/>
    </xf>
    <xf numFmtId="0" fontId="30" fillId="55" borderId="16" xfId="0" applyFont="1" applyFill="1" applyBorder="1" applyAlignment="1">
      <alignment horizontal="center" wrapText="1"/>
    </xf>
    <xf numFmtId="3" fontId="29" fillId="55" borderId="16" xfId="0" applyNumberFormat="1" applyFont="1" applyFill="1" applyBorder="1" applyAlignment="1">
      <alignment horizontal="right" vertical="center"/>
    </xf>
    <xf numFmtId="3" fontId="29" fillId="55" borderId="16" xfId="0" applyNumberFormat="1" applyFont="1" applyFill="1" applyBorder="1" applyAlignment="1">
      <alignment horizontal="center" vertical="center" wrapText="1"/>
    </xf>
    <xf numFmtId="0" fontId="29" fillId="55" borderId="18" xfId="0" applyFont="1" applyFill="1" applyBorder="1" applyAlignment="1">
      <alignment horizontal="left" vertical="center" wrapText="1"/>
    </xf>
    <xf numFmtId="49" fontId="30" fillId="55" borderId="0" xfId="0" applyNumberFormat="1" applyFont="1" applyFill="1" applyAlignment="1" applyProtection="1">
      <alignment horizontal="center"/>
      <protection/>
    </xf>
    <xf numFmtId="0" fontId="30" fillId="55" borderId="0" xfId="0" applyNumberFormat="1" applyFont="1" applyFill="1" applyAlignment="1" applyProtection="1">
      <alignment horizontal="center"/>
      <protection/>
    </xf>
    <xf numFmtId="0" fontId="30" fillId="55" borderId="0" xfId="0" applyNumberFormat="1" applyFont="1" applyFill="1" applyAlignment="1" applyProtection="1">
      <alignment/>
      <protection/>
    </xf>
    <xf numFmtId="0" fontId="30" fillId="55" borderId="0" xfId="0" applyFont="1" applyFill="1" applyBorder="1" applyAlignment="1">
      <alignment horizontal="right"/>
    </xf>
    <xf numFmtId="0" fontId="24" fillId="55" borderId="0" xfId="0" applyNumberFormat="1" applyFont="1" applyFill="1" applyAlignment="1" applyProtection="1">
      <alignment horizontal="center"/>
      <protection/>
    </xf>
    <xf numFmtId="0" fontId="24" fillId="55" borderId="0" xfId="0" applyNumberFormat="1" applyFont="1" applyFill="1" applyAlignment="1" applyProtection="1">
      <alignment/>
      <protection/>
    </xf>
    <xf numFmtId="4" fontId="24" fillId="55" borderId="0" xfId="0" applyNumberFormat="1" applyFont="1" applyFill="1" applyAlignment="1" applyProtection="1">
      <alignment/>
      <protection/>
    </xf>
    <xf numFmtId="0" fontId="28" fillId="55" borderId="0" xfId="0" applyFont="1" applyFill="1" applyAlignment="1">
      <alignment vertical="top"/>
    </xf>
    <xf numFmtId="0" fontId="33" fillId="55" borderId="0" xfId="0" applyFont="1" applyFill="1" applyBorder="1" applyAlignment="1">
      <alignment/>
    </xf>
    <xf numFmtId="0" fontId="33" fillId="55" borderId="0" xfId="0" applyFont="1" applyFill="1" applyBorder="1" applyAlignment="1">
      <alignment vertical="center"/>
    </xf>
    <xf numFmtId="1" fontId="34" fillId="55" borderId="0" xfId="0" applyNumberFormat="1" applyFont="1" applyFill="1" applyBorder="1" applyAlignment="1">
      <alignment horizontal="center" vertical="center"/>
    </xf>
    <xf numFmtId="0" fontId="33" fillId="55" borderId="0" xfId="0" applyFont="1" applyFill="1" applyAlignment="1">
      <alignment/>
    </xf>
    <xf numFmtId="0" fontId="26" fillId="55" borderId="0" xfId="0" applyFont="1" applyFill="1" applyBorder="1" applyAlignment="1">
      <alignment vertical="center" textRotation="180"/>
    </xf>
    <xf numFmtId="0" fontId="27" fillId="55" borderId="0" xfId="0" applyFont="1" applyFill="1" applyBorder="1" applyAlignment="1">
      <alignment horizontal="right"/>
    </xf>
    <xf numFmtId="0" fontId="36" fillId="55" borderId="0" xfId="0" applyNumberFormat="1" applyFont="1" applyFill="1" applyAlignment="1" applyProtection="1">
      <alignment/>
      <protection/>
    </xf>
    <xf numFmtId="0" fontId="33" fillId="55" borderId="0" xfId="0" applyFont="1" applyFill="1" applyAlignment="1">
      <alignment horizontal="center"/>
    </xf>
    <xf numFmtId="49" fontId="27" fillId="55" borderId="16" xfId="0" applyNumberFormat="1" applyFont="1" applyFill="1" applyBorder="1" applyAlignment="1" applyProtection="1">
      <alignment horizontal="center" vertical="center" wrapText="1"/>
      <protection/>
    </xf>
    <xf numFmtId="0" fontId="27" fillId="55" borderId="16" xfId="0" applyNumberFormat="1" applyFont="1" applyFill="1" applyBorder="1" applyAlignment="1" applyProtection="1">
      <alignment horizontal="center" vertical="center" wrapText="1"/>
      <protection/>
    </xf>
    <xf numFmtId="0" fontId="37" fillId="55" borderId="0" xfId="0" applyFont="1" applyFill="1" applyAlignment="1">
      <alignment vertical="center"/>
    </xf>
    <xf numFmtId="203" fontId="30" fillId="55" borderId="16" xfId="0" applyNumberFormat="1" applyFont="1" applyFill="1" applyBorder="1" applyAlignment="1">
      <alignment horizontal="center" vertical="center" wrapText="1"/>
    </xf>
    <xf numFmtId="221" fontId="36" fillId="55" borderId="0" xfId="0" applyNumberFormat="1" applyFont="1" applyFill="1" applyAlignment="1" applyProtection="1">
      <alignment/>
      <protection/>
    </xf>
    <xf numFmtId="221" fontId="30" fillId="55" borderId="0" xfId="0" applyNumberFormat="1" applyFont="1" applyFill="1" applyAlignment="1">
      <alignment horizontal="center"/>
    </xf>
    <xf numFmtId="221" fontId="27" fillId="55" borderId="16" xfId="0" applyNumberFormat="1" applyFont="1" applyFill="1" applyBorder="1" applyAlignment="1">
      <alignment horizontal="center"/>
    </xf>
    <xf numFmtId="221" fontId="29" fillId="55" borderId="16" xfId="0" applyNumberFormat="1" applyFont="1" applyFill="1" applyBorder="1" applyAlignment="1">
      <alignment horizontal="right" vertical="center"/>
    </xf>
    <xf numFmtId="221" fontId="31" fillId="55" borderId="16" xfId="0" applyNumberFormat="1" applyFont="1" applyFill="1" applyBorder="1" applyAlignment="1">
      <alignment horizontal="right" vertical="center"/>
    </xf>
    <xf numFmtId="221" fontId="30" fillId="55" borderId="16" xfId="0" applyNumberFormat="1" applyFont="1" applyFill="1" applyBorder="1" applyAlignment="1">
      <alignment horizontal="right" vertical="center"/>
    </xf>
    <xf numFmtId="221" fontId="32" fillId="55" borderId="16" xfId="0" applyNumberFormat="1" applyFont="1" applyFill="1" applyBorder="1" applyAlignment="1">
      <alignment horizontal="right" vertical="center"/>
    </xf>
    <xf numFmtId="221" fontId="30" fillId="55" borderId="16" xfId="0" applyNumberFormat="1" applyFont="1" applyFill="1" applyBorder="1" applyAlignment="1">
      <alignment horizontal="center" vertical="center"/>
    </xf>
    <xf numFmtId="221" fontId="32" fillId="55" borderId="16" xfId="0" applyNumberFormat="1" applyFont="1" applyFill="1" applyBorder="1" applyAlignment="1">
      <alignment horizontal="center" vertical="center"/>
    </xf>
    <xf numFmtId="221" fontId="30" fillId="55" borderId="17" xfId="0" applyNumberFormat="1" applyFont="1" applyFill="1" applyBorder="1" applyAlignment="1">
      <alignment horizontal="right" vertical="center"/>
    </xf>
    <xf numFmtId="221" fontId="32" fillId="55" borderId="18" xfId="0" applyNumberFormat="1" applyFont="1" applyFill="1" applyBorder="1" applyAlignment="1">
      <alignment horizontal="right" vertical="center"/>
    </xf>
    <xf numFmtId="221" fontId="37" fillId="55" borderId="16" xfId="0" applyNumberFormat="1" applyFont="1" applyFill="1" applyBorder="1" applyAlignment="1">
      <alignment horizontal="right" vertical="center"/>
    </xf>
    <xf numFmtId="221" fontId="29" fillId="55" borderId="16" xfId="0" applyNumberFormat="1" applyFont="1" applyFill="1" applyBorder="1" applyAlignment="1">
      <alignment horizontal="right" vertical="center" wrapText="1"/>
    </xf>
    <xf numFmtId="221" fontId="30" fillId="55" borderId="16" xfId="0" applyNumberFormat="1" applyFont="1" applyFill="1" applyBorder="1" applyAlignment="1">
      <alignment vertical="center"/>
    </xf>
    <xf numFmtId="221" fontId="30" fillId="55" borderId="0" xfId="0" applyNumberFormat="1" applyFont="1" applyFill="1" applyAlignment="1">
      <alignment/>
    </xf>
    <xf numFmtId="221" fontId="24" fillId="55" borderId="0" xfId="0" applyNumberFormat="1" applyFont="1" applyFill="1" applyAlignment="1">
      <alignment/>
    </xf>
    <xf numFmtId="221" fontId="33" fillId="55" borderId="0" xfId="0" applyNumberFormat="1" applyFont="1" applyFill="1" applyAlignment="1">
      <alignment/>
    </xf>
    <xf numFmtId="221" fontId="0" fillId="55" borderId="0" xfId="0" applyNumberFormat="1" applyFont="1" applyFill="1" applyAlignment="1">
      <alignment/>
    </xf>
    <xf numFmtId="0" fontId="36" fillId="0" borderId="0" xfId="0" applyNumberFormat="1" applyFont="1" applyFill="1" applyAlignment="1" applyProtection="1">
      <alignment horizontal="left"/>
      <protection/>
    </xf>
    <xf numFmtId="0" fontId="30" fillId="0" borderId="0" xfId="0" applyFont="1" applyFill="1" applyAlignment="1">
      <alignment/>
    </xf>
    <xf numFmtId="0" fontId="26" fillId="0" borderId="0" xfId="0" applyFont="1" applyFill="1" applyAlignment="1">
      <alignment/>
    </xf>
    <xf numFmtId="0" fontId="26" fillId="55" borderId="0" xfId="0" applyFont="1" applyFill="1" applyAlignment="1">
      <alignment horizontal="center" vertical="center" textRotation="180"/>
    </xf>
    <xf numFmtId="0" fontId="26" fillId="55" borderId="23" xfId="0" applyFont="1" applyFill="1" applyBorder="1" applyAlignment="1">
      <alignment horizontal="center" vertical="center" textRotation="180"/>
    </xf>
    <xf numFmtId="0" fontId="26" fillId="55" borderId="0" xfId="0" applyFont="1" applyFill="1" applyAlignment="1">
      <alignment horizontal="center" vertical="center" textRotation="180"/>
    </xf>
    <xf numFmtId="0" fontId="33" fillId="0" borderId="0" xfId="0" applyNumberFormat="1" applyFont="1" applyFill="1" applyAlignment="1" applyProtection="1">
      <alignment horizontal="left"/>
      <protection/>
    </xf>
    <xf numFmtId="0" fontId="33" fillId="55" borderId="0" xfId="0" applyFont="1" applyFill="1" applyAlignment="1">
      <alignment horizontal="center"/>
    </xf>
    <xf numFmtId="0" fontId="24" fillId="55" borderId="17" xfId="0" applyNumberFormat="1" applyFont="1" applyFill="1" applyBorder="1" applyAlignment="1" applyProtection="1">
      <alignment horizontal="center" vertical="center" wrapText="1"/>
      <protection/>
    </xf>
    <xf numFmtId="0" fontId="24" fillId="55" borderId="24" xfId="0" applyNumberFormat="1" applyFont="1" applyFill="1" applyBorder="1" applyAlignment="1" applyProtection="1">
      <alignment horizontal="center" vertical="center" wrapText="1"/>
      <protection/>
    </xf>
    <xf numFmtId="0" fontId="24" fillId="55" borderId="18" xfId="0" applyNumberFormat="1" applyFont="1" applyFill="1" applyBorder="1" applyAlignment="1" applyProtection="1">
      <alignment horizontal="center" vertical="center" wrapText="1"/>
      <protection/>
    </xf>
    <xf numFmtId="0" fontId="36" fillId="55" borderId="0" xfId="0" applyNumberFormat="1" applyFont="1" applyFill="1" applyAlignment="1" applyProtection="1">
      <alignment horizontal="left"/>
      <protection/>
    </xf>
    <xf numFmtId="0" fontId="36" fillId="0" borderId="0" xfId="0" applyNumberFormat="1" applyFont="1" applyFill="1" applyAlignment="1" applyProtection="1">
      <alignment horizontal="left"/>
      <protection/>
    </xf>
    <xf numFmtId="0" fontId="26" fillId="55" borderId="0" xfId="0" applyNumberFormat="1" applyFont="1" applyFill="1" applyAlignment="1" applyProtection="1">
      <alignment horizontal="left"/>
      <protection/>
    </xf>
    <xf numFmtId="49" fontId="27" fillId="55" borderId="16" xfId="0" applyNumberFormat="1" applyFont="1" applyFill="1" applyBorder="1" applyAlignment="1" applyProtection="1">
      <alignment horizontal="center" vertical="center" wrapText="1"/>
      <protection/>
    </xf>
    <xf numFmtId="0" fontId="33" fillId="55" borderId="0" xfId="0" applyFont="1" applyFill="1" applyBorder="1" applyAlignment="1">
      <alignment horizontal="left" vertical="distributed" wrapText="1"/>
    </xf>
    <xf numFmtId="0" fontId="27" fillId="55" borderId="16" xfId="0" applyNumberFormat="1" applyFont="1" applyFill="1" applyBorder="1" applyAlignment="1" applyProtection="1">
      <alignment horizontal="center" vertical="center" wrapText="1"/>
      <protection/>
    </xf>
    <xf numFmtId="0" fontId="24" fillId="55" borderId="17" xfId="0" applyFont="1" applyFill="1" applyBorder="1" applyAlignment="1">
      <alignment horizontal="center" vertical="center" wrapText="1"/>
    </xf>
    <xf numFmtId="0" fontId="24" fillId="55" borderId="24" xfId="0" applyFont="1" applyFill="1" applyBorder="1" applyAlignment="1">
      <alignment horizontal="center" vertical="center" wrapText="1"/>
    </xf>
    <xf numFmtId="0" fontId="24" fillId="55" borderId="18" xfId="0" applyFont="1" applyFill="1" applyBorder="1" applyAlignment="1">
      <alignment horizontal="center" vertical="center" wrapText="1"/>
    </xf>
    <xf numFmtId="0" fontId="34" fillId="55" borderId="0" xfId="0" applyNumberFormat="1" applyFont="1" applyFill="1" applyBorder="1" applyAlignment="1" applyProtection="1">
      <alignment horizontal="center" vertical="center" wrapText="1"/>
      <protection/>
    </xf>
    <xf numFmtId="221" fontId="35" fillId="55" borderId="16" xfId="0" applyNumberFormat="1" applyFont="1" applyFill="1" applyBorder="1" applyAlignment="1">
      <alignment horizontal="center" vertical="center" wrapText="1"/>
    </xf>
    <xf numFmtId="0" fontId="33" fillId="55" borderId="0" xfId="0" applyNumberFormat="1" applyFont="1" applyFill="1" applyAlignment="1" applyProtection="1">
      <alignment horizontal="left"/>
      <protection/>
    </xf>
    <xf numFmtId="0" fontId="35" fillId="55" borderId="16" xfId="0" applyFont="1" applyFill="1" applyBorder="1" applyAlignment="1">
      <alignment horizontal="center" vertical="center" wrapText="1"/>
    </xf>
  </cellXfs>
  <cellStyles count="10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Добре" xfId="71"/>
    <cellStyle name="Заголовок 1" xfId="72"/>
    <cellStyle name="Заголовок 2" xfId="73"/>
    <cellStyle name="Заголовок 3" xfId="74"/>
    <cellStyle name="Заголовок 4" xfId="75"/>
    <cellStyle name="Звичайний 10" xfId="76"/>
    <cellStyle name="Звичайний 11" xfId="77"/>
    <cellStyle name="Звичайний 12" xfId="78"/>
    <cellStyle name="Звичайний 13" xfId="79"/>
    <cellStyle name="Звичайний 14" xfId="80"/>
    <cellStyle name="Звичайний 15" xfId="81"/>
    <cellStyle name="Звичайний 16" xfId="82"/>
    <cellStyle name="Звичайний 17" xfId="83"/>
    <cellStyle name="Звичайний 18" xfId="84"/>
    <cellStyle name="Звичайний 19" xfId="85"/>
    <cellStyle name="Звичайний 2" xfId="86"/>
    <cellStyle name="Звичайний 20" xfId="87"/>
    <cellStyle name="Звичайний 3" xfId="88"/>
    <cellStyle name="Звичайний 4" xfId="89"/>
    <cellStyle name="Звичайний 5" xfId="90"/>
    <cellStyle name="Звичайний 6" xfId="91"/>
    <cellStyle name="Звичайний 7" xfId="92"/>
    <cellStyle name="Звичайний 8" xfId="93"/>
    <cellStyle name="Звичайний 9" xfId="94"/>
    <cellStyle name="Звичайний_Додаток _ 3 зм_ни 4575" xfId="95"/>
    <cellStyle name="Зв'язана клітинка" xfId="96"/>
    <cellStyle name="Итог" xfId="97"/>
    <cellStyle name="Контрольна клітинка" xfId="98"/>
    <cellStyle name="Контрольная ячейка" xfId="99"/>
    <cellStyle name="Назва" xfId="100"/>
    <cellStyle name="Название" xfId="101"/>
    <cellStyle name="Нейтральный" xfId="102"/>
    <cellStyle name="Обчислення" xfId="103"/>
    <cellStyle name="Обычный 2" xfId="104"/>
    <cellStyle name="Followed Hyperlink" xfId="105"/>
    <cellStyle name="Підсумок" xfId="106"/>
    <cellStyle name="Плохой" xfId="107"/>
    <cellStyle name="Поганий" xfId="108"/>
    <cellStyle name="Пояснение" xfId="109"/>
    <cellStyle name="Примечание" xfId="110"/>
    <cellStyle name="Примітка" xfId="111"/>
    <cellStyle name="Percent" xfId="112"/>
    <cellStyle name="Результат" xfId="113"/>
    <cellStyle name="Связанная ячейка" xfId="114"/>
    <cellStyle name="Середній" xfId="115"/>
    <cellStyle name="Стиль 1" xfId="116"/>
    <cellStyle name="Текст попередження" xfId="117"/>
    <cellStyle name="Текст пояснення" xfId="118"/>
    <cellStyle name="Текст предупреждения" xfId="119"/>
    <cellStyle name="Comma" xfId="120"/>
    <cellStyle name="Comma [0]" xfId="121"/>
    <cellStyle name="Хороший" xfId="1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S456"/>
  <sheetViews>
    <sheetView showGridLines="0" tabSelected="1" view="pageBreakPreview" zoomScale="40" zoomScaleNormal="70" zoomScaleSheetLayoutView="40" zoomScalePageLayoutView="0" workbookViewId="0" topLeftCell="A1">
      <selection activeCell="H4" sqref="H4"/>
    </sheetView>
  </sheetViews>
  <sheetFormatPr defaultColWidth="9.16015625" defaultRowHeight="12.75"/>
  <cols>
    <col min="1" max="1" width="19.33203125" style="34" customWidth="1"/>
    <col min="2" max="2" width="17.33203125" style="35" customWidth="1"/>
    <col min="3" max="3" width="17.16015625" style="35" customWidth="1"/>
    <col min="4" max="5" width="56.83203125" style="36" customWidth="1"/>
    <col min="6" max="6" width="17.83203125" style="36" customWidth="1"/>
    <col min="7" max="7" width="19.16015625" style="36" customWidth="1"/>
    <col min="8" max="8" width="19.5" style="36" customWidth="1"/>
    <col min="9" max="9" width="24.33203125" style="123" customWidth="1"/>
    <col min="10" max="10" width="24.66015625" style="2" customWidth="1"/>
    <col min="11" max="11" width="25.83203125" style="147" customWidth="1"/>
    <col min="12" max="12" width="9.16015625" style="151" customWidth="1"/>
    <col min="13" max="16384" width="9.16015625" style="2" customWidth="1"/>
  </cols>
  <sheetData>
    <row r="1" spans="7:12" ht="30" customHeight="1">
      <c r="G1" s="37"/>
      <c r="H1" s="159" t="s">
        <v>479</v>
      </c>
      <c r="I1" s="159"/>
      <c r="J1" s="159"/>
      <c r="K1" s="159"/>
      <c r="L1" s="153">
        <v>26</v>
      </c>
    </row>
    <row r="2" spans="7:12" ht="30.75">
      <c r="G2" s="37"/>
      <c r="H2" s="160" t="s">
        <v>480</v>
      </c>
      <c r="I2" s="160"/>
      <c r="J2" s="160"/>
      <c r="K2" s="160"/>
      <c r="L2" s="153"/>
    </row>
    <row r="3" spans="7:12" ht="30.75">
      <c r="G3" s="37"/>
      <c r="H3" s="160" t="s">
        <v>483</v>
      </c>
      <c r="I3" s="160"/>
      <c r="J3" s="160"/>
      <c r="K3" s="160"/>
      <c r="L3" s="153"/>
    </row>
    <row r="4" spans="7:12" ht="30.75">
      <c r="G4" s="37"/>
      <c r="H4" s="148"/>
      <c r="I4" s="148"/>
      <c r="J4" s="148"/>
      <c r="K4" s="148"/>
      <c r="L4" s="153"/>
    </row>
    <row r="5" spans="1:12" s="3" customFormat="1" ht="38.25" customHeight="1">
      <c r="A5" s="34"/>
      <c r="B5" s="35"/>
      <c r="C5" s="35"/>
      <c r="D5" s="38"/>
      <c r="E5" s="38"/>
      <c r="F5" s="38"/>
      <c r="G5" s="39"/>
      <c r="H5" s="124"/>
      <c r="I5" s="124"/>
      <c r="J5" s="124"/>
      <c r="K5" s="130"/>
      <c r="L5" s="153"/>
    </row>
    <row r="6" spans="1:12" ht="45" customHeight="1">
      <c r="A6" s="168" t="s">
        <v>203</v>
      </c>
      <c r="B6" s="168"/>
      <c r="C6" s="168"/>
      <c r="D6" s="168"/>
      <c r="E6" s="168"/>
      <c r="F6" s="168"/>
      <c r="G6" s="168"/>
      <c r="H6" s="168"/>
      <c r="I6" s="168"/>
      <c r="J6" s="168"/>
      <c r="K6" s="168"/>
      <c r="L6" s="153"/>
    </row>
    <row r="7" spans="4:12" ht="18.75">
      <c r="D7" s="40"/>
      <c r="E7" s="40"/>
      <c r="F7" s="40"/>
      <c r="G7" s="40"/>
      <c r="H7" s="40"/>
      <c r="I7" s="41"/>
      <c r="K7" s="131" t="s">
        <v>144</v>
      </c>
      <c r="L7" s="153"/>
    </row>
    <row r="8" spans="1:12" s="4" customFormat="1" ht="42.75" customHeight="1">
      <c r="A8" s="162" t="s">
        <v>55</v>
      </c>
      <c r="B8" s="164" t="s">
        <v>56</v>
      </c>
      <c r="C8" s="164" t="s">
        <v>32</v>
      </c>
      <c r="D8" s="164" t="s">
        <v>64</v>
      </c>
      <c r="E8" s="165" t="s">
        <v>198</v>
      </c>
      <c r="F8" s="156" t="s">
        <v>199</v>
      </c>
      <c r="G8" s="156" t="s">
        <v>200</v>
      </c>
      <c r="H8" s="156" t="s">
        <v>201</v>
      </c>
      <c r="I8" s="156" t="s">
        <v>202</v>
      </c>
      <c r="J8" s="171" t="s">
        <v>242</v>
      </c>
      <c r="K8" s="169" t="s">
        <v>243</v>
      </c>
      <c r="L8" s="153"/>
    </row>
    <row r="9" spans="1:12" s="4" customFormat="1" ht="42" customHeight="1">
      <c r="A9" s="162"/>
      <c r="B9" s="164"/>
      <c r="C9" s="164"/>
      <c r="D9" s="164"/>
      <c r="E9" s="166"/>
      <c r="F9" s="157"/>
      <c r="G9" s="157"/>
      <c r="H9" s="157"/>
      <c r="I9" s="157"/>
      <c r="J9" s="171"/>
      <c r="K9" s="169"/>
      <c r="L9" s="153"/>
    </row>
    <row r="10" spans="1:12" s="4" customFormat="1" ht="53.25" customHeight="1">
      <c r="A10" s="162"/>
      <c r="B10" s="164"/>
      <c r="C10" s="164"/>
      <c r="D10" s="164"/>
      <c r="E10" s="167"/>
      <c r="F10" s="158"/>
      <c r="G10" s="158"/>
      <c r="H10" s="158"/>
      <c r="I10" s="158"/>
      <c r="J10" s="171"/>
      <c r="K10" s="169"/>
      <c r="L10" s="153"/>
    </row>
    <row r="11" spans="1:12" s="4" customFormat="1" ht="15.75" customHeight="1">
      <c r="A11" s="126" t="s">
        <v>197</v>
      </c>
      <c r="B11" s="127">
        <v>2</v>
      </c>
      <c r="C11" s="127">
        <v>3</v>
      </c>
      <c r="D11" s="127">
        <v>4</v>
      </c>
      <c r="E11" s="127">
        <v>5</v>
      </c>
      <c r="F11" s="127">
        <v>6</v>
      </c>
      <c r="G11" s="127">
        <v>7</v>
      </c>
      <c r="H11" s="127">
        <v>8</v>
      </c>
      <c r="I11" s="127">
        <v>9</v>
      </c>
      <c r="J11" s="23">
        <v>10</v>
      </c>
      <c r="K11" s="132">
        <v>11</v>
      </c>
      <c r="L11" s="153"/>
    </row>
    <row r="12" spans="1:12" s="5" customFormat="1" ht="45" customHeight="1">
      <c r="A12" s="42" t="s">
        <v>87</v>
      </c>
      <c r="B12" s="42"/>
      <c r="C12" s="42"/>
      <c r="D12" s="43" t="s">
        <v>25</v>
      </c>
      <c r="E12" s="43"/>
      <c r="F12" s="43"/>
      <c r="G12" s="43"/>
      <c r="H12" s="43"/>
      <c r="I12" s="24">
        <f>I13</f>
        <v>49860744</v>
      </c>
      <c r="J12" s="24">
        <f>J13</f>
        <v>0</v>
      </c>
      <c r="K12" s="133">
        <f>K13</f>
        <v>49860744</v>
      </c>
      <c r="L12" s="153"/>
    </row>
    <row r="13" spans="1:12" s="6" customFormat="1" ht="57" customHeight="1">
      <c r="A13" s="44" t="s">
        <v>88</v>
      </c>
      <c r="B13" s="44"/>
      <c r="C13" s="44"/>
      <c r="D13" s="45" t="s">
        <v>25</v>
      </c>
      <c r="E13" s="45"/>
      <c r="F13" s="45"/>
      <c r="G13" s="45"/>
      <c r="H13" s="45"/>
      <c r="I13" s="25">
        <f>I14+I15+I18+I22+I25+I30+I28+I20+I17+I29+I31+I34+I32+I33</f>
        <v>49860744</v>
      </c>
      <c r="J13" s="25">
        <f>J14+J15+J18+J22+J25+J30+J28+J20+J17+J29+J31+J34+J32+J33</f>
        <v>0</v>
      </c>
      <c r="K13" s="134">
        <f>K14+K15+K18+K22+K25+K30+K28+K20+K17+K29+K31+K34+K32+K33</f>
        <v>49860744</v>
      </c>
      <c r="L13" s="153"/>
    </row>
    <row r="14" spans="1:12" s="7" customFormat="1" ht="75" customHeight="1">
      <c r="A14" s="46" t="s">
        <v>89</v>
      </c>
      <c r="B14" s="46" t="s">
        <v>66</v>
      </c>
      <c r="C14" s="46" t="s">
        <v>31</v>
      </c>
      <c r="D14" s="33" t="s">
        <v>67</v>
      </c>
      <c r="E14" s="33"/>
      <c r="F14" s="33"/>
      <c r="G14" s="33"/>
      <c r="H14" s="33"/>
      <c r="I14" s="26">
        <f>4000000-1295000+302014+31200+180000</f>
        <v>3218214</v>
      </c>
      <c r="J14" s="26"/>
      <c r="K14" s="135">
        <f>J14+I14</f>
        <v>3218214</v>
      </c>
      <c r="L14" s="153"/>
    </row>
    <row r="15" spans="1:12" s="7" customFormat="1" ht="45" customHeight="1">
      <c r="A15" s="46" t="s">
        <v>90</v>
      </c>
      <c r="B15" s="46" t="s">
        <v>71</v>
      </c>
      <c r="C15" s="46"/>
      <c r="D15" s="33" t="s">
        <v>9</v>
      </c>
      <c r="E15" s="33"/>
      <c r="F15" s="33"/>
      <c r="G15" s="33"/>
      <c r="H15" s="33"/>
      <c r="I15" s="26">
        <f>I16</f>
        <v>790500</v>
      </c>
      <c r="J15" s="26">
        <f>J16</f>
        <v>0</v>
      </c>
      <c r="K15" s="135">
        <f>K16</f>
        <v>790500</v>
      </c>
      <c r="L15" s="153"/>
    </row>
    <row r="16" spans="1:12" s="8" customFormat="1" ht="66.75" customHeight="1">
      <c r="A16" s="47" t="s">
        <v>91</v>
      </c>
      <c r="B16" s="47" t="s">
        <v>72</v>
      </c>
      <c r="C16" s="47" t="s">
        <v>54</v>
      </c>
      <c r="D16" s="48" t="s">
        <v>73</v>
      </c>
      <c r="E16" s="49"/>
      <c r="F16" s="49"/>
      <c r="G16" s="49"/>
      <c r="H16" s="49"/>
      <c r="I16" s="27">
        <f>20500+385000+300000+85000</f>
        <v>790500</v>
      </c>
      <c r="J16" s="27"/>
      <c r="K16" s="136">
        <f>J16+I16</f>
        <v>790500</v>
      </c>
      <c r="L16" s="153"/>
    </row>
    <row r="17" spans="1:12" s="9" customFormat="1" ht="63" customHeight="1">
      <c r="A17" s="46" t="s">
        <v>265</v>
      </c>
      <c r="B17" s="46" t="s">
        <v>266</v>
      </c>
      <c r="C17" s="46" t="s">
        <v>264</v>
      </c>
      <c r="D17" s="33" t="s">
        <v>263</v>
      </c>
      <c r="E17" s="50"/>
      <c r="F17" s="50"/>
      <c r="G17" s="50"/>
      <c r="H17" s="50"/>
      <c r="I17" s="26">
        <v>28500</v>
      </c>
      <c r="J17" s="26"/>
      <c r="K17" s="135">
        <f>J17+I17</f>
        <v>28500</v>
      </c>
      <c r="L17" s="153"/>
    </row>
    <row r="18" spans="1:12" s="7" customFormat="1" ht="42.75" customHeight="1">
      <c r="A18" s="46" t="s">
        <v>92</v>
      </c>
      <c r="B18" s="46" t="s">
        <v>6</v>
      </c>
      <c r="C18" s="46"/>
      <c r="D18" s="33" t="s">
        <v>7</v>
      </c>
      <c r="E18" s="33"/>
      <c r="F18" s="33"/>
      <c r="G18" s="33"/>
      <c r="H18" s="33"/>
      <c r="I18" s="26">
        <f>I19</f>
        <v>20500</v>
      </c>
      <c r="J18" s="26">
        <f>J19</f>
        <v>0</v>
      </c>
      <c r="K18" s="135">
        <f>K19</f>
        <v>20500</v>
      </c>
      <c r="L18" s="153"/>
    </row>
    <row r="19" spans="1:12" s="10" customFormat="1" ht="56.25" customHeight="1">
      <c r="A19" s="47" t="s">
        <v>216</v>
      </c>
      <c r="B19" s="47" t="s">
        <v>217</v>
      </c>
      <c r="C19" s="47" t="s">
        <v>49</v>
      </c>
      <c r="D19" s="48" t="s">
        <v>218</v>
      </c>
      <c r="E19" s="48"/>
      <c r="F19" s="48"/>
      <c r="G19" s="48"/>
      <c r="H19" s="48"/>
      <c r="I19" s="27">
        <f>49000-28500</f>
        <v>20500</v>
      </c>
      <c r="J19" s="27"/>
      <c r="K19" s="136">
        <f>J19+I19</f>
        <v>20500</v>
      </c>
      <c r="L19" s="153"/>
    </row>
    <row r="20" spans="1:12" s="7" customFormat="1" ht="28.5" customHeight="1">
      <c r="A20" s="46" t="s">
        <v>244</v>
      </c>
      <c r="B20" s="46" t="s">
        <v>247</v>
      </c>
      <c r="C20" s="46"/>
      <c r="D20" s="33" t="s">
        <v>246</v>
      </c>
      <c r="E20" s="33"/>
      <c r="F20" s="33"/>
      <c r="G20" s="33"/>
      <c r="H20" s="33"/>
      <c r="I20" s="26">
        <f>I21</f>
        <v>177000</v>
      </c>
      <c r="J20" s="26">
        <f>J21</f>
        <v>0</v>
      </c>
      <c r="K20" s="135">
        <f>K21</f>
        <v>177000</v>
      </c>
      <c r="L20" s="153"/>
    </row>
    <row r="21" spans="1:12" s="10" customFormat="1" ht="63" customHeight="1">
      <c r="A21" s="47" t="s">
        <v>245</v>
      </c>
      <c r="B21" s="47" t="s">
        <v>248</v>
      </c>
      <c r="C21" s="47" t="s">
        <v>50</v>
      </c>
      <c r="D21" s="48" t="s">
        <v>249</v>
      </c>
      <c r="E21" s="48"/>
      <c r="F21" s="48"/>
      <c r="G21" s="48"/>
      <c r="H21" s="48"/>
      <c r="I21" s="27">
        <v>177000</v>
      </c>
      <c r="J21" s="27"/>
      <c r="K21" s="136">
        <f>J21+I21</f>
        <v>177000</v>
      </c>
      <c r="L21" s="153"/>
    </row>
    <row r="22" spans="1:12" s="7" customFormat="1" ht="40.5" customHeight="1">
      <c r="A22" s="51" t="s">
        <v>93</v>
      </c>
      <c r="B22" s="51" t="s">
        <v>61</v>
      </c>
      <c r="C22" s="51"/>
      <c r="D22" s="33" t="s">
        <v>63</v>
      </c>
      <c r="E22" s="33"/>
      <c r="F22" s="33"/>
      <c r="G22" s="33"/>
      <c r="H22" s="33"/>
      <c r="I22" s="26">
        <f>I23+I24</f>
        <v>355650</v>
      </c>
      <c r="J22" s="26">
        <f>J23+J24</f>
        <v>0</v>
      </c>
      <c r="K22" s="135">
        <f>K23+K24</f>
        <v>355650</v>
      </c>
      <c r="L22" s="152">
        <v>27</v>
      </c>
    </row>
    <row r="23" spans="1:12" s="8" customFormat="1" ht="75" customHeight="1">
      <c r="A23" s="52" t="s">
        <v>94</v>
      </c>
      <c r="B23" s="52" t="s">
        <v>62</v>
      </c>
      <c r="C23" s="52" t="s">
        <v>50</v>
      </c>
      <c r="D23" s="48" t="s">
        <v>10</v>
      </c>
      <c r="E23" s="49"/>
      <c r="F23" s="49"/>
      <c r="G23" s="49"/>
      <c r="H23" s="49"/>
      <c r="I23" s="27">
        <f>200000+25000+75000</f>
        <v>300000</v>
      </c>
      <c r="J23" s="27"/>
      <c r="K23" s="136">
        <f>J23+I23</f>
        <v>300000</v>
      </c>
      <c r="L23" s="152"/>
    </row>
    <row r="24" spans="1:12" s="8" customFormat="1" ht="66" customHeight="1">
      <c r="A24" s="52" t="s">
        <v>397</v>
      </c>
      <c r="B24" s="52" t="s">
        <v>398</v>
      </c>
      <c r="C24" s="52" t="s">
        <v>50</v>
      </c>
      <c r="D24" s="48" t="s">
        <v>399</v>
      </c>
      <c r="E24" s="49"/>
      <c r="F24" s="49"/>
      <c r="G24" s="49"/>
      <c r="H24" s="49"/>
      <c r="I24" s="27">
        <f>10000+45650</f>
        <v>55650</v>
      </c>
      <c r="J24" s="27"/>
      <c r="K24" s="136">
        <f>J24+I24</f>
        <v>55650</v>
      </c>
      <c r="L24" s="152"/>
    </row>
    <row r="25" spans="1:12" s="10" customFormat="1" ht="52.5" customHeight="1">
      <c r="A25" s="51" t="s">
        <v>95</v>
      </c>
      <c r="B25" s="51" t="s">
        <v>51</v>
      </c>
      <c r="C25" s="51"/>
      <c r="D25" s="33" t="s">
        <v>58</v>
      </c>
      <c r="E25" s="33"/>
      <c r="F25" s="33"/>
      <c r="G25" s="33"/>
      <c r="H25" s="33"/>
      <c r="I25" s="26">
        <f>I26+I27</f>
        <v>2940000</v>
      </c>
      <c r="J25" s="26">
        <f>J26+J27</f>
        <v>0</v>
      </c>
      <c r="K25" s="135">
        <f>K26+K27</f>
        <v>2940000</v>
      </c>
      <c r="L25" s="152"/>
    </row>
    <row r="26" spans="1:12" s="10" customFormat="1" ht="96" customHeight="1">
      <c r="A26" s="52" t="s">
        <v>96</v>
      </c>
      <c r="B26" s="52" t="s">
        <v>59</v>
      </c>
      <c r="C26" s="52" t="s">
        <v>50</v>
      </c>
      <c r="D26" s="48" t="s">
        <v>60</v>
      </c>
      <c r="E26" s="48"/>
      <c r="F26" s="48"/>
      <c r="G26" s="48"/>
      <c r="H26" s="48"/>
      <c r="I26" s="27">
        <f>20000+2900000</f>
        <v>2920000</v>
      </c>
      <c r="J26" s="27"/>
      <c r="K26" s="136">
        <f>J26+I26</f>
        <v>2920000</v>
      </c>
      <c r="L26" s="152"/>
    </row>
    <row r="27" spans="1:12" s="10" customFormat="1" ht="76.5" customHeight="1">
      <c r="A27" s="52" t="s">
        <v>420</v>
      </c>
      <c r="B27" s="52" t="s">
        <v>421</v>
      </c>
      <c r="C27" s="52" t="s">
        <v>50</v>
      </c>
      <c r="D27" s="48" t="s">
        <v>422</v>
      </c>
      <c r="E27" s="48"/>
      <c r="F27" s="48"/>
      <c r="G27" s="48"/>
      <c r="H27" s="48"/>
      <c r="I27" s="27">
        <v>20000</v>
      </c>
      <c r="J27" s="27"/>
      <c r="K27" s="136">
        <f>J27+I27</f>
        <v>20000</v>
      </c>
      <c r="L27" s="152"/>
    </row>
    <row r="28" spans="1:12" s="7" customFormat="1" ht="37.5">
      <c r="A28" s="51" t="s">
        <v>227</v>
      </c>
      <c r="B28" s="51" t="s">
        <v>228</v>
      </c>
      <c r="C28" s="51" t="s">
        <v>230</v>
      </c>
      <c r="D28" s="33" t="s">
        <v>229</v>
      </c>
      <c r="E28" s="33"/>
      <c r="F28" s="33"/>
      <c r="G28" s="33"/>
      <c r="H28" s="33"/>
      <c r="I28" s="26">
        <f>4897000+3385000-900000+729000</f>
        <v>8111000</v>
      </c>
      <c r="J28" s="26"/>
      <c r="K28" s="135">
        <f aca="true" t="shared" si="0" ref="K28:K34">J28+I28</f>
        <v>8111000</v>
      </c>
      <c r="L28" s="152"/>
    </row>
    <row r="29" spans="1:12" s="7" customFormat="1" ht="46.5" customHeight="1">
      <c r="A29" s="51" t="s">
        <v>270</v>
      </c>
      <c r="B29" s="51" t="s">
        <v>271</v>
      </c>
      <c r="C29" s="51" t="s">
        <v>273</v>
      </c>
      <c r="D29" s="53" t="s">
        <v>272</v>
      </c>
      <c r="E29" s="33"/>
      <c r="F29" s="33"/>
      <c r="G29" s="33"/>
      <c r="H29" s="33"/>
      <c r="I29" s="26">
        <v>16800</v>
      </c>
      <c r="J29" s="26"/>
      <c r="K29" s="135">
        <f t="shared" si="0"/>
        <v>16800</v>
      </c>
      <c r="L29" s="152"/>
    </row>
    <row r="30" spans="1:12" s="10" customFormat="1" ht="40.5" customHeight="1">
      <c r="A30" s="51" t="s">
        <v>97</v>
      </c>
      <c r="B30" s="51" t="s">
        <v>3</v>
      </c>
      <c r="C30" s="51" t="s">
        <v>52</v>
      </c>
      <c r="D30" s="33" t="s">
        <v>11</v>
      </c>
      <c r="E30" s="33" t="s">
        <v>211</v>
      </c>
      <c r="F30" s="33"/>
      <c r="G30" s="33"/>
      <c r="H30" s="33"/>
      <c r="I30" s="26">
        <f>4220000+24220000+800000-380000</f>
        <v>28860000</v>
      </c>
      <c r="J30" s="26"/>
      <c r="K30" s="135">
        <f t="shared" si="0"/>
        <v>28860000</v>
      </c>
      <c r="L30" s="152"/>
    </row>
    <row r="31" spans="1:12" s="10" customFormat="1" ht="54.75" customHeight="1">
      <c r="A31" s="51" t="s">
        <v>274</v>
      </c>
      <c r="B31" s="51" t="s">
        <v>275</v>
      </c>
      <c r="C31" s="51" t="s">
        <v>276</v>
      </c>
      <c r="D31" s="54" t="s">
        <v>277</v>
      </c>
      <c r="E31" s="33"/>
      <c r="F31" s="33"/>
      <c r="G31" s="33"/>
      <c r="H31" s="33"/>
      <c r="I31" s="26">
        <f>55900+180000</f>
        <v>235900</v>
      </c>
      <c r="J31" s="26"/>
      <c r="K31" s="135">
        <f t="shared" si="0"/>
        <v>235900</v>
      </c>
      <c r="L31" s="152"/>
    </row>
    <row r="32" spans="1:12" s="10" customFormat="1" ht="24.75" customHeight="1">
      <c r="A32" s="51" t="s">
        <v>329</v>
      </c>
      <c r="B32" s="51" t="s">
        <v>332</v>
      </c>
      <c r="C32" s="51" t="s">
        <v>276</v>
      </c>
      <c r="D32" s="33" t="s">
        <v>331</v>
      </c>
      <c r="E32" s="33"/>
      <c r="F32" s="33"/>
      <c r="G32" s="33"/>
      <c r="H32" s="33"/>
      <c r="I32" s="26">
        <v>57900</v>
      </c>
      <c r="J32" s="26"/>
      <c r="K32" s="135">
        <f t="shared" si="0"/>
        <v>57900</v>
      </c>
      <c r="L32" s="152"/>
    </row>
    <row r="33" spans="1:12" s="10" customFormat="1" ht="27" customHeight="1">
      <c r="A33" s="51" t="s">
        <v>347</v>
      </c>
      <c r="B33" s="51" t="s">
        <v>235</v>
      </c>
      <c r="C33" s="51" t="s">
        <v>30</v>
      </c>
      <c r="D33" s="33" t="s">
        <v>232</v>
      </c>
      <c r="E33" s="33"/>
      <c r="F33" s="33"/>
      <c r="G33" s="33"/>
      <c r="H33" s="33"/>
      <c r="I33" s="26">
        <v>344000</v>
      </c>
      <c r="J33" s="26"/>
      <c r="K33" s="135">
        <f t="shared" si="0"/>
        <v>344000</v>
      </c>
      <c r="L33" s="152"/>
    </row>
    <row r="34" spans="1:12" s="10" customFormat="1" ht="87" customHeight="1">
      <c r="A34" s="51" t="s">
        <v>297</v>
      </c>
      <c r="B34" s="51" t="s">
        <v>285</v>
      </c>
      <c r="C34" s="51" t="s">
        <v>30</v>
      </c>
      <c r="D34" s="54" t="s">
        <v>296</v>
      </c>
      <c r="E34" s="33"/>
      <c r="F34" s="33"/>
      <c r="G34" s="33"/>
      <c r="H34" s="33"/>
      <c r="I34" s="26">
        <f>2563780+1000000+51000+900000+190000</f>
        <v>4704780</v>
      </c>
      <c r="J34" s="26"/>
      <c r="K34" s="135">
        <f t="shared" si="0"/>
        <v>4704780</v>
      </c>
      <c r="L34" s="152"/>
    </row>
    <row r="35" spans="1:12" s="5" customFormat="1" ht="42" customHeight="1">
      <c r="A35" s="55" t="s">
        <v>98</v>
      </c>
      <c r="B35" s="55"/>
      <c r="C35" s="55"/>
      <c r="D35" s="56" t="s">
        <v>12</v>
      </c>
      <c r="E35" s="56"/>
      <c r="F35" s="56"/>
      <c r="G35" s="56"/>
      <c r="H35" s="56"/>
      <c r="I35" s="24">
        <f>I36</f>
        <v>56609891.42</v>
      </c>
      <c r="J35" s="24">
        <f>J36</f>
        <v>0</v>
      </c>
      <c r="K35" s="133">
        <f>K36</f>
        <v>56609891.42</v>
      </c>
      <c r="L35" s="152"/>
    </row>
    <row r="36" spans="1:12" s="6" customFormat="1" ht="42" customHeight="1">
      <c r="A36" s="57" t="s">
        <v>99</v>
      </c>
      <c r="B36" s="57"/>
      <c r="C36" s="57"/>
      <c r="D36" s="58" t="s">
        <v>12</v>
      </c>
      <c r="E36" s="58"/>
      <c r="F36" s="58"/>
      <c r="G36" s="58"/>
      <c r="H36" s="58"/>
      <c r="I36" s="25">
        <f>I38+I39+I40+I42+I43+I47+I50+I55+I52+I56+I44+I46</f>
        <v>56609891.42</v>
      </c>
      <c r="J36" s="25">
        <f>J38+J39+J40+J42+J43+J47+J50+J55+J52+J56+J44+J46</f>
        <v>0</v>
      </c>
      <c r="K36" s="134">
        <f>K38+K39+K40+K42+K43+K47+K50+K55+K52+K56+K44+K46</f>
        <v>56609891.42</v>
      </c>
      <c r="L36" s="152"/>
    </row>
    <row r="37" spans="1:12" s="6" customFormat="1" ht="37.5" customHeight="1">
      <c r="A37" s="44"/>
      <c r="B37" s="44"/>
      <c r="C37" s="44"/>
      <c r="D37" s="58" t="s">
        <v>456</v>
      </c>
      <c r="E37" s="58"/>
      <c r="F37" s="58"/>
      <c r="G37" s="58"/>
      <c r="H37" s="58"/>
      <c r="I37" s="25">
        <f>I41+I45+I49+I54</f>
        <v>18165095.78</v>
      </c>
      <c r="J37" s="25">
        <f>J41+J45+J49+J54</f>
        <v>0</v>
      </c>
      <c r="K37" s="134">
        <f>K41+K45+K49+K54</f>
        <v>18165095.78</v>
      </c>
      <c r="L37" s="152"/>
    </row>
    <row r="38" spans="1:12" s="7" customFormat="1" ht="75">
      <c r="A38" s="46" t="s">
        <v>100</v>
      </c>
      <c r="B38" s="46" t="s">
        <v>66</v>
      </c>
      <c r="C38" s="46" t="s">
        <v>31</v>
      </c>
      <c r="D38" s="33" t="s">
        <v>67</v>
      </c>
      <c r="E38" s="33"/>
      <c r="F38" s="33"/>
      <c r="G38" s="33"/>
      <c r="H38" s="33"/>
      <c r="I38" s="26">
        <v>16000</v>
      </c>
      <c r="J38" s="26"/>
      <c r="K38" s="135">
        <f aca="true" t="shared" si="1" ref="K38:K46">J38+I38</f>
        <v>16000</v>
      </c>
      <c r="L38" s="152"/>
    </row>
    <row r="39" spans="1:12" s="7" customFormat="1" ht="28.5" customHeight="1">
      <c r="A39" s="46" t="s">
        <v>101</v>
      </c>
      <c r="B39" s="46" t="s">
        <v>33</v>
      </c>
      <c r="C39" s="46" t="s">
        <v>34</v>
      </c>
      <c r="D39" s="33" t="s">
        <v>82</v>
      </c>
      <c r="E39" s="33"/>
      <c r="F39" s="33"/>
      <c r="G39" s="33"/>
      <c r="H39" s="33"/>
      <c r="I39" s="26">
        <f>3500000+40000+300269+455116.65+15000+8000+60000+670000-2286</f>
        <v>5046099.65</v>
      </c>
      <c r="J39" s="26"/>
      <c r="K39" s="135">
        <f t="shared" si="1"/>
        <v>5046099.65</v>
      </c>
      <c r="L39" s="152">
        <v>28</v>
      </c>
    </row>
    <row r="40" spans="1:12" s="7" customFormat="1" ht="133.5" customHeight="1">
      <c r="A40" s="46" t="s">
        <v>102</v>
      </c>
      <c r="B40" s="46" t="s">
        <v>35</v>
      </c>
      <c r="C40" s="46" t="s">
        <v>36</v>
      </c>
      <c r="D40" s="33" t="s">
        <v>83</v>
      </c>
      <c r="E40" s="33"/>
      <c r="F40" s="33"/>
      <c r="G40" s="33"/>
      <c r="H40" s="33"/>
      <c r="I40" s="26">
        <f>17926422+272847-31407</f>
        <v>18167862</v>
      </c>
      <c r="J40" s="26"/>
      <c r="K40" s="135">
        <f t="shared" si="1"/>
        <v>18167862</v>
      </c>
      <c r="L40" s="152"/>
    </row>
    <row r="41" spans="1:12" s="10" customFormat="1" ht="37.5">
      <c r="A41" s="47"/>
      <c r="B41" s="47"/>
      <c r="C41" s="47"/>
      <c r="D41" s="48" t="s">
        <v>456</v>
      </c>
      <c r="E41" s="48"/>
      <c r="F41" s="48"/>
      <c r="G41" s="48"/>
      <c r="H41" s="48"/>
      <c r="I41" s="27">
        <v>1416542</v>
      </c>
      <c r="J41" s="27"/>
      <c r="K41" s="136">
        <f t="shared" si="1"/>
        <v>1416542</v>
      </c>
      <c r="L41" s="152"/>
    </row>
    <row r="42" spans="1:12" s="7" customFormat="1" ht="123" customHeight="1">
      <c r="A42" s="46" t="s">
        <v>139</v>
      </c>
      <c r="B42" s="46" t="s">
        <v>37</v>
      </c>
      <c r="C42" s="46" t="s">
        <v>38</v>
      </c>
      <c r="D42" s="33" t="s">
        <v>68</v>
      </c>
      <c r="E42" s="33"/>
      <c r="F42" s="33"/>
      <c r="G42" s="33"/>
      <c r="H42" s="33"/>
      <c r="I42" s="26">
        <v>103611</v>
      </c>
      <c r="J42" s="26"/>
      <c r="K42" s="135">
        <f t="shared" si="1"/>
        <v>103611</v>
      </c>
      <c r="L42" s="152"/>
    </row>
    <row r="43" spans="1:12" s="7" customFormat="1" ht="68.25" customHeight="1">
      <c r="A43" s="46" t="s">
        <v>140</v>
      </c>
      <c r="B43" s="46" t="s">
        <v>39</v>
      </c>
      <c r="C43" s="46" t="s">
        <v>40</v>
      </c>
      <c r="D43" s="33" t="s">
        <v>84</v>
      </c>
      <c r="E43" s="33"/>
      <c r="F43" s="33"/>
      <c r="G43" s="33"/>
      <c r="H43" s="33"/>
      <c r="I43" s="26">
        <f>433709-50411-1623</f>
        <v>381675</v>
      </c>
      <c r="J43" s="26"/>
      <c r="K43" s="135">
        <f t="shared" si="1"/>
        <v>381675</v>
      </c>
      <c r="L43" s="152"/>
    </row>
    <row r="44" spans="1:12" s="7" customFormat="1" ht="65.25" customHeight="1">
      <c r="A44" s="46" t="s">
        <v>365</v>
      </c>
      <c r="B44" s="46" t="s">
        <v>366</v>
      </c>
      <c r="C44" s="46" t="s">
        <v>368</v>
      </c>
      <c r="D44" s="33" t="s">
        <v>367</v>
      </c>
      <c r="E44" s="33"/>
      <c r="F44" s="33"/>
      <c r="G44" s="33"/>
      <c r="H44" s="33"/>
      <c r="I44" s="26">
        <f>2300000+2700000-370000</f>
        <v>4630000</v>
      </c>
      <c r="J44" s="26"/>
      <c r="K44" s="135">
        <f t="shared" si="1"/>
        <v>4630000</v>
      </c>
      <c r="L44" s="152"/>
    </row>
    <row r="45" spans="1:12" s="10" customFormat="1" ht="37.5">
      <c r="A45" s="47"/>
      <c r="B45" s="47"/>
      <c r="C45" s="47"/>
      <c r="D45" s="48" t="s">
        <v>456</v>
      </c>
      <c r="E45" s="48"/>
      <c r="F45" s="48"/>
      <c r="G45" s="48"/>
      <c r="H45" s="48"/>
      <c r="I45" s="27">
        <v>4630000</v>
      </c>
      <c r="J45" s="27"/>
      <c r="K45" s="136">
        <f t="shared" si="1"/>
        <v>4630000</v>
      </c>
      <c r="L45" s="152"/>
    </row>
    <row r="46" spans="1:12" s="7" customFormat="1" ht="37.5">
      <c r="A46" s="46" t="s">
        <v>392</v>
      </c>
      <c r="B46" s="46" t="s">
        <v>393</v>
      </c>
      <c r="C46" s="46" t="s">
        <v>42</v>
      </c>
      <c r="D46" s="53" t="s">
        <v>391</v>
      </c>
      <c r="E46" s="33"/>
      <c r="F46" s="33"/>
      <c r="G46" s="33"/>
      <c r="H46" s="33"/>
      <c r="I46" s="26">
        <v>13000</v>
      </c>
      <c r="J46" s="26"/>
      <c r="K46" s="135">
        <f t="shared" si="1"/>
        <v>13000</v>
      </c>
      <c r="L46" s="152"/>
    </row>
    <row r="47" spans="1:12" s="7" customFormat="1" ht="44.25" customHeight="1">
      <c r="A47" s="46" t="s">
        <v>142</v>
      </c>
      <c r="B47" s="46" t="s">
        <v>143</v>
      </c>
      <c r="C47" s="46"/>
      <c r="D47" s="33" t="s">
        <v>141</v>
      </c>
      <c r="E47" s="33"/>
      <c r="F47" s="33"/>
      <c r="G47" s="33"/>
      <c r="H47" s="33"/>
      <c r="I47" s="26">
        <f>I48</f>
        <v>349361</v>
      </c>
      <c r="J47" s="26">
        <f>J48</f>
        <v>0</v>
      </c>
      <c r="K47" s="135">
        <f>K48</f>
        <v>349361</v>
      </c>
      <c r="L47" s="152"/>
    </row>
    <row r="48" spans="1:12" s="10" customFormat="1" ht="48" customHeight="1">
      <c r="A48" s="47" t="s">
        <v>219</v>
      </c>
      <c r="B48" s="47" t="s">
        <v>220</v>
      </c>
      <c r="C48" s="47" t="s">
        <v>42</v>
      </c>
      <c r="D48" s="59" t="s">
        <v>221</v>
      </c>
      <c r="E48" s="48"/>
      <c r="F48" s="48"/>
      <c r="G48" s="48"/>
      <c r="H48" s="48"/>
      <c r="I48" s="27">
        <f>337950+11411</f>
        <v>349361</v>
      </c>
      <c r="J48" s="27"/>
      <c r="K48" s="136">
        <f>J48+I48</f>
        <v>349361</v>
      </c>
      <c r="L48" s="152"/>
    </row>
    <row r="49" spans="1:12" s="10" customFormat="1" ht="37.5">
      <c r="A49" s="47"/>
      <c r="B49" s="47"/>
      <c r="C49" s="47"/>
      <c r="D49" s="48" t="s">
        <v>456</v>
      </c>
      <c r="E49" s="48"/>
      <c r="F49" s="48"/>
      <c r="G49" s="48"/>
      <c r="H49" s="48"/>
      <c r="I49" s="27">
        <v>107950</v>
      </c>
      <c r="J49" s="27"/>
      <c r="K49" s="136">
        <f>J49+I49</f>
        <v>107950</v>
      </c>
      <c r="L49" s="152"/>
    </row>
    <row r="50" spans="1:12" s="7" customFormat="1" ht="42" customHeight="1">
      <c r="A50" s="46" t="s">
        <v>103</v>
      </c>
      <c r="B50" s="46" t="s">
        <v>61</v>
      </c>
      <c r="C50" s="46"/>
      <c r="D50" s="54" t="s">
        <v>63</v>
      </c>
      <c r="E50" s="54"/>
      <c r="F50" s="54"/>
      <c r="G50" s="54"/>
      <c r="H50" s="54"/>
      <c r="I50" s="26">
        <f>I51</f>
        <v>95129</v>
      </c>
      <c r="J50" s="26">
        <f>J51</f>
        <v>0</v>
      </c>
      <c r="K50" s="135">
        <f>K51</f>
        <v>95129</v>
      </c>
      <c r="L50" s="152"/>
    </row>
    <row r="51" spans="1:12" s="10" customFormat="1" ht="71.25" customHeight="1">
      <c r="A51" s="47" t="s">
        <v>104</v>
      </c>
      <c r="B51" s="47" t="s">
        <v>62</v>
      </c>
      <c r="C51" s="47" t="s">
        <v>50</v>
      </c>
      <c r="D51" s="59" t="s">
        <v>10</v>
      </c>
      <c r="E51" s="59"/>
      <c r="F51" s="59"/>
      <c r="G51" s="59"/>
      <c r="H51" s="59"/>
      <c r="I51" s="27">
        <f>100000-4871</f>
        <v>95129</v>
      </c>
      <c r="J51" s="27"/>
      <c r="K51" s="136">
        <f>J51+I51</f>
        <v>95129</v>
      </c>
      <c r="L51" s="152"/>
    </row>
    <row r="52" spans="1:12" s="10" customFormat="1" ht="20.25" customHeight="1">
      <c r="A52" s="46" t="s">
        <v>289</v>
      </c>
      <c r="B52" s="46" t="s">
        <v>290</v>
      </c>
      <c r="C52" s="46"/>
      <c r="D52" s="60" t="s">
        <v>291</v>
      </c>
      <c r="E52" s="33"/>
      <c r="F52" s="33"/>
      <c r="G52" s="33"/>
      <c r="H52" s="33"/>
      <c r="I52" s="22">
        <f>SUM(I53)</f>
        <v>12466734.77</v>
      </c>
      <c r="J52" s="22">
        <f>SUM(J53)</f>
        <v>0</v>
      </c>
      <c r="K52" s="137">
        <f>SUM(K53)</f>
        <v>12466734.77</v>
      </c>
      <c r="L52" s="152"/>
    </row>
    <row r="53" spans="1:12" s="10" customFormat="1" ht="75.75" customHeight="1">
      <c r="A53" s="47" t="s">
        <v>287</v>
      </c>
      <c r="B53" s="47" t="s">
        <v>298</v>
      </c>
      <c r="C53" s="47" t="s">
        <v>52</v>
      </c>
      <c r="D53" s="61" t="s">
        <v>288</v>
      </c>
      <c r="E53" s="48"/>
      <c r="F53" s="48"/>
      <c r="G53" s="48"/>
      <c r="H53" s="48"/>
      <c r="I53" s="21">
        <v>12466734.77</v>
      </c>
      <c r="J53" s="21"/>
      <c r="K53" s="138">
        <f>J53+I53</f>
        <v>12466734.77</v>
      </c>
      <c r="L53" s="152"/>
    </row>
    <row r="54" spans="1:12" s="10" customFormat="1" ht="37.5">
      <c r="A54" s="47"/>
      <c r="B54" s="47"/>
      <c r="C54" s="47"/>
      <c r="D54" s="48" t="s">
        <v>456</v>
      </c>
      <c r="E54" s="48"/>
      <c r="F54" s="48"/>
      <c r="G54" s="48"/>
      <c r="H54" s="48"/>
      <c r="I54" s="27">
        <v>12010603.78</v>
      </c>
      <c r="J54" s="27"/>
      <c r="K54" s="136">
        <f>J54+I54</f>
        <v>12010603.78</v>
      </c>
      <c r="L54" s="152"/>
    </row>
    <row r="55" spans="1:12" s="10" customFormat="1" ht="20.25" customHeight="1">
      <c r="A55" s="46" t="s">
        <v>105</v>
      </c>
      <c r="B55" s="46" t="s">
        <v>2</v>
      </c>
      <c r="C55" s="46" t="s">
        <v>53</v>
      </c>
      <c r="D55" s="33" t="s">
        <v>22</v>
      </c>
      <c r="E55" s="33"/>
      <c r="F55" s="33"/>
      <c r="G55" s="33"/>
      <c r="H55" s="33"/>
      <c r="I55" s="26">
        <f>11768000+900000+283419+389000</f>
        <v>13340419</v>
      </c>
      <c r="J55" s="26"/>
      <c r="K55" s="135">
        <f>J55+I55</f>
        <v>13340419</v>
      </c>
      <c r="L55" s="152"/>
    </row>
    <row r="56" spans="1:12" s="10" customFormat="1" ht="74.25" customHeight="1">
      <c r="A56" s="46" t="s">
        <v>325</v>
      </c>
      <c r="B56" s="46" t="s">
        <v>285</v>
      </c>
      <c r="C56" s="46" t="s">
        <v>30</v>
      </c>
      <c r="D56" s="33" t="s">
        <v>296</v>
      </c>
      <c r="E56" s="33"/>
      <c r="F56" s="33"/>
      <c r="G56" s="33"/>
      <c r="H56" s="33"/>
      <c r="I56" s="26">
        <v>2000000</v>
      </c>
      <c r="J56" s="26"/>
      <c r="K56" s="135">
        <f>J56+I56</f>
        <v>2000000</v>
      </c>
      <c r="L56" s="152">
        <v>29</v>
      </c>
    </row>
    <row r="57" spans="1:12" s="5" customFormat="1" ht="40.5" customHeight="1">
      <c r="A57" s="42" t="s">
        <v>106</v>
      </c>
      <c r="B57" s="42"/>
      <c r="C57" s="42"/>
      <c r="D57" s="56" t="s">
        <v>14</v>
      </c>
      <c r="E57" s="56"/>
      <c r="F57" s="56"/>
      <c r="G57" s="56"/>
      <c r="H57" s="56"/>
      <c r="I57" s="24">
        <f>I58</f>
        <v>51308438.6</v>
      </c>
      <c r="J57" s="24">
        <f>J58</f>
        <v>0</v>
      </c>
      <c r="K57" s="133">
        <f>K58</f>
        <v>51308438.6</v>
      </c>
      <c r="L57" s="152"/>
    </row>
    <row r="58" spans="1:12" s="6" customFormat="1" ht="46.5" customHeight="1">
      <c r="A58" s="44" t="s">
        <v>107</v>
      </c>
      <c r="B58" s="44"/>
      <c r="C58" s="44"/>
      <c r="D58" s="58" t="s">
        <v>14</v>
      </c>
      <c r="E58" s="58"/>
      <c r="F58" s="58"/>
      <c r="G58" s="58"/>
      <c r="H58" s="58"/>
      <c r="I58" s="25">
        <f>I60+I69+I66+I61+I62+I65+I70</f>
        <v>51308438.6</v>
      </c>
      <c r="J58" s="25">
        <f>J60+J69+J66+J61+J62+J65+J70</f>
        <v>0</v>
      </c>
      <c r="K58" s="134">
        <f>K60+K69+K66+K61+K62+K65+K70</f>
        <v>51308438.6</v>
      </c>
      <c r="L58" s="152"/>
    </row>
    <row r="59" spans="1:12" s="6" customFormat="1" ht="39">
      <c r="A59" s="44"/>
      <c r="B59" s="44"/>
      <c r="C59" s="44"/>
      <c r="D59" s="58" t="s">
        <v>456</v>
      </c>
      <c r="E59" s="58"/>
      <c r="F59" s="58"/>
      <c r="G59" s="58"/>
      <c r="H59" s="58"/>
      <c r="I59" s="25">
        <f>I68</f>
        <v>4529964.66</v>
      </c>
      <c r="J59" s="25">
        <f>J68</f>
        <v>0</v>
      </c>
      <c r="K59" s="134">
        <f>K68</f>
        <v>4529964.66</v>
      </c>
      <c r="L59" s="152"/>
    </row>
    <row r="60" spans="1:12" s="7" customFormat="1" ht="60" customHeight="1">
      <c r="A60" s="46" t="s">
        <v>108</v>
      </c>
      <c r="B60" s="46" t="s">
        <v>43</v>
      </c>
      <c r="C60" s="46" t="s">
        <v>44</v>
      </c>
      <c r="D60" s="33" t="s">
        <v>16</v>
      </c>
      <c r="E60" s="33"/>
      <c r="F60" s="33"/>
      <c r="G60" s="33"/>
      <c r="H60" s="33"/>
      <c r="I60" s="26">
        <f>28491409+3464315+744355</f>
        <v>32700079</v>
      </c>
      <c r="J60" s="26"/>
      <c r="K60" s="135">
        <f>J60+I60</f>
        <v>32700079</v>
      </c>
      <c r="L60" s="152"/>
    </row>
    <row r="61" spans="1:12" s="7" customFormat="1" ht="56.25">
      <c r="A61" s="46" t="s">
        <v>354</v>
      </c>
      <c r="B61" s="46" t="s">
        <v>355</v>
      </c>
      <c r="C61" s="46" t="s">
        <v>357</v>
      </c>
      <c r="D61" s="33" t="s">
        <v>356</v>
      </c>
      <c r="E61" s="33"/>
      <c r="F61" s="33"/>
      <c r="G61" s="33"/>
      <c r="H61" s="33"/>
      <c r="I61" s="26">
        <f>15000+115000</f>
        <v>130000</v>
      </c>
      <c r="J61" s="26"/>
      <c r="K61" s="135">
        <f>J61+I61</f>
        <v>130000</v>
      </c>
      <c r="L61" s="152"/>
    </row>
    <row r="62" spans="1:12" s="7" customFormat="1" ht="37.5">
      <c r="A62" s="46" t="s">
        <v>358</v>
      </c>
      <c r="B62" s="46" t="s">
        <v>359</v>
      </c>
      <c r="C62" s="46"/>
      <c r="D62" s="33" t="s">
        <v>360</v>
      </c>
      <c r="E62" s="33"/>
      <c r="F62" s="33"/>
      <c r="G62" s="33"/>
      <c r="H62" s="33"/>
      <c r="I62" s="26">
        <f>I63</f>
        <v>59000</v>
      </c>
      <c r="J62" s="26">
        <f>J63</f>
        <v>0</v>
      </c>
      <c r="K62" s="135">
        <f>K63</f>
        <v>59000</v>
      </c>
      <c r="L62" s="152"/>
    </row>
    <row r="63" spans="1:12" s="10" customFormat="1" ht="58.5" customHeight="1">
      <c r="A63" s="47" t="s">
        <v>361</v>
      </c>
      <c r="B63" s="47" t="s">
        <v>362</v>
      </c>
      <c r="C63" s="47" t="s">
        <v>364</v>
      </c>
      <c r="D63" s="48" t="s">
        <v>363</v>
      </c>
      <c r="E63" s="48"/>
      <c r="F63" s="48"/>
      <c r="G63" s="48"/>
      <c r="H63" s="48"/>
      <c r="I63" s="27">
        <f>35000+34600-10600</f>
        <v>59000</v>
      </c>
      <c r="J63" s="27"/>
      <c r="K63" s="135">
        <f>J63+I63</f>
        <v>59000</v>
      </c>
      <c r="L63" s="152"/>
    </row>
    <row r="64" spans="1:12" s="7" customFormat="1" ht="37.5">
      <c r="A64" s="46" t="s">
        <v>378</v>
      </c>
      <c r="B64" s="46" t="s">
        <v>379</v>
      </c>
      <c r="C64" s="46"/>
      <c r="D64" s="33" t="s">
        <v>382</v>
      </c>
      <c r="E64" s="33"/>
      <c r="F64" s="33"/>
      <c r="G64" s="33"/>
      <c r="H64" s="33"/>
      <c r="I64" s="26">
        <f>I65</f>
        <v>3406496</v>
      </c>
      <c r="J64" s="26">
        <f>J65</f>
        <v>0</v>
      </c>
      <c r="K64" s="135">
        <f>K65</f>
        <v>3406496</v>
      </c>
      <c r="L64" s="152"/>
    </row>
    <row r="65" spans="1:12" s="10" customFormat="1" ht="37.5">
      <c r="A65" s="47" t="s">
        <v>381</v>
      </c>
      <c r="B65" s="47" t="s">
        <v>380</v>
      </c>
      <c r="C65" s="47" t="s">
        <v>384</v>
      </c>
      <c r="D65" s="48" t="s">
        <v>383</v>
      </c>
      <c r="E65" s="48"/>
      <c r="F65" s="48"/>
      <c r="G65" s="48"/>
      <c r="H65" s="48"/>
      <c r="I65" s="27">
        <v>3406496</v>
      </c>
      <c r="J65" s="27"/>
      <c r="K65" s="136">
        <f>J65+I65</f>
        <v>3406496</v>
      </c>
      <c r="L65" s="152"/>
    </row>
    <row r="66" spans="1:12" s="7" customFormat="1" ht="32.25" customHeight="1">
      <c r="A66" s="46" t="s">
        <v>316</v>
      </c>
      <c r="B66" s="46" t="s">
        <v>290</v>
      </c>
      <c r="C66" s="46"/>
      <c r="D66" s="33" t="s">
        <v>291</v>
      </c>
      <c r="E66" s="33"/>
      <c r="F66" s="33"/>
      <c r="G66" s="33"/>
      <c r="H66" s="33"/>
      <c r="I66" s="26">
        <f>SUM(I67)</f>
        <v>4665863.6</v>
      </c>
      <c r="J66" s="26">
        <f>SUM(J67)</f>
        <v>0</v>
      </c>
      <c r="K66" s="135">
        <f>SUM(K67)</f>
        <v>4665863.6</v>
      </c>
      <c r="L66" s="152"/>
    </row>
    <row r="67" spans="1:12" s="10" customFormat="1" ht="84.75" customHeight="1">
      <c r="A67" s="47" t="s">
        <v>317</v>
      </c>
      <c r="B67" s="47" t="s">
        <v>298</v>
      </c>
      <c r="C67" s="47" t="s">
        <v>52</v>
      </c>
      <c r="D67" s="48" t="s">
        <v>288</v>
      </c>
      <c r="E67" s="48"/>
      <c r="F67" s="48"/>
      <c r="G67" s="48"/>
      <c r="H67" s="48"/>
      <c r="I67" s="27">
        <v>4665863.6</v>
      </c>
      <c r="J67" s="27"/>
      <c r="K67" s="136">
        <f>J67+I67</f>
        <v>4665863.6</v>
      </c>
      <c r="L67" s="152"/>
    </row>
    <row r="68" spans="1:12" s="10" customFormat="1" ht="37.5">
      <c r="A68" s="47"/>
      <c r="B68" s="47"/>
      <c r="C68" s="47"/>
      <c r="D68" s="48" t="s">
        <v>456</v>
      </c>
      <c r="E68" s="48"/>
      <c r="F68" s="48"/>
      <c r="G68" s="48"/>
      <c r="H68" s="48"/>
      <c r="I68" s="27">
        <v>4529964.66</v>
      </c>
      <c r="J68" s="27"/>
      <c r="K68" s="136">
        <f>J68+I68</f>
        <v>4529964.66</v>
      </c>
      <c r="L68" s="152"/>
    </row>
    <row r="69" spans="1:12" s="7" customFormat="1" ht="26.25" customHeight="1">
      <c r="A69" s="46" t="s">
        <v>109</v>
      </c>
      <c r="B69" s="46" t="s">
        <v>2</v>
      </c>
      <c r="C69" s="46" t="s">
        <v>53</v>
      </c>
      <c r="D69" s="33" t="s">
        <v>22</v>
      </c>
      <c r="E69" s="33"/>
      <c r="F69" s="33"/>
      <c r="G69" s="33"/>
      <c r="H69" s="33"/>
      <c r="I69" s="26">
        <f>6847000+3000000</f>
        <v>9847000</v>
      </c>
      <c r="J69" s="26"/>
      <c r="K69" s="135">
        <f>J69+I69</f>
        <v>9847000</v>
      </c>
      <c r="L69" s="152"/>
    </row>
    <row r="70" spans="1:12" s="7" customFormat="1" ht="26.25" customHeight="1">
      <c r="A70" s="46" t="s">
        <v>466</v>
      </c>
      <c r="B70" s="46" t="s">
        <v>235</v>
      </c>
      <c r="C70" s="46" t="s">
        <v>30</v>
      </c>
      <c r="D70" s="62" t="s">
        <v>236</v>
      </c>
      <c r="E70" s="33"/>
      <c r="F70" s="33"/>
      <c r="G70" s="33"/>
      <c r="H70" s="33"/>
      <c r="I70" s="26">
        <v>500000</v>
      </c>
      <c r="J70" s="26"/>
      <c r="K70" s="135">
        <f>J70+I70</f>
        <v>500000</v>
      </c>
      <c r="L70" s="152"/>
    </row>
    <row r="71" spans="1:12" s="5" customFormat="1" ht="57" customHeight="1">
      <c r="A71" s="42" t="s">
        <v>110</v>
      </c>
      <c r="B71" s="42"/>
      <c r="C71" s="42"/>
      <c r="D71" s="56" t="s">
        <v>26</v>
      </c>
      <c r="E71" s="56"/>
      <c r="F71" s="56"/>
      <c r="G71" s="56"/>
      <c r="H71" s="56"/>
      <c r="I71" s="24">
        <f>I72</f>
        <v>13808431.68</v>
      </c>
      <c r="J71" s="24">
        <f>J72</f>
        <v>0</v>
      </c>
      <c r="K71" s="133">
        <f>K72</f>
        <v>13808431.68</v>
      </c>
      <c r="L71" s="152"/>
    </row>
    <row r="72" spans="1:12" s="6" customFormat="1" ht="60.75" customHeight="1">
      <c r="A72" s="44" t="s">
        <v>111</v>
      </c>
      <c r="B72" s="44"/>
      <c r="C72" s="44"/>
      <c r="D72" s="58" t="s">
        <v>26</v>
      </c>
      <c r="E72" s="58"/>
      <c r="F72" s="58"/>
      <c r="G72" s="58"/>
      <c r="H72" s="58"/>
      <c r="I72" s="25">
        <f>I74+I75+I86+I77+I79</f>
        <v>13808431.68</v>
      </c>
      <c r="J72" s="25">
        <f>J74+J75+J86+J77+J79</f>
        <v>0</v>
      </c>
      <c r="K72" s="134">
        <f>K74+K75+K86+K77+K79</f>
        <v>13808431.68</v>
      </c>
      <c r="L72" s="152"/>
    </row>
    <row r="73" spans="1:12" s="6" customFormat="1" ht="39">
      <c r="A73" s="44"/>
      <c r="B73" s="44"/>
      <c r="C73" s="44"/>
      <c r="D73" s="58" t="s">
        <v>456</v>
      </c>
      <c r="E73" s="58"/>
      <c r="F73" s="58"/>
      <c r="G73" s="58"/>
      <c r="H73" s="58"/>
      <c r="I73" s="25">
        <f>I81+I85+I83</f>
        <v>12613549.68</v>
      </c>
      <c r="J73" s="25">
        <f>J81+J85+J83</f>
        <v>0</v>
      </c>
      <c r="K73" s="134">
        <f>K81+K85+K83</f>
        <v>12613549.68</v>
      </c>
      <c r="L73" s="152"/>
    </row>
    <row r="74" spans="1:12" s="7" customFormat="1" ht="80.25" customHeight="1">
      <c r="A74" s="63" t="s">
        <v>112</v>
      </c>
      <c r="B74" s="63" t="s">
        <v>66</v>
      </c>
      <c r="C74" s="63" t="s">
        <v>31</v>
      </c>
      <c r="D74" s="64" t="s">
        <v>67</v>
      </c>
      <c r="E74" s="64"/>
      <c r="F74" s="64"/>
      <c r="G74" s="64"/>
      <c r="H74" s="64"/>
      <c r="I74" s="65">
        <f>700000-128000-21910</f>
        <v>550090</v>
      </c>
      <c r="J74" s="65"/>
      <c r="K74" s="139">
        <f>J74+I74</f>
        <v>550090</v>
      </c>
      <c r="L74" s="152"/>
    </row>
    <row r="75" spans="1:12" s="11" customFormat="1" ht="92.25" customHeight="1">
      <c r="A75" s="46" t="s">
        <v>113</v>
      </c>
      <c r="B75" s="66">
        <v>3030</v>
      </c>
      <c r="C75" s="66"/>
      <c r="D75" s="33" t="s">
        <v>69</v>
      </c>
      <c r="E75" s="33"/>
      <c r="F75" s="33"/>
      <c r="G75" s="33"/>
      <c r="H75" s="33"/>
      <c r="I75" s="26">
        <f>I76</f>
        <v>245910</v>
      </c>
      <c r="J75" s="26">
        <f>J76</f>
        <v>0</v>
      </c>
      <c r="K75" s="135">
        <f>K76</f>
        <v>245910</v>
      </c>
      <c r="L75" s="152">
        <v>30</v>
      </c>
    </row>
    <row r="76" spans="1:12" s="12" customFormat="1" ht="60" customHeight="1">
      <c r="A76" s="67" t="s">
        <v>114</v>
      </c>
      <c r="B76" s="68">
        <v>3031</v>
      </c>
      <c r="C76" s="68">
        <v>1030</v>
      </c>
      <c r="D76" s="69" t="s">
        <v>70</v>
      </c>
      <c r="E76" s="69"/>
      <c r="F76" s="69"/>
      <c r="G76" s="69"/>
      <c r="H76" s="69"/>
      <c r="I76" s="70">
        <f>214000+31910</f>
        <v>245910</v>
      </c>
      <c r="J76" s="70"/>
      <c r="K76" s="140">
        <f>J76+I76</f>
        <v>245910</v>
      </c>
      <c r="L76" s="152"/>
    </row>
    <row r="77" spans="1:12" s="12" customFormat="1" ht="98.25" customHeight="1">
      <c r="A77" s="46" t="s">
        <v>115</v>
      </c>
      <c r="B77" s="66">
        <v>3100</v>
      </c>
      <c r="C77" s="66"/>
      <c r="D77" s="33" t="s">
        <v>233</v>
      </c>
      <c r="E77" s="48"/>
      <c r="F77" s="48"/>
      <c r="G77" s="48"/>
      <c r="H77" s="48"/>
      <c r="I77" s="26">
        <f>I78</f>
        <v>18500</v>
      </c>
      <c r="J77" s="26">
        <f>J78</f>
        <v>0</v>
      </c>
      <c r="K77" s="135">
        <f>K78</f>
        <v>18500</v>
      </c>
      <c r="L77" s="152"/>
    </row>
    <row r="78" spans="1:12" s="12" customFormat="1" ht="96.75" customHeight="1">
      <c r="A78" s="47" t="s">
        <v>116</v>
      </c>
      <c r="B78" s="71">
        <v>3104</v>
      </c>
      <c r="C78" s="71">
        <v>1020</v>
      </c>
      <c r="D78" s="48" t="s">
        <v>19</v>
      </c>
      <c r="E78" s="48"/>
      <c r="F78" s="48"/>
      <c r="G78" s="48"/>
      <c r="H78" s="48"/>
      <c r="I78" s="27">
        <v>18500</v>
      </c>
      <c r="J78" s="27"/>
      <c r="K78" s="136">
        <f>J78+I78</f>
        <v>18500</v>
      </c>
      <c r="L78" s="152"/>
    </row>
    <row r="79" spans="1:12" s="11" customFormat="1" ht="92.25" customHeight="1">
      <c r="A79" s="46" t="s">
        <v>406</v>
      </c>
      <c r="B79" s="66">
        <v>3220</v>
      </c>
      <c r="C79" s="66"/>
      <c r="D79" s="33" t="s">
        <v>408</v>
      </c>
      <c r="E79" s="33"/>
      <c r="F79" s="33"/>
      <c r="G79" s="33"/>
      <c r="H79" s="33"/>
      <c r="I79" s="26">
        <f>I80+I84+I82</f>
        <v>12613549.68</v>
      </c>
      <c r="J79" s="26">
        <f>J80+J84+J82</f>
        <v>0</v>
      </c>
      <c r="K79" s="135">
        <f>K80+K84+K82</f>
        <v>12613549.68</v>
      </c>
      <c r="L79" s="152"/>
    </row>
    <row r="80" spans="1:12" s="12" customFormat="1" ht="356.25">
      <c r="A80" s="47" t="s">
        <v>407</v>
      </c>
      <c r="B80" s="71">
        <v>3221</v>
      </c>
      <c r="C80" s="71">
        <v>1060</v>
      </c>
      <c r="D80" s="48" t="s">
        <v>409</v>
      </c>
      <c r="E80" s="48"/>
      <c r="F80" s="48"/>
      <c r="G80" s="48"/>
      <c r="H80" s="48"/>
      <c r="I80" s="27">
        <v>6547535.21</v>
      </c>
      <c r="J80" s="27"/>
      <c r="K80" s="136">
        <f aca="true" t="shared" si="2" ref="K80:K85">J80+I80</f>
        <v>6547535.21</v>
      </c>
      <c r="L80" s="152"/>
    </row>
    <row r="81" spans="1:12" s="10" customFormat="1" ht="37.5">
      <c r="A81" s="47"/>
      <c r="B81" s="47"/>
      <c r="C81" s="47"/>
      <c r="D81" s="48" t="s">
        <v>456</v>
      </c>
      <c r="E81" s="48"/>
      <c r="F81" s="48"/>
      <c r="G81" s="48"/>
      <c r="H81" s="48"/>
      <c r="I81" s="27">
        <v>6547535.21</v>
      </c>
      <c r="J81" s="27"/>
      <c r="K81" s="136">
        <f t="shared" si="2"/>
        <v>6547535.21</v>
      </c>
      <c r="L81" s="152"/>
    </row>
    <row r="82" spans="1:12" s="10" customFormat="1" ht="393.75">
      <c r="A82" s="47" t="s">
        <v>438</v>
      </c>
      <c r="B82" s="47" t="s">
        <v>439</v>
      </c>
      <c r="C82" s="47" t="s">
        <v>440</v>
      </c>
      <c r="D82" s="76" t="s">
        <v>447</v>
      </c>
      <c r="E82" s="48"/>
      <c r="F82" s="48"/>
      <c r="G82" s="48"/>
      <c r="H82" s="48"/>
      <c r="I82" s="27">
        <v>2544480</v>
      </c>
      <c r="J82" s="27"/>
      <c r="K82" s="136">
        <f t="shared" si="2"/>
        <v>2544480</v>
      </c>
      <c r="L82" s="152">
        <v>31</v>
      </c>
    </row>
    <row r="83" spans="1:12" s="10" customFormat="1" ht="37.5">
      <c r="A83" s="47"/>
      <c r="B83" s="47"/>
      <c r="C83" s="47"/>
      <c r="D83" s="48" t="s">
        <v>456</v>
      </c>
      <c r="E83" s="48"/>
      <c r="F83" s="48"/>
      <c r="G83" s="48"/>
      <c r="H83" s="48"/>
      <c r="I83" s="27">
        <v>2544480</v>
      </c>
      <c r="J83" s="27"/>
      <c r="K83" s="136">
        <f t="shared" si="2"/>
        <v>2544480</v>
      </c>
      <c r="L83" s="152"/>
    </row>
    <row r="84" spans="1:12" s="12" customFormat="1" ht="375">
      <c r="A84" s="47" t="s">
        <v>423</v>
      </c>
      <c r="B84" s="71">
        <v>3223</v>
      </c>
      <c r="C84" s="71">
        <v>1060</v>
      </c>
      <c r="D84" s="48" t="s">
        <v>430</v>
      </c>
      <c r="E84" s="48"/>
      <c r="F84" s="48"/>
      <c r="G84" s="48"/>
      <c r="H84" s="48"/>
      <c r="I84" s="27">
        <v>3521534.47</v>
      </c>
      <c r="J84" s="27"/>
      <c r="K84" s="136">
        <f t="shared" si="2"/>
        <v>3521534.47</v>
      </c>
      <c r="L84" s="152"/>
    </row>
    <row r="85" spans="1:12" s="7" customFormat="1" ht="37.5">
      <c r="A85" s="46"/>
      <c r="B85" s="46"/>
      <c r="C85" s="46"/>
      <c r="D85" s="33" t="s">
        <v>456</v>
      </c>
      <c r="E85" s="33"/>
      <c r="F85" s="33"/>
      <c r="G85" s="33"/>
      <c r="H85" s="33"/>
      <c r="I85" s="26">
        <v>3521534.47</v>
      </c>
      <c r="J85" s="26"/>
      <c r="K85" s="135">
        <f t="shared" si="2"/>
        <v>3521534.47</v>
      </c>
      <c r="L85" s="152"/>
    </row>
    <row r="86" spans="1:12" s="7" customFormat="1" ht="26.25" customHeight="1">
      <c r="A86" s="46" t="s">
        <v>231</v>
      </c>
      <c r="B86" s="66">
        <v>3240</v>
      </c>
      <c r="C86" s="66"/>
      <c r="D86" s="33" t="s">
        <v>74</v>
      </c>
      <c r="E86" s="33"/>
      <c r="F86" s="33"/>
      <c r="G86" s="33"/>
      <c r="H86" s="33"/>
      <c r="I86" s="26">
        <f>I87+I88</f>
        <v>380382</v>
      </c>
      <c r="J86" s="26">
        <f>J87+J88</f>
        <v>0</v>
      </c>
      <c r="K86" s="135">
        <f>K87+K88</f>
        <v>380382</v>
      </c>
      <c r="L86" s="152"/>
    </row>
    <row r="87" spans="1:12" s="10" customFormat="1" ht="60" customHeight="1">
      <c r="A87" s="47" t="s">
        <v>222</v>
      </c>
      <c r="B87" s="71">
        <v>3241</v>
      </c>
      <c r="C87" s="71">
        <v>1090</v>
      </c>
      <c r="D87" s="48" t="s">
        <v>223</v>
      </c>
      <c r="E87" s="48"/>
      <c r="F87" s="48"/>
      <c r="G87" s="48"/>
      <c r="H87" s="48"/>
      <c r="I87" s="27">
        <f>300000+5382</f>
        <v>305382</v>
      </c>
      <c r="J87" s="27"/>
      <c r="K87" s="136">
        <f>J87+I87</f>
        <v>305382</v>
      </c>
      <c r="L87" s="152"/>
    </row>
    <row r="88" spans="1:12" s="10" customFormat="1" ht="57" customHeight="1">
      <c r="A88" s="47" t="s">
        <v>224</v>
      </c>
      <c r="B88" s="71">
        <v>3242</v>
      </c>
      <c r="C88" s="71">
        <v>1090</v>
      </c>
      <c r="D88" s="48" t="s">
        <v>225</v>
      </c>
      <c r="E88" s="48"/>
      <c r="F88" s="48"/>
      <c r="G88" s="48"/>
      <c r="H88" s="48"/>
      <c r="I88" s="27">
        <v>75000</v>
      </c>
      <c r="J88" s="27"/>
      <c r="K88" s="136">
        <f>J88+I88</f>
        <v>75000</v>
      </c>
      <c r="L88" s="152"/>
    </row>
    <row r="89" spans="1:12" s="6" customFormat="1" ht="49.5" customHeight="1">
      <c r="A89" s="42" t="s">
        <v>442</v>
      </c>
      <c r="B89" s="72"/>
      <c r="C89" s="72"/>
      <c r="D89" s="56" t="s">
        <v>443</v>
      </c>
      <c r="E89" s="56"/>
      <c r="F89" s="56"/>
      <c r="G89" s="56"/>
      <c r="H89" s="56"/>
      <c r="I89" s="24">
        <f>SUM(I90)</f>
        <v>809800</v>
      </c>
      <c r="J89" s="24">
        <f>SUM(J90)</f>
        <v>0</v>
      </c>
      <c r="K89" s="133">
        <f>SUM(K90)</f>
        <v>809800</v>
      </c>
      <c r="L89" s="152"/>
    </row>
    <row r="90" spans="1:12" s="6" customFormat="1" ht="49.5" customHeight="1">
      <c r="A90" s="44" t="s">
        <v>446</v>
      </c>
      <c r="B90" s="72"/>
      <c r="C90" s="72"/>
      <c r="D90" s="58" t="s">
        <v>443</v>
      </c>
      <c r="E90" s="58"/>
      <c r="F90" s="58"/>
      <c r="G90" s="58"/>
      <c r="H90" s="58"/>
      <c r="I90" s="25">
        <f>SUM(I92)</f>
        <v>809800</v>
      </c>
      <c r="J90" s="25">
        <f>SUM(J92)</f>
        <v>0</v>
      </c>
      <c r="K90" s="134">
        <f>SUM(K92)</f>
        <v>809800</v>
      </c>
      <c r="L90" s="152"/>
    </row>
    <row r="91" spans="1:12" s="6" customFormat="1" ht="45" customHeight="1">
      <c r="A91" s="44"/>
      <c r="B91" s="72"/>
      <c r="C91" s="72"/>
      <c r="D91" s="73" t="s">
        <v>456</v>
      </c>
      <c r="E91" s="58"/>
      <c r="F91" s="58"/>
      <c r="G91" s="58"/>
      <c r="H91" s="58"/>
      <c r="I91" s="25">
        <f>SUM(I94)</f>
        <v>809800</v>
      </c>
      <c r="J91" s="25">
        <f>SUM(J94)</f>
        <v>0</v>
      </c>
      <c r="K91" s="134">
        <f>SUM(K94)</f>
        <v>809800</v>
      </c>
      <c r="L91" s="152">
        <v>32</v>
      </c>
    </row>
    <row r="92" spans="1:12" s="10" customFormat="1" ht="51" customHeight="1">
      <c r="A92" s="47" t="s">
        <v>441</v>
      </c>
      <c r="B92" s="71">
        <v>6080</v>
      </c>
      <c r="C92" s="74" t="s">
        <v>322</v>
      </c>
      <c r="D92" s="32" t="s">
        <v>320</v>
      </c>
      <c r="E92" s="75"/>
      <c r="F92" s="33"/>
      <c r="G92" s="33"/>
      <c r="H92" s="33"/>
      <c r="I92" s="26">
        <f>SUM(I93)</f>
        <v>809800</v>
      </c>
      <c r="J92" s="26">
        <f>SUM(J93)</f>
        <v>0</v>
      </c>
      <c r="K92" s="135">
        <f>SUM(K93)</f>
        <v>809800</v>
      </c>
      <c r="L92" s="152"/>
    </row>
    <row r="93" spans="1:12" s="10" customFormat="1" ht="117.75" customHeight="1">
      <c r="A93" s="47" t="s">
        <v>444</v>
      </c>
      <c r="B93" s="71">
        <v>6083</v>
      </c>
      <c r="C93" s="47" t="s">
        <v>322</v>
      </c>
      <c r="D93" s="76" t="s">
        <v>445</v>
      </c>
      <c r="E93" s="48"/>
      <c r="F93" s="48"/>
      <c r="G93" s="48"/>
      <c r="H93" s="48"/>
      <c r="I93" s="27">
        <v>809800</v>
      </c>
      <c r="J93" s="27"/>
      <c r="K93" s="136">
        <f>SUM(I93)+J93</f>
        <v>809800</v>
      </c>
      <c r="L93" s="152"/>
    </row>
    <row r="94" spans="1:12" s="10" customFormat="1" ht="46.5" customHeight="1">
      <c r="A94" s="47"/>
      <c r="B94" s="71"/>
      <c r="C94" s="71"/>
      <c r="D94" s="33" t="s">
        <v>456</v>
      </c>
      <c r="E94" s="48"/>
      <c r="F94" s="48"/>
      <c r="G94" s="48"/>
      <c r="H94" s="48"/>
      <c r="I94" s="27">
        <v>809800</v>
      </c>
      <c r="J94" s="27"/>
      <c r="K94" s="136">
        <f>SUM(I94)+J94</f>
        <v>809800</v>
      </c>
      <c r="L94" s="152"/>
    </row>
    <row r="95" spans="1:12" s="5" customFormat="1" ht="45" customHeight="1">
      <c r="A95" s="42" t="s">
        <v>13</v>
      </c>
      <c r="B95" s="42"/>
      <c r="C95" s="42"/>
      <c r="D95" s="56" t="s">
        <v>20</v>
      </c>
      <c r="E95" s="56"/>
      <c r="F95" s="56"/>
      <c r="G95" s="56"/>
      <c r="H95" s="56"/>
      <c r="I95" s="24">
        <f>I96</f>
        <v>3670450</v>
      </c>
      <c r="J95" s="24">
        <f>J96</f>
        <v>0</v>
      </c>
      <c r="K95" s="133">
        <f>K96</f>
        <v>3670450</v>
      </c>
      <c r="L95" s="152"/>
    </row>
    <row r="96" spans="1:12" s="6" customFormat="1" ht="42.75" customHeight="1">
      <c r="A96" s="44" t="s">
        <v>117</v>
      </c>
      <c r="B96" s="44"/>
      <c r="C96" s="44"/>
      <c r="D96" s="58" t="s">
        <v>20</v>
      </c>
      <c r="E96" s="58"/>
      <c r="F96" s="58"/>
      <c r="G96" s="58"/>
      <c r="H96" s="58"/>
      <c r="I96" s="25">
        <f>I98+I99+I100+I101+I106+I103</f>
        <v>3670450</v>
      </c>
      <c r="J96" s="25">
        <f>J98+J99+J100+J101+J106+J103</f>
        <v>0</v>
      </c>
      <c r="K96" s="134">
        <f>K98+K99+K100+K101+K106+K103</f>
        <v>3670450</v>
      </c>
      <c r="L96" s="152"/>
    </row>
    <row r="97" spans="1:12" s="6" customFormat="1" ht="39">
      <c r="A97" s="44"/>
      <c r="B97" s="44"/>
      <c r="C97" s="44"/>
      <c r="D97" s="58" t="s">
        <v>456</v>
      </c>
      <c r="E97" s="58"/>
      <c r="F97" s="58"/>
      <c r="G97" s="58"/>
      <c r="H97" s="58"/>
      <c r="I97" s="25">
        <f>I105</f>
        <v>500000</v>
      </c>
      <c r="J97" s="25">
        <f>J105</f>
        <v>0</v>
      </c>
      <c r="K97" s="134">
        <f>K105</f>
        <v>500000</v>
      </c>
      <c r="L97" s="152"/>
    </row>
    <row r="98" spans="1:12" s="7" customFormat="1" ht="90.75" customHeight="1">
      <c r="A98" s="46" t="s">
        <v>81</v>
      </c>
      <c r="B98" s="46" t="s">
        <v>66</v>
      </c>
      <c r="C98" s="46" t="s">
        <v>31</v>
      </c>
      <c r="D98" s="33" t="s">
        <v>67</v>
      </c>
      <c r="E98" s="33"/>
      <c r="F98" s="33"/>
      <c r="G98" s="33"/>
      <c r="H98" s="33"/>
      <c r="I98" s="26">
        <f>10000+850</f>
        <v>10850</v>
      </c>
      <c r="J98" s="26"/>
      <c r="K98" s="135">
        <f>J98+I98</f>
        <v>10850</v>
      </c>
      <c r="L98" s="152"/>
    </row>
    <row r="99" spans="1:12" s="7" customFormat="1" ht="78" customHeight="1">
      <c r="A99" s="46" t="s">
        <v>138</v>
      </c>
      <c r="B99" s="46" t="s">
        <v>41</v>
      </c>
      <c r="C99" s="46" t="s">
        <v>40</v>
      </c>
      <c r="D99" s="33" t="s">
        <v>5</v>
      </c>
      <c r="E99" s="33"/>
      <c r="F99" s="33"/>
      <c r="G99" s="33"/>
      <c r="H99" s="33"/>
      <c r="I99" s="26">
        <v>197300</v>
      </c>
      <c r="J99" s="26"/>
      <c r="K99" s="135">
        <f>J99+I99</f>
        <v>197300</v>
      </c>
      <c r="L99" s="152"/>
    </row>
    <row r="100" spans="1:12" s="7" customFormat="1" ht="21" customHeight="1">
      <c r="A100" s="46" t="s">
        <v>118</v>
      </c>
      <c r="B100" s="46" t="s">
        <v>47</v>
      </c>
      <c r="C100" s="46" t="s">
        <v>48</v>
      </c>
      <c r="D100" s="33" t="s">
        <v>4</v>
      </c>
      <c r="E100" s="33"/>
      <c r="F100" s="33"/>
      <c r="G100" s="33"/>
      <c r="H100" s="33"/>
      <c r="I100" s="26">
        <f>300000+850050+70100+10000+20000</f>
        <v>1250150</v>
      </c>
      <c r="J100" s="26"/>
      <c r="K100" s="135">
        <f>J100+I100</f>
        <v>1250150</v>
      </c>
      <c r="L100" s="152"/>
    </row>
    <row r="101" spans="1:12" s="7" customFormat="1" ht="48" customHeight="1">
      <c r="A101" s="46" t="s">
        <v>119</v>
      </c>
      <c r="B101" s="46" t="s">
        <v>6</v>
      </c>
      <c r="C101" s="46"/>
      <c r="D101" s="33" t="s">
        <v>7</v>
      </c>
      <c r="E101" s="33"/>
      <c r="F101" s="33"/>
      <c r="G101" s="33"/>
      <c r="H101" s="33"/>
      <c r="I101" s="26">
        <f>I102</f>
        <v>49150</v>
      </c>
      <c r="J101" s="26">
        <f>J102</f>
        <v>0</v>
      </c>
      <c r="K101" s="135">
        <f>K102</f>
        <v>49150</v>
      </c>
      <c r="L101" s="152"/>
    </row>
    <row r="102" spans="1:12" s="10" customFormat="1" ht="56.25">
      <c r="A102" s="47" t="s">
        <v>226</v>
      </c>
      <c r="B102" s="47" t="s">
        <v>217</v>
      </c>
      <c r="C102" s="47" t="s">
        <v>49</v>
      </c>
      <c r="D102" s="48" t="s">
        <v>218</v>
      </c>
      <c r="E102" s="48"/>
      <c r="F102" s="48"/>
      <c r="G102" s="48"/>
      <c r="H102" s="48"/>
      <c r="I102" s="27">
        <f>50000-850</f>
        <v>49150</v>
      </c>
      <c r="J102" s="27"/>
      <c r="K102" s="136">
        <f>J102+I102</f>
        <v>49150</v>
      </c>
      <c r="L102" s="152"/>
    </row>
    <row r="103" spans="1:12" s="10" customFormat="1" ht="18.75">
      <c r="A103" s="46" t="s">
        <v>418</v>
      </c>
      <c r="B103" s="46" t="s">
        <v>290</v>
      </c>
      <c r="C103" s="46"/>
      <c r="D103" s="33" t="s">
        <v>291</v>
      </c>
      <c r="E103" s="48"/>
      <c r="F103" s="48"/>
      <c r="G103" s="48"/>
      <c r="H103" s="48"/>
      <c r="I103" s="26">
        <f>I104</f>
        <v>515000</v>
      </c>
      <c r="J103" s="26">
        <f>J104</f>
        <v>0</v>
      </c>
      <c r="K103" s="135">
        <f>K104</f>
        <v>515000</v>
      </c>
      <c r="L103" s="152"/>
    </row>
    <row r="104" spans="1:12" s="10" customFormat="1" ht="75">
      <c r="A104" s="47" t="s">
        <v>419</v>
      </c>
      <c r="B104" s="47" t="s">
        <v>298</v>
      </c>
      <c r="C104" s="47" t="s">
        <v>52</v>
      </c>
      <c r="D104" s="48" t="s">
        <v>288</v>
      </c>
      <c r="E104" s="48"/>
      <c r="F104" s="48"/>
      <c r="G104" s="48"/>
      <c r="H104" s="48"/>
      <c r="I104" s="27">
        <v>515000</v>
      </c>
      <c r="J104" s="27"/>
      <c r="K104" s="136">
        <f>J104+I104</f>
        <v>515000</v>
      </c>
      <c r="L104" s="152"/>
    </row>
    <row r="105" spans="1:12" s="10" customFormat="1" ht="37.5">
      <c r="A105" s="47"/>
      <c r="B105" s="47"/>
      <c r="C105" s="47"/>
      <c r="D105" s="48" t="s">
        <v>456</v>
      </c>
      <c r="E105" s="48"/>
      <c r="F105" s="48"/>
      <c r="G105" s="48"/>
      <c r="H105" s="48"/>
      <c r="I105" s="27">
        <v>500000</v>
      </c>
      <c r="J105" s="27"/>
      <c r="K105" s="136">
        <f>J105+I105</f>
        <v>500000</v>
      </c>
      <c r="L105" s="152"/>
    </row>
    <row r="106" spans="1:12" s="7" customFormat="1" ht="24.75" customHeight="1">
      <c r="A106" s="46" t="s">
        <v>85</v>
      </c>
      <c r="B106" s="46" t="s">
        <v>2</v>
      </c>
      <c r="C106" s="46" t="s">
        <v>53</v>
      </c>
      <c r="D106" s="33" t="s">
        <v>22</v>
      </c>
      <c r="E106" s="33"/>
      <c r="F106" s="33"/>
      <c r="G106" s="33"/>
      <c r="H106" s="33"/>
      <c r="I106" s="26">
        <v>1648000</v>
      </c>
      <c r="J106" s="26"/>
      <c r="K106" s="135">
        <f>J106+I106</f>
        <v>1648000</v>
      </c>
      <c r="L106" s="152"/>
    </row>
    <row r="107" spans="1:12" s="5" customFormat="1" ht="42" customHeight="1">
      <c r="A107" s="42" t="s">
        <v>120</v>
      </c>
      <c r="B107" s="42"/>
      <c r="C107" s="42"/>
      <c r="D107" s="56" t="s">
        <v>21</v>
      </c>
      <c r="E107" s="56"/>
      <c r="F107" s="56"/>
      <c r="G107" s="56"/>
      <c r="H107" s="56"/>
      <c r="I107" s="24">
        <f>I108</f>
        <v>153109014.54000002</v>
      </c>
      <c r="J107" s="24">
        <f>J108</f>
        <v>-89000</v>
      </c>
      <c r="K107" s="133">
        <f>K108</f>
        <v>153020014.54000002</v>
      </c>
      <c r="L107" s="152"/>
    </row>
    <row r="108" spans="1:12" s="6" customFormat="1" ht="48.75" customHeight="1">
      <c r="A108" s="44" t="s">
        <v>121</v>
      </c>
      <c r="B108" s="44"/>
      <c r="C108" s="44"/>
      <c r="D108" s="58" t="s">
        <v>21</v>
      </c>
      <c r="E108" s="58"/>
      <c r="F108" s="58"/>
      <c r="G108" s="58"/>
      <c r="H108" s="58"/>
      <c r="I108" s="25">
        <f>I110+I111+I116+I157+I175+I117+I146+I160</f>
        <v>153109014.54000002</v>
      </c>
      <c r="J108" s="25">
        <f>J110+J111+J116+J157+J175+J117+J146+J160</f>
        <v>-89000</v>
      </c>
      <c r="K108" s="134">
        <f>K110+K111+K116+K157+K175+K117+K146+K160</f>
        <v>153020014.54000002</v>
      </c>
      <c r="L108" s="152"/>
    </row>
    <row r="109" spans="1:12" s="6" customFormat="1" ht="39">
      <c r="A109" s="44"/>
      <c r="B109" s="44"/>
      <c r="C109" s="44"/>
      <c r="D109" s="58" t="s">
        <v>456</v>
      </c>
      <c r="E109" s="58"/>
      <c r="F109" s="58"/>
      <c r="G109" s="58"/>
      <c r="H109" s="58"/>
      <c r="I109" s="25">
        <f>I164</f>
        <v>4242868.85</v>
      </c>
      <c r="J109" s="25">
        <f>J164</f>
        <v>0</v>
      </c>
      <c r="K109" s="134">
        <f>J109+I109</f>
        <v>4242868.85</v>
      </c>
      <c r="L109" s="152"/>
    </row>
    <row r="110" spans="1:12" s="7" customFormat="1" ht="70.5" customHeight="1">
      <c r="A110" s="46" t="s">
        <v>122</v>
      </c>
      <c r="B110" s="46" t="s">
        <v>66</v>
      </c>
      <c r="C110" s="46" t="s">
        <v>31</v>
      </c>
      <c r="D110" s="33" t="s">
        <v>67</v>
      </c>
      <c r="E110" s="33"/>
      <c r="F110" s="33"/>
      <c r="G110" s="33"/>
      <c r="H110" s="33"/>
      <c r="I110" s="26">
        <f>200000-137500</f>
        <v>62500</v>
      </c>
      <c r="J110" s="26"/>
      <c r="K110" s="135">
        <f>J110+I110</f>
        <v>62500</v>
      </c>
      <c r="L110" s="152">
        <v>33</v>
      </c>
    </row>
    <row r="111" spans="1:12" s="7" customFormat="1" ht="60" customHeight="1">
      <c r="A111" s="46" t="s">
        <v>123</v>
      </c>
      <c r="B111" s="46" t="s">
        <v>45</v>
      </c>
      <c r="C111" s="46"/>
      <c r="D111" s="33" t="s">
        <v>75</v>
      </c>
      <c r="E111" s="33"/>
      <c r="F111" s="33"/>
      <c r="G111" s="33"/>
      <c r="H111" s="33"/>
      <c r="I111" s="26">
        <f>I112+I114+I113+I115</f>
        <v>66660581.6</v>
      </c>
      <c r="J111" s="26">
        <f>J112+J114+J113+J115</f>
        <v>0</v>
      </c>
      <c r="K111" s="135">
        <f>K112+K114+K113+K115</f>
        <v>66660581.6</v>
      </c>
      <c r="L111" s="152"/>
    </row>
    <row r="112" spans="1:12" s="10" customFormat="1" ht="37.5">
      <c r="A112" s="47" t="s">
        <v>124</v>
      </c>
      <c r="B112" s="47" t="s">
        <v>76</v>
      </c>
      <c r="C112" s="47" t="s">
        <v>46</v>
      </c>
      <c r="D112" s="48" t="s">
        <v>77</v>
      </c>
      <c r="E112" s="48"/>
      <c r="F112" s="48"/>
      <c r="G112" s="48"/>
      <c r="H112" s="48"/>
      <c r="I112" s="27">
        <f>33000738+145000+972000</f>
        <v>34117738</v>
      </c>
      <c r="J112" s="27"/>
      <c r="K112" s="136">
        <f>J112+I112</f>
        <v>34117738</v>
      </c>
      <c r="L112" s="152"/>
    </row>
    <row r="113" spans="1:12" s="10" customFormat="1" ht="51" customHeight="1">
      <c r="A113" s="47" t="s">
        <v>278</v>
      </c>
      <c r="B113" s="47" t="s">
        <v>279</v>
      </c>
      <c r="C113" s="47" t="s">
        <v>46</v>
      </c>
      <c r="D113" s="76" t="s">
        <v>280</v>
      </c>
      <c r="E113" s="48"/>
      <c r="F113" s="48"/>
      <c r="G113" s="48"/>
      <c r="H113" s="48"/>
      <c r="I113" s="27">
        <f>222622+320000-163158.4</f>
        <v>379463.6</v>
      </c>
      <c r="J113" s="27"/>
      <c r="K113" s="136">
        <f>J113+I113</f>
        <v>379463.6</v>
      </c>
      <c r="L113" s="152"/>
    </row>
    <row r="114" spans="1:12" s="10" customFormat="1" ht="45" customHeight="1">
      <c r="A114" s="47" t="s">
        <v>145</v>
      </c>
      <c r="B114" s="47" t="s">
        <v>146</v>
      </c>
      <c r="C114" s="47" t="s">
        <v>46</v>
      </c>
      <c r="D114" s="48" t="s">
        <v>147</v>
      </c>
      <c r="E114" s="48"/>
      <c r="F114" s="48"/>
      <c r="G114" s="48"/>
      <c r="H114" s="48"/>
      <c r="I114" s="27">
        <v>29957400</v>
      </c>
      <c r="J114" s="27"/>
      <c r="K114" s="136">
        <f>J114+I114</f>
        <v>29957400</v>
      </c>
      <c r="L114" s="152"/>
    </row>
    <row r="115" spans="1:12" s="10" customFormat="1" ht="67.5" customHeight="1">
      <c r="A115" s="47" t="s">
        <v>281</v>
      </c>
      <c r="B115" s="47" t="s">
        <v>282</v>
      </c>
      <c r="C115" s="47" t="s">
        <v>46</v>
      </c>
      <c r="D115" s="48" t="s">
        <v>283</v>
      </c>
      <c r="E115" s="48"/>
      <c r="F115" s="48"/>
      <c r="G115" s="48"/>
      <c r="H115" s="48"/>
      <c r="I115" s="27">
        <f>2178000+27980</f>
        <v>2205980</v>
      </c>
      <c r="J115" s="27"/>
      <c r="K115" s="136">
        <f>J115+I115</f>
        <v>2205980</v>
      </c>
      <c r="L115" s="152"/>
    </row>
    <row r="116" spans="1:12" s="7" customFormat="1" ht="37.5" customHeight="1">
      <c r="A116" s="46" t="s">
        <v>125</v>
      </c>
      <c r="B116" s="46" t="s">
        <v>78</v>
      </c>
      <c r="C116" s="46" t="s">
        <v>46</v>
      </c>
      <c r="D116" s="33" t="s">
        <v>79</v>
      </c>
      <c r="E116" s="33"/>
      <c r="F116" s="33"/>
      <c r="G116" s="33"/>
      <c r="H116" s="33"/>
      <c r="I116" s="26">
        <f>42609180.35-1625256-198832</f>
        <v>40785092.35</v>
      </c>
      <c r="J116" s="26">
        <f>-89000</f>
        <v>-89000</v>
      </c>
      <c r="K116" s="135">
        <f>J116+I116</f>
        <v>40696092.35</v>
      </c>
      <c r="L116" s="152"/>
    </row>
    <row r="117" spans="1:12" s="7" customFormat="1" ht="42" customHeight="1">
      <c r="A117" s="46" t="s">
        <v>154</v>
      </c>
      <c r="B117" s="46" t="s">
        <v>155</v>
      </c>
      <c r="C117" s="46" t="s">
        <v>57</v>
      </c>
      <c r="D117" s="56" t="s">
        <v>162</v>
      </c>
      <c r="E117" s="33"/>
      <c r="F117" s="33"/>
      <c r="G117" s="33"/>
      <c r="H117" s="33"/>
      <c r="I117" s="24">
        <f>I118+I125+I136+I144</f>
        <v>24115761.13</v>
      </c>
      <c r="J117" s="24">
        <f>J118+J125+J136+J144</f>
        <v>0</v>
      </c>
      <c r="K117" s="133">
        <f>K118+K125+K136+K144</f>
        <v>24115761.13</v>
      </c>
      <c r="L117" s="152"/>
    </row>
    <row r="118" spans="1:12" s="7" customFormat="1" ht="27.75" customHeight="1">
      <c r="A118" s="46"/>
      <c r="B118" s="46"/>
      <c r="C118" s="46"/>
      <c r="D118" s="33"/>
      <c r="E118" s="77" t="s">
        <v>168</v>
      </c>
      <c r="F118" s="33"/>
      <c r="G118" s="33"/>
      <c r="H118" s="33"/>
      <c r="I118" s="24">
        <f>SUM(I119:I124)</f>
        <v>2151077</v>
      </c>
      <c r="J118" s="24">
        <f>SUM(J119:J124)</f>
        <v>0</v>
      </c>
      <c r="K118" s="133">
        <f>SUM(K119:K124)</f>
        <v>2151077</v>
      </c>
      <c r="L118" s="152"/>
    </row>
    <row r="119" spans="1:12" s="7" customFormat="1" ht="98.25" customHeight="1">
      <c r="A119" s="46"/>
      <c r="B119" s="46"/>
      <c r="C119" s="46"/>
      <c r="D119" s="33"/>
      <c r="E119" s="75" t="s">
        <v>328</v>
      </c>
      <c r="F119" s="33"/>
      <c r="G119" s="33"/>
      <c r="H119" s="33"/>
      <c r="I119" s="26">
        <f>650000-395107</f>
        <v>254893</v>
      </c>
      <c r="J119" s="26"/>
      <c r="K119" s="135">
        <f aca="true" t="shared" si="3" ref="K119:K124">J119+I119</f>
        <v>254893</v>
      </c>
      <c r="L119" s="152"/>
    </row>
    <row r="120" spans="1:12" s="7" customFormat="1" ht="135" customHeight="1">
      <c r="A120" s="46"/>
      <c r="B120" s="46"/>
      <c r="C120" s="46"/>
      <c r="D120" s="33"/>
      <c r="E120" s="75" t="s">
        <v>404</v>
      </c>
      <c r="F120" s="33"/>
      <c r="G120" s="33"/>
      <c r="H120" s="33"/>
      <c r="I120" s="26">
        <f>350000-11980</f>
        <v>338020</v>
      </c>
      <c r="J120" s="26"/>
      <c r="K120" s="135">
        <f t="shared" si="3"/>
        <v>338020</v>
      </c>
      <c r="L120" s="152"/>
    </row>
    <row r="121" spans="1:12" s="7" customFormat="1" ht="85.5" customHeight="1">
      <c r="A121" s="46"/>
      <c r="B121" s="46"/>
      <c r="C121" s="46"/>
      <c r="D121" s="33"/>
      <c r="E121" s="75" t="s">
        <v>386</v>
      </c>
      <c r="F121" s="33"/>
      <c r="G121" s="33"/>
      <c r="H121" s="33"/>
      <c r="I121" s="26">
        <f>350000-70000</f>
        <v>280000</v>
      </c>
      <c r="J121" s="26"/>
      <c r="K121" s="135">
        <f t="shared" si="3"/>
        <v>280000</v>
      </c>
      <c r="L121" s="152"/>
    </row>
    <row r="122" spans="1:12" s="7" customFormat="1" ht="88.5" customHeight="1">
      <c r="A122" s="46"/>
      <c r="B122" s="46"/>
      <c r="C122" s="46"/>
      <c r="D122" s="33"/>
      <c r="E122" s="75" t="s">
        <v>387</v>
      </c>
      <c r="F122" s="33"/>
      <c r="G122" s="33"/>
      <c r="H122" s="33"/>
      <c r="I122" s="26">
        <f>250000-141836</f>
        <v>108164</v>
      </c>
      <c r="J122" s="26"/>
      <c r="K122" s="135">
        <f t="shared" si="3"/>
        <v>108164</v>
      </c>
      <c r="L122" s="152"/>
    </row>
    <row r="123" spans="1:12" s="7" customFormat="1" ht="79.5" customHeight="1">
      <c r="A123" s="46"/>
      <c r="B123" s="46"/>
      <c r="C123" s="46"/>
      <c r="D123" s="33"/>
      <c r="E123" s="75" t="s">
        <v>326</v>
      </c>
      <c r="F123" s="33"/>
      <c r="G123" s="33"/>
      <c r="H123" s="33"/>
      <c r="I123" s="26">
        <f>1300000-330000</f>
        <v>970000</v>
      </c>
      <c r="J123" s="26"/>
      <c r="K123" s="135">
        <f t="shared" si="3"/>
        <v>970000</v>
      </c>
      <c r="L123" s="152">
        <v>34</v>
      </c>
    </row>
    <row r="124" spans="1:12" s="7" customFormat="1" ht="79.5" customHeight="1">
      <c r="A124" s="46"/>
      <c r="B124" s="46"/>
      <c r="C124" s="46"/>
      <c r="D124" s="33"/>
      <c r="E124" s="78" t="s">
        <v>349</v>
      </c>
      <c r="F124" s="33"/>
      <c r="G124" s="33"/>
      <c r="H124" s="33"/>
      <c r="I124" s="26">
        <f>1980000-1780000</f>
        <v>200000</v>
      </c>
      <c r="J124" s="26"/>
      <c r="K124" s="135">
        <f t="shared" si="3"/>
        <v>200000</v>
      </c>
      <c r="L124" s="152"/>
    </row>
    <row r="125" spans="1:12" s="7" customFormat="1" ht="51" customHeight="1">
      <c r="A125" s="46"/>
      <c r="B125" s="46"/>
      <c r="C125" s="46"/>
      <c r="D125" s="33"/>
      <c r="E125" s="77" t="s">
        <v>212</v>
      </c>
      <c r="F125" s="33"/>
      <c r="G125" s="33"/>
      <c r="H125" s="33"/>
      <c r="I125" s="24">
        <f>SUM(I126:I135)</f>
        <v>1784500</v>
      </c>
      <c r="J125" s="24">
        <f>SUM(J126:J135)</f>
        <v>0</v>
      </c>
      <c r="K125" s="133">
        <f>SUM(K126:K135)</f>
        <v>1784500</v>
      </c>
      <c r="L125" s="152"/>
    </row>
    <row r="126" spans="1:12" s="7" customFormat="1" ht="48" customHeight="1">
      <c r="A126" s="46"/>
      <c r="B126" s="46"/>
      <c r="C126" s="46"/>
      <c r="D126" s="33"/>
      <c r="E126" s="33" t="s">
        <v>214</v>
      </c>
      <c r="F126" s="33"/>
      <c r="G126" s="33"/>
      <c r="H126" s="33"/>
      <c r="I126" s="26">
        <f>50000-15000+129000-2338</f>
        <v>161662</v>
      </c>
      <c r="J126" s="26"/>
      <c r="K126" s="135">
        <f aca="true" t="shared" si="4" ref="K126:K135">J126+I126</f>
        <v>161662</v>
      </c>
      <c r="L126" s="152"/>
    </row>
    <row r="127" spans="1:12" s="7" customFormat="1" ht="96" customHeight="1">
      <c r="A127" s="46"/>
      <c r="B127" s="46"/>
      <c r="C127" s="46"/>
      <c r="D127" s="33"/>
      <c r="E127" s="33" t="s">
        <v>451</v>
      </c>
      <c r="F127" s="33"/>
      <c r="G127" s="33"/>
      <c r="H127" s="33"/>
      <c r="I127" s="26">
        <f>10000+134003</f>
        <v>144003</v>
      </c>
      <c r="J127" s="26"/>
      <c r="K127" s="135">
        <f t="shared" si="4"/>
        <v>144003</v>
      </c>
      <c r="L127" s="152"/>
    </row>
    <row r="128" spans="1:12" s="7" customFormat="1" ht="99" customHeight="1">
      <c r="A128" s="46"/>
      <c r="B128" s="46"/>
      <c r="C128" s="46"/>
      <c r="D128" s="33"/>
      <c r="E128" s="33" t="s">
        <v>450</v>
      </c>
      <c r="F128" s="33"/>
      <c r="G128" s="33"/>
      <c r="H128" s="33"/>
      <c r="I128" s="26">
        <f>50000-15000-25000</f>
        <v>10000</v>
      </c>
      <c r="J128" s="26"/>
      <c r="K128" s="135">
        <f t="shared" si="4"/>
        <v>10000</v>
      </c>
      <c r="L128" s="152"/>
    </row>
    <row r="129" spans="1:12" s="7" customFormat="1" ht="99.75" customHeight="1">
      <c r="A129" s="46"/>
      <c r="B129" s="46"/>
      <c r="C129" s="46"/>
      <c r="D129" s="33"/>
      <c r="E129" s="33" t="s">
        <v>453</v>
      </c>
      <c r="F129" s="33"/>
      <c r="G129" s="33"/>
      <c r="H129" s="33"/>
      <c r="I129" s="26">
        <f>9550+208588</f>
        <v>218138</v>
      </c>
      <c r="J129" s="26"/>
      <c r="K129" s="135">
        <f t="shared" si="4"/>
        <v>218138</v>
      </c>
      <c r="L129" s="152"/>
    </row>
    <row r="130" spans="1:12" s="7" customFormat="1" ht="66" customHeight="1">
      <c r="A130" s="46"/>
      <c r="B130" s="46"/>
      <c r="C130" s="46"/>
      <c r="D130" s="33"/>
      <c r="E130" s="33" t="s">
        <v>388</v>
      </c>
      <c r="F130" s="33"/>
      <c r="G130" s="33"/>
      <c r="H130" s="33"/>
      <c r="I130" s="26">
        <f>111000-3008</f>
        <v>107992</v>
      </c>
      <c r="J130" s="26"/>
      <c r="K130" s="135">
        <f t="shared" si="4"/>
        <v>107992</v>
      </c>
      <c r="L130" s="152"/>
    </row>
    <row r="131" spans="1:12" s="7" customFormat="1" ht="102" customHeight="1">
      <c r="A131" s="46"/>
      <c r="B131" s="46"/>
      <c r="C131" s="46"/>
      <c r="D131" s="33"/>
      <c r="E131" s="33" t="s">
        <v>454</v>
      </c>
      <c r="F131" s="33"/>
      <c r="G131" s="33"/>
      <c r="H131" s="33"/>
      <c r="I131" s="26">
        <f>50000-15000-25450+134003</f>
        <v>143553</v>
      </c>
      <c r="J131" s="26"/>
      <c r="K131" s="135">
        <f t="shared" si="4"/>
        <v>143553</v>
      </c>
      <c r="L131" s="152"/>
    </row>
    <row r="132" spans="1:12" s="7" customFormat="1" ht="63" customHeight="1">
      <c r="A132" s="46"/>
      <c r="B132" s="46"/>
      <c r="C132" s="46"/>
      <c r="D132" s="33"/>
      <c r="E132" s="33" t="s">
        <v>213</v>
      </c>
      <c r="F132" s="33"/>
      <c r="G132" s="33"/>
      <c r="H132" s="33"/>
      <c r="I132" s="26">
        <v>123900</v>
      </c>
      <c r="J132" s="26"/>
      <c r="K132" s="135">
        <f t="shared" si="4"/>
        <v>123900</v>
      </c>
      <c r="L132" s="152"/>
    </row>
    <row r="133" spans="1:12" s="7" customFormat="1" ht="111" customHeight="1">
      <c r="A133" s="46"/>
      <c r="B133" s="46"/>
      <c r="C133" s="46"/>
      <c r="D133" s="33"/>
      <c r="E133" s="33" t="s">
        <v>452</v>
      </c>
      <c r="F133" s="33"/>
      <c r="G133" s="33"/>
      <c r="H133" s="33"/>
      <c r="I133" s="26">
        <f>33000-3000-20000</f>
        <v>10000</v>
      </c>
      <c r="J133" s="26"/>
      <c r="K133" s="135">
        <f t="shared" si="4"/>
        <v>10000</v>
      </c>
      <c r="L133" s="152"/>
    </row>
    <row r="134" spans="1:12" s="7" customFormat="1" ht="103.5" customHeight="1">
      <c r="A134" s="46"/>
      <c r="B134" s="46"/>
      <c r="C134" s="46"/>
      <c r="D134" s="33"/>
      <c r="E134" s="33" t="s">
        <v>455</v>
      </c>
      <c r="F134" s="33"/>
      <c r="G134" s="33"/>
      <c r="H134" s="33"/>
      <c r="I134" s="26">
        <f>48000+522252</f>
        <v>570252</v>
      </c>
      <c r="J134" s="26"/>
      <c r="K134" s="135">
        <f t="shared" si="4"/>
        <v>570252</v>
      </c>
      <c r="L134" s="152">
        <v>35</v>
      </c>
    </row>
    <row r="135" spans="1:12" s="7" customFormat="1" ht="94.5" customHeight="1">
      <c r="A135" s="46"/>
      <c r="B135" s="46"/>
      <c r="C135" s="46"/>
      <c r="D135" s="33"/>
      <c r="E135" s="33" t="s">
        <v>327</v>
      </c>
      <c r="F135" s="33"/>
      <c r="G135" s="33"/>
      <c r="H135" s="33"/>
      <c r="I135" s="26">
        <v>295000</v>
      </c>
      <c r="J135" s="26"/>
      <c r="K135" s="135">
        <f t="shared" si="4"/>
        <v>295000</v>
      </c>
      <c r="L135" s="152"/>
    </row>
    <row r="136" spans="1:12" s="7" customFormat="1" ht="24.75" customHeight="1">
      <c r="A136" s="46"/>
      <c r="B136" s="46"/>
      <c r="C136" s="46"/>
      <c r="D136" s="33"/>
      <c r="E136" s="56" t="s">
        <v>241</v>
      </c>
      <c r="F136" s="33"/>
      <c r="G136" s="33"/>
      <c r="H136" s="33"/>
      <c r="I136" s="24">
        <f>SUM(I137:I143)</f>
        <v>17292334</v>
      </c>
      <c r="J136" s="24">
        <f>SUM(J137:J143)</f>
        <v>0</v>
      </c>
      <c r="K136" s="133">
        <f>SUM(K137:K143)</f>
        <v>17292334</v>
      </c>
      <c r="L136" s="152"/>
    </row>
    <row r="137" spans="1:12" s="7" customFormat="1" ht="82.5" customHeight="1">
      <c r="A137" s="46"/>
      <c r="B137" s="46"/>
      <c r="C137" s="46"/>
      <c r="D137" s="33"/>
      <c r="E137" s="33" t="s">
        <v>210</v>
      </c>
      <c r="F137" s="33"/>
      <c r="G137" s="33"/>
      <c r="H137" s="33"/>
      <c r="I137" s="26">
        <f>250000-22297</f>
        <v>227703</v>
      </c>
      <c r="J137" s="26"/>
      <c r="K137" s="135">
        <f aca="true" t="shared" si="5" ref="K137:K143">J137+I137</f>
        <v>227703</v>
      </c>
      <c r="L137" s="152"/>
    </row>
    <row r="138" spans="1:12" s="7" customFormat="1" ht="117" customHeight="1">
      <c r="A138" s="46"/>
      <c r="B138" s="46"/>
      <c r="C138" s="46"/>
      <c r="D138" s="33"/>
      <c r="E138" s="33" t="s">
        <v>336</v>
      </c>
      <c r="F138" s="33"/>
      <c r="G138" s="33"/>
      <c r="H138" s="33"/>
      <c r="I138" s="26">
        <f>250000-71</f>
        <v>249929</v>
      </c>
      <c r="J138" s="26"/>
      <c r="K138" s="135">
        <f t="shared" si="5"/>
        <v>249929</v>
      </c>
      <c r="L138" s="152"/>
    </row>
    <row r="139" spans="1:12" s="7" customFormat="1" ht="81" customHeight="1">
      <c r="A139" s="46"/>
      <c r="B139" s="46"/>
      <c r="C139" s="46"/>
      <c r="D139" s="33"/>
      <c r="E139" s="33" t="s">
        <v>337</v>
      </c>
      <c r="F139" s="33"/>
      <c r="G139" s="33"/>
      <c r="H139" s="33"/>
      <c r="I139" s="26">
        <f>240000-2337</f>
        <v>237663</v>
      </c>
      <c r="J139" s="26"/>
      <c r="K139" s="135">
        <f t="shared" si="5"/>
        <v>237663</v>
      </c>
      <c r="L139" s="152"/>
    </row>
    <row r="140" spans="1:12" s="7" customFormat="1" ht="99" customHeight="1">
      <c r="A140" s="46"/>
      <c r="B140" s="46"/>
      <c r="C140" s="46"/>
      <c r="D140" s="33"/>
      <c r="E140" s="33" t="s">
        <v>338</v>
      </c>
      <c r="F140" s="33"/>
      <c r="G140" s="33"/>
      <c r="H140" s="33"/>
      <c r="I140" s="26">
        <f>240000-23491</f>
        <v>216509</v>
      </c>
      <c r="J140" s="26"/>
      <c r="K140" s="135">
        <f t="shared" si="5"/>
        <v>216509</v>
      </c>
      <c r="L140" s="152"/>
    </row>
    <row r="141" spans="1:12" s="7" customFormat="1" ht="99" customHeight="1">
      <c r="A141" s="46"/>
      <c r="B141" s="46"/>
      <c r="C141" s="46"/>
      <c r="D141" s="33"/>
      <c r="E141" s="33" t="s">
        <v>405</v>
      </c>
      <c r="F141" s="33"/>
      <c r="G141" s="33"/>
      <c r="H141" s="33"/>
      <c r="I141" s="26">
        <f>14991530-100000</f>
        <v>14891530</v>
      </c>
      <c r="J141" s="26"/>
      <c r="K141" s="135">
        <f t="shared" si="5"/>
        <v>14891530</v>
      </c>
      <c r="L141" s="152"/>
    </row>
    <row r="142" spans="1:12" s="7" customFormat="1" ht="66" customHeight="1">
      <c r="A142" s="46"/>
      <c r="B142" s="46"/>
      <c r="C142" s="46"/>
      <c r="D142" s="33"/>
      <c r="E142" s="33" t="s">
        <v>403</v>
      </c>
      <c r="F142" s="33"/>
      <c r="G142" s="33"/>
      <c r="H142" s="33"/>
      <c r="I142" s="26">
        <f>200000+1000000</f>
        <v>1200000</v>
      </c>
      <c r="J142" s="26"/>
      <c r="K142" s="135">
        <f t="shared" si="5"/>
        <v>1200000</v>
      </c>
      <c r="L142" s="152"/>
    </row>
    <row r="143" spans="1:12" s="7" customFormat="1" ht="72" customHeight="1">
      <c r="A143" s="46"/>
      <c r="B143" s="46"/>
      <c r="C143" s="46"/>
      <c r="D143" s="33"/>
      <c r="E143" s="33" t="s">
        <v>346</v>
      </c>
      <c r="F143" s="33"/>
      <c r="G143" s="33"/>
      <c r="H143" s="33"/>
      <c r="I143" s="26">
        <v>269000</v>
      </c>
      <c r="J143" s="26"/>
      <c r="K143" s="135">
        <f t="shared" si="5"/>
        <v>269000</v>
      </c>
      <c r="L143" s="152"/>
    </row>
    <row r="144" spans="1:12" s="7" customFormat="1" ht="85.5" customHeight="1">
      <c r="A144" s="46"/>
      <c r="B144" s="46"/>
      <c r="C144" s="46"/>
      <c r="D144" s="33"/>
      <c r="E144" s="56" t="s">
        <v>465</v>
      </c>
      <c r="F144" s="33"/>
      <c r="G144" s="33"/>
      <c r="H144" s="33"/>
      <c r="I144" s="24">
        <f>I145</f>
        <v>2887850.13</v>
      </c>
      <c r="J144" s="24">
        <f>J145</f>
        <v>0</v>
      </c>
      <c r="K144" s="133">
        <f>K145</f>
        <v>2887850.13</v>
      </c>
      <c r="L144" s="152">
        <v>36</v>
      </c>
    </row>
    <row r="145" spans="1:12" s="7" customFormat="1" ht="107.25" customHeight="1">
      <c r="A145" s="46"/>
      <c r="B145" s="46"/>
      <c r="C145" s="46"/>
      <c r="D145" s="33"/>
      <c r="E145" s="33" t="s">
        <v>299</v>
      </c>
      <c r="F145" s="33"/>
      <c r="G145" s="33"/>
      <c r="H145" s="33"/>
      <c r="I145" s="26">
        <v>2887850.13</v>
      </c>
      <c r="J145" s="26"/>
      <c r="K145" s="135">
        <f>J145+I145</f>
        <v>2887850.13</v>
      </c>
      <c r="L145" s="152"/>
    </row>
    <row r="146" spans="1:12" s="7" customFormat="1" ht="67.5" customHeight="1">
      <c r="A146" s="46" t="s">
        <v>156</v>
      </c>
      <c r="B146" s="46" t="s">
        <v>157</v>
      </c>
      <c r="C146" s="46" t="s">
        <v>57</v>
      </c>
      <c r="D146" s="56" t="s">
        <v>163</v>
      </c>
      <c r="E146" s="33"/>
      <c r="F146" s="33"/>
      <c r="G146" s="33"/>
      <c r="H146" s="33"/>
      <c r="I146" s="24">
        <f>I147+I153</f>
        <v>6498315</v>
      </c>
      <c r="J146" s="24">
        <f>J147+J153</f>
        <v>0</v>
      </c>
      <c r="K146" s="133">
        <f>K147+K153</f>
        <v>6498315</v>
      </c>
      <c r="L146" s="152"/>
    </row>
    <row r="147" spans="1:12" s="7" customFormat="1" ht="22.5" customHeight="1">
      <c r="A147" s="46"/>
      <c r="B147" s="46"/>
      <c r="C147" s="46"/>
      <c r="D147" s="33"/>
      <c r="E147" s="77" t="s">
        <v>168</v>
      </c>
      <c r="F147" s="33"/>
      <c r="G147" s="33"/>
      <c r="H147" s="33"/>
      <c r="I147" s="24">
        <f>I148+I149+I150+I152+I151</f>
        <v>3659785</v>
      </c>
      <c r="J147" s="24">
        <f>J148+J149+J150+J152+J151</f>
        <v>0</v>
      </c>
      <c r="K147" s="133">
        <f>K148+K149+K150+K152+K151</f>
        <v>3659785</v>
      </c>
      <c r="L147" s="152"/>
    </row>
    <row r="148" spans="1:12" s="7" customFormat="1" ht="44.25" customHeight="1">
      <c r="A148" s="46"/>
      <c r="B148" s="46"/>
      <c r="C148" s="46"/>
      <c r="D148" s="33"/>
      <c r="E148" s="79" t="s">
        <v>237</v>
      </c>
      <c r="F148" s="33"/>
      <c r="G148" s="33"/>
      <c r="H148" s="33"/>
      <c r="I148" s="26">
        <f>335000-191961</f>
        <v>143039</v>
      </c>
      <c r="J148" s="26"/>
      <c r="K148" s="135">
        <f>J148+I148</f>
        <v>143039</v>
      </c>
      <c r="L148" s="152"/>
    </row>
    <row r="149" spans="1:12" s="7" customFormat="1" ht="67.5" customHeight="1">
      <c r="A149" s="46"/>
      <c r="B149" s="46"/>
      <c r="C149" s="46"/>
      <c r="D149" s="33"/>
      <c r="E149" s="79" t="s">
        <v>240</v>
      </c>
      <c r="F149" s="33"/>
      <c r="G149" s="33"/>
      <c r="H149" s="33"/>
      <c r="I149" s="26">
        <f>3000000-589933</f>
        <v>2410067</v>
      </c>
      <c r="J149" s="26"/>
      <c r="K149" s="135">
        <f>J149+I149</f>
        <v>2410067</v>
      </c>
      <c r="L149" s="152"/>
    </row>
    <row r="150" spans="1:12" s="7" customFormat="1" ht="27.75" customHeight="1">
      <c r="A150" s="46"/>
      <c r="B150" s="46"/>
      <c r="C150" s="46"/>
      <c r="D150" s="33"/>
      <c r="E150" s="79" t="s">
        <v>250</v>
      </c>
      <c r="F150" s="33"/>
      <c r="G150" s="33"/>
      <c r="H150" s="33"/>
      <c r="I150" s="26">
        <v>376800</v>
      </c>
      <c r="J150" s="26"/>
      <c r="K150" s="135">
        <f>J150+I150</f>
        <v>376800</v>
      </c>
      <c r="L150" s="152"/>
    </row>
    <row r="151" spans="1:12" s="7" customFormat="1" ht="47.25" customHeight="1">
      <c r="A151" s="46"/>
      <c r="B151" s="46"/>
      <c r="C151" s="46"/>
      <c r="D151" s="33"/>
      <c r="E151" s="80" t="s">
        <v>437</v>
      </c>
      <c r="F151" s="33"/>
      <c r="G151" s="33"/>
      <c r="H151" s="33"/>
      <c r="I151" s="26">
        <v>30000</v>
      </c>
      <c r="J151" s="26"/>
      <c r="K151" s="135">
        <f>J151+I151</f>
        <v>30000</v>
      </c>
      <c r="L151" s="152"/>
    </row>
    <row r="152" spans="1:12" s="7" customFormat="1" ht="132.75" customHeight="1">
      <c r="A152" s="46"/>
      <c r="B152" s="46"/>
      <c r="C152" s="46"/>
      <c r="D152" s="33"/>
      <c r="E152" s="79" t="s">
        <v>350</v>
      </c>
      <c r="F152" s="33"/>
      <c r="G152" s="33"/>
      <c r="H152" s="33"/>
      <c r="I152" s="26">
        <f>700000-121</f>
        <v>699879</v>
      </c>
      <c r="J152" s="26"/>
      <c r="K152" s="135">
        <f>J152+I152</f>
        <v>699879</v>
      </c>
      <c r="L152" s="152"/>
    </row>
    <row r="153" spans="1:12" s="7" customFormat="1" ht="28.5" customHeight="1">
      <c r="A153" s="46"/>
      <c r="B153" s="46"/>
      <c r="C153" s="46"/>
      <c r="D153" s="33"/>
      <c r="E153" s="56" t="s">
        <v>171</v>
      </c>
      <c r="F153" s="33"/>
      <c r="G153" s="33"/>
      <c r="H153" s="33"/>
      <c r="I153" s="24">
        <f>I154+I156+I155</f>
        <v>2838530</v>
      </c>
      <c r="J153" s="24">
        <f>J154+J156+J155</f>
        <v>0</v>
      </c>
      <c r="K153" s="133">
        <f>K154+K156+K155</f>
        <v>2838530</v>
      </c>
      <c r="L153" s="152"/>
    </row>
    <row r="154" spans="1:12" s="7" customFormat="1" ht="117.75" customHeight="1">
      <c r="A154" s="46"/>
      <c r="B154" s="46"/>
      <c r="C154" s="46"/>
      <c r="D154" s="33"/>
      <c r="E154" s="79" t="s">
        <v>238</v>
      </c>
      <c r="F154" s="33"/>
      <c r="G154" s="33"/>
      <c r="H154" s="33"/>
      <c r="I154" s="26">
        <f>1185530-94000</f>
        <v>1091530</v>
      </c>
      <c r="J154" s="26"/>
      <c r="K154" s="135">
        <f>J154+I154</f>
        <v>1091530</v>
      </c>
      <c r="L154" s="152"/>
    </row>
    <row r="155" spans="1:12" s="7" customFormat="1" ht="117.75" customHeight="1">
      <c r="A155" s="46"/>
      <c r="B155" s="46"/>
      <c r="C155" s="46"/>
      <c r="D155" s="33"/>
      <c r="E155" s="79" t="s">
        <v>449</v>
      </c>
      <c r="F155" s="33"/>
      <c r="G155" s="33"/>
      <c r="H155" s="33"/>
      <c r="I155" s="26">
        <v>1497000</v>
      </c>
      <c r="J155" s="26"/>
      <c r="K155" s="135">
        <f>J155+I155</f>
        <v>1497000</v>
      </c>
      <c r="L155" s="152"/>
    </row>
    <row r="156" spans="1:12" s="7" customFormat="1" ht="24" customHeight="1">
      <c r="A156" s="46"/>
      <c r="B156" s="46"/>
      <c r="C156" s="46"/>
      <c r="D156" s="33"/>
      <c r="E156" s="79" t="s">
        <v>239</v>
      </c>
      <c r="F156" s="33"/>
      <c r="G156" s="33"/>
      <c r="H156" s="33"/>
      <c r="I156" s="26">
        <v>250000</v>
      </c>
      <c r="J156" s="26"/>
      <c r="K156" s="135">
        <f>J156+I156</f>
        <v>250000</v>
      </c>
      <c r="L156" s="152"/>
    </row>
    <row r="157" spans="1:12" s="7" customFormat="1" ht="52.5" customHeight="1">
      <c r="A157" s="46" t="s">
        <v>126</v>
      </c>
      <c r="B157" s="46" t="s">
        <v>80</v>
      </c>
      <c r="C157" s="46" t="s">
        <v>57</v>
      </c>
      <c r="D157" s="54" t="s">
        <v>1</v>
      </c>
      <c r="E157" s="54"/>
      <c r="F157" s="81"/>
      <c r="G157" s="81"/>
      <c r="H157" s="81"/>
      <c r="I157" s="26">
        <f>I158+I159</f>
        <v>2253802</v>
      </c>
      <c r="J157" s="26">
        <f>J158+J159</f>
        <v>0</v>
      </c>
      <c r="K157" s="133">
        <f>K158+K159</f>
        <v>2253802</v>
      </c>
      <c r="L157" s="152">
        <v>37</v>
      </c>
    </row>
    <row r="158" spans="1:12" s="7" customFormat="1" ht="52.5" customHeight="1">
      <c r="A158" s="46"/>
      <c r="B158" s="46"/>
      <c r="C158" s="46"/>
      <c r="D158" s="81"/>
      <c r="E158" s="54" t="s">
        <v>204</v>
      </c>
      <c r="F158" s="81"/>
      <c r="G158" s="81"/>
      <c r="H158" s="81"/>
      <c r="I158" s="26">
        <v>253802</v>
      </c>
      <c r="J158" s="26"/>
      <c r="K158" s="135">
        <f>J158+I158</f>
        <v>253802</v>
      </c>
      <c r="L158" s="152"/>
    </row>
    <row r="159" spans="1:12" s="7" customFormat="1" ht="61.5" customHeight="1">
      <c r="A159" s="46"/>
      <c r="B159" s="46"/>
      <c r="C159" s="46"/>
      <c r="D159" s="81"/>
      <c r="E159" s="54" t="s">
        <v>215</v>
      </c>
      <c r="F159" s="81"/>
      <c r="G159" s="81"/>
      <c r="H159" s="81"/>
      <c r="I159" s="26">
        <f>2000000</f>
        <v>2000000</v>
      </c>
      <c r="J159" s="26">
        <f>1000000-1000000</f>
        <v>0</v>
      </c>
      <c r="K159" s="135">
        <f>J159+I159</f>
        <v>2000000</v>
      </c>
      <c r="L159" s="152"/>
    </row>
    <row r="160" spans="1:12" s="7" customFormat="1" ht="52.5" customHeight="1">
      <c r="A160" s="46" t="s">
        <v>293</v>
      </c>
      <c r="B160" s="46" t="s">
        <v>290</v>
      </c>
      <c r="C160" s="46"/>
      <c r="D160" s="54" t="s">
        <v>291</v>
      </c>
      <c r="E160" s="54"/>
      <c r="F160" s="81"/>
      <c r="G160" s="81"/>
      <c r="H160" s="81"/>
      <c r="I160" s="22">
        <f>SUM(I163)+I161</f>
        <v>11512962.46</v>
      </c>
      <c r="J160" s="22">
        <f>SUM(J163)+J161</f>
        <v>0</v>
      </c>
      <c r="K160" s="137">
        <f>SUM(K163)+K161</f>
        <v>11512962.46</v>
      </c>
      <c r="L160" s="152"/>
    </row>
    <row r="161" spans="1:12" s="7" customFormat="1" ht="76.5" customHeight="1">
      <c r="A161" s="52" t="s">
        <v>300</v>
      </c>
      <c r="B161" s="52" t="s">
        <v>301</v>
      </c>
      <c r="C161" s="47" t="s">
        <v>52</v>
      </c>
      <c r="D161" s="48" t="s">
        <v>302</v>
      </c>
      <c r="E161" s="59"/>
      <c r="F161" s="81"/>
      <c r="G161" s="81"/>
      <c r="H161" s="81"/>
      <c r="I161" s="21">
        <f>I162</f>
        <v>426739</v>
      </c>
      <c r="J161" s="21"/>
      <c r="K161" s="138">
        <f>J161+I161</f>
        <v>426739</v>
      </c>
      <c r="L161" s="152"/>
    </row>
    <row r="162" spans="1:12" s="7" customFormat="1" ht="157.5" customHeight="1">
      <c r="A162" s="52"/>
      <c r="B162" s="52"/>
      <c r="C162" s="46"/>
      <c r="D162" s="48"/>
      <c r="E162" s="54" t="s">
        <v>394</v>
      </c>
      <c r="F162" s="81"/>
      <c r="G162" s="81"/>
      <c r="H162" s="81"/>
      <c r="I162" s="22">
        <v>426739</v>
      </c>
      <c r="J162" s="22"/>
      <c r="K162" s="137">
        <f>J162+I162</f>
        <v>426739</v>
      </c>
      <c r="L162" s="152"/>
    </row>
    <row r="163" spans="1:12" s="10" customFormat="1" ht="82.5" customHeight="1">
      <c r="A163" s="47" t="s">
        <v>292</v>
      </c>
      <c r="B163" s="47" t="s">
        <v>298</v>
      </c>
      <c r="C163" s="47" t="s">
        <v>52</v>
      </c>
      <c r="D163" s="59" t="s">
        <v>288</v>
      </c>
      <c r="E163" s="59"/>
      <c r="F163" s="82"/>
      <c r="G163" s="82"/>
      <c r="H163" s="82"/>
      <c r="I163" s="21">
        <f>I165+I169+I173+I171+I167</f>
        <v>11086223.46</v>
      </c>
      <c r="J163" s="21">
        <f>J165+J169+J173+J171+J167</f>
        <v>0</v>
      </c>
      <c r="K163" s="138">
        <f>K165+K169+K173+K171+K167</f>
        <v>11086223.46</v>
      </c>
      <c r="L163" s="152"/>
    </row>
    <row r="164" spans="1:12" s="10" customFormat="1" ht="37.5">
      <c r="A164" s="47"/>
      <c r="B164" s="47"/>
      <c r="C164" s="47"/>
      <c r="D164" s="48" t="s">
        <v>456</v>
      </c>
      <c r="E164" s="48"/>
      <c r="F164" s="48"/>
      <c r="G164" s="48"/>
      <c r="H164" s="48"/>
      <c r="I164" s="27">
        <f>I166+I168+I170+I172+I174</f>
        <v>4242868.85</v>
      </c>
      <c r="J164" s="27">
        <f>J166+J168+J170+J172+J174</f>
        <v>0</v>
      </c>
      <c r="K164" s="136">
        <f>J164+I164</f>
        <v>4242868.85</v>
      </c>
      <c r="L164" s="152"/>
    </row>
    <row r="165" spans="1:12" s="10" customFormat="1" ht="24.75" customHeight="1">
      <c r="A165" s="47"/>
      <c r="B165" s="47"/>
      <c r="C165" s="47"/>
      <c r="D165" s="59"/>
      <c r="E165" s="54" t="s">
        <v>424</v>
      </c>
      <c r="F165" s="81"/>
      <c r="G165" s="81"/>
      <c r="H165" s="81"/>
      <c r="I165" s="22">
        <f>1721222.85+200000</f>
        <v>1921222.85</v>
      </c>
      <c r="J165" s="22"/>
      <c r="K165" s="137">
        <f>I165+J165</f>
        <v>1921222.85</v>
      </c>
      <c r="L165" s="152"/>
    </row>
    <row r="166" spans="1:12" s="128" customFormat="1" ht="21" customHeight="1">
      <c r="A166" s="83"/>
      <c r="B166" s="83"/>
      <c r="C166" s="83"/>
      <c r="D166" s="84" t="s">
        <v>456</v>
      </c>
      <c r="E166" s="84"/>
      <c r="F166" s="84"/>
      <c r="G166" s="84"/>
      <c r="H166" s="84"/>
      <c r="I166" s="28">
        <v>1674292.46</v>
      </c>
      <c r="J166" s="28"/>
      <c r="K166" s="141">
        <f>J166+I166</f>
        <v>1674292.46</v>
      </c>
      <c r="L166" s="152"/>
    </row>
    <row r="167" spans="1:12" s="10" customFormat="1" ht="93.75">
      <c r="A167" s="47"/>
      <c r="B167" s="47"/>
      <c r="C167" s="47"/>
      <c r="D167" s="59"/>
      <c r="E167" s="54" t="s">
        <v>427</v>
      </c>
      <c r="F167" s="81"/>
      <c r="G167" s="81"/>
      <c r="H167" s="81"/>
      <c r="I167" s="22">
        <v>978500</v>
      </c>
      <c r="J167" s="22"/>
      <c r="K167" s="137">
        <f>I167+J167</f>
        <v>978500</v>
      </c>
      <c r="L167" s="152"/>
    </row>
    <row r="168" spans="1:12" s="128" customFormat="1" ht="15" customHeight="1">
      <c r="A168" s="83"/>
      <c r="B168" s="83"/>
      <c r="C168" s="83"/>
      <c r="D168" s="84" t="s">
        <v>456</v>
      </c>
      <c r="E168" s="84"/>
      <c r="F168" s="84"/>
      <c r="G168" s="84"/>
      <c r="H168" s="84"/>
      <c r="I168" s="28">
        <v>950000</v>
      </c>
      <c r="J168" s="28"/>
      <c r="K168" s="141">
        <f>J168+I168</f>
        <v>950000</v>
      </c>
      <c r="L168" s="152"/>
    </row>
    <row r="169" spans="1:12" s="10" customFormat="1" ht="81.75" customHeight="1">
      <c r="A169" s="47"/>
      <c r="B169" s="47"/>
      <c r="C169" s="47"/>
      <c r="D169" s="59"/>
      <c r="E169" s="54" t="s">
        <v>425</v>
      </c>
      <c r="F169" s="81"/>
      <c r="G169" s="81"/>
      <c r="H169" s="81"/>
      <c r="I169" s="22">
        <f>19014.22+621576.39</f>
        <v>640590.61</v>
      </c>
      <c r="J169" s="22"/>
      <c r="K169" s="137">
        <f>I169+J169</f>
        <v>640590.61</v>
      </c>
      <c r="L169" s="152"/>
    </row>
    <row r="170" spans="1:12" s="128" customFormat="1" ht="15" customHeight="1">
      <c r="A170" s="83"/>
      <c r="B170" s="83"/>
      <c r="C170" s="83"/>
      <c r="D170" s="84" t="s">
        <v>456</v>
      </c>
      <c r="E170" s="84"/>
      <c r="F170" s="84"/>
      <c r="G170" s="84"/>
      <c r="H170" s="84"/>
      <c r="I170" s="28">
        <v>621576.39</v>
      </c>
      <c r="J170" s="28"/>
      <c r="K170" s="141">
        <f>J170+I170</f>
        <v>621576.39</v>
      </c>
      <c r="L170" s="152"/>
    </row>
    <row r="171" spans="1:12" s="10" customFormat="1" ht="56.25">
      <c r="A171" s="47"/>
      <c r="B171" s="47"/>
      <c r="C171" s="47"/>
      <c r="D171" s="59"/>
      <c r="E171" s="54" t="s">
        <v>426</v>
      </c>
      <c r="F171" s="81"/>
      <c r="G171" s="81"/>
      <c r="H171" s="81"/>
      <c r="I171" s="22">
        <v>305910</v>
      </c>
      <c r="J171" s="22"/>
      <c r="K171" s="137">
        <f>I171+J171</f>
        <v>305910</v>
      </c>
      <c r="L171" s="152"/>
    </row>
    <row r="172" spans="1:12" s="128" customFormat="1" ht="15" customHeight="1">
      <c r="A172" s="83"/>
      <c r="B172" s="83"/>
      <c r="C172" s="83"/>
      <c r="D172" s="84" t="s">
        <v>456</v>
      </c>
      <c r="E172" s="84"/>
      <c r="F172" s="84"/>
      <c r="G172" s="84"/>
      <c r="H172" s="84"/>
      <c r="I172" s="28">
        <v>297000</v>
      </c>
      <c r="J172" s="28"/>
      <c r="K172" s="141">
        <f>J172+I172</f>
        <v>297000</v>
      </c>
      <c r="L172" s="152"/>
    </row>
    <row r="173" spans="1:12" s="10" customFormat="1" ht="148.5" customHeight="1">
      <c r="A173" s="47"/>
      <c r="B173" s="47"/>
      <c r="C173" s="47"/>
      <c r="D173" s="59"/>
      <c r="E173" s="54" t="s">
        <v>351</v>
      </c>
      <c r="F173" s="81"/>
      <c r="G173" s="81"/>
      <c r="H173" s="81"/>
      <c r="I173" s="22">
        <f>2240000+5000000</f>
        <v>7240000</v>
      </c>
      <c r="J173" s="22"/>
      <c r="K173" s="137">
        <f>I173+J173</f>
        <v>7240000</v>
      </c>
      <c r="L173" s="152">
        <v>38</v>
      </c>
    </row>
    <row r="174" spans="1:12" s="128" customFormat="1" ht="15" customHeight="1">
      <c r="A174" s="83"/>
      <c r="B174" s="83"/>
      <c r="C174" s="83"/>
      <c r="D174" s="84" t="s">
        <v>456</v>
      </c>
      <c r="E174" s="84"/>
      <c r="F174" s="84"/>
      <c r="G174" s="84"/>
      <c r="H174" s="84"/>
      <c r="I174" s="28">
        <v>700000</v>
      </c>
      <c r="J174" s="28"/>
      <c r="K174" s="141">
        <f>J174+I174</f>
        <v>700000</v>
      </c>
      <c r="L174" s="152"/>
    </row>
    <row r="175" spans="1:12" s="7" customFormat="1" ht="27.75" customHeight="1">
      <c r="A175" s="46" t="s">
        <v>127</v>
      </c>
      <c r="B175" s="66">
        <v>9770</v>
      </c>
      <c r="C175" s="46" t="s">
        <v>30</v>
      </c>
      <c r="D175" s="54" t="s">
        <v>232</v>
      </c>
      <c r="E175" s="54"/>
      <c r="F175" s="54"/>
      <c r="G175" s="54"/>
      <c r="H175" s="54"/>
      <c r="I175" s="26">
        <v>1220000</v>
      </c>
      <c r="J175" s="26"/>
      <c r="K175" s="135">
        <f>J175+I175</f>
        <v>1220000</v>
      </c>
      <c r="L175" s="152"/>
    </row>
    <row r="176" spans="1:12" s="5" customFormat="1" ht="57.75" customHeight="1">
      <c r="A176" s="42" t="s">
        <v>15</v>
      </c>
      <c r="B176" s="85"/>
      <c r="C176" s="85"/>
      <c r="D176" s="56" t="s">
        <v>24</v>
      </c>
      <c r="E176" s="56"/>
      <c r="F176" s="56"/>
      <c r="G176" s="56"/>
      <c r="H176" s="56"/>
      <c r="I176" s="24">
        <f aca="true" t="shared" si="6" ref="I176:K177">I177</f>
        <v>40000</v>
      </c>
      <c r="J176" s="24">
        <f t="shared" si="6"/>
        <v>0</v>
      </c>
      <c r="K176" s="133">
        <f t="shared" si="6"/>
        <v>40000</v>
      </c>
      <c r="L176" s="152"/>
    </row>
    <row r="177" spans="1:12" s="6" customFormat="1" ht="57" customHeight="1">
      <c r="A177" s="44" t="s">
        <v>65</v>
      </c>
      <c r="B177" s="72"/>
      <c r="C177" s="72"/>
      <c r="D177" s="58" t="s">
        <v>24</v>
      </c>
      <c r="E177" s="58"/>
      <c r="F177" s="58"/>
      <c r="G177" s="58"/>
      <c r="H177" s="58"/>
      <c r="I177" s="25">
        <f t="shared" si="6"/>
        <v>40000</v>
      </c>
      <c r="J177" s="25">
        <f t="shared" si="6"/>
        <v>0</v>
      </c>
      <c r="K177" s="134">
        <f t="shared" si="6"/>
        <v>40000</v>
      </c>
      <c r="L177" s="152"/>
    </row>
    <row r="178" spans="1:12" s="7" customFormat="1" ht="92.25" customHeight="1">
      <c r="A178" s="46" t="s">
        <v>0</v>
      </c>
      <c r="B178" s="46" t="s">
        <v>66</v>
      </c>
      <c r="C178" s="46" t="s">
        <v>31</v>
      </c>
      <c r="D178" s="33" t="s">
        <v>67</v>
      </c>
      <c r="E178" s="33"/>
      <c r="F178" s="33"/>
      <c r="G178" s="33"/>
      <c r="H178" s="33"/>
      <c r="I178" s="26">
        <v>40000</v>
      </c>
      <c r="J178" s="26"/>
      <c r="K178" s="135">
        <f>J178+I178</f>
        <v>40000</v>
      </c>
      <c r="L178" s="152"/>
    </row>
    <row r="179" spans="1:12" s="5" customFormat="1" ht="63.75" customHeight="1">
      <c r="A179" s="42" t="s">
        <v>17</v>
      </c>
      <c r="B179" s="42"/>
      <c r="C179" s="42"/>
      <c r="D179" s="56" t="s">
        <v>23</v>
      </c>
      <c r="E179" s="56"/>
      <c r="F179" s="56"/>
      <c r="G179" s="56"/>
      <c r="H179" s="56"/>
      <c r="I179" s="24">
        <f>I180</f>
        <v>185717916</v>
      </c>
      <c r="J179" s="24">
        <f>J180</f>
        <v>0</v>
      </c>
      <c r="K179" s="133">
        <f>K180</f>
        <v>185717916</v>
      </c>
      <c r="L179" s="152"/>
    </row>
    <row r="180" spans="1:12" s="6" customFormat="1" ht="64.5" customHeight="1">
      <c r="A180" s="44" t="s">
        <v>18</v>
      </c>
      <c r="B180" s="44"/>
      <c r="C180" s="44"/>
      <c r="D180" s="58" t="s">
        <v>23</v>
      </c>
      <c r="E180" s="58"/>
      <c r="F180" s="58"/>
      <c r="G180" s="58"/>
      <c r="H180" s="58"/>
      <c r="I180" s="25">
        <f>I182+I319+I186+I203+I240+I305+I308+I183</f>
        <v>185717916</v>
      </c>
      <c r="J180" s="25">
        <f>J182+J319+J186+J203+J240+J305+J308+J183</f>
        <v>0</v>
      </c>
      <c r="K180" s="134">
        <f>K182+K319+K186+K203+K240+K305+K308+K183</f>
        <v>185717916</v>
      </c>
      <c r="L180" s="152"/>
    </row>
    <row r="181" spans="1:12" s="6" customFormat="1" ht="39">
      <c r="A181" s="44"/>
      <c r="B181" s="44"/>
      <c r="C181" s="44"/>
      <c r="D181" s="58" t="s">
        <v>456</v>
      </c>
      <c r="E181" s="58"/>
      <c r="F181" s="58"/>
      <c r="G181" s="58"/>
      <c r="H181" s="58"/>
      <c r="I181" s="25">
        <f>I314</f>
        <v>300091</v>
      </c>
      <c r="J181" s="25">
        <f>J314</f>
        <v>0</v>
      </c>
      <c r="K181" s="134">
        <f>K314</f>
        <v>300091</v>
      </c>
      <c r="L181" s="152"/>
    </row>
    <row r="182" spans="1:12" s="7" customFormat="1" ht="39.75" customHeight="1">
      <c r="A182" s="46" t="s">
        <v>128</v>
      </c>
      <c r="B182" s="46" t="s">
        <v>78</v>
      </c>
      <c r="C182" s="46" t="s">
        <v>46</v>
      </c>
      <c r="D182" s="33" t="s">
        <v>79</v>
      </c>
      <c r="E182" s="33"/>
      <c r="F182" s="33"/>
      <c r="G182" s="33"/>
      <c r="H182" s="33"/>
      <c r="I182" s="26">
        <f>88015500+6969382</f>
        <v>94984882</v>
      </c>
      <c r="J182" s="26"/>
      <c r="K182" s="135">
        <f>J182+I182</f>
        <v>94984882</v>
      </c>
      <c r="L182" s="152"/>
    </row>
    <row r="183" spans="1:12" s="7" customFormat="1" ht="44.25" customHeight="1">
      <c r="A183" s="46" t="s">
        <v>318</v>
      </c>
      <c r="B183" s="46" t="s">
        <v>324</v>
      </c>
      <c r="C183" s="46"/>
      <c r="D183" s="33" t="s">
        <v>320</v>
      </c>
      <c r="E183" s="75"/>
      <c r="F183" s="33"/>
      <c r="G183" s="33"/>
      <c r="H183" s="33"/>
      <c r="I183" s="26">
        <f>I184+I185</f>
        <v>700000</v>
      </c>
      <c r="J183" s="26">
        <f>J184+J185</f>
        <v>0</v>
      </c>
      <c r="K183" s="135">
        <f>K184+K185</f>
        <v>700000</v>
      </c>
      <c r="L183" s="152"/>
    </row>
    <row r="184" spans="1:12" s="10" customFormat="1" ht="65.25" customHeight="1">
      <c r="A184" s="47" t="s">
        <v>319</v>
      </c>
      <c r="B184" s="47" t="s">
        <v>323</v>
      </c>
      <c r="C184" s="47" t="s">
        <v>322</v>
      </c>
      <c r="D184" s="48" t="s">
        <v>321</v>
      </c>
      <c r="E184" s="86"/>
      <c r="F184" s="48"/>
      <c r="G184" s="48"/>
      <c r="H184" s="48"/>
      <c r="I184" s="27">
        <v>500000</v>
      </c>
      <c r="J184" s="27"/>
      <c r="K184" s="136">
        <f>J184+I184</f>
        <v>500000</v>
      </c>
      <c r="L184" s="152"/>
    </row>
    <row r="185" spans="1:12" s="10" customFormat="1" ht="125.25" customHeight="1">
      <c r="A185" s="47" t="s">
        <v>457</v>
      </c>
      <c r="B185" s="47" t="s">
        <v>458</v>
      </c>
      <c r="C185" s="47" t="s">
        <v>322</v>
      </c>
      <c r="D185" s="48" t="s">
        <v>445</v>
      </c>
      <c r="E185" s="86" t="s">
        <v>459</v>
      </c>
      <c r="F185" s="48"/>
      <c r="G185" s="48"/>
      <c r="H185" s="48"/>
      <c r="I185" s="27">
        <v>200000</v>
      </c>
      <c r="J185" s="27"/>
      <c r="K185" s="136">
        <f>J185+I185</f>
        <v>200000</v>
      </c>
      <c r="L185" s="152"/>
    </row>
    <row r="186" spans="1:149" s="5" customFormat="1" ht="46.5" customHeight="1">
      <c r="A186" s="87">
        <v>1517310</v>
      </c>
      <c r="B186" s="46" t="s">
        <v>155</v>
      </c>
      <c r="C186" s="46" t="s">
        <v>57</v>
      </c>
      <c r="D186" s="56" t="s">
        <v>162</v>
      </c>
      <c r="E186" s="88"/>
      <c r="F186" s="89"/>
      <c r="G186" s="89"/>
      <c r="H186" s="89"/>
      <c r="I186" s="24">
        <f>I187+I192</f>
        <v>9527865</v>
      </c>
      <c r="J186" s="24">
        <f>J187+J192</f>
        <v>122500</v>
      </c>
      <c r="K186" s="133">
        <f>K187+K192</f>
        <v>9650365</v>
      </c>
      <c r="L186" s="152"/>
      <c r="M186" s="13"/>
      <c r="N186" s="13"/>
      <c r="O186" s="13"/>
      <c r="P186" s="13"/>
      <c r="Q186" s="13"/>
      <c r="R186" s="13"/>
      <c r="S186" s="13"/>
      <c r="T186" s="13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F186" s="13"/>
      <c r="AG186" s="13"/>
      <c r="AH186" s="13"/>
      <c r="AI186" s="13"/>
      <c r="AJ186" s="13"/>
      <c r="AK186" s="13"/>
      <c r="AL186" s="13"/>
      <c r="AM186" s="13"/>
      <c r="AN186" s="13"/>
      <c r="AO186" s="13"/>
      <c r="AP186" s="13"/>
      <c r="AQ186" s="13"/>
      <c r="AR186" s="13"/>
      <c r="AS186" s="13"/>
      <c r="AT186" s="13"/>
      <c r="AU186" s="13"/>
      <c r="AV186" s="13"/>
      <c r="AW186" s="13"/>
      <c r="AX186" s="13"/>
      <c r="AY186" s="13"/>
      <c r="AZ186" s="13"/>
      <c r="BA186" s="13"/>
      <c r="BB186" s="13"/>
      <c r="BC186" s="13"/>
      <c r="BD186" s="13"/>
      <c r="BE186" s="13"/>
      <c r="BF186" s="13"/>
      <c r="BG186" s="13"/>
      <c r="BH186" s="13"/>
      <c r="BI186" s="13"/>
      <c r="BJ186" s="13"/>
      <c r="BK186" s="13"/>
      <c r="BL186" s="13"/>
      <c r="BM186" s="13"/>
      <c r="BN186" s="13"/>
      <c r="BO186" s="13"/>
      <c r="BP186" s="13"/>
      <c r="BQ186" s="13"/>
      <c r="BR186" s="13"/>
      <c r="BS186" s="13"/>
      <c r="BT186" s="13"/>
      <c r="BU186" s="13"/>
      <c r="BV186" s="13"/>
      <c r="BW186" s="13"/>
      <c r="BX186" s="13"/>
      <c r="BY186" s="13"/>
      <c r="BZ186" s="13"/>
      <c r="CA186" s="13"/>
      <c r="CB186" s="13"/>
      <c r="CC186" s="13"/>
      <c r="CD186" s="13"/>
      <c r="CE186" s="13"/>
      <c r="CF186" s="13"/>
      <c r="CG186" s="13"/>
      <c r="CH186" s="13"/>
      <c r="CI186" s="13"/>
      <c r="CJ186" s="13"/>
      <c r="CK186" s="13"/>
      <c r="CL186" s="13"/>
      <c r="CM186" s="13"/>
      <c r="CN186" s="13"/>
      <c r="CO186" s="13"/>
      <c r="CP186" s="13"/>
      <c r="CQ186" s="13"/>
      <c r="CR186" s="13"/>
      <c r="CS186" s="13"/>
      <c r="CT186" s="13"/>
      <c r="CU186" s="13"/>
      <c r="CV186" s="13"/>
      <c r="CW186" s="13"/>
      <c r="CX186" s="13"/>
      <c r="CY186" s="13"/>
      <c r="CZ186" s="13"/>
      <c r="DA186" s="13"/>
      <c r="DB186" s="13"/>
      <c r="DC186" s="13"/>
      <c r="DD186" s="13"/>
      <c r="DE186" s="13"/>
      <c r="DF186" s="13"/>
      <c r="DG186" s="13"/>
      <c r="DH186" s="13"/>
      <c r="DI186" s="13"/>
      <c r="DJ186" s="13"/>
      <c r="DK186" s="13"/>
      <c r="DL186" s="13"/>
      <c r="DM186" s="13"/>
      <c r="DN186" s="13"/>
      <c r="DO186" s="13"/>
      <c r="DP186" s="13"/>
      <c r="DQ186" s="13"/>
      <c r="DR186" s="13"/>
      <c r="DS186" s="13"/>
      <c r="DT186" s="13"/>
      <c r="DU186" s="13"/>
      <c r="DV186" s="13"/>
      <c r="DW186" s="13"/>
      <c r="DX186" s="13"/>
      <c r="DY186" s="13"/>
      <c r="DZ186" s="13"/>
      <c r="EA186" s="13"/>
      <c r="EB186" s="13"/>
      <c r="EC186" s="13"/>
      <c r="ED186" s="13"/>
      <c r="EE186" s="13"/>
      <c r="EF186" s="13"/>
      <c r="EG186" s="13"/>
      <c r="EH186" s="13"/>
      <c r="EI186" s="13"/>
      <c r="EJ186" s="13"/>
      <c r="EK186" s="13"/>
      <c r="EL186" s="13"/>
      <c r="EM186" s="13"/>
      <c r="EN186" s="13"/>
      <c r="EO186" s="13"/>
      <c r="EP186" s="13"/>
      <c r="EQ186" s="13"/>
      <c r="ER186" s="13"/>
      <c r="ES186" s="13"/>
    </row>
    <row r="187" spans="1:149" s="7" customFormat="1" ht="27.75" customHeight="1">
      <c r="A187" s="90"/>
      <c r="B187" s="91"/>
      <c r="C187" s="91"/>
      <c r="D187" s="91"/>
      <c r="E187" s="77" t="s">
        <v>168</v>
      </c>
      <c r="F187" s="89"/>
      <c r="G187" s="89"/>
      <c r="H187" s="89"/>
      <c r="I187" s="24">
        <f>SUM(I188:I191)</f>
        <v>5420300</v>
      </c>
      <c r="J187" s="24">
        <f>SUM(J188:J191)</f>
        <v>122500</v>
      </c>
      <c r="K187" s="133">
        <f>SUM(K188:K191)</f>
        <v>5542800</v>
      </c>
      <c r="L187" s="152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  <c r="AQ187" s="11"/>
      <c r="AR187" s="11"/>
      <c r="AS187" s="11"/>
      <c r="AT187" s="11"/>
      <c r="AU187" s="11"/>
      <c r="AV187" s="11"/>
      <c r="AW187" s="11"/>
      <c r="AX187" s="11"/>
      <c r="AY187" s="11"/>
      <c r="AZ187" s="11"/>
      <c r="BA187" s="11"/>
      <c r="BB187" s="11"/>
      <c r="BC187" s="11"/>
      <c r="BD187" s="11"/>
      <c r="BE187" s="11"/>
      <c r="BF187" s="11"/>
      <c r="BG187" s="11"/>
      <c r="BH187" s="11"/>
      <c r="BI187" s="11"/>
      <c r="BJ187" s="11"/>
      <c r="BK187" s="11"/>
      <c r="BL187" s="11"/>
      <c r="BM187" s="11"/>
      <c r="BN187" s="11"/>
      <c r="BO187" s="11"/>
      <c r="BP187" s="11"/>
      <c r="BQ187" s="11"/>
      <c r="BR187" s="11"/>
      <c r="BS187" s="11"/>
      <c r="BT187" s="11"/>
      <c r="BU187" s="11"/>
      <c r="BV187" s="11"/>
      <c r="BW187" s="11"/>
      <c r="BX187" s="11"/>
      <c r="BY187" s="11"/>
      <c r="BZ187" s="11"/>
      <c r="CA187" s="11"/>
      <c r="CB187" s="11"/>
      <c r="CC187" s="11"/>
      <c r="CD187" s="11"/>
      <c r="CE187" s="11"/>
      <c r="CF187" s="11"/>
      <c r="CG187" s="11"/>
      <c r="CH187" s="11"/>
      <c r="CI187" s="11"/>
      <c r="CJ187" s="11"/>
      <c r="CK187" s="11"/>
      <c r="CL187" s="11"/>
      <c r="CM187" s="11"/>
      <c r="CN187" s="11"/>
      <c r="CO187" s="11"/>
      <c r="CP187" s="11"/>
      <c r="CQ187" s="11"/>
      <c r="CR187" s="11"/>
      <c r="CS187" s="11"/>
      <c r="CT187" s="11"/>
      <c r="CU187" s="11"/>
      <c r="CV187" s="11"/>
      <c r="CW187" s="11"/>
      <c r="CX187" s="11"/>
      <c r="CY187" s="11"/>
      <c r="CZ187" s="11"/>
      <c r="DA187" s="11"/>
      <c r="DB187" s="11"/>
      <c r="DC187" s="11"/>
      <c r="DD187" s="11"/>
      <c r="DE187" s="11"/>
      <c r="DF187" s="11"/>
      <c r="DG187" s="11"/>
      <c r="DH187" s="11"/>
      <c r="DI187" s="11"/>
      <c r="DJ187" s="11"/>
      <c r="DK187" s="11"/>
      <c r="DL187" s="11"/>
      <c r="DM187" s="11"/>
      <c r="DN187" s="11"/>
      <c r="DO187" s="11"/>
      <c r="DP187" s="11"/>
      <c r="DQ187" s="11"/>
      <c r="DR187" s="11"/>
      <c r="DS187" s="11"/>
      <c r="DT187" s="11"/>
      <c r="DU187" s="11"/>
      <c r="DV187" s="11"/>
      <c r="DW187" s="11"/>
      <c r="DX187" s="11"/>
      <c r="DY187" s="11"/>
      <c r="DZ187" s="11"/>
      <c r="EA187" s="11"/>
      <c r="EB187" s="11"/>
      <c r="EC187" s="11"/>
      <c r="ED187" s="11"/>
      <c r="EE187" s="11"/>
      <c r="EF187" s="11"/>
      <c r="EG187" s="11"/>
      <c r="EH187" s="11"/>
      <c r="EI187" s="11"/>
      <c r="EJ187" s="11"/>
      <c r="EK187" s="11"/>
      <c r="EL187" s="11"/>
      <c r="EM187" s="11"/>
      <c r="EN187" s="11"/>
      <c r="EO187" s="11"/>
      <c r="EP187" s="11"/>
      <c r="EQ187" s="11"/>
      <c r="ER187" s="11"/>
      <c r="ES187" s="11"/>
    </row>
    <row r="188" spans="1:149" s="1" customFormat="1" ht="40.5" customHeight="1">
      <c r="A188" s="90"/>
      <c r="B188" s="90"/>
      <c r="C188" s="90"/>
      <c r="D188" s="90"/>
      <c r="E188" s="92" t="s">
        <v>169</v>
      </c>
      <c r="F188" s="93">
        <v>15922519</v>
      </c>
      <c r="G188" s="90">
        <v>100</v>
      </c>
      <c r="H188" s="93">
        <v>15922519</v>
      </c>
      <c r="I188" s="26">
        <f>3000000+2000000</f>
        <v>5000000</v>
      </c>
      <c r="J188" s="26"/>
      <c r="K188" s="135">
        <f>J188+I188</f>
        <v>5000000</v>
      </c>
      <c r="L188" s="152">
        <v>39</v>
      </c>
      <c r="M188" s="14"/>
      <c r="N188" s="14"/>
      <c r="O188" s="14"/>
      <c r="P188" s="14"/>
      <c r="Q188" s="14"/>
      <c r="R188" s="14"/>
      <c r="S188" s="14"/>
      <c r="T188" s="14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F188" s="14"/>
      <c r="AG188" s="14"/>
      <c r="AH188" s="14"/>
      <c r="AI188" s="14"/>
      <c r="AJ188" s="14"/>
      <c r="AK188" s="14"/>
      <c r="AL188" s="14"/>
      <c r="AM188" s="14"/>
      <c r="AN188" s="14"/>
      <c r="AO188" s="14"/>
      <c r="AP188" s="14"/>
      <c r="AQ188" s="14"/>
      <c r="AR188" s="14"/>
      <c r="AS188" s="14"/>
      <c r="AT188" s="14"/>
      <c r="AU188" s="14"/>
      <c r="AV188" s="14"/>
      <c r="AW188" s="14"/>
      <c r="AX188" s="14"/>
      <c r="AY188" s="14"/>
      <c r="AZ188" s="14"/>
      <c r="BA188" s="14"/>
      <c r="BB188" s="14"/>
      <c r="BC188" s="14"/>
      <c r="BD188" s="14"/>
      <c r="BE188" s="14"/>
      <c r="BF188" s="14"/>
      <c r="BG188" s="14"/>
      <c r="BH188" s="14"/>
      <c r="BI188" s="14"/>
      <c r="BJ188" s="14"/>
      <c r="BK188" s="14"/>
      <c r="BL188" s="14"/>
      <c r="BM188" s="14"/>
      <c r="BN188" s="14"/>
      <c r="BO188" s="14"/>
      <c r="BP188" s="14"/>
      <c r="BQ188" s="14"/>
      <c r="BR188" s="14"/>
      <c r="BS188" s="14"/>
      <c r="BT188" s="14"/>
      <c r="BU188" s="14"/>
      <c r="BV188" s="14"/>
      <c r="BW188" s="14"/>
      <c r="BX188" s="14"/>
      <c r="BY188" s="14"/>
      <c r="BZ188" s="14"/>
      <c r="CA188" s="14"/>
      <c r="CB188" s="14"/>
      <c r="CC188" s="14"/>
      <c r="CD188" s="14"/>
      <c r="CE188" s="14"/>
      <c r="CF188" s="14"/>
      <c r="CG188" s="14"/>
      <c r="CH188" s="14"/>
      <c r="CI188" s="14"/>
      <c r="CJ188" s="14"/>
      <c r="CK188" s="14"/>
      <c r="CL188" s="14"/>
      <c r="CM188" s="14"/>
      <c r="CN188" s="14"/>
      <c r="CO188" s="14"/>
      <c r="CP188" s="14"/>
      <c r="CQ188" s="14"/>
      <c r="CR188" s="14"/>
      <c r="CS188" s="14"/>
      <c r="CT188" s="14"/>
      <c r="CU188" s="14"/>
      <c r="CV188" s="14"/>
      <c r="CW188" s="14"/>
      <c r="CX188" s="14"/>
      <c r="CY188" s="14"/>
      <c r="CZ188" s="14"/>
      <c r="DA188" s="14"/>
      <c r="DB188" s="14"/>
      <c r="DC188" s="14"/>
      <c r="DD188" s="14"/>
      <c r="DE188" s="14"/>
      <c r="DF188" s="14"/>
      <c r="DG188" s="14"/>
      <c r="DH188" s="14"/>
      <c r="DI188" s="14"/>
      <c r="DJ188" s="14"/>
      <c r="DK188" s="14"/>
      <c r="DL188" s="14"/>
      <c r="DM188" s="14"/>
      <c r="DN188" s="14"/>
      <c r="DO188" s="14"/>
      <c r="DP188" s="14"/>
      <c r="DQ188" s="14"/>
      <c r="DR188" s="14"/>
      <c r="DS188" s="14"/>
      <c r="DT188" s="14"/>
      <c r="DU188" s="14"/>
      <c r="DV188" s="14"/>
      <c r="DW188" s="14"/>
      <c r="DX188" s="14"/>
      <c r="DY188" s="14"/>
      <c r="DZ188" s="14"/>
      <c r="EA188" s="14"/>
      <c r="EB188" s="14"/>
      <c r="EC188" s="14"/>
      <c r="ED188" s="14"/>
      <c r="EE188" s="14"/>
      <c r="EF188" s="14"/>
      <c r="EG188" s="14"/>
      <c r="EH188" s="14"/>
      <c r="EI188" s="14"/>
      <c r="EJ188" s="14"/>
      <c r="EK188" s="14"/>
      <c r="EL188" s="14"/>
      <c r="EM188" s="14"/>
      <c r="EN188" s="14"/>
      <c r="EO188" s="14"/>
      <c r="EP188" s="14"/>
      <c r="EQ188" s="14"/>
      <c r="ER188" s="14"/>
      <c r="ES188" s="14"/>
    </row>
    <row r="189" spans="1:149" s="1" customFormat="1" ht="36" customHeight="1">
      <c r="A189" s="91"/>
      <c r="B189" s="91"/>
      <c r="C189" s="91"/>
      <c r="D189" s="91"/>
      <c r="E189" s="32" t="s">
        <v>170</v>
      </c>
      <c r="F189" s="93">
        <v>2186292</v>
      </c>
      <c r="G189" s="94">
        <v>25.6</v>
      </c>
      <c r="H189" s="93">
        <v>559802</v>
      </c>
      <c r="I189" s="26">
        <v>400000</v>
      </c>
      <c r="J189" s="26">
        <v>122500</v>
      </c>
      <c r="K189" s="135">
        <f>J189+I189</f>
        <v>522500</v>
      </c>
      <c r="L189" s="152"/>
      <c r="M189" s="14"/>
      <c r="N189" s="14"/>
      <c r="O189" s="14"/>
      <c r="P189" s="14"/>
      <c r="Q189" s="14"/>
      <c r="R189" s="14"/>
      <c r="S189" s="14"/>
      <c r="T189" s="14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  <c r="AF189" s="14"/>
      <c r="AG189" s="14"/>
      <c r="AH189" s="14"/>
      <c r="AI189" s="14"/>
      <c r="AJ189" s="14"/>
      <c r="AK189" s="14"/>
      <c r="AL189" s="14"/>
      <c r="AM189" s="14"/>
      <c r="AN189" s="14"/>
      <c r="AO189" s="14"/>
      <c r="AP189" s="14"/>
      <c r="AQ189" s="14"/>
      <c r="AR189" s="14"/>
      <c r="AS189" s="14"/>
      <c r="AT189" s="14"/>
      <c r="AU189" s="14"/>
      <c r="AV189" s="14"/>
      <c r="AW189" s="14"/>
      <c r="AX189" s="14"/>
      <c r="AY189" s="14"/>
      <c r="AZ189" s="14"/>
      <c r="BA189" s="14"/>
      <c r="BB189" s="14"/>
      <c r="BC189" s="14"/>
      <c r="BD189" s="14"/>
      <c r="BE189" s="14"/>
      <c r="BF189" s="14"/>
      <c r="BG189" s="14"/>
      <c r="BH189" s="14"/>
      <c r="BI189" s="14"/>
      <c r="BJ189" s="14"/>
      <c r="BK189" s="14"/>
      <c r="BL189" s="14"/>
      <c r="BM189" s="14"/>
      <c r="BN189" s="14"/>
      <c r="BO189" s="14"/>
      <c r="BP189" s="14"/>
      <c r="BQ189" s="14"/>
      <c r="BR189" s="14"/>
      <c r="BS189" s="14"/>
      <c r="BT189" s="14"/>
      <c r="BU189" s="14"/>
      <c r="BV189" s="14"/>
      <c r="BW189" s="14"/>
      <c r="BX189" s="14"/>
      <c r="BY189" s="14"/>
      <c r="BZ189" s="14"/>
      <c r="CA189" s="14"/>
      <c r="CB189" s="14"/>
      <c r="CC189" s="14"/>
      <c r="CD189" s="14"/>
      <c r="CE189" s="14"/>
      <c r="CF189" s="14"/>
      <c r="CG189" s="14"/>
      <c r="CH189" s="14"/>
      <c r="CI189" s="14"/>
      <c r="CJ189" s="14"/>
      <c r="CK189" s="14"/>
      <c r="CL189" s="14"/>
      <c r="CM189" s="14"/>
      <c r="CN189" s="14"/>
      <c r="CO189" s="14"/>
      <c r="CP189" s="14"/>
      <c r="CQ189" s="14"/>
      <c r="CR189" s="14"/>
      <c r="CS189" s="14"/>
      <c r="CT189" s="14"/>
      <c r="CU189" s="14"/>
      <c r="CV189" s="14"/>
      <c r="CW189" s="14"/>
      <c r="CX189" s="14"/>
      <c r="CY189" s="14"/>
      <c r="CZ189" s="14"/>
      <c r="DA189" s="14"/>
      <c r="DB189" s="14"/>
      <c r="DC189" s="14"/>
      <c r="DD189" s="14"/>
      <c r="DE189" s="14"/>
      <c r="DF189" s="14"/>
      <c r="DG189" s="14"/>
      <c r="DH189" s="14"/>
      <c r="DI189" s="14"/>
      <c r="DJ189" s="14"/>
      <c r="DK189" s="14"/>
      <c r="DL189" s="14"/>
      <c r="DM189" s="14"/>
      <c r="DN189" s="14"/>
      <c r="DO189" s="14"/>
      <c r="DP189" s="14"/>
      <c r="DQ189" s="14"/>
      <c r="DR189" s="14"/>
      <c r="DS189" s="14"/>
      <c r="DT189" s="14"/>
      <c r="DU189" s="14"/>
      <c r="DV189" s="14"/>
      <c r="DW189" s="14"/>
      <c r="DX189" s="14"/>
      <c r="DY189" s="14"/>
      <c r="DZ189" s="14"/>
      <c r="EA189" s="14"/>
      <c r="EB189" s="14"/>
      <c r="EC189" s="14"/>
      <c r="ED189" s="14"/>
      <c r="EE189" s="14"/>
      <c r="EF189" s="14"/>
      <c r="EG189" s="14"/>
      <c r="EH189" s="14"/>
      <c r="EI189" s="14"/>
      <c r="EJ189" s="14"/>
      <c r="EK189" s="14"/>
      <c r="EL189" s="14"/>
      <c r="EM189" s="14"/>
      <c r="EN189" s="14"/>
      <c r="EO189" s="14"/>
      <c r="EP189" s="14"/>
      <c r="EQ189" s="14"/>
      <c r="ER189" s="14"/>
      <c r="ES189" s="14"/>
    </row>
    <row r="190" spans="1:149" s="1" customFormat="1" ht="68.25" customHeight="1">
      <c r="A190" s="91"/>
      <c r="B190" s="91"/>
      <c r="C190" s="91"/>
      <c r="D190" s="91"/>
      <c r="E190" s="32" t="s">
        <v>370</v>
      </c>
      <c r="F190" s="93"/>
      <c r="G190" s="94"/>
      <c r="H190" s="93"/>
      <c r="I190" s="26">
        <f>50000-38200</f>
        <v>11800</v>
      </c>
      <c r="J190" s="26"/>
      <c r="K190" s="135">
        <f>J190+I190</f>
        <v>11800</v>
      </c>
      <c r="L190" s="152"/>
      <c r="M190" s="14"/>
      <c r="N190" s="14"/>
      <c r="O190" s="14"/>
      <c r="P190" s="14"/>
      <c r="Q190" s="14"/>
      <c r="R190" s="14"/>
      <c r="S190" s="14"/>
      <c r="T190" s="14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  <c r="AF190" s="14"/>
      <c r="AG190" s="14"/>
      <c r="AH190" s="14"/>
      <c r="AI190" s="14"/>
      <c r="AJ190" s="14"/>
      <c r="AK190" s="14"/>
      <c r="AL190" s="14"/>
      <c r="AM190" s="14"/>
      <c r="AN190" s="14"/>
      <c r="AO190" s="14"/>
      <c r="AP190" s="14"/>
      <c r="AQ190" s="14"/>
      <c r="AR190" s="14"/>
      <c r="AS190" s="14"/>
      <c r="AT190" s="14"/>
      <c r="AU190" s="14"/>
      <c r="AV190" s="14"/>
      <c r="AW190" s="14"/>
      <c r="AX190" s="14"/>
      <c r="AY190" s="14"/>
      <c r="AZ190" s="14"/>
      <c r="BA190" s="14"/>
      <c r="BB190" s="14"/>
      <c r="BC190" s="14"/>
      <c r="BD190" s="14"/>
      <c r="BE190" s="14"/>
      <c r="BF190" s="14"/>
      <c r="BG190" s="14"/>
      <c r="BH190" s="14"/>
      <c r="BI190" s="14"/>
      <c r="BJ190" s="14"/>
      <c r="BK190" s="14"/>
      <c r="BL190" s="14"/>
      <c r="BM190" s="14"/>
      <c r="BN190" s="14"/>
      <c r="BO190" s="14"/>
      <c r="BP190" s="14"/>
      <c r="BQ190" s="14"/>
      <c r="BR190" s="14"/>
      <c r="BS190" s="14"/>
      <c r="BT190" s="14"/>
      <c r="BU190" s="14"/>
      <c r="BV190" s="14"/>
      <c r="BW190" s="14"/>
      <c r="BX190" s="14"/>
      <c r="BY190" s="14"/>
      <c r="BZ190" s="14"/>
      <c r="CA190" s="14"/>
      <c r="CB190" s="14"/>
      <c r="CC190" s="14"/>
      <c r="CD190" s="14"/>
      <c r="CE190" s="14"/>
      <c r="CF190" s="14"/>
      <c r="CG190" s="14"/>
      <c r="CH190" s="14"/>
      <c r="CI190" s="14"/>
      <c r="CJ190" s="14"/>
      <c r="CK190" s="14"/>
      <c r="CL190" s="14"/>
      <c r="CM190" s="14"/>
      <c r="CN190" s="14"/>
      <c r="CO190" s="14"/>
      <c r="CP190" s="14"/>
      <c r="CQ190" s="14"/>
      <c r="CR190" s="14"/>
      <c r="CS190" s="14"/>
      <c r="CT190" s="14"/>
      <c r="CU190" s="14"/>
      <c r="CV190" s="14"/>
      <c r="CW190" s="14"/>
      <c r="CX190" s="14"/>
      <c r="CY190" s="14"/>
      <c r="CZ190" s="14"/>
      <c r="DA190" s="14"/>
      <c r="DB190" s="14"/>
      <c r="DC190" s="14"/>
      <c r="DD190" s="14"/>
      <c r="DE190" s="14"/>
      <c r="DF190" s="14"/>
      <c r="DG190" s="14"/>
      <c r="DH190" s="14"/>
      <c r="DI190" s="14"/>
      <c r="DJ190" s="14"/>
      <c r="DK190" s="14"/>
      <c r="DL190" s="14"/>
      <c r="DM190" s="14"/>
      <c r="DN190" s="14"/>
      <c r="DO190" s="14"/>
      <c r="DP190" s="14"/>
      <c r="DQ190" s="14"/>
      <c r="DR190" s="14"/>
      <c r="DS190" s="14"/>
      <c r="DT190" s="14"/>
      <c r="DU190" s="14"/>
      <c r="DV190" s="14"/>
      <c r="DW190" s="14"/>
      <c r="DX190" s="14"/>
      <c r="DY190" s="14"/>
      <c r="DZ190" s="14"/>
      <c r="EA190" s="14"/>
      <c r="EB190" s="14"/>
      <c r="EC190" s="14"/>
      <c r="ED190" s="14"/>
      <c r="EE190" s="14"/>
      <c r="EF190" s="14"/>
      <c r="EG190" s="14"/>
      <c r="EH190" s="14"/>
      <c r="EI190" s="14"/>
      <c r="EJ190" s="14"/>
      <c r="EK190" s="14"/>
      <c r="EL190" s="14"/>
      <c r="EM190" s="14"/>
      <c r="EN190" s="14"/>
      <c r="EO190" s="14"/>
      <c r="EP190" s="14"/>
      <c r="EQ190" s="14"/>
      <c r="ER190" s="14"/>
      <c r="ES190" s="14"/>
    </row>
    <row r="191" spans="1:12" s="14" customFormat="1" ht="30.75" customHeight="1">
      <c r="A191" s="91"/>
      <c r="B191" s="91"/>
      <c r="C191" s="91"/>
      <c r="D191" s="91"/>
      <c r="E191" s="32" t="s">
        <v>303</v>
      </c>
      <c r="F191" s="93">
        <v>1681565</v>
      </c>
      <c r="G191" s="94">
        <v>11.6</v>
      </c>
      <c r="H191" s="93">
        <v>194907</v>
      </c>
      <c r="I191" s="26">
        <v>8500</v>
      </c>
      <c r="J191" s="26"/>
      <c r="K191" s="135">
        <f>J191+I191</f>
        <v>8500</v>
      </c>
      <c r="L191" s="152"/>
    </row>
    <row r="192" spans="1:149" s="7" customFormat="1" ht="21.75" customHeight="1">
      <c r="A192" s="90"/>
      <c r="B192" s="91"/>
      <c r="C192" s="91"/>
      <c r="D192" s="91"/>
      <c r="E192" s="56" t="s">
        <v>171</v>
      </c>
      <c r="F192" s="93"/>
      <c r="G192" s="89"/>
      <c r="H192" s="93"/>
      <c r="I192" s="24">
        <f>SUM(I193:I202)</f>
        <v>4107565</v>
      </c>
      <c r="J192" s="24">
        <f>SUM(J193:J202)</f>
        <v>0</v>
      </c>
      <c r="K192" s="133">
        <f>SUM(K193:K202)</f>
        <v>4107565</v>
      </c>
      <c r="L192" s="152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  <c r="AQ192" s="11"/>
      <c r="AR192" s="11"/>
      <c r="AS192" s="11"/>
      <c r="AT192" s="11"/>
      <c r="AU192" s="11"/>
      <c r="AV192" s="11"/>
      <c r="AW192" s="11"/>
      <c r="AX192" s="11"/>
      <c r="AY192" s="11"/>
      <c r="AZ192" s="11"/>
      <c r="BA192" s="11"/>
      <c r="BB192" s="11"/>
      <c r="BC192" s="11"/>
      <c r="BD192" s="11"/>
      <c r="BE192" s="11"/>
      <c r="BF192" s="11"/>
      <c r="BG192" s="11"/>
      <c r="BH192" s="11"/>
      <c r="BI192" s="11"/>
      <c r="BJ192" s="11"/>
      <c r="BK192" s="11"/>
      <c r="BL192" s="11"/>
      <c r="BM192" s="11"/>
      <c r="BN192" s="11"/>
      <c r="BO192" s="11"/>
      <c r="BP192" s="11"/>
      <c r="BQ192" s="11"/>
      <c r="BR192" s="11"/>
      <c r="BS192" s="11"/>
      <c r="BT192" s="11"/>
      <c r="BU192" s="11"/>
      <c r="BV192" s="11"/>
      <c r="BW192" s="11"/>
      <c r="BX192" s="11"/>
      <c r="BY192" s="11"/>
      <c r="BZ192" s="11"/>
      <c r="CA192" s="11"/>
      <c r="CB192" s="11"/>
      <c r="CC192" s="11"/>
      <c r="CD192" s="11"/>
      <c r="CE192" s="11"/>
      <c r="CF192" s="11"/>
      <c r="CG192" s="11"/>
      <c r="CH192" s="11"/>
      <c r="CI192" s="11"/>
      <c r="CJ192" s="11"/>
      <c r="CK192" s="11"/>
      <c r="CL192" s="11"/>
      <c r="CM192" s="11"/>
      <c r="CN192" s="11"/>
      <c r="CO192" s="11"/>
      <c r="CP192" s="11"/>
      <c r="CQ192" s="11"/>
      <c r="CR192" s="11"/>
      <c r="CS192" s="11"/>
      <c r="CT192" s="11"/>
      <c r="CU192" s="11"/>
      <c r="CV192" s="11"/>
      <c r="CW192" s="11"/>
      <c r="CX192" s="11"/>
      <c r="CY192" s="11"/>
      <c r="CZ192" s="11"/>
      <c r="DA192" s="11"/>
      <c r="DB192" s="11"/>
      <c r="DC192" s="11"/>
      <c r="DD192" s="11"/>
      <c r="DE192" s="11"/>
      <c r="DF192" s="11"/>
      <c r="DG192" s="11"/>
      <c r="DH192" s="11"/>
      <c r="DI192" s="11"/>
      <c r="DJ192" s="11"/>
      <c r="DK192" s="11"/>
      <c r="DL192" s="11"/>
      <c r="DM192" s="11"/>
      <c r="DN192" s="11"/>
      <c r="DO192" s="11"/>
      <c r="DP192" s="11"/>
      <c r="DQ192" s="11"/>
      <c r="DR192" s="11"/>
      <c r="DS192" s="11"/>
      <c r="DT192" s="11"/>
      <c r="DU192" s="11"/>
      <c r="DV192" s="11"/>
      <c r="DW192" s="11"/>
      <c r="DX192" s="11"/>
      <c r="DY192" s="11"/>
      <c r="DZ192" s="11"/>
      <c r="EA192" s="11"/>
      <c r="EB192" s="11"/>
      <c r="EC192" s="11"/>
      <c r="ED192" s="11"/>
      <c r="EE192" s="11"/>
      <c r="EF192" s="11"/>
      <c r="EG192" s="11"/>
      <c r="EH192" s="11"/>
      <c r="EI192" s="11"/>
      <c r="EJ192" s="11"/>
      <c r="EK192" s="11"/>
      <c r="EL192" s="11"/>
      <c r="EM192" s="11"/>
      <c r="EN192" s="11"/>
      <c r="EO192" s="11"/>
      <c r="EP192" s="11"/>
      <c r="EQ192" s="11"/>
      <c r="ER192" s="11"/>
      <c r="ES192" s="11"/>
    </row>
    <row r="193" spans="1:12" s="14" customFormat="1" ht="24.75" customHeight="1">
      <c r="A193" s="91"/>
      <c r="B193" s="91"/>
      <c r="C193" s="91"/>
      <c r="D193" s="91"/>
      <c r="E193" s="32" t="s">
        <v>172</v>
      </c>
      <c r="F193" s="93">
        <v>16481572</v>
      </c>
      <c r="G193" s="94">
        <v>81.3</v>
      </c>
      <c r="H193" s="93">
        <v>13394899</v>
      </c>
      <c r="I193" s="26">
        <v>2000000</v>
      </c>
      <c r="J193" s="26"/>
      <c r="K193" s="135">
        <f aca="true" t="shared" si="7" ref="K193:K202">J193+I193</f>
        <v>2000000</v>
      </c>
      <c r="L193" s="152"/>
    </row>
    <row r="194" spans="1:12" s="14" customFormat="1" ht="60" customHeight="1">
      <c r="A194" s="91"/>
      <c r="B194" s="91"/>
      <c r="C194" s="91"/>
      <c r="D194" s="91"/>
      <c r="E194" s="54" t="s">
        <v>173</v>
      </c>
      <c r="F194" s="93">
        <v>413827</v>
      </c>
      <c r="G194" s="94">
        <v>100</v>
      </c>
      <c r="H194" s="93">
        <v>413827</v>
      </c>
      <c r="I194" s="26">
        <f>492000-126900</f>
        <v>365100</v>
      </c>
      <c r="J194" s="26"/>
      <c r="K194" s="135">
        <f t="shared" si="7"/>
        <v>365100</v>
      </c>
      <c r="L194" s="152"/>
    </row>
    <row r="195" spans="1:12" s="14" customFormat="1" ht="43.5" customHeight="1">
      <c r="A195" s="91"/>
      <c r="B195" s="91"/>
      <c r="C195" s="91"/>
      <c r="D195" s="91"/>
      <c r="E195" s="54" t="s">
        <v>174</v>
      </c>
      <c r="F195" s="93">
        <v>1172514</v>
      </c>
      <c r="G195" s="94">
        <v>100</v>
      </c>
      <c r="H195" s="93">
        <v>1172514</v>
      </c>
      <c r="I195" s="26">
        <f>995000-10700</f>
        <v>984300</v>
      </c>
      <c r="J195" s="26"/>
      <c r="K195" s="135">
        <f t="shared" si="7"/>
        <v>984300</v>
      </c>
      <c r="L195" s="152"/>
    </row>
    <row r="196" spans="1:12" s="14" customFormat="1" ht="55.5" customHeight="1">
      <c r="A196" s="91"/>
      <c r="B196" s="91"/>
      <c r="C196" s="91"/>
      <c r="D196" s="91"/>
      <c r="E196" s="54" t="s">
        <v>175</v>
      </c>
      <c r="F196" s="93">
        <v>200281</v>
      </c>
      <c r="G196" s="94">
        <v>100</v>
      </c>
      <c r="H196" s="93">
        <v>200281</v>
      </c>
      <c r="I196" s="26">
        <f>233000-63800</f>
        <v>169200</v>
      </c>
      <c r="J196" s="26"/>
      <c r="K196" s="135">
        <f t="shared" si="7"/>
        <v>169200</v>
      </c>
      <c r="L196" s="152"/>
    </row>
    <row r="197" spans="1:12" s="14" customFormat="1" ht="36.75" customHeight="1">
      <c r="A197" s="91"/>
      <c r="B197" s="91"/>
      <c r="C197" s="91"/>
      <c r="D197" s="91"/>
      <c r="E197" s="54" t="s">
        <v>176</v>
      </c>
      <c r="F197" s="93">
        <v>512905</v>
      </c>
      <c r="G197" s="94">
        <v>100</v>
      </c>
      <c r="H197" s="93">
        <v>512905</v>
      </c>
      <c r="I197" s="26">
        <f>280000+266465</f>
        <v>546465</v>
      </c>
      <c r="J197" s="26"/>
      <c r="K197" s="135">
        <f t="shared" si="7"/>
        <v>546465</v>
      </c>
      <c r="L197" s="152"/>
    </row>
    <row r="198" spans="1:12" s="14" customFormat="1" ht="42" customHeight="1">
      <c r="A198" s="91"/>
      <c r="B198" s="91"/>
      <c r="C198" s="91"/>
      <c r="D198" s="91"/>
      <c r="E198" s="54" t="s">
        <v>304</v>
      </c>
      <c r="F198" s="93"/>
      <c r="G198" s="94"/>
      <c r="H198" s="93"/>
      <c r="I198" s="26">
        <v>8500</v>
      </c>
      <c r="J198" s="26"/>
      <c r="K198" s="135">
        <f t="shared" si="7"/>
        <v>8500</v>
      </c>
      <c r="L198" s="152"/>
    </row>
    <row r="199" spans="1:12" s="14" customFormat="1" ht="36.75" customHeight="1">
      <c r="A199" s="91"/>
      <c r="B199" s="91"/>
      <c r="C199" s="91"/>
      <c r="D199" s="91"/>
      <c r="E199" s="54" t="s">
        <v>305</v>
      </c>
      <c r="F199" s="93"/>
      <c r="G199" s="94"/>
      <c r="H199" s="93"/>
      <c r="I199" s="26">
        <v>8500</v>
      </c>
      <c r="J199" s="26"/>
      <c r="K199" s="135">
        <f t="shared" si="7"/>
        <v>8500</v>
      </c>
      <c r="L199" s="152"/>
    </row>
    <row r="200" spans="1:12" s="14" customFormat="1" ht="36.75" customHeight="1">
      <c r="A200" s="91"/>
      <c r="B200" s="91"/>
      <c r="C200" s="91"/>
      <c r="D200" s="91"/>
      <c r="E200" s="54" t="s">
        <v>306</v>
      </c>
      <c r="F200" s="93"/>
      <c r="G200" s="94"/>
      <c r="H200" s="93"/>
      <c r="I200" s="26">
        <v>8500</v>
      </c>
      <c r="J200" s="26"/>
      <c r="K200" s="135">
        <f t="shared" si="7"/>
        <v>8500</v>
      </c>
      <c r="L200" s="152"/>
    </row>
    <row r="201" spans="1:12" s="14" customFormat="1" ht="69" customHeight="1">
      <c r="A201" s="91"/>
      <c r="B201" s="91"/>
      <c r="C201" s="91"/>
      <c r="D201" s="91"/>
      <c r="E201" s="54" t="s">
        <v>307</v>
      </c>
      <c r="F201" s="93"/>
      <c r="G201" s="94"/>
      <c r="H201" s="93"/>
      <c r="I201" s="26">
        <v>8500</v>
      </c>
      <c r="J201" s="26"/>
      <c r="K201" s="135">
        <f t="shared" si="7"/>
        <v>8500</v>
      </c>
      <c r="L201" s="152"/>
    </row>
    <row r="202" spans="1:12" s="14" customFormat="1" ht="63" customHeight="1">
      <c r="A202" s="91"/>
      <c r="B202" s="91"/>
      <c r="C202" s="91"/>
      <c r="D202" s="91"/>
      <c r="E202" s="54" t="s">
        <v>308</v>
      </c>
      <c r="F202" s="93"/>
      <c r="G202" s="94"/>
      <c r="H202" s="93"/>
      <c r="I202" s="26">
        <v>8500</v>
      </c>
      <c r="J202" s="26"/>
      <c r="K202" s="135">
        <f t="shared" si="7"/>
        <v>8500</v>
      </c>
      <c r="L202" s="152"/>
    </row>
    <row r="203" spans="1:149" s="5" customFormat="1" ht="54" customHeight="1">
      <c r="A203" s="87">
        <v>1517320</v>
      </c>
      <c r="B203" s="46" t="s">
        <v>158</v>
      </c>
      <c r="C203" s="46"/>
      <c r="D203" s="56" t="s">
        <v>164</v>
      </c>
      <c r="E203" s="56"/>
      <c r="F203" s="93"/>
      <c r="G203" s="89"/>
      <c r="H203" s="93"/>
      <c r="I203" s="24">
        <f>I204+I225+I233</f>
        <v>17099932</v>
      </c>
      <c r="J203" s="24">
        <f>J204+J225+J233</f>
        <v>0</v>
      </c>
      <c r="K203" s="133">
        <f>K204+K225+K233</f>
        <v>17099932</v>
      </c>
      <c r="L203" s="152"/>
      <c r="M203" s="13"/>
      <c r="N203" s="13"/>
      <c r="O203" s="13"/>
      <c r="P203" s="13"/>
      <c r="Q203" s="13"/>
      <c r="R203" s="13"/>
      <c r="S203" s="13"/>
      <c r="T203" s="13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F203" s="13"/>
      <c r="AG203" s="13"/>
      <c r="AH203" s="13"/>
      <c r="AI203" s="13"/>
      <c r="AJ203" s="13"/>
      <c r="AK203" s="13"/>
      <c r="AL203" s="13"/>
      <c r="AM203" s="13"/>
      <c r="AN203" s="13"/>
      <c r="AO203" s="13"/>
      <c r="AP203" s="13"/>
      <c r="AQ203" s="13"/>
      <c r="AR203" s="13"/>
      <c r="AS203" s="13"/>
      <c r="AT203" s="13"/>
      <c r="AU203" s="13"/>
      <c r="AV203" s="13"/>
      <c r="AW203" s="13"/>
      <c r="AX203" s="13"/>
      <c r="AY203" s="13"/>
      <c r="AZ203" s="13"/>
      <c r="BA203" s="13"/>
      <c r="BB203" s="13"/>
      <c r="BC203" s="13"/>
      <c r="BD203" s="13"/>
      <c r="BE203" s="13"/>
      <c r="BF203" s="13"/>
      <c r="BG203" s="13"/>
      <c r="BH203" s="13"/>
      <c r="BI203" s="13"/>
      <c r="BJ203" s="13"/>
      <c r="BK203" s="13"/>
      <c r="BL203" s="13"/>
      <c r="BM203" s="13"/>
      <c r="BN203" s="13"/>
      <c r="BO203" s="13"/>
      <c r="BP203" s="13"/>
      <c r="BQ203" s="13"/>
      <c r="BR203" s="13"/>
      <c r="BS203" s="13"/>
      <c r="BT203" s="13"/>
      <c r="BU203" s="13"/>
      <c r="BV203" s="13"/>
      <c r="BW203" s="13"/>
      <c r="BX203" s="13"/>
      <c r="BY203" s="13"/>
      <c r="BZ203" s="13"/>
      <c r="CA203" s="13"/>
      <c r="CB203" s="13"/>
      <c r="CC203" s="13"/>
      <c r="CD203" s="13"/>
      <c r="CE203" s="13"/>
      <c r="CF203" s="13"/>
      <c r="CG203" s="13"/>
      <c r="CH203" s="13"/>
      <c r="CI203" s="13"/>
      <c r="CJ203" s="13"/>
      <c r="CK203" s="13"/>
      <c r="CL203" s="13"/>
      <c r="CM203" s="13"/>
      <c r="CN203" s="13"/>
      <c r="CO203" s="13"/>
      <c r="CP203" s="13"/>
      <c r="CQ203" s="13"/>
      <c r="CR203" s="13"/>
      <c r="CS203" s="13"/>
      <c r="CT203" s="13"/>
      <c r="CU203" s="13"/>
      <c r="CV203" s="13"/>
      <c r="CW203" s="13"/>
      <c r="CX203" s="13"/>
      <c r="CY203" s="13"/>
      <c r="CZ203" s="13"/>
      <c r="DA203" s="13"/>
      <c r="DB203" s="13"/>
      <c r="DC203" s="13"/>
      <c r="DD203" s="13"/>
      <c r="DE203" s="13"/>
      <c r="DF203" s="13"/>
      <c r="DG203" s="13"/>
      <c r="DH203" s="13"/>
      <c r="DI203" s="13"/>
      <c r="DJ203" s="13"/>
      <c r="DK203" s="13"/>
      <c r="DL203" s="13"/>
      <c r="DM203" s="13"/>
      <c r="DN203" s="13"/>
      <c r="DO203" s="13"/>
      <c r="DP203" s="13"/>
      <c r="DQ203" s="13"/>
      <c r="DR203" s="13"/>
      <c r="DS203" s="13"/>
      <c r="DT203" s="13"/>
      <c r="DU203" s="13"/>
      <c r="DV203" s="13"/>
      <c r="DW203" s="13"/>
      <c r="DX203" s="13"/>
      <c r="DY203" s="13"/>
      <c r="DZ203" s="13"/>
      <c r="EA203" s="13"/>
      <c r="EB203" s="13"/>
      <c r="EC203" s="13"/>
      <c r="ED203" s="13"/>
      <c r="EE203" s="13"/>
      <c r="EF203" s="13"/>
      <c r="EG203" s="13"/>
      <c r="EH203" s="13"/>
      <c r="EI203" s="13"/>
      <c r="EJ203" s="13"/>
      <c r="EK203" s="13"/>
      <c r="EL203" s="13"/>
      <c r="EM203" s="13"/>
      <c r="EN203" s="13"/>
      <c r="EO203" s="13"/>
      <c r="EP203" s="13"/>
      <c r="EQ203" s="13"/>
      <c r="ER203" s="13"/>
      <c r="ES203" s="13"/>
    </row>
    <row r="204" spans="1:149" s="16" customFormat="1" ht="34.5" customHeight="1">
      <c r="A204" s="95">
        <v>1517321</v>
      </c>
      <c r="B204" s="47" t="s">
        <v>159</v>
      </c>
      <c r="C204" s="47" t="s">
        <v>57</v>
      </c>
      <c r="D204" s="96" t="s">
        <v>165</v>
      </c>
      <c r="E204" s="97"/>
      <c r="F204" s="93"/>
      <c r="G204" s="25"/>
      <c r="H204" s="93"/>
      <c r="I204" s="25">
        <f>I205+I211</f>
        <v>7658932</v>
      </c>
      <c r="J204" s="25">
        <f>J205+J211</f>
        <v>0</v>
      </c>
      <c r="K204" s="134">
        <f>K205+K211</f>
        <v>7658932</v>
      </c>
      <c r="L204" s="152"/>
      <c r="M204" s="15"/>
      <c r="N204" s="15"/>
      <c r="O204" s="15"/>
      <c r="P204" s="15"/>
      <c r="Q204" s="15"/>
      <c r="R204" s="15"/>
      <c r="S204" s="15"/>
      <c r="T204" s="15"/>
      <c r="U204" s="15"/>
      <c r="V204" s="15"/>
      <c r="W204" s="15"/>
      <c r="X204" s="15"/>
      <c r="Y204" s="15"/>
      <c r="Z204" s="15"/>
      <c r="AA204" s="15"/>
      <c r="AB204" s="15"/>
      <c r="AC204" s="15"/>
      <c r="AD204" s="15"/>
      <c r="AE204" s="15"/>
      <c r="AF204" s="15"/>
      <c r="AG204" s="15"/>
      <c r="AH204" s="15"/>
      <c r="AI204" s="15"/>
      <c r="AJ204" s="15"/>
      <c r="AK204" s="15"/>
      <c r="AL204" s="15"/>
      <c r="AM204" s="15"/>
      <c r="AN204" s="15"/>
      <c r="AO204" s="15"/>
      <c r="AP204" s="15"/>
      <c r="AQ204" s="15"/>
      <c r="AR204" s="15"/>
      <c r="AS204" s="15"/>
      <c r="AT204" s="15"/>
      <c r="AU204" s="15"/>
      <c r="AV204" s="15"/>
      <c r="AW204" s="15"/>
      <c r="AX204" s="15"/>
      <c r="AY204" s="15"/>
      <c r="AZ204" s="15"/>
      <c r="BA204" s="15"/>
      <c r="BB204" s="15"/>
      <c r="BC204" s="15"/>
      <c r="BD204" s="15"/>
      <c r="BE204" s="15"/>
      <c r="BF204" s="15"/>
      <c r="BG204" s="15"/>
      <c r="BH204" s="15"/>
      <c r="BI204" s="15"/>
      <c r="BJ204" s="15"/>
      <c r="BK204" s="15"/>
      <c r="BL204" s="15"/>
      <c r="BM204" s="15"/>
      <c r="BN204" s="15"/>
      <c r="BO204" s="15"/>
      <c r="BP204" s="15"/>
      <c r="BQ204" s="15"/>
      <c r="BR204" s="15"/>
      <c r="BS204" s="15"/>
      <c r="BT204" s="15"/>
      <c r="BU204" s="15"/>
      <c r="BV204" s="15"/>
      <c r="BW204" s="15"/>
      <c r="BX204" s="15"/>
      <c r="BY204" s="15"/>
      <c r="BZ204" s="15"/>
      <c r="CA204" s="15"/>
      <c r="CB204" s="15"/>
      <c r="CC204" s="15"/>
      <c r="CD204" s="15"/>
      <c r="CE204" s="15"/>
      <c r="CF204" s="15"/>
      <c r="CG204" s="15"/>
      <c r="CH204" s="15"/>
      <c r="CI204" s="15"/>
      <c r="CJ204" s="15"/>
      <c r="CK204" s="15"/>
      <c r="CL204" s="15"/>
      <c r="CM204" s="15"/>
      <c r="CN204" s="15"/>
      <c r="CO204" s="15"/>
      <c r="CP204" s="15"/>
      <c r="CQ204" s="15"/>
      <c r="CR204" s="15"/>
      <c r="CS204" s="15"/>
      <c r="CT204" s="15"/>
      <c r="CU204" s="15"/>
      <c r="CV204" s="15"/>
      <c r="CW204" s="15"/>
      <c r="CX204" s="15"/>
      <c r="CY204" s="15"/>
      <c r="CZ204" s="15"/>
      <c r="DA204" s="15"/>
      <c r="DB204" s="15"/>
      <c r="DC204" s="15"/>
      <c r="DD204" s="15"/>
      <c r="DE204" s="15"/>
      <c r="DF204" s="15"/>
      <c r="DG204" s="15"/>
      <c r="DH204" s="15"/>
      <c r="DI204" s="15"/>
      <c r="DJ204" s="15"/>
      <c r="DK204" s="15"/>
      <c r="DL204" s="15"/>
      <c r="DM204" s="15"/>
      <c r="DN204" s="15"/>
      <c r="DO204" s="15"/>
      <c r="DP204" s="15"/>
      <c r="DQ204" s="15"/>
      <c r="DR204" s="15"/>
      <c r="DS204" s="15"/>
      <c r="DT204" s="15"/>
      <c r="DU204" s="15"/>
      <c r="DV204" s="15"/>
      <c r="DW204" s="15"/>
      <c r="DX204" s="15"/>
      <c r="DY204" s="15"/>
      <c r="DZ204" s="15"/>
      <c r="EA204" s="15"/>
      <c r="EB204" s="15"/>
      <c r="EC204" s="15"/>
      <c r="ED204" s="15"/>
      <c r="EE204" s="15"/>
      <c r="EF204" s="15"/>
      <c r="EG204" s="15"/>
      <c r="EH204" s="15"/>
      <c r="EI204" s="15"/>
      <c r="EJ204" s="15"/>
      <c r="EK204" s="15"/>
      <c r="EL204" s="15"/>
      <c r="EM204" s="15"/>
      <c r="EN204" s="15"/>
      <c r="EO204" s="15"/>
      <c r="EP204" s="15"/>
      <c r="EQ204" s="15"/>
      <c r="ER204" s="15"/>
      <c r="ES204" s="15"/>
    </row>
    <row r="205" spans="1:149" s="7" customFormat="1" ht="27" customHeight="1">
      <c r="A205" s="90"/>
      <c r="B205" s="91"/>
      <c r="C205" s="91"/>
      <c r="D205" s="91"/>
      <c r="E205" s="98" t="s">
        <v>168</v>
      </c>
      <c r="F205" s="93"/>
      <c r="G205" s="89"/>
      <c r="H205" s="93"/>
      <c r="I205" s="24">
        <f>SUM(I206:I210)</f>
        <v>1888400</v>
      </c>
      <c r="J205" s="24">
        <f>SUM(J206:J210)</f>
        <v>0</v>
      </c>
      <c r="K205" s="133">
        <f>SUM(K206:K210)</f>
        <v>1888400</v>
      </c>
      <c r="L205" s="152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11"/>
      <c r="AI205" s="11"/>
      <c r="AJ205" s="11"/>
      <c r="AK205" s="11"/>
      <c r="AL205" s="11"/>
      <c r="AM205" s="11"/>
      <c r="AN205" s="11"/>
      <c r="AO205" s="11"/>
      <c r="AP205" s="11"/>
      <c r="AQ205" s="11"/>
      <c r="AR205" s="11"/>
      <c r="AS205" s="11"/>
      <c r="AT205" s="11"/>
      <c r="AU205" s="11"/>
      <c r="AV205" s="11"/>
      <c r="AW205" s="11"/>
      <c r="AX205" s="11"/>
      <c r="AY205" s="11"/>
      <c r="AZ205" s="11"/>
      <c r="BA205" s="11"/>
      <c r="BB205" s="11"/>
      <c r="BC205" s="11"/>
      <c r="BD205" s="11"/>
      <c r="BE205" s="11"/>
      <c r="BF205" s="11"/>
      <c r="BG205" s="11"/>
      <c r="BH205" s="11"/>
      <c r="BI205" s="11"/>
      <c r="BJ205" s="11"/>
      <c r="BK205" s="11"/>
      <c r="BL205" s="11"/>
      <c r="BM205" s="11"/>
      <c r="BN205" s="11"/>
      <c r="BO205" s="11"/>
      <c r="BP205" s="11"/>
      <c r="BQ205" s="11"/>
      <c r="BR205" s="11"/>
      <c r="BS205" s="11"/>
      <c r="BT205" s="11"/>
      <c r="BU205" s="11"/>
      <c r="BV205" s="11"/>
      <c r="BW205" s="11"/>
      <c r="BX205" s="11"/>
      <c r="BY205" s="11"/>
      <c r="BZ205" s="11"/>
      <c r="CA205" s="11"/>
      <c r="CB205" s="11"/>
      <c r="CC205" s="11"/>
      <c r="CD205" s="11"/>
      <c r="CE205" s="11"/>
      <c r="CF205" s="11"/>
      <c r="CG205" s="11"/>
      <c r="CH205" s="11"/>
      <c r="CI205" s="11"/>
      <c r="CJ205" s="11"/>
      <c r="CK205" s="11"/>
      <c r="CL205" s="11"/>
      <c r="CM205" s="11"/>
      <c r="CN205" s="11"/>
      <c r="CO205" s="11"/>
      <c r="CP205" s="11"/>
      <c r="CQ205" s="11"/>
      <c r="CR205" s="11"/>
      <c r="CS205" s="11"/>
      <c r="CT205" s="11"/>
      <c r="CU205" s="11"/>
      <c r="CV205" s="11"/>
      <c r="CW205" s="11"/>
      <c r="CX205" s="11"/>
      <c r="CY205" s="11"/>
      <c r="CZ205" s="11"/>
      <c r="DA205" s="11"/>
      <c r="DB205" s="11"/>
      <c r="DC205" s="11"/>
      <c r="DD205" s="11"/>
      <c r="DE205" s="11"/>
      <c r="DF205" s="11"/>
      <c r="DG205" s="11"/>
      <c r="DH205" s="11"/>
      <c r="DI205" s="11"/>
      <c r="DJ205" s="11"/>
      <c r="DK205" s="11"/>
      <c r="DL205" s="11"/>
      <c r="DM205" s="11"/>
      <c r="DN205" s="11"/>
      <c r="DO205" s="11"/>
      <c r="DP205" s="11"/>
      <c r="DQ205" s="11"/>
      <c r="DR205" s="11"/>
      <c r="DS205" s="11"/>
      <c r="DT205" s="11"/>
      <c r="DU205" s="11"/>
      <c r="DV205" s="11"/>
      <c r="DW205" s="11"/>
      <c r="DX205" s="11"/>
      <c r="DY205" s="11"/>
      <c r="DZ205" s="11"/>
      <c r="EA205" s="11"/>
      <c r="EB205" s="11"/>
      <c r="EC205" s="11"/>
      <c r="ED205" s="11"/>
      <c r="EE205" s="11"/>
      <c r="EF205" s="11"/>
      <c r="EG205" s="11"/>
      <c r="EH205" s="11"/>
      <c r="EI205" s="11"/>
      <c r="EJ205" s="11"/>
      <c r="EK205" s="11"/>
      <c r="EL205" s="11"/>
      <c r="EM205" s="11"/>
      <c r="EN205" s="11"/>
      <c r="EO205" s="11"/>
      <c r="EP205" s="11"/>
      <c r="EQ205" s="11"/>
      <c r="ER205" s="11"/>
      <c r="ES205" s="11"/>
    </row>
    <row r="206" spans="1:149" s="1" customFormat="1" ht="30" customHeight="1">
      <c r="A206" s="90"/>
      <c r="B206" s="90"/>
      <c r="C206" s="90"/>
      <c r="D206" s="90"/>
      <c r="E206" s="32" t="s">
        <v>177</v>
      </c>
      <c r="F206" s="93"/>
      <c r="G206" s="90"/>
      <c r="H206" s="93"/>
      <c r="I206" s="26">
        <v>863000</v>
      </c>
      <c r="J206" s="26"/>
      <c r="K206" s="135">
        <f>J206+I206</f>
        <v>863000</v>
      </c>
      <c r="L206" s="152"/>
      <c r="M206" s="14"/>
      <c r="N206" s="14"/>
      <c r="O206" s="14"/>
      <c r="P206" s="14"/>
      <c r="Q206" s="14"/>
      <c r="R206" s="14"/>
      <c r="S206" s="14"/>
      <c r="T206" s="14"/>
      <c r="U206" s="14"/>
      <c r="V206" s="14"/>
      <c r="W206" s="14"/>
      <c r="X206" s="14"/>
      <c r="Y206" s="14"/>
      <c r="Z206" s="14"/>
      <c r="AA206" s="14"/>
      <c r="AB206" s="14"/>
      <c r="AC206" s="14"/>
      <c r="AD206" s="14"/>
      <c r="AE206" s="14"/>
      <c r="AF206" s="14"/>
      <c r="AG206" s="14"/>
      <c r="AH206" s="14"/>
      <c r="AI206" s="14"/>
      <c r="AJ206" s="14"/>
      <c r="AK206" s="14"/>
      <c r="AL206" s="14"/>
      <c r="AM206" s="14"/>
      <c r="AN206" s="14"/>
      <c r="AO206" s="14"/>
      <c r="AP206" s="14"/>
      <c r="AQ206" s="14"/>
      <c r="AR206" s="14"/>
      <c r="AS206" s="14"/>
      <c r="AT206" s="14"/>
      <c r="AU206" s="14"/>
      <c r="AV206" s="14"/>
      <c r="AW206" s="14"/>
      <c r="AX206" s="14"/>
      <c r="AY206" s="14"/>
      <c r="AZ206" s="14"/>
      <c r="BA206" s="14"/>
      <c r="BB206" s="14"/>
      <c r="BC206" s="14"/>
      <c r="BD206" s="14"/>
      <c r="BE206" s="14"/>
      <c r="BF206" s="14"/>
      <c r="BG206" s="14"/>
      <c r="BH206" s="14"/>
      <c r="BI206" s="14"/>
      <c r="BJ206" s="14"/>
      <c r="BK206" s="14"/>
      <c r="BL206" s="14"/>
      <c r="BM206" s="14"/>
      <c r="BN206" s="14"/>
      <c r="BO206" s="14"/>
      <c r="BP206" s="14"/>
      <c r="BQ206" s="14"/>
      <c r="BR206" s="14"/>
      <c r="BS206" s="14"/>
      <c r="BT206" s="14"/>
      <c r="BU206" s="14"/>
      <c r="BV206" s="14"/>
      <c r="BW206" s="14"/>
      <c r="BX206" s="14"/>
      <c r="BY206" s="14"/>
      <c r="BZ206" s="14"/>
      <c r="CA206" s="14"/>
      <c r="CB206" s="14"/>
      <c r="CC206" s="14"/>
      <c r="CD206" s="14"/>
      <c r="CE206" s="14"/>
      <c r="CF206" s="14"/>
      <c r="CG206" s="14"/>
      <c r="CH206" s="14"/>
      <c r="CI206" s="14"/>
      <c r="CJ206" s="14"/>
      <c r="CK206" s="14"/>
      <c r="CL206" s="14"/>
      <c r="CM206" s="14"/>
      <c r="CN206" s="14"/>
      <c r="CO206" s="14"/>
      <c r="CP206" s="14"/>
      <c r="CQ206" s="14"/>
      <c r="CR206" s="14"/>
      <c r="CS206" s="14"/>
      <c r="CT206" s="14"/>
      <c r="CU206" s="14"/>
      <c r="CV206" s="14"/>
      <c r="CW206" s="14"/>
      <c r="CX206" s="14"/>
      <c r="CY206" s="14"/>
      <c r="CZ206" s="14"/>
      <c r="DA206" s="14"/>
      <c r="DB206" s="14"/>
      <c r="DC206" s="14"/>
      <c r="DD206" s="14"/>
      <c r="DE206" s="14"/>
      <c r="DF206" s="14"/>
      <c r="DG206" s="14"/>
      <c r="DH206" s="14"/>
      <c r="DI206" s="14"/>
      <c r="DJ206" s="14"/>
      <c r="DK206" s="14"/>
      <c r="DL206" s="14"/>
      <c r="DM206" s="14"/>
      <c r="DN206" s="14"/>
      <c r="DO206" s="14"/>
      <c r="DP206" s="14"/>
      <c r="DQ206" s="14"/>
      <c r="DR206" s="14"/>
      <c r="DS206" s="14"/>
      <c r="DT206" s="14"/>
      <c r="DU206" s="14"/>
      <c r="DV206" s="14"/>
      <c r="DW206" s="14"/>
      <c r="DX206" s="14"/>
      <c r="DY206" s="14"/>
      <c r="DZ206" s="14"/>
      <c r="EA206" s="14"/>
      <c r="EB206" s="14"/>
      <c r="EC206" s="14"/>
      <c r="ED206" s="14"/>
      <c r="EE206" s="14"/>
      <c r="EF206" s="14"/>
      <c r="EG206" s="14"/>
      <c r="EH206" s="14"/>
      <c r="EI206" s="14"/>
      <c r="EJ206" s="14"/>
      <c r="EK206" s="14"/>
      <c r="EL206" s="14"/>
      <c r="EM206" s="14"/>
      <c r="EN206" s="14"/>
      <c r="EO206" s="14"/>
      <c r="EP206" s="14"/>
      <c r="EQ206" s="14"/>
      <c r="ER206" s="14"/>
      <c r="ES206" s="14"/>
    </row>
    <row r="207" spans="1:12" s="14" customFormat="1" ht="47.25" customHeight="1">
      <c r="A207" s="91"/>
      <c r="B207" s="91"/>
      <c r="C207" s="91"/>
      <c r="D207" s="91"/>
      <c r="E207" s="32" t="s">
        <v>178</v>
      </c>
      <c r="F207" s="93">
        <v>249610</v>
      </c>
      <c r="G207" s="94">
        <v>100</v>
      </c>
      <c r="H207" s="93">
        <v>249610</v>
      </c>
      <c r="I207" s="26">
        <f>250000-3600</f>
        <v>246400</v>
      </c>
      <c r="J207" s="26"/>
      <c r="K207" s="135">
        <f>J207+I207</f>
        <v>246400</v>
      </c>
      <c r="L207" s="152"/>
    </row>
    <row r="208" spans="1:12" s="14" customFormat="1" ht="71.25" customHeight="1">
      <c r="A208" s="91"/>
      <c r="B208" s="91"/>
      <c r="C208" s="91"/>
      <c r="D208" s="91"/>
      <c r="E208" s="32" t="s">
        <v>348</v>
      </c>
      <c r="F208" s="93">
        <v>103322</v>
      </c>
      <c r="G208" s="94">
        <v>100</v>
      </c>
      <c r="H208" s="93">
        <v>103322</v>
      </c>
      <c r="I208" s="26">
        <v>100000</v>
      </c>
      <c r="J208" s="26"/>
      <c r="K208" s="135">
        <f>J208+I208</f>
        <v>100000</v>
      </c>
      <c r="L208" s="152">
        <v>40</v>
      </c>
    </row>
    <row r="209" spans="1:12" s="14" customFormat="1" ht="71.25" customHeight="1">
      <c r="A209" s="91"/>
      <c r="B209" s="91"/>
      <c r="C209" s="91"/>
      <c r="D209" s="91"/>
      <c r="E209" s="32" t="s">
        <v>467</v>
      </c>
      <c r="F209" s="93"/>
      <c r="G209" s="94"/>
      <c r="H209" s="93"/>
      <c r="I209" s="26">
        <v>288000</v>
      </c>
      <c r="J209" s="26"/>
      <c r="K209" s="135">
        <f>J209+I209</f>
        <v>288000</v>
      </c>
      <c r="L209" s="152"/>
    </row>
    <row r="210" spans="1:12" s="14" customFormat="1" ht="71.25" customHeight="1">
      <c r="A210" s="91"/>
      <c r="B210" s="91"/>
      <c r="C210" s="91"/>
      <c r="D210" s="91"/>
      <c r="E210" s="32" t="s">
        <v>469</v>
      </c>
      <c r="F210" s="93"/>
      <c r="G210" s="94"/>
      <c r="H210" s="93"/>
      <c r="I210" s="26">
        <v>391000</v>
      </c>
      <c r="J210" s="26"/>
      <c r="K210" s="135">
        <f>J210+I210</f>
        <v>391000</v>
      </c>
      <c r="L210" s="152"/>
    </row>
    <row r="211" spans="1:149" s="7" customFormat="1" ht="25.5" customHeight="1">
      <c r="A211" s="90"/>
      <c r="B211" s="91"/>
      <c r="C211" s="91"/>
      <c r="D211" s="91"/>
      <c r="E211" s="56" t="s">
        <v>171</v>
      </c>
      <c r="F211" s="93"/>
      <c r="G211" s="89"/>
      <c r="H211" s="93"/>
      <c r="I211" s="24">
        <f>SUM(I212:I224)</f>
        <v>5770532</v>
      </c>
      <c r="J211" s="24">
        <f>SUM(J212:J224)</f>
        <v>0</v>
      </c>
      <c r="K211" s="133">
        <f>SUM(K212:K224)</f>
        <v>5770532</v>
      </c>
      <c r="L211" s="152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  <c r="AF211" s="11"/>
      <c r="AG211" s="11"/>
      <c r="AH211" s="11"/>
      <c r="AI211" s="11"/>
      <c r="AJ211" s="11"/>
      <c r="AK211" s="11"/>
      <c r="AL211" s="11"/>
      <c r="AM211" s="11"/>
      <c r="AN211" s="11"/>
      <c r="AO211" s="11"/>
      <c r="AP211" s="11"/>
      <c r="AQ211" s="11"/>
      <c r="AR211" s="11"/>
      <c r="AS211" s="11"/>
      <c r="AT211" s="11"/>
      <c r="AU211" s="11"/>
      <c r="AV211" s="11"/>
      <c r="AW211" s="11"/>
      <c r="AX211" s="11"/>
      <c r="AY211" s="11"/>
      <c r="AZ211" s="11"/>
      <c r="BA211" s="11"/>
      <c r="BB211" s="11"/>
      <c r="BC211" s="11"/>
      <c r="BD211" s="11"/>
      <c r="BE211" s="11"/>
      <c r="BF211" s="11"/>
      <c r="BG211" s="11"/>
      <c r="BH211" s="11"/>
      <c r="BI211" s="11"/>
      <c r="BJ211" s="11"/>
      <c r="BK211" s="11"/>
      <c r="BL211" s="11"/>
      <c r="BM211" s="11"/>
      <c r="BN211" s="11"/>
      <c r="BO211" s="11"/>
      <c r="BP211" s="11"/>
      <c r="BQ211" s="11"/>
      <c r="BR211" s="11"/>
      <c r="BS211" s="11"/>
      <c r="BT211" s="11"/>
      <c r="BU211" s="11"/>
      <c r="BV211" s="11"/>
      <c r="BW211" s="11"/>
      <c r="BX211" s="11"/>
      <c r="BY211" s="11"/>
      <c r="BZ211" s="11"/>
      <c r="CA211" s="11"/>
      <c r="CB211" s="11"/>
      <c r="CC211" s="11"/>
      <c r="CD211" s="11"/>
      <c r="CE211" s="11"/>
      <c r="CF211" s="11"/>
      <c r="CG211" s="11"/>
      <c r="CH211" s="11"/>
      <c r="CI211" s="11"/>
      <c r="CJ211" s="11"/>
      <c r="CK211" s="11"/>
      <c r="CL211" s="11"/>
      <c r="CM211" s="11"/>
      <c r="CN211" s="11"/>
      <c r="CO211" s="11"/>
      <c r="CP211" s="11"/>
      <c r="CQ211" s="11"/>
      <c r="CR211" s="11"/>
      <c r="CS211" s="11"/>
      <c r="CT211" s="11"/>
      <c r="CU211" s="11"/>
      <c r="CV211" s="11"/>
      <c r="CW211" s="11"/>
      <c r="CX211" s="11"/>
      <c r="CY211" s="11"/>
      <c r="CZ211" s="11"/>
      <c r="DA211" s="11"/>
      <c r="DB211" s="11"/>
      <c r="DC211" s="11"/>
      <c r="DD211" s="11"/>
      <c r="DE211" s="11"/>
      <c r="DF211" s="11"/>
      <c r="DG211" s="11"/>
      <c r="DH211" s="11"/>
      <c r="DI211" s="11"/>
      <c r="DJ211" s="11"/>
      <c r="DK211" s="11"/>
      <c r="DL211" s="11"/>
      <c r="DM211" s="11"/>
      <c r="DN211" s="11"/>
      <c r="DO211" s="11"/>
      <c r="DP211" s="11"/>
      <c r="DQ211" s="11"/>
      <c r="DR211" s="11"/>
      <c r="DS211" s="11"/>
      <c r="DT211" s="11"/>
      <c r="DU211" s="11"/>
      <c r="DV211" s="11"/>
      <c r="DW211" s="11"/>
      <c r="DX211" s="11"/>
      <c r="DY211" s="11"/>
      <c r="DZ211" s="11"/>
      <c r="EA211" s="11"/>
      <c r="EB211" s="11"/>
      <c r="EC211" s="11"/>
      <c r="ED211" s="11"/>
      <c r="EE211" s="11"/>
      <c r="EF211" s="11"/>
      <c r="EG211" s="11"/>
      <c r="EH211" s="11"/>
      <c r="EI211" s="11"/>
      <c r="EJ211" s="11"/>
      <c r="EK211" s="11"/>
      <c r="EL211" s="11"/>
      <c r="EM211" s="11"/>
      <c r="EN211" s="11"/>
      <c r="EO211" s="11"/>
      <c r="EP211" s="11"/>
      <c r="EQ211" s="11"/>
      <c r="ER211" s="11"/>
      <c r="ES211" s="11"/>
    </row>
    <row r="212" spans="1:149" s="7" customFormat="1" ht="88.5" customHeight="1">
      <c r="A212" s="90"/>
      <c r="B212" s="91"/>
      <c r="C212" s="91"/>
      <c r="D212" s="91"/>
      <c r="E212" s="54" t="s">
        <v>261</v>
      </c>
      <c r="F212" s="93">
        <v>237104</v>
      </c>
      <c r="G212" s="99">
        <v>100</v>
      </c>
      <c r="H212" s="93">
        <v>237104</v>
      </c>
      <c r="I212" s="26">
        <v>221500</v>
      </c>
      <c r="J212" s="26"/>
      <c r="K212" s="135">
        <f aca="true" t="shared" si="8" ref="K212:K224">J212+I212</f>
        <v>221500</v>
      </c>
      <c r="L212" s="152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11"/>
      <c r="AF212" s="11"/>
      <c r="AG212" s="11"/>
      <c r="AH212" s="11"/>
      <c r="AI212" s="11"/>
      <c r="AJ212" s="11"/>
      <c r="AK212" s="11"/>
      <c r="AL212" s="11"/>
      <c r="AM212" s="11"/>
      <c r="AN212" s="11"/>
      <c r="AO212" s="11"/>
      <c r="AP212" s="11"/>
      <c r="AQ212" s="11"/>
      <c r="AR212" s="11"/>
      <c r="AS212" s="11"/>
      <c r="AT212" s="11"/>
      <c r="AU212" s="11"/>
      <c r="AV212" s="11"/>
      <c r="AW212" s="11"/>
      <c r="AX212" s="11"/>
      <c r="AY212" s="11"/>
      <c r="AZ212" s="11"/>
      <c r="BA212" s="11"/>
      <c r="BB212" s="11"/>
      <c r="BC212" s="11"/>
      <c r="BD212" s="11"/>
      <c r="BE212" s="11"/>
      <c r="BF212" s="11"/>
      <c r="BG212" s="11"/>
      <c r="BH212" s="11"/>
      <c r="BI212" s="11"/>
      <c r="BJ212" s="11"/>
      <c r="BK212" s="11"/>
      <c r="BL212" s="11"/>
      <c r="BM212" s="11"/>
      <c r="BN212" s="11"/>
      <c r="BO212" s="11"/>
      <c r="BP212" s="11"/>
      <c r="BQ212" s="11"/>
      <c r="BR212" s="11"/>
      <c r="BS212" s="11"/>
      <c r="BT212" s="11"/>
      <c r="BU212" s="11"/>
      <c r="BV212" s="11"/>
      <c r="BW212" s="11"/>
      <c r="BX212" s="11"/>
      <c r="BY212" s="11"/>
      <c r="BZ212" s="11"/>
      <c r="CA212" s="11"/>
      <c r="CB212" s="11"/>
      <c r="CC212" s="11"/>
      <c r="CD212" s="11"/>
      <c r="CE212" s="11"/>
      <c r="CF212" s="11"/>
      <c r="CG212" s="11"/>
      <c r="CH212" s="11"/>
      <c r="CI212" s="11"/>
      <c r="CJ212" s="11"/>
      <c r="CK212" s="11"/>
      <c r="CL212" s="11"/>
      <c r="CM212" s="11"/>
      <c r="CN212" s="11"/>
      <c r="CO212" s="11"/>
      <c r="CP212" s="11"/>
      <c r="CQ212" s="11"/>
      <c r="CR212" s="11"/>
      <c r="CS212" s="11"/>
      <c r="CT212" s="11"/>
      <c r="CU212" s="11"/>
      <c r="CV212" s="11"/>
      <c r="CW212" s="11"/>
      <c r="CX212" s="11"/>
      <c r="CY212" s="11"/>
      <c r="CZ212" s="11"/>
      <c r="DA212" s="11"/>
      <c r="DB212" s="11"/>
      <c r="DC212" s="11"/>
      <c r="DD212" s="11"/>
      <c r="DE212" s="11"/>
      <c r="DF212" s="11"/>
      <c r="DG212" s="11"/>
      <c r="DH212" s="11"/>
      <c r="DI212" s="11"/>
      <c r="DJ212" s="11"/>
      <c r="DK212" s="11"/>
      <c r="DL212" s="11"/>
      <c r="DM212" s="11"/>
      <c r="DN212" s="11"/>
      <c r="DO212" s="11"/>
      <c r="DP212" s="11"/>
      <c r="DQ212" s="11"/>
      <c r="DR212" s="11"/>
      <c r="DS212" s="11"/>
      <c r="DT212" s="11"/>
      <c r="DU212" s="11"/>
      <c r="DV212" s="11"/>
      <c r="DW212" s="11"/>
      <c r="DX212" s="11"/>
      <c r="DY212" s="11"/>
      <c r="DZ212" s="11"/>
      <c r="EA212" s="11"/>
      <c r="EB212" s="11"/>
      <c r="EC212" s="11"/>
      <c r="ED212" s="11"/>
      <c r="EE212" s="11"/>
      <c r="EF212" s="11"/>
      <c r="EG212" s="11"/>
      <c r="EH212" s="11"/>
      <c r="EI212" s="11"/>
      <c r="EJ212" s="11"/>
      <c r="EK212" s="11"/>
      <c r="EL212" s="11"/>
      <c r="EM212" s="11"/>
      <c r="EN212" s="11"/>
      <c r="EO212" s="11"/>
      <c r="EP212" s="11"/>
      <c r="EQ212" s="11"/>
      <c r="ER212" s="11"/>
      <c r="ES212" s="11"/>
    </row>
    <row r="213" spans="1:149" s="7" customFormat="1" ht="24" customHeight="1">
      <c r="A213" s="90"/>
      <c r="B213" s="91"/>
      <c r="C213" s="91"/>
      <c r="D213" s="91"/>
      <c r="E213" s="54" t="s">
        <v>309</v>
      </c>
      <c r="F213" s="93"/>
      <c r="G213" s="89"/>
      <c r="H213" s="93"/>
      <c r="I213" s="26">
        <v>8500</v>
      </c>
      <c r="J213" s="26"/>
      <c r="K213" s="135">
        <f t="shared" si="8"/>
        <v>8500</v>
      </c>
      <c r="L213" s="152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  <c r="AH213" s="11"/>
      <c r="AI213" s="11"/>
      <c r="AJ213" s="11"/>
      <c r="AK213" s="11"/>
      <c r="AL213" s="11"/>
      <c r="AM213" s="11"/>
      <c r="AN213" s="11"/>
      <c r="AO213" s="11"/>
      <c r="AP213" s="11"/>
      <c r="AQ213" s="11"/>
      <c r="AR213" s="11"/>
      <c r="AS213" s="11"/>
      <c r="AT213" s="11"/>
      <c r="AU213" s="11"/>
      <c r="AV213" s="11"/>
      <c r="AW213" s="11"/>
      <c r="AX213" s="11"/>
      <c r="AY213" s="11"/>
      <c r="AZ213" s="11"/>
      <c r="BA213" s="11"/>
      <c r="BB213" s="11"/>
      <c r="BC213" s="11"/>
      <c r="BD213" s="11"/>
      <c r="BE213" s="11"/>
      <c r="BF213" s="11"/>
      <c r="BG213" s="11"/>
      <c r="BH213" s="11"/>
      <c r="BI213" s="11"/>
      <c r="BJ213" s="11"/>
      <c r="BK213" s="11"/>
      <c r="BL213" s="11"/>
      <c r="BM213" s="11"/>
      <c r="BN213" s="11"/>
      <c r="BO213" s="11"/>
      <c r="BP213" s="11"/>
      <c r="BQ213" s="11"/>
      <c r="BR213" s="11"/>
      <c r="BS213" s="11"/>
      <c r="BT213" s="11"/>
      <c r="BU213" s="11"/>
      <c r="BV213" s="11"/>
      <c r="BW213" s="11"/>
      <c r="BX213" s="11"/>
      <c r="BY213" s="11"/>
      <c r="BZ213" s="11"/>
      <c r="CA213" s="11"/>
      <c r="CB213" s="11"/>
      <c r="CC213" s="11"/>
      <c r="CD213" s="11"/>
      <c r="CE213" s="11"/>
      <c r="CF213" s="11"/>
      <c r="CG213" s="11"/>
      <c r="CH213" s="11"/>
      <c r="CI213" s="11"/>
      <c r="CJ213" s="11"/>
      <c r="CK213" s="11"/>
      <c r="CL213" s="11"/>
      <c r="CM213" s="11"/>
      <c r="CN213" s="11"/>
      <c r="CO213" s="11"/>
      <c r="CP213" s="11"/>
      <c r="CQ213" s="11"/>
      <c r="CR213" s="11"/>
      <c r="CS213" s="11"/>
      <c r="CT213" s="11"/>
      <c r="CU213" s="11"/>
      <c r="CV213" s="11"/>
      <c r="CW213" s="11"/>
      <c r="CX213" s="11"/>
      <c r="CY213" s="11"/>
      <c r="CZ213" s="11"/>
      <c r="DA213" s="11"/>
      <c r="DB213" s="11"/>
      <c r="DC213" s="11"/>
      <c r="DD213" s="11"/>
      <c r="DE213" s="11"/>
      <c r="DF213" s="11"/>
      <c r="DG213" s="11"/>
      <c r="DH213" s="11"/>
      <c r="DI213" s="11"/>
      <c r="DJ213" s="11"/>
      <c r="DK213" s="11"/>
      <c r="DL213" s="11"/>
      <c r="DM213" s="11"/>
      <c r="DN213" s="11"/>
      <c r="DO213" s="11"/>
      <c r="DP213" s="11"/>
      <c r="DQ213" s="11"/>
      <c r="DR213" s="11"/>
      <c r="DS213" s="11"/>
      <c r="DT213" s="11"/>
      <c r="DU213" s="11"/>
      <c r="DV213" s="11"/>
      <c r="DW213" s="11"/>
      <c r="DX213" s="11"/>
      <c r="DY213" s="11"/>
      <c r="DZ213" s="11"/>
      <c r="EA213" s="11"/>
      <c r="EB213" s="11"/>
      <c r="EC213" s="11"/>
      <c r="ED213" s="11"/>
      <c r="EE213" s="11"/>
      <c r="EF213" s="11"/>
      <c r="EG213" s="11"/>
      <c r="EH213" s="11"/>
      <c r="EI213" s="11"/>
      <c r="EJ213" s="11"/>
      <c r="EK213" s="11"/>
      <c r="EL213" s="11"/>
      <c r="EM213" s="11"/>
      <c r="EN213" s="11"/>
      <c r="EO213" s="11"/>
      <c r="EP213" s="11"/>
      <c r="EQ213" s="11"/>
      <c r="ER213" s="11"/>
      <c r="ES213" s="11"/>
    </row>
    <row r="214" spans="1:149" s="7" customFormat="1" ht="42" customHeight="1">
      <c r="A214" s="90"/>
      <c r="B214" s="91"/>
      <c r="C214" s="91"/>
      <c r="D214" s="91"/>
      <c r="E214" s="32" t="s">
        <v>310</v>
      </c>
      <c r="F214" s="93"/>
      <c r="G214" s="89"/>
      <c r="H214" s="93"/>
      <c r="I214" s="26">
        <v>8500</v>
      </c>
      <c r="J214" s="26"/>
      <c r="K214" s="135">
        <f t="shared" si="8"/>
        <v>8500</v>
      </c>
      <c r="L214" s="152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  <c r="AF214" s="11"/>
      <c r="AG214" s="11"/>
      <c r="AH214" s="11"/>
      <c r="AI214" s="11"/>
      <c r="AJ214" s="11"/>
      <c r="AK214" s="11"/>
      <c r="AL214" s="11"/>
      <c r="AM214" s="11"/>
      <c r="AN214" s="11"/>
      <c r="AO214" s="11"/>
      <c r="AP214" s="11"/>
      <c r="AQ214" s="11"/>
      <c r="AR214" s="11"/>
      <c r="AS214" s="11"/>
      <c r="AT214" s="11"/>
      <c r="AU214" s="11"/>
      <c r="AV214" s="11"/>
      <c r="AW214" s="11"/>
      <c r="AX214" s="11"/>
      <c r="AY214" s="11"/>
      <c r="AZ214" s="11"/>
      <c r="BA214" s="11"/>
      <c r="BB214" s="11"/>
      <c r="BC214" s="11"/>
      <c r="BD214" s="11"/>
      <c r="BE214" s="11"/>
      <c r="BF214" s="11"/>
      <c r="BG214" s="11"/>
      <c r="BH214" s="11"/>
      <c r="BI214" s="11"/>
      <c r="BJ214" s="11"/>
      <c r="BK214" s="11"/>
      <c r="BL214" s="11"/>
      <c r="BM214" s="11"/>
      <c r="BN214" s="11"/>
      <c r="BO214" s="11"/>
      <c r="BP214" s="11"/>
      <c r="BQ214" s="11"/>
      <c r="BR214" s="11"/>
      <c r="BS214" s="11"/>
      <c r="BT214" s="11"/>
      <c r="BU214" s="11"/>
      <c r="BV214" s="11"/>
      <c r="BW214" s="11"/>
      <c r="BX214" s="11"/>
      <c r="BY214" s="11"/>
      <c r="BZ214" s="11"/>
      <c r="CA214" s="11"/>
      <c r="CB214" s="11"/>
      <c r="CC214" s="11"/>
      <c r="CD214" s="11"/>
      <c r="CE214" s="11"/>
      <c r="CF214" s="11"/>
      <c r="CG214" s="11"/>
      <c r="CH214" s="11"/>
      <c r="CI214" s="11"/>
      <c r="CJ214" s="11"/>
      <c r="CK214" s="11"/>
      <c r="CL214" s="11"/>
      <c r="CM214" s="11"/>
      <c r="CN214" s="11"/>
      <c r="CO214" s="11"/>
      <c r="CP214" s="11"/>
      <c r="CQ214" s="11"/>
      <c r="CR214" s="11"/>
      <c r="CS214" s="11"/>
      <c r="CT214" s="11"/>
      <c r="CU214" s="11"/>
      <c r="CV214" s="11"/>
      <c r="CW214" s="11"/>
      <c r="CX214" s="11"/>
      <c r="CY214" s="11"/>
      <c r="CZ214" s="11"/>
      <c r="DA214" s="11"/>
      <c r="DB214" s="11"/>
      <c r="DC214" s="11"/>
      <c r="DD214" s="11"/>
      <c r="DE214" s="11"/>
      <c r="DF214" s="11"/>
      <c r="DG214" s="11"/>
      <c r="DH214" s="11"/>
      <c r="DI214" s="11"/>
      <c r="DJ214" s="11"/>
      <c r="DK214" s="11"/>
      <c r="DL214" s="11"/>
      <c r="DM214" s="11"/>
      <c r="DN214" s="11"/>
      <c r="DO214" s="11"/>
      <c r="DP214" s="11"/>
      <c r="DQ214" s="11"/>
      <c r="DR214" s="11"/>
      <c r="DS214" s="11"/>
      <c r="DT214" s="11"/>
      <c r="DU214" s="11"/>
      <c r="DV214" s="11"/>
      <c r="DW214" s="11"/>
      <c r="DX214" s="11"/>
      <c r="DY214" s="11"/>
      <c r="DZ214" s="11"/>
      <c r="EA214" s="11"/>
      <c r="EB214" s="11"/>
      <c r="EC214" s="11"/>
      <c r="ED214" s="11"/>
      <c r="EE214" s="11"/>
      <c r="EF214" s="11"/>
      <c r="EG214" s="11"/>
      <c r="EH214" s="11"/>
      <c r="EI214" s="11"/>
      <c r="EJ214" s="11"/>
      <c r="EK214" s="11"/>
      <c r="EL214" s="11"/>
      <c r="EM214" s="11"/>
      <c r="EN214" s="11"/>
      <c r="EO214" s="11"/>
      <c r="EP214" s="11"/>
      <c r="EQ214" s="11"/>
      <c r="ER214" s="11"/>
      <c r="ES214" s="11"/>
    </row>
    <row r="215" spans="1:149" s="7" customFormat="1" ht="51" customHeight="1">
      <c r="A215" s="90"/>
      <c r="B215" s="91"/>
      <c r="C215" s="91"/>
      <c r="D215" s="91"/>
      <c r="E215" s="32" t="s">
        <v>411</v>
      </c>
      <c r="F215" s="93">
        <v>2143744</v>
      </c>
      <c r="G215" s="94">
        <v>97.27</v>
      </c>
      <c r="H215" s="93">
        <v>2085265</v>
      </c>
      <c r="I215" s="26">
        <f>490000+500000</f>
        <v>990000</v>
      </c>
      <c r="J215" s="26"/>
      <c r="K215" s="135">
        <f t="shared" si="8"/>
        <v>990000</v>
      </c>
      <c r="L215" s="152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  <c r="AH215" s="11"/>
      <c r="AI215" s="11"/>
      <c r="AJ215" s="11"/>
      <c r="AK215" s="11"/>
      <c r="AL215" s="11"/>
      <c r="AM215" s="11"/>
      <c r="AN215" s="11"/>
      <c r="AO215" s="11"/>
      <c r="AP215" s="11"/>
      <c r="AQ215" s="11"/>
      <c r="AR215" s="11"/>
      <c r="AS215" s="11"/>
      <c r="AT215" s="11"/>
      <c r="AU215" s="11"/>
      <c r="AV215" s="11"/>
      <c r="AW215" s="11"/>
      <c r="AX215" s="11"/>
      <c r="AY215" s="11"/>
      <c r="AZ215" s="11"/>
      <c r="BA215" s="11"/>
      <c r="BB215" s="11"/>
      <c r="BC215" s="11"/>
      <c r="BD215" s="11"/>
      <c r="BE215" s="11"/>
      <c r="BF215" s="11"/>
      <c r="BG215" s="11"/>
      <c r="BH215" s="11"/>
      <c r="BI215" s="11"/>
      <c r="BJ215" s="11"/>
      <c r="BK215" s="11"/>
      <c r="BL215" s="11"/>
      <c r="BM215" s="11"/>
      <c r="BN215" s="11"/>
      <c r="BO215" s="11"/>
      <c r="BP215" s="11"/>
      <c r="BQ215" s="11"/>
      <c r="BR215" s="11"/>
      <c r="BS215" s="11"/>
      <c r="BT215" s="11"/>
      <c r="BU215" s="11"/>
      <c r="BV215" s="11"/>
      <c r="BW215" s="11"/>
      <c r="BX215" s="11"/>
      <c r="BY215" s="11"/>
      <c r="BZ215" s="11"/>
      <c r="CA215" s="11"/>
      <c r="CB215" s="11"/>
      <c r="CC215" s="11"/>
      <c r="CD215" s="11"/>
      <c r="CE215" s="11"/>
      <c r="CF215" s="11"/>
      <c r="CG215" s="11"/>
      <c r="CH215" s="11"/>
      <c r="CI215" s="11"/>
      <c r="CJ215" s="11"/>
      <c r="CK215" s="11"/>
      <c r="CL215" s="11"/>
      <c r="CM215" s="11"/>
      <c r="CN215" s="11"/>
      <c r="CO215" s="11"/>
      <c r="CP215" s="11"/>
      <c r="CQ215" s="11"/>
      <c r="CR215" s="11"/>
      <c r="CS215" s="11"/>
      <c r="CT215" s="11"/>
      <c r="CU215" s="11"/>
      <c r="CV215" s="11"/>
      <c r="CW215" s="11"/>
      <c r="CX215" s="11"/>
      <c r="CY215" s="11"/>
      <c r="CZ215" s="11"/>
      <c r="DA215" s="11"/>
      <c r="DB215" s="11"/>
      <c r="DC215" s="11"/>
      <c r="DD215" s="11"/>
      <c r="DE215" s="11"/>
      <c r="DF215" s="11"/>
      <c r="DG215" s="11"/>
      <c r="DH215" s="11"/>
      <c r="DI215" s="11"/>
      <c r="DJ215" s="11"/>
      <c r="DK215" s="11"/>
      <c r="DL215" s="11"/>
      <c r="DM215" s="11"/>
      <c r="DN215" s="11"/>
      <c r="DO215" s="11"/>
      <c r="DP215" s="11"/>
      <c r="DQ215" s="11"/>
      <c r="DR215" s="11"/>
      <c r="DS215" s="11"/>
      <c r="DT215" s="11"/>
      <c r="DU215" s="11"/>
      <c r="DV215" s="11"/>
      <c r="DW215" s="11"/>
      <c r="DX215" s="11"/>
      <c r="DY215" s="11"/>
      <c r="DZ215" s="11"/>
      <c r="EA215" s="11"/>
      <c r="EB215" s="11"/>
      <c r="EC215" s="11"/>
      <c r="ED215" s="11"/>
      <c r="EE215" s="11"/>
      <c r="EF215" s="11"/>
      <c r="EG215" s="11"/>
      <c r="EH215" s="11"/>
      <c r="EI215" s="11"/>
      <c r="EJ215" s="11"/>
      <c r="EK215" s="11"/>
      <c r="EL215" s="11"/>
      <c r="EM215" s="11"/>
      <c r="EN215" s="11"/>
      <c r="EO215" s="11"/>
      <c r="EP215" s="11"/>
      <c r="EQ215" s="11"/>
      <c r="ER215" s="11"/>
      <c r="ES215" s="11"/>
    </row>
    <row r="216" spans="1:12" s="14" customFormat="1" ht="43.5" customHeight="1">
      <c r="A216" s="91"/>
      <c r="B216" s="91"/>
      <c r="C216" s="91"/>
      <c r="D216" s="91"/>
      <c r="E216" s="54" t="s">
        <v>179</v>
      </c>
      <c r="F216" s="93">
        <v>5382485</v>
      </c>
      <c r="G216" s="94">
        <v>50.7</v>
      </c>
      <c r="H216" s="93">
        <v>2732167</v>
      </c>
      <c r="I216" s="26">
        <f>50000+603355</f>
        <v>653355</v>
      </c>
      <c r="J216" s="26"/>
      <c r="K216" s="135">
        <f t="shared" si="8"/>
        <v>653355</v>
      </c>
      <c r="L216" s="152"/>
    </row>
    <row r="217" spans="1:12" s="14" customFormat="1" ht="43.5" customHeight="1">
      <c r="A217" s="91"/>
      <c r="B217" s="91"/>
      <c r="C217" s="91"/>
      <c r="D217" s="91"/>
      <c r="E217" s="54" t="s">
        <v>436</v>
      </c>
      <c r="F217" s="93"/>
      <c r="G217" s="94"/>
      <c r="H217" s="93"/>
      <c r="I217" s="26">
        <v>200000</v>
      </c>
      <c r="J217" s="26"/>
      <c r="K217" s="135">
        <f t="shared" si="8"/>
        <v>200000</v>
      </c>
      <c r="L217" s="152"/>
    </row>
    <row r="218" spans="1:12" s="14" customFormat="1" ht="66" customHeight="1">
      <c r="A218" s="91"/>
      <c r="B218" s="91"/>
      <c r="C218" s="91"/>
      <c r="D218" s="91"/>
      <c r="E218" s="54" t="s">
        <v>400</v>
      </c>
      <c r="F218" s="93"/>
      <c r="G218" s="94"/>
      <c r="H218" s="93"/>
      <c r="I218" s="26">
        <v>30000</v>
      </c>
      <c r="J218" s="26"/>
      <c r="K218" s="135">
        <f t="shared" si="8"/>
        <v>30000</v>
      </c>
      <c r="L218" s="152"/>
    </row>
    <row r="219" spans="1:12" s="14" customFormat="1" ht="45" customHeight="1">
      <c r="A219" s="91"/>
      <c r="B219" s="91"/>
      <c r="C219" s="91"/>
      <c r="D219" s="91"/>
      <c r="E219" s="32" t="s">
        <v>311</v>
      </c>
      <c r="F219" s="93"/>
      <c r="G219" s="94"/>
      <c r="H219" s="93"/>
      <c r="I219" s="26">
        <v>8500</v>
      </c>
      <c r="J219" s="26"/>
      <c r="K219" s="135">
        <f t="shared" si="8"/>
        <v>8500</v>
      </c>
      <c r="L219" s="152"/>
    </row>
    <row r="220" spans="1:12" s="14" customFormat="1" ht="61.5" customHeight="1">
      <c r="A220" s="91"/>
      <c r="B220" s="91"/>
      <c r="C220" s="91"/>
      <c r="D220" s="91"/>
      <c r="E220" s="54" t="s">
        <v>180</v>
      </c>
      <c r="F220" s="93"/>
      <c r="G220" s="94"/>
      <c r="H220" s="93"/>
      <c r="I220" s="26">
        <f>500000-391000</f>
        <v>109000</v>
      </c>
      <c r="J220" s="26"/>
      <c r="K220" s="135">
        <f t="shared" si="8"/>
        <v>109000</v>
      </c>
      <c r="L220" s="152"/>
    </row>
    <row r="221" spans="1:12" s="14" customFormat="1" ht="84" customHeight="1">
      <c r="A221" s="91"/>
      <c r="B221" s="91"/>
      <c r="C221" s="91"/>
      <c r="D221" s="91"/>
      <c r="E221" s="54" t="s">
        <v>181</v>
      </c>
      <c r="F221" s="93">
        <v>1388402</v>
      </c>
      <c r="G221" s="94">
        <v>97.1</v>
      </c>
      <c r="H221" s="93">
        <v>1348369</v>
      </c>
      <c r="I221" s="26">
        <f>986000+400000-57000</f>
        <v>1329000</v>
      </c>
      <c r="J221" s="26"/>
      <c r="K221" s="135">
        <f t="shared" si="8"/>
        <v>1329000</v>
      </c>
      <c r="L221" s="152"/>
    </row>
    <row r="222" spans="1:12" s="14" customFormat="1" ht="70.5" customHeight="1">
      <c r="A222" s="91"/>
      <c r="B222" s="91"/>
      <c r="C222" s="91"/>
      <c r="D222" s="91"/>
      <c r="E222" s="54" t="s">
        <v>435</v>
      </c>
      <c r="F222" s="93"/>
      <c r="G222" s="94"/>
      <c r="H222" s="93"/>
      <c r="I222" s="26">
        <v>70000</v>
      </c>
      <c r="J222" s="26"/>
      <c r="K222" s="135">
        <f t="shared" si="8"/>
        <v>70000</v>
      </c>
      <c r="L222" s="152"/>
    </row>
    <row r="223" spans="1:12" s="14" customFormat="1" ht="70.5" customHeight="1">
      <c r="A223" s="91"/>
      <c r="B223" s="91"/>
      <c r="C223" s="91"/>
      <c r="D223" s="91"/>
      <c r="E223" s="54" t="s">
        <v>478</v>
      </c>
      <c r="F223" s="93"/>
      <c r="G223" s="94"/>
      <c r="H223" s="93"/>
      <c r="I223" s="26">
        <v>700000</v>
      </c>
      <c r="J223" s="26"/>
      <c r="K223" s="135">
        <f>J223+I223</f>
        <v>700000</v>
      </c>
      <c r="L223" s="152">
        <v>41</v>
      </c>
    </row>
    <row r="224" spans="1:12" s="14" customFormat="1" ht="84.75" customHeight="1">
      <c r="A224" s="91"/>
      <c r="B224" s="91"/>
      <c r="C224" s="91"/>
      <c r="D224" s="91"/>
      <c r="E224" s="54" t="s">
        <v>182</v>
      </c>
      <c r="F224" s="93">
        <v>1479061</v>
      </c>
      <c r="G224" s="94">
        <v>97.5</v>
      </c>
      <c r="H224" s="93">
        <v>1442177</v>
      </c>
      <c r="I224" s="26">
        <f>1455000-12823</f>
        <v>1442177</v>
      </c>
      <c r="J224" s="26"/>
      <c r="K224" s="135">
        <f t="shared" si="8"/>
        <v>1442177</v>
      </c>
      <c r="L224" s="152"/>
    </row>
    <row r="225" spans="1:12" s="17" customFormat="1" ht="54" customHeight="1">
      <c r="A225" s="95">
        <v>1517322</v>
      </c>
      <c r="B225" s="47" t="s">
        <v>160</v>
      </c>
      <c r="C225" s="47" t="s">
        <v>57</v>
      </c>
      <c r="D225" s="96" t="s">
        <v>167</v>
      </c>
      <c r="E225" s="100"/>
      <c r="F225" s="93"/>
      <c r="G225" s="101"/>
      <c r="H225" s="93"/>
      <c r="I225" s="25">
        <f>I226+I228</f>
        <v>4380000</v>
      </c>
      <c r="J225" s="25">
        <f>J226+J228</f>
        <v>0</v>
      </c>
      <c r="K225" s="134">
        <f>K226+K228</f>
        <v>4380000</v>
      </c>
      <c r="L225" s="152"/>
    </row>
    <row r="226" spans="1:149" s="7" customFormat="1" ht="24" customHeight="1">
      <c r="A226" s="90"/>
      <c r="B226" s="91"/>
      <c r="C226" s="91"/>
      <c r="D226" s="91"/>
      <c r="E226" s="98" t="s">
        <v>168</v>
      </c>
      <c r="F226" s="93"/>
      <c r="G226" s="89"/>
      <c r="H226" s="93"/>
      <c r="I226" s="24">
        <f>I227</f>
        <v>20000</v>
      </c>
      <c r="J226" s="24">
        <f>J227</f>
        <v>0</v>
      </c>
      <c r="K226" s="133">
        <f>K227</f>
        <v>20000</v>
      </c>
      <c r="L226" s="152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  <c r="AE226" s="11"/>
      <c r="AF226" s="11"/>
      <c r="AG226" s="11"/>
      <c r="AH226" s="11"/>
      <c r="AI226" s="11"/>
      <c r="AJ226" s="11"/>
      <c r="AK226" s="11"/>
      <c r="AL226" s="11"/>
      <c r="AM226" s="11"/>
      <c r="AN226" s="11"/>
      <c r="AO226" s="11"/>
      <c r="AP226" s="11"/>
      <c r="AQ226" s="11"/>
      <c r="AR226" s="11"/>
      <c r="AS226" s="11"/>
      <c r="AT226" s="11"/>
      <c r="AU226" s="11"/>
      <c r="AV226" s="11"/>
      <c r="AW226" s="11"/>
      <c r="AX226" s="11"/>
      <c r="AY226" s="11"/>
      <c r="AZ226" s="11"/>
      <c r="BA226" s="11"/>
      <c r="BB226" s="11"/>
      <c r="BC226" s="11"/>
      <c r="BD226" s="11"/>
      <c r="BE226" s="11"/>
      <c r="BF226" s="11"/>
      <c r="BG226" s="11"/>
      <c r="BH226" s="11"/>
      <c r="BI226" s="11"/>
      <c r="BJ226" s="11"/>
      <c r="BK226" s="11"/>
      <c r="BL226" s="11"/>
      <c r="BM226" s="11"/>
      <c r="BN226" s="11"/>
      <c r="BO226" s="11"/>
      <c r="BP226" s="11"/>
      <c r="BQ226" s="11"/>
      <c r="BR226" s="11"/>
      <c r="BS226" s="11"/>
      <c r="BT226" s="11"/>
      <c r="BU226" s="11"/>
      <c r="BV226" s="11"/>
      <c r="BW226" s="11"/>
      <c r="BX226" s="11"/>
      <c r="BY226" s="11"/>
      <c r="BZ226" s="11"/>
      <c r="CA226" s="11"/>
      <c r="CB226" s="11"/>
      <c r="CC226" s="11"/>
      <c r="CD226" s="11"/>
      <c r="CE226" s="11"/>
      <c r="CF226" s="11"/>
      <c r="CG226" s="11"/>
      <c r="CH226" s="11"/>
      <c r="CI226" s="11"/>
      <c r="CJ226" s="11"/>
      <c r="CK226" s="11"/>
      <c r="CL226" s="11"/>
      <c r="CM226" s="11"/>
      <c r="CN226" s="11"/>
      <c r="CO226" s="11"/>
      <c r="CP226" s="11"/>
      <c r="CQ226" s="11"/>
      <c r="CR226" s="11"/>
      <c r="CS226" s="11"/>
      <c r="CT226" s="11"/>
      <c r="CU226" s="11"/>
      <c r="CV226" s="11"/>
      <c r="CW226" s="11"/>
      <c r="CX226" s="11"/>
      <c r="CY226" s="11"/>
      <c r="CZ226" s="11"/>
      <c r="DA226" s="11"/>
      <c r="DB226" s="11"/>
      <c r="DC226" s="11"/>
      <c r="DD226" s="11"/>
      <c r="DE226" s="11"/>
      <c r="DF226" s="11"/>
      <c r="DG226" s="11"/>
      <c r="DH226" s="11"/>
      <c r="DI226" s="11"/>
      <c r="DJ226" s="11"/>
      <c r="DK226" s="11"/>
      <c r="DL226" s="11"/>
      <c r="DM226" s="11"/>
      <c r="DN226" s="11"/>
      <c r="DO226" s="11"/>
      <c r="DP226" s="11"/>
      <c r="DQ226" s="11"/>
      <c r="DR226" s="11"/>
      <c r="DS226" s="11"/>
      <c r="DT226" s="11"/>
      <c r="DU226" s="11"/>
      <c r="DV226" s="11"/>
      <c r="DW226" s="11"/>
      <c r="DX226" s="11"/>
      <c r="DY226" s="11"/>
      <c r="DZ226" s="11"/>
      <c r="EA226" s="11"/>
      <c r="EB226" s="11"/>
      <c r="EC226" s="11"/>
      <c r="ED226" s="11"/>
      <c r="EE226" s="11"/>
      <c r="EF226" s="11"/>
      <c r="EG226" s="11"/>
      <c r="EH226" s="11"/>
      <c r="EI226" s="11"/>
      <c r="EJ226" s="11"/>
      <c r="EK226" s="11"/>
      <c r="EL226" s="11"/>
      <c r="EM226" s="11"/>
      <c r="EN226" s="11"/>
      <c r="EO226" s="11"/>
      <c r="EP226" s="11"/>
      <c r="EQ226" s="11"/>
      <c r="ER226" s="11"/>
      <c r="ES226" s="11"/>
    </row>
    <row r="227" spans="1:12" s="14" customFormat="1" ht="43.5" customHeight="1">
      <c r="A227" s="87"/>
      <c r="B227" s="91"/>
      <c r="C227" s="91"/>
      <c r="D227" s="91"/>
      <c r="E227" s="32" t="s">
        <v>268</v>
      </c>
      <c r="F227" s="93"/>
      <c r="G227" s="94"/>
      <c r="H227" s="93"/>
      <c r="I227" s="26">
        <v>20000</v>
      </c>
      <c r="J227" s="26"/>
      <c r="K227" s="135">
        <f>J227+I227</f>
        <v>20000</v>
      </c>
      <c r="L227" s="152"/>
    </row>
    <row r="228" spans="1:149" s="7" customFormat="1" ht="28.5" customHeight="1">
      <c r="A228" s="90"/>
      <c r="B228" s="91"/>
      <c r="C228" s="91"/>
      <c r="D228" s="91"/>
      <c r="E228" s="56" t="s">
        <v>171</v>
      </c>
      <c r="F228" s="93"/>
      <c r="G228" s="89"/>
      <c r="H228" s="93"/>
      <c r="I228" s="24">
        <f>SUM(I229:I232)</f>
        <v>4360000</v>
      </c>
      <c r="J228" s="24">
        <f>SUM(J229:J232)</f>
        <v>0</v>
      </c>
      <c r="K228" s="133">
        <f>SUM(K229:K232)</f>
        <v>4360000</v>
      </c>
      <c r="L228" s="152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11"/>
      <c r="AF228" s="11"/>
      <c r="AG228" s="11"/>
      <c r="AH228" s="11"/>
      <c r="AI228" s="11"/>
      <c r="AJ228" s="11"/>
      <c r="AK228" s="11"/>
      <c r="AL228" s="11"/>
      <c r="AM228" s="11"/>
      <c r="AN228" s="11"/>
      <c r="AO228" s="11"/>
      <c r="AP228" s="11"/>
      <c r="AQ228" s="11"/>
      <c r="AR228" s="11"/>
      <c r="AS228" s="11"/>
      <c r="AT228" s="11"/>
      <c r="AU228" s="11"/>
      <c r="AV228" s="11"/>
      <c r="AW228" s="11"/>
      <c r="AX228" s="11"/>
      <c r="AY228" s="11"/>
      <c r="AZ228" s="11"/>
      <c r="BA228" s="11"/>
      <c r="BB228" s="11"/>
      <c r="BC228" s="11"/>
      <c r="BD228" s="11"/>
      <c r="BE228" s="11"/>
      <c r="BF228" s="11"/>
      <c r="BG228" s="11"/>
      <c r="BH228" s="11"/>
      <c r="BI228" s="11"/>
      <c r="BJ228" s="11"/>
      <c r="BK228" s="11"/>
      <c r="BL228" s="11"/>
      <c r="BM228" s="11"/>
      <c r="BN228" s="11"/>
      <c r="BO228" s="11"/>
      <c r="BP228" s="11"/>
      <c r="BQ228" s="11"/>
      <c r="BR228" s="11"/>
      <c r="BS228" s="11"/>
      <c r="BT228" s="11"/>
      <c r="BU228" s="11"/>
      <c r="BV228" s="11"/>
      <c r="BW228" s="11"/>
      <c r="BX228" s="11"/>
      <c r="BY228" s="11"/>
      <c r="BZ228" s="11"/>
      <c r="CA228" s="11"/>
      <c r="CB228" s="11"/>
      <c r="CC228" s="11"/>
      <c r="CD228" s="11"/>
      <c r="CE228" s="11"/>
      <c r="CF228" s="11"/>
      <c r="CG228" s="11"/>
      <c r="CH228" s="11"/>
      <c r="CI228" s="11"/>
      <c r="CJ228" s="11"/>
      <c r="CK228" s="11"/>
      <c r="CL228" s="11"/>
      <c r="CM228" s="11"/>
      <c r="CN228" s="11"/>
      <c r="CO228" s="11"/>
      <c r="CP228" s="11"/>
      <c r="CQ228" s="11"/>
      <c r="CR228" s="11"/>
      <c r="CS228" s="11"/>
      <c r="CT228" s="11"/>
      <c r="CU228" s="11"/>
      <c r="CV228" s="11"/>
      <c r="CW228" s="11"/>
      <c r="CX228" s="11"/>
      <c r="CY228" s="11"/>
      <c r="CZ228" s="11"/>
      <c r="DA228" s="11"/>
      <c r="DB228" s="11"/>
      <c r="DC228" s="11"/>
      <c r="DD228" s="11"/>
      <c r="DE228" s="11"/>
      <c r="DF228" s="11"/>
      <c r="DG228" s="11"/>
      <c r="DH228" s="11"/>
      <c r="DI228" s="11"/>
      <c r="DJ228" s="11"/>
      <c r="DK228" s="11"/>
      <c r="DL228" s="11"/>
      <c r="DM228" s="11"/>
      <c r="DN228" s="11"/>
      <c r="DO228" s="11"/>
      <c r="DP228" s="11"/>
      <c r="DQ228" s="11"/>
      <c r="DR228" s="11"/>
      <c r="DS228" s="11"/>
      <c r="DT228" s="11"/>
      <c r="DU228" s="11"/>
      <c r="DV228" s="11"/>
      <c r="DW228" s="11"/>
      <c r="DX228" s="11"/>
      <c r="DY228" s="11"/>
      <c r="DZ228" s="11"/>
      <c r="EA228" s="11"/>
      <c r="EB228" s="11"/>
      <c r="EC228" s="11"/>
      <c r="ED228" s="11"/>
      <c r="EE228" s="11"/>
      <c r="EF228" s="11"/>
      <c r="EG228" s="11"/>
      <c r="EH228" s="11"/>
      <c r="EI228" s="11"/>
      <c r="EJ228" s="11"/>
      <c r="EK228" s="11"/>
      <c r="EL228" s="11"/>
      <c r="EM228" s="11"/>
      <c r="EN228" s="11"/>
      <c r="EO228" s="11"/>
      <c r="EP228" s="11"/>
      <c r="EQ228" s="11"/>
      <c r="ER228" s="11"/>
      <c r="ES228" s="11"/>
    </row>
    <row r="229" spans="1:12" s="14" customFormat="1" ht="48" customHeight="1">
      <c r="A229" s="87"/>
      <c r="B229" s="91"/>
      <c r="C229" s="91"/>
      <c r="D229" s="91"/>
      <c r="E229" s="32" t="s">
        <v>205</v>
      </c>
      <c r="F229" s="93">
        <v>16272770</v>
      </c>
      <c r="G229" s="102">
        <v>98.66</v>
      </c>
      <c r="H229" s="93">
        <v>16054529</v>
      </c>
      <c r="I229" s="26">
        <f>2000000+300000-700000</f>
        <v>1600000</v>
      </c>
      <c r="J229" s="26"/>
      <c r="K229" s="135">
        <f>J229+I229</f>
        <v>1600000</v>
      </c>
      <c r="L229" s="152"/>
    </row>
    <row r="230" spans="1:12" s="14" customFormat="1" ht="65.25" customHeight="1">
      <c r="A230" s="87"/>
      <c r="B230" s="91"/>
      <c r="C230" s="91"/>
      <c r="D230" s="91"/>
      <c r="E230" s="33" t="s">
        <v>183</v>
      </c>
      <c r="F230" s="93"/>
      <c r="G230" s="103"/>
      <c r="H230" s="93"/>
      <c r="I230" s="26">
        <f>9000+100000</f>
        <v>109000</v>
      </c>
      <c r="J230" s="26"/>
      <c r="K230" s="135">
        <f>J230+I230</f>
        <v>109000</v>
      </c>
      <c r="L230" s="152"/>
    </row>
    <row r="231" spans="1:12" s="14" customFormat="1" ht="51.75" customHeight="1">
      <c r="A231" s="87"/>
      <c r="B231" s="91"/>
      <c r="C231" s="91"/>
      <c r="D231" s="91"/>
      <c r="E231" s="33" t="s">
        <v>184</v>
      </c>
      <c r="F231" s="93">
        <v>1591924</v>
      </c>
      <c r="G231" s="102">
        <v>100</v>
      </c>
      <c r="H231" s="93">
        <v>1591924</v>
      </c>
      <c r="I231" s="26">
        <f>1000000+350000-12000</f>
        <v>1338000</v>
      </c>
      <c r="J231" s="26"/>
      <c r="K231" s="135">
        <f>J231+I231</f>
        <v>1338000</v>
      </c>
      <c r="L231" s="152"/>
    </row>
    <row r="232" spans="1:149" s="1" customFormat="1" ht="72.75" customHeight="1">
      <c r="A232" s="87"/>
      <c r="B232" s="91"/>
      <c r="C232" s="91"/>
      <c r="D232" s="91"/>
      <c r="E232" s="54" t="s">
        <v>206</v>
      </c>
      <c r="F232" s="93">
        <v>1459371</v>
      </c>
      <c r="G232" s="94">
        <v>100</v>
      </c>
      <c r="H232" s="93">
        <v>1459371</v>
      </c>
      <c r="I232" s="26">
        <f>1000000+350000-37000</f>
        <v>1313000</v>
      </c>
      <c r="J232" s="26"/>
      <c r="K232" s="135">
        <f>J232+I232</f>
        <v>1313000</v>
      </c>
      <c r="L232" s="152"/>
      <c r="M232" s="14"/>
      <c r="N232" s="14"/>
      <c r="O232" s="14"/>
      <c r="P232" s="14"/>
      <c r="Q232" s="14"/>
      <c r="R232" s="14"/>
      <c r="S232" s="14"/>
      <c r="T232" s="14"/>
      <c r="U232" s="14"/>
      <c r="V232" s="14"/>
      <c r="W232" s="14"/>
      <c r="X232" s="14"/>
      <c r="Y232" s="14"/>
      <c r="Z232" s="14"/>
      <c r="AA232" s="14"/>
      <c r="AB232" s="14"/>
      <c r="AC232" s="14"/>
      <c r="AD232" s="14"/>
      <c r="AE232" s="14"/>
      <c r="AF232" s="14"/>
      <c r="AG232" s="14"/>
      <c r="AH232" s="14"/>
      <c r="AI232" s="14"/>
      <c r="AJ232" s="14"/>
      <c r="AK232" s="14"/>
      <c r="AL232" s="14"/>
      <c r="AM232" s="14"/>
      <c r="AN232" s="14"/>
      <c r="AO232" s="14"/>
      <c r="AP232" s="14"/>
      <c r="AQ232" s="14"/>
      <c r="AR232" s="14"/>
      <c r="AS232" s="14"/>
      <c r="AT232" s="14"/>
      <c r="AU232" s="14"/>
      <c r="AV232" s="14"/>
      <c r="AW232" s="14"/>
      <c r="AX232" s="14"/>
      <c r="AY232" s="14"/>
      <c r="AZ232" s="14"/>
      <c r="BA232" s="14"/>
      <c r="BB232" s="14"/>
      <c r="BC232" s="14"/>
      <c r="BD232" s="14"/>
      <c r="BE232" s="14"/>
      <c r="BF232" s="14"/>
      <c r="BG232" s="14"/>
      <c r="BH232" s="14"/>
      <c r="BI232" s="14"/>
      <c r="BJ232" s="14"/>
      <c r="BK232" s="14"/>
      <c r="BL232" s="14"/>
      <c r="BM232" s="14"/>
      <c r="BN232" s="14"/>
      <c r="BO232" s="14"/>
      <c r="BP232" s="14"/>
      <c r="BQ232" s="14"/>
      <c r="BR232" s="14"/>
      <c r="BS232" s="14"/>
      <c r="BT232" s="14"/>
      <c r="BU232" s="14"/>
      <c r="BV232" s="14"/>
      <c r="BW232" s="14"/>
      <c r="BX232" s="14"/>
      <c r="BY232" s="14"/>
      <c r="BZ232" s="14"/>
      <c r="CA232" s="14"/>
      <c r="CB232" s="14"/>
      <c r="CC232" s="14"/>
      <c r="CD232" s="14"/>
      <c r="CE232" s="14"/>
      <c r="CF232" s="14"/>
      <c r="CG232" s="14"/>
      <c r="CH232" s="14"/>
      <c r="CI232" s="14"/>
      <c r="CJ232" s="14"/>
      <c r="CK232" s="14"/>
      <c r="CL232" s="14"/>
      <c r="CM232" s="14"/>
      <c r="CN232" s="14"/>
      <c r="CO232" s="14"/>
      <c r="CP232" s="14"/>
      <c r="CQ232" s="14"/>
      <c r="CR232" s="14"/>
      <c r="CS232" s="14"/>
      <c r="CT232" s="14"/>
      <c r="CU232" s="14"/>
      <c r="CV232" s="14"/>
      <c r="CW232" s="14"/>
      <c r="CX232" s="14"/>
      <c r="CY232" s="14"/>
      <c r="CZ232" s="14"/>
      <c r="DA232" s="14"/>
      <c r="DB232" s="14"/>
      <c r="DC232" s="14"/>
      <c r="DD232" s="14"/>
      <c r="DE232" s="14"/>
      <c r="DF232" s="14"/>
      <c r="DG232" s="14"/>
      <c r="DH232" s="14"/>
      <c r="DI232" s="14"/>
      <c r="DJ232" s="14"/>
      <c r="DK232" s="14"/>
      <c r="DL232" s="14"/>
      <c r="DM232" s="14"/>
      <c r="DN232" s="14"/>
      <c r="DO232" s="14"/>
      <c r="DP232" s="14"/>
      <c r="DQ232" s="14"/>
      <c r="DR232" s="14"/>
      <c r="DS232" s="14"/>
      <c r="DT232" s="14"/>
      <c r="DU232" s="14"/>
      <c r="DV232" s="14"/>
      <c r="DW232" s="14"/>
      <c r="DX232" s="14"/>
      <c r="DY232" s="14"/>
      <c r="DZ232" s="14"/>
      <c r="EA232" s="14"/>
      <c r="EB232" s="14"/>
      <c r="EC232" s="14"/>
      <c r="ED232" s="14"/>
      <c r="EE232" s="14"/>
      <c r="EF232" s="14"/>
      <c r="EG232" s="14"/>
      <c r="EH232" s="14"/>
      <c r="EI232" s="14"/>
      <c r="EJ232" s="14"/>
      <c r="EK232" s="14"/>
      <c r="EL232" s="14"/>
      <c r="EM232" s="14"/>
      <c r="EN232" s="14"/>
      <c r="EO232" s="14"/>
      <c r="EP232" s="14"/>
      <c r="EQ232" s="14"/>
      <c r="ER232" s="14"/>
      <c r="ES232" s="14"/>
    </row>
    <row r="233" spans="1:149" s="18" customFormat="1" ht="48.75" customHeight="1">
      <c r="A233" s="95">
        <v>1517325</v>
      </c>
      <c r="B233" s="47" t="s">
        <v>161</v>
      </c>
      <c r="C233" s="47" t="s">
        <v>57</v>
      </c>
      <c r="D233" s="96" t="s">
        <v>166</v>
      </c>
      <c r="E233" s="104"/>
      <c r="F233" s="93"/>
      <c r="G233" s="101"/>
      <c r="H233" s="93"/>
      <c r="I233" s="25">
        <f>I234</f>
        <v>5061000</v>
      </c>
      <c r="J233" s="25">
        <f>J234</f>
        <v>0</v>
      </c>
      <c r="K233" s="134">
        <f>K234</f>
        <v>5061000</v>
      </c>
      <c r="L233" s="152"/>
      <c r="M233" s="17"/>
      <c r="N233" s="17"/>
      <c r="O233" s="17"/>
      <c r="P233" s="17"/>
      <c r="Q233" s="17"/>
      <c r="R233" s="17"/>
      <c r="S233" s="17"/>
      <c r="T233" s="17"/>
      <c r="U233" s="17"/>
      <c r="V233" s="17"/>
      <c r="W233" s="17"/>
      <c r="X233" s="17"/>
      <c r="Y233" s="17"/>
      <c r="Z233" s="17"/>
      <c r="AA233" s="17"/>
      <c r="AB233" s="17"/>
      <c r="AC233" s="17"/>
      <c r="AD233" s="17"/>
      <c r="AE233" s="17"/>
      <c r="AF233" s="17"/>
      <c r="AG233" s="17"/>
      <c r="AH233" s="17"/>
      <c r="AI233" s="17"/>
      <c r="AJ233" s="17"/>
      <c r="AK233" s="17"/>
      <c r="AL233" s="17"/>
      <c r="AM233" s="17"/>
      <c r="AN233" s="17"/>
      <c r="AO233" s="17"/>
      <c r="AP233" s="17"/>
      <c r="AQ233" s="17"/>
      <c r="AR233" s="17"/>
      <c r="AS233" s="17"/>
      <c r="AT233" s="17"/>
      <c r="AU233" s="17"/>
      <c r="AV233" s="17"/>
      <c r="AW233" s="17"/>
      <c r="AX233" s="17"/>
      <c r="AY233" s="17"/>
      <c r="AZ233" s="17"/>
      <c r="BA233" s="17"/>
      <c r="BB233" s="17"/>
      <c r="BC233" s="17"/>
      <c r="BD233" s="17"/>
      <c r="BE233" s="17"/>
      <c r="BF233" s="17"/>
      <c r="BG233" s="17"/>
      <c r="BH233" s="17"/>
      <c r="BI233" s="17"/>
      <c r="BJ233" s="17"/>
      <c r="BK233" s="17"/>
      <c r="BL233" s="17"/>
      <c r="BM233" s="17"/>
      <c r="BN233" s="17"/>
      <c r="BO233" s="17"/>
      <c r="BP233" s="17"/>
      <c r="BQ233" s="17"/>
      <c r="BR233" s="17"/>
      <c r="BS233" s="17"/>
      <c r="BT233" s="17"/>
      <c r="BU233" s="17"/>
      <c r="BV233" s="17"/>
      <c r="BW233" s="17"/>
      <c r="BX233" s="17"/>
      <c r="BY233" s="17"/>
      <c r="BZ233" s="17"/>
      <c r="CA233" s="17"/>
      <c r="CB233" s="17"/>
      <c r="CC233" s="17"/>
      <c r="CD233" s="17"/>
      <c r="CE233" s="17"/>
      <c r="CF233" s="17"/>
      <c r="CG233" s="17"/>
      <c r="CH233" s="17"/>
      <c r="CI233" s="17"/>
      <c r="CJ233" s="17"/>
      <c r="CK233" s="17"/>
      <c r="CL233" s="17"/>
      <c r="CM233" s="17"/>
      <c r="CN233" s="17"/>
      <c r="CO233" s="17"/>
      <c r="CP233" s="17"/>
      <c r="CQ233" s="17"/>
      <c r="CR233" s="17"/>
      <c r="CS233" s="17"/>
      <c r="CT233" s="17"/>
      <c r="CU233" s="17"/>
      <c r="CV233" s="17"/>
      <c r="CW233" s="17"/>
      <c r="CX233" s="17"/>
      <c r="CY233" s="17"/>
      <c r="CZ233" s="17"/>
      <c r="DA233" s="17"/>
      <c r="DB233" s="17"/>
      <c r="DC233" s="17"/>
      <c r="DD233" s="17"/>
      <c r="DE233" s="17"/>
      <c r="DF233" s="17"/>
      <c r="DG233" s="17"/>
      <c r="DH233" s="17"/>
      <c r="DI233" s="17"/>
      <c r="DJ233" s="17"/>
      <c r="DK233" s="17"/>
      <c r="DL233" s="17"/>
      <c r="DM233" s="17"/>
      <c r="DN233" s="17"/>
      <c r="DO233" s="17"/>
      <c r="DP233" s="17"/>
      <c r="DQ233" s="17"/>
      <c r="DR233" s="17"/>
      <c r="DS233" s="17"/>
      <c r="DT233" s="17"/>
      <c r="DU233" s="17"/>
      <c r="DV233" s="17"/>
      <c r="DW233" s="17"/>
      <c r="DX233" s="17"/>
      <c r="DY233" s="17"/>
      <c r="DZ233" s="17"/>
      <c r="EA233" s="17"/>
      <c r="EB233" s="17"/>
      <c r="EC233" s="17"/>
      <c r="ED233" s="17"/>
      <c r="EE233" s="17"/>
      <c r="EF233" s="17"/>
      <c r="EG233" s="17"/>
      <c r="EH233" s="17"/>
      <c r="EI233" s="17"/>
      <c r="EJ233" s="17"/>
      <c r="EK233" s="17"/>
      <c r="EL233" s="17"/>
      <c r="EM233" s="17"/>
      <c r="EN233" s="17"/>
      <c r="EO233" s="17"/>
      <c r="EP233" s="17"/>
      <c r="EQ233" s="17"/>
      <c r="ER233" s="17"/>
      <c r="ES233" s="17"/>
    </row>
    <row r="234" spans="1:149" s="7" customFormat="1" ht="22.5" customHeight="1">
      <c r="A234" s="90"/>
      <c r="B234" s="91"/>
      <c r="C234" s="91"/>
      <c r="D234" s="91"/>
      <c r="E234" s="88" t="s">
        <v>171</v>
      </c>
      <c r="F234" s="93"/>
      <c r="G234" s="89"/>
      <c r="H234" s="93"/>
      <c r="I234" s="24">
        <f>SUM(I235:I239)</f>
        <v>5061000</v>
      </c>
      <c r="J234" s="24">
        <f>SUM(J235:J239)</f>
        <v>0</v>
      </c>
      <c r="K234" s="133">
        <f>SUM(K235:K239)</f>
        <v>5061000</v>
      </c>
      <c r="L234" s="152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  <c r="AA234" s="11"/>
      <c r="AB234" s="11"/>
      <c r="AC234" s="11"/>
      <c r="AD234" s="11"/>
      <c r="AE234" s="11"/>
      <c r="AF234" s="11"/>
      <c r="AG234" s="11"/>
      <c r="AH234" s="11"/>
      <c r="AI234" s="11"/>
      <c r="AJ234" s="11"/>
      <c r="AK234" s="11"/>
      <c r="AL234" s="11"/>
      <c r="AM234" s="11"/>
      <c r="AN234" s="11"/>
      <c r="AO234" s="11"/>
      <c r="AP234" s="11"/>
      <c r="AQ234" s="11"/>
      <c r="AR234" s="11"/>
      <c r="AS234" s="11"/>
      <c r="AT234" s="11"/>
      <c r="AU234" s="11"/>
      <c r="AV234" s="11"/>
      <c r="AW234" s="11"/>
      <c r="AX234" s="11"/>
      <c r="AY234" s="11"/>
      <c r="AZ234" s="11"/>
      <c r="BA234" s="11"/>
      <c r="BB234" s="11"/>
      <c r="BC234" s="11"/>
      <c r="BD234" s="11"/>
      <c r="BE234" s="11"/>
      <c r="BF234" s="11"/>
      <c r="BG234" s="11"/>
      <c r="BH234" s="11"/>
      <c r="BI234" s="11"/>
      <c r="BJ234" s="11"/>
      <c r="BK234" s="11"/>
      <c r="BL234" s="11"/>
      <c r="BM234" s="11"/>
      <c r="BN234" s="11"/>
      <c r="BO234" s="11"/>
      <c r="BP234" s="11"/>
      <c r="BQ234" s="11"/>
      <c r="BR234" s="11"/>
      <c r="BS234" s="11"/>
      <c r="BT234" s="11"/>
      <c r="BU234" s="11"/>
      <c r="BV234" s="11"/>
      <c r="BW234" s="11"/>
      <c r="BX234" s="11"/>
      <c r="BY234" s="11"/>
      <c r="BZ234" s="11"/>
      <c r="CA234" s="11"/>
      <c r="CB234" s="11"/>
      <c r="CC234" s="11"/>
      <c r="CD234" s="11"/>
      <c r="CE234" s="11"/>
      <c r="CF234" s="11"/>
      <c r="CG234" s="11"/>
      <c r="CH234" s="11"/>
      <c r="CI234" s="11"/>
      <c r="CJ234" s="11"/>
      <c r="CK234" s="11"/>
      <c r="CL234" s="11"/>
      <c r="CM234" s="11"/>
      <c r="CN234" s="11"/>
      <c r="CO234" s="11"/>
      <c r="CP234" s="11"/>
      <c r="CQ234" s="11"/>
      <c r="CR234" s="11"/>
      <c r="CS234" s="11"/>
      <c r="CT234" s="11"/>
      <c r="CU234" s="11"/>
      <c r="CV234" s="11"/>
      <c r="CW234" s="11"/>
      <c r="CX234" s="11"/>
      <c r="CY234" s="11"/>
      <c r="CZ234" s="11"/>
      <c r="DA234" s="11"/>
      <c r="DB234" s="11"/>
      <c r="DC234" s="11"/>
      <c r="DD234" s="11"/>
      <c r="DE234" s="11"/>
      <c r="DF234" s="11"/>
      <c r="DG234" s="11"/>
      <c r="DH234" s="11"/>
      <c r="DI234" s="11"/>
      <c r="DJ234" s="11"/>
      <c r="DK234" s="11"/>
      <c r="DL234" s="11"/>
      <c r="DM234" s="11"/>
      <c r="DN234" s="11"/>
      <c r="DO234" s="11"/>
      <c r="DP234" s="11"/>
      <c r="DQ234" s="11"/>
      <c r="DR234" s="11"/>
      <c r="DS234" s="11"/>
      <c r="DT234" s="11"/>
      <c r="DU234" s="11"/>
      <c r="DV234" s="11"/>
      <c r="DW234" s="11"/>
      <c r="DX234" s="11"/>
      <c r="DY234" s="11"/>
      <c r="DZ234" s="11"/>
      <c r="EA234" s="11"/>
      <c r="EB234" s="11"/>
      <c r="EC234" s="11"/>
      <c r="ED234" s="11"/>
      <c r="EE234" s="11"/>
      <c r="EF234" s="11"/>
      <c r="EG234" s="11"/>
      <c r="EH234" s="11"/>
      <c r="EI234" s="11"/>
      <c r="EJ234" s="11"/>
      <c r="EK234" s="11"/>
      <c r="EL234" s="11"/>
      <c r="EM234" s="11"/>
      <c r="EN234" s="11"/>
      <c r="EO234" s="11"/>
      <c r="EP234" s="11"/>
      <c r="EQ234" s="11"/>
      <c r="ER234" s="11"/>
      <c r="ES234" s="11"/>
    </row>
    <row r="235" spans="1:12" s="14" customFormat="1" ht="32.25" customHeight="1">
      <c r="A235" s="91"/>
      <c r="B235" s="91"/>
      <c r="C235" s="91"/>
      <c r="D235" s="91"/>
      <c r="E235" s="32" t="s">
        <v>185</v>
      </c>
      <c r="F235" s="93">
        <v>8134171</v>
      </c>
      <c r="G235" s="94">
        <v>35.9</v>
      </c>
      <c r="H235" s="93">
        <v>2927689</v>
      </c>
      <c r="I235" s="26">
        <f>2000000-125000-234000</f>
        <v>1641000</v>
      </c>
      <c r="J235" s="26"/>
      <c r="K235" s="135">
        <f>J235+I235</f>
        <v>1641000</v>
      </c>
      <c r="L235" s="152"/>
    </row>
    <row r="236" spans="1:12" s="14" customFormat="1" ht="31.5" customHeight="1">
      <c r="A236" s="91"/>
      <c r="B236" s="91"/>
      <c r="C236" s="91"/>
      <c r="D236" s="91"/>
      <c r="E236" s="32" t="s">
        <v>186</v>
      </c>
      <c r="F236" s="93">
        <v>33898627</v>
      </c>
      <c r="G236" s="94">
        <v>64.8</v>
      </c>
      <c r="H236" s="93">
        <v>21964382</v>
      </c>
      <c r="I236" s="26">
        <v>35000</v>
      </c>
      <c r="J236" s="26"/>
      <c r="K236" s="135">
        <f>J236+I236</f>
        <v>35000</v>
      </c>
      <c r="L236" s="152"/>
    </row>
    <row r="237" spans="1:12" s="14" customFormat="1" ht="56.25">
      <c r="A237" s="91"/>
      <c r="B237" s="91"/>
      <c r="C237" s="91"/>
      <c r="D237" s="91"/>
      <c r="E237" s="32" t="s">
        <v>412</v>
      </c>
      <c r="F237" s="93">
        <v>12421937</v>
      </c>
      <c r="G237" s="94">
        <v>100</v>
      </c>
      <c r="H237" s="93">
        <v>12421937</v>
      </c>
      <c r="I237" s="26">
        <v>50000</v>
      </c>
      <c r="J237" s="26">
        <v>50000</v>
      </c>
      <c r="K237" s="135">
        <f>J237+I237</f>
        <v>100000</v>
      </c>
      <c r="L237" s="152"/>
    </row>
    <row r="238" spans="1:12" s="14" customFormat="1" ht="56.25">
      <c r="A238" s="91"/>
      <c r="B238" s="91"/>
      <c r="C238" s="91"/>
      <c r="D238" s="91"/>
      <c r="E238" s="32" t="s">
        <v>413</v>
      </c>
      <c r="F238" s="93"/>
      <c r="G238" s="94"/>
      <c r="H238" s="93"/>
      <c r="I238" s="26">
        <v>50000</v>
      </c>
      <c r="J238" s="26">
        <v>-50000</v>
      </c>
      <c r="K238" s="135">
        <f>J238+I238</f>
        <v>0</v>
      </c>
      <c r="L238" s="152"/>
    </row>
    <row r="239" spans="1:12" s="14" customFormat="1" ht="62.25" customHeight="1">
      <c r="A239" s="91"/>
      <c r="B239" s="91"/>
      <c r="C239" s="91"/>
      <c r="D239" s="91"/>
      <c r="E239" s="32" t="s">
        <v>207</v>
      </c>
      <c r="F239" s="93">
        <v>3821803</v>
      </c>
      <c r="G239" s="94">
        <v>97.6</v>
      </c>
      <c r="H239" s="93">
        <v>3729106</v>
      </c>
      <c r="I239" s="26">
        <f>2500000+485000+300000</f>
        <v>3285000</v>
      </c>
      <c r="J239" s="26"/>
      <c r="K239" s="135">
        <f>J239+I239</f>
        <v>3285000</v>
      </c>
      <c r="L239" s="152"/>
    </row>
    <row r="240" spans="1:149" s="1" customFormat="1" ht="75" customHeight="1">
      <c r="A240" s="87">
        <v>1517330</v>
      </c>
      <c r="B240" s="46" t="s">
        <v>157</v>
      </c>
      <c r="C240" s="46" t="s">
        <v>57</v>
      </c>
      <c r="D240" s="43" t="s">
        <v>163</v>
      </c>
      <c r="E240" s="105"/>
      <c r="F240" s="93"/>
      <c r="G240" s="94"/>
      <c r="H240" s="93"/>
      <c r="I240" s="24">
        <f>I241+I282</f>
        <v>42195944</v>
      </c>
      <c r="J240" s="24">
        <f>J241+J282</f>
        <v>-122500</v>
      </c>
      <c r="K240" s="133">
        <f>K241+K282</f>
        <v>42073444</v>
      </c>
      <c r="L240" s="152">
        <v>42</v>
      </c>
      <c r="M240" s="14"/>
      <c r="N240" s="14"/>
      <c r="O240" s="14"/>
      <c r="P240" s="14"/>
      <c r="Q240" s="14"/>
      <c r="R240" s="14"/>
      <c r="S240" s="14"/>
      <c r="T240" s="14"/>
      <c r="U240" s="14"/>
      <c r="V240" s="14"/>
      <c r="W240" s="14"/>
      <c r="X240" s="14"/>
      <c r="Y240" s="14"/>
      <c r="Z240" s="14"/>
      <c r="AA240" s="14"/>
      <c r="AB240" s="14"/>
      <c r="AC240" s="14"/>
      <c r="AD240" s="14"/>
      <c r="AE240" s="14"/>
      <c r="AF240" s="14"/>
      <c r="AG240" s="14"/>
      <c r="AH240" s="14"/>
      <c r="AI240" s="14"/>
      <c r="AJ240" s="14"/>
      <c r="AK240" s="14"/>
      <c r="AL240" s="14"/>
      <c r="AM240" s="14"/>
      <c r="AN240" s="14"/>
      <c r="AO240" s="14"/>
      <c r="AP240" s="14"/>
      <c r="AQ240" s="14"/>
      <c r="AR240" s="14"/>
      <c r="AS240" s="14"/>
      <c r="AT240" s="14"/>
      <c r="AU240" s="14"/>
      <c r="AV240" s="14"/>
      <c r="AW240" s="14"/>
      <c r="AX240" s="14"/>
      <c r="AY240" s="14"/>
      <c r="AZ240" s="14"/>
      <c r="BA240" s="14"/>
      <c r="BB240" s="14"/>
      <c r="BC240" s="14"/>
      <c r="BD240" s="14"/>
      <c r="BE240" s="14"/>
      <c r="BF240" s="14"/>
      <c r="BG240" s="14"/>
      <c r="BH240" s="14"/>
      <c r="BI240" s="14"/>
      <c r="BJ240" s="14"/>
      <c r="BK240" s="14"/>
      <c r="BL240" s="14"/>
      <c r="BM240" s="14"/>
      <c r="BN240" s="14"/>
      <c r="BO240" s="14"/>
      <c r="BP240" s="14"/>
      <c r="BQ240" s="14"/>
      <c r="BR240" s="14"/>
      <c r="BS240" s="14"/>
      <c r="BT240" s="14"/>
      <c r="BU240" s="14"/>
      <c r="BV240" s="14"/>
      <c r="BW240" s="14"/>
      <c r="BX240" s="14"/>
      <c r="BY240" s="14"/>
      <c r="BZ240" s="14"/>
      <c r="CA240" s="14"/>
      <c r="CB240" s="14"/>
      <c r="CC240" s="14"/>
      <c r="CD240" s="14"/>
      <c r="CE240" s="14"/>
      <c r="CF240" s="14"/>
      <c r="CG240" s="14"/>
      <c r="CH240" s="14"/>
      <c r="CI240" s="14"/>
      <c r="CJ240" s="14"/>
      <c r="CK240" s="14"/>
      <c r="CL240" s="14"/>
      <c r="CM240" s="14"/>
      <c r="CN240" s="14"/>
      <c r="CO240" s="14"/>
      <c r="CP240" s="14"/>
      <c r="CQ240" s="14"/>
      <c r="CR240" s="14"/>
      <c r="CS240" s="14"/>
      <c r="CT240" s="14"/>
      <c r="CU240" s="14"/>
      <c r="CV240" s="14"/>
      <c r="CW240" s="14"/>
      <c r="CX240" s="14"/>
      <c r="CY240" s="14"/>
      <c r="CZ240" s="14"/>
      <c r="DA240" s="14"/>
      <c r="DB240" s="14"/>
      <c r="DC240" s="14"/>
      <c r="DD240" s="14"/>
      <c r="DE240" s="14"/>
      <c r="DF240" s="14"/>
      <c r="DG240" s="14"/>
      <c r="DH240" s="14"/>
      <c r="DI240" s="14"/>
      <c r="DJ240" s="14"/>
      <c r="DK240" s="14"/>
      <c r="DL240" s="14"/>
      <c r="DM240" s="14"/>
      <c r="DN240" s="14"/>
      <c r="DO240" s="14"/>
      <c r="DP240" s="14"/>
      <c r="DQ240" s="14"/>
      <c r="DR240" s="14"/>
      <c r="DS240" s="14"/>
      <c r="DT240" s="14"/>
      <c r="DU240" s="14"/>
      <c r="DV240" s="14"/>
      <c r="DW240" s="14"/>
      <c r="DX240" s="14"/>
      <c r="DY240" s="14"/>
      <c r="DZ240" s="14"/>
      <c r="EA240" s="14"/>
      <c r="EB240" s="14"/>
      <c r="EC240" s="14"/>
      <c r="ED240" s="14"/>
      <c r="EE240" s="14"/>
      <c r="EF240" s="14"/>
      <c r="EG240" s="14"/>
      <c r="EH240" s="14"/>
      <c r="EI240" s="14"/>
      <c r="EJ240" s="14"/>
      <c r="EK240" s="14"/>
      <c r="EL240" s="14"/>
      <c r="EM240" s="14"/>
      <c r="EN240" s="14"/>
      <c r="EO240" s="14"/>
      <c r="EP240" s="14"/>
      <c r="EQ240" s="14"/>
      <c r="ER240" s="14"/>
      <c r="ES240" s="14"/>
    </row>
    <row r="241" spans="1:149" s="1" customFormat="1" ht="24.75" customHeight="1">
      <c r="A241" s="106"/>
      <c r="B241" s="91"/>
      <c r="C241" s="91"/>
      <c r="D241" s="91"/>
      <c r="E241" s="98" t="s">
        <v>168</v>
      </c>
      <c r="F241" s="93"/>
      <c r="G241" s="107"/>
      <c r="H241" s="93"/>
      <c r="I241" s="24">
        <f>SUM(I242:I281)</f>
        <v>21528761</v>
      </c>
      <c r="J241" s="24">
        <f>SUM(J242:J281)</f>
        <v>-19346</v>
      </c>
      <c r="K241" s="133">
        <f>SUM(K242:K281)</f>
        <v>21509415</v>
      </c>
      <c r="L241" s="152"/>
      <c r="M241" s="14"/>
      <c r="N241" s="14"/>
      <c r="O241" s="14"/>
      <c r="P241" s="14"/>
      <c r="Q241" s="14"/>
      <c r="R241" s="14"/>
      <c r="S241" s="14"/>
      <c r="T241" s="14"/>
      <c r="U241" s="14"/>
      <c r="V241" s="14"/>
      <c r="W241" s="14"/>
      <c r="X241" s="14"/>
      <c r="Y241" s="14"/>
      <c r="Z241" s="14"/>
      <c r="AA241" s="14"/>
      <c r="AB241" s="14"/>
      <c r="AC241" s="14"/>
      <c r="AD241" s="14"/>
      <c r="AE241" s="14"/>
      <c r="AF241" s="14"/>
      <c r="AG241" s="14"/>
      <c r="AH241" s="14"/>
      <c r="AI241" s="14"/>
      <c r="AJ241" s="14"/>
      <c r="AK241" s="14"/>
      <c r="AL241" s="14"/>
      <c r="AM241" s="14"/>
      <c r="AN241" s="14"/>
      <c r="AO241" s="14"/>
      <c r="AP241" s="14"/>
      <c r="AQ241" s="14"/>
      <c r="AR241" s="14"/>
      <c r="AS241" s="14"/>
      <c r="AT241" s="14"/>
      <c r="AU241" s="14"/>
      <c r="AV241" s="14"/>
      <c r="AW241" s="14"/>
      <c r="AX241" s="14"/>
      <c r="AY241" s="14"/>
      <c r="AZ241" s="14"/>
      <c r="BA241" s="14"/>
      <c r="BB241" s="14"/>
      <c r="BC241" s="14"/>
      <c r="BD241" s="14"/>
      <c r="BE241" s="14"/>
      <c r="BF241" s="14"/>
      <c r="BG241" s="14"/>
      <c r="BH241" s="14"/>
      <c r="BI241" s="14"/>
      <c r="BJ241" s="14"/>
      <c r="BK241" s="14"/>
      <c r="BL241" s="14"/>
      <c r="BM241" s="14"/>
      <c r="BN241" s="14"/>
      <c r="BO241" s="14"/>
      <c r="BP241" s="14"/>
      <c r="BQ241" s="14"/>
      <c r="BR241" s="14"/>
      <c r="BS241" s="14"/>
      <c r="BT241" s="14"/>
      <c r="BU241" s="14"/>
      <c r="BV241" s="14"/>
      <c r="BW241" s="14"/>
      <c r="BX241" s="14"/>
      <c r="BY241" s="14"/>
      <c r="BZ241" s="14"/>
      <c r="CA241" s="14"/>
      <c r="CB241" s="14"/>
      <c r="CC241" s="14"/>
      <c r="CD241" s="14"/>
      <c r="CE241" s="14"/>
      <c r="CF241" s="14"/>
      <c r="CG241" s="14"/>
      <c r="CH241" s="14"/>
      <c r="CI241" s="14"/>
      <c r="CJ241" s="14"/>
      <c r="CK241" s="14"/>
      <c r="CL241" s="14"/>
      <c r="CM241" s="14"/>
      <c r="CN241" s="14"/>
      <c r="CO241" s="14"/>
      <c r="CP241" s="14"/>
      <c r="CQ241" s="14"/>
      <c r="CR241" s="14"/>
      <c r="CS241" s="14"/>
      <c r="CT241" s="14"/>
      <c r="CU241" s="14"/>
      <c r="CV241" s="14"/>
      <c r="CW241" s="14"/>
      <c r="CX241" s="14"/>
      <c r="CY241" s="14"/>
      <c r="CZ241" s="14"/>
      <c r="DA241" s="14"/>
      <c r="DB241" s="14"/>
      <c r="DC241" s="14"/>
      <c r="DD241" s="14"/>
      <c r="DE241" s="14"/>
      <c r="DF241" s="14"/>
      <c r="DG241" s="14"/>
      <c r="DH241" s="14"/>
      <c r="DI241" s="14"/>
      <c r="DJ241" s="14"/>
      <c r="DK241" s="14"/>
      <c r="DL241" s="14"/>
      <c r="DM241" s="14"/>
      <c r="DN241" s="14"/>
      <c r="DO241" s="14"/>
      <c r="DP241" s="14"/>
      <c r="DQ241" s="14"/>
      <c r="DR241" s="14"/>
      <c r="DS241" s="14"/>
      <c r="DT241" s="14"/>
      <c r="DU241" s="14"/>
      <c r="DV241" s="14"/>
      <c r="DW241" s="14"/>
      <c r="DX241" s="14"/>
      <c r="DY241" s="14"/>
      <c r="DZ241" s="14"/>
      <c r="EA241" s="14"/>
      <c r="EB241" s="14"/>
      <c r="EC241" s="14"/>
      <c r="ED241" s="14"/>
      <c r="EE241" s="14"/>
      <c r="EF241" s="14"/>
      <c r="EG241" s="14"/>
      <c r="EH241" s="14"/>
      <c r="EI241" s="14"/>
      <c r="EJ241" s="14"/>
      <c r="EK241" s="14"/>
      <c r="EL241" s="14"/>
      <c r="EM241" s="14"/>
      <c r="EN241" s="14"/>
      <c r="EO241" s="14"/>
      <c r="EP241" s="14"/>
      <c r="EQ241" s="14"/>
      <c r="ER241" s="14"/>
      <c r="ES241" s="14"/>
    </row>
    <row r="242" spans="1:149" s="1" customFormat="1" ht="42" customHeight="1">
      <c r="A242" s="106"/>
      <c r="B242" s="91"/>
      <c r="C242" s="91"/>
      <c r="D242" s="91"/>
      <c r="E242" s="33" t="s">
        <v>369</v>
      </c>
      <c r="F242" s="93"/>
      <c r="G242" s="107"/>
      <c r="H242" s="93"/>
      <c r="I242" s="26">
        <f>250000-200000</f>
        <v>50000</v>
      </c>
      <c r="J242" s="26"/>
      <c r="K242" s="135">
        <f aca="true" t="shared" si="9" ref="K242:K281">J242+I242</f>
        <v>50000</v>
      </c>
      <c r="L242" s="152"/>
      <c r="M242" s="14"/>
      <c r="N242" s="14"/>
      <c r="O242" s="14"/>
      <c r="P242" s="14"/>
      <c r="Q242" s="14"/>
      <c r="R242" s="14"/>
      <c r="S242" s="14"/>
      <c r="T242" s="14"/>
      <c r="U242" s="14"/>
      <c r="V242" s="14"/>
      <c r="W242" s="14"/>
      <c r="X242" s="14"/>
      <c r="Y242" s="14"/>
      <c r="Z242" s="14"/>
      <c r="AA242" s="14"/>
      <c r="AB242" s="14"/>
      <c r="AC242" s="14"/>
      <c r="AD242" s="14"/>
      <c r="AE242" s="14"/>
      <c r="AF242" s="14"/>
      <c r="AG242" s="14"/>
      <c r="AH242" s="14"/>
      <c r="AI242" s="14"/>
      <c r="AJ242" s="14"/>
      <c r="AK242" s="14"/>
      <c r="AL242" s="14"/>
      <c r="AM242" s="14"/>
      <c r="AN242" s="14"/>
      <c r="AO242" s="14"/>
      <c r="AP242" s="14"/>
      <c r="AQ242" s="14"/>
      <c r="AR242" s="14"/>
      <c r="AS242" s="14"/>
      <c r="AT242" s="14"/>
      <c r="AU242" s="14"/>
      <c r="AV242" s="14"/>
      <c r="AW242" s="14"/>
      <c r="AX242" s="14"/>
      <c r="AY242" s="14"/>
      <c r="AZ242" s="14"/>
      <c r="BA242" s="14"/>
      <c r="BB242" s="14"/>
      <c r="BC242" s="14"/>
      <c r="BD242" s="14"/>
      <c r="BE242" s="14"/>
      <c r="BF242" s="14"/>
      <c r="BG242" s="14"/>
      <c r="BH242" s="14"/>
      <c r="BI242" s="14"/>
      <c r="BJ242" s="14"/>
      <c r="BK242" s="14"/>
      <c r="BL242" s="14"/>
      <c r="BM242" s="14"/>
      <c r="BN242" s="14"/>
      <c r="BO242" s="14"/>
      <c r="BP242" s="14"/>
      <c r="BQ242" s="14"/>
      <c r="BR242" s="14"/>
      <c r="BS242" s="14"/>
      <c r="BT242" s="14"/>
      <c r="BU242" s="14"/>
      <c r="BV242" s="14"/>
      <c r="BW242" s="14"/>
      <c r="BX242" s="14"/>
      <c r="BY242" s="14"/>
      <c r="BZ242" s="14"/>
      <c r="CA242" s="14"/>
      <c r="CB242" s="14"/>
      <c r="CC242" s="14"/>
      <c r="CD242" s="14"/>
      <c r="CE242" s="14"/>
      <c r="CF242" s="14"/>
      <c r="CG242" s="14"/>
      <c r="CH242" s="14"/>
      <c r="CI242" s="14"/>
      <c r="CJ242" s="14"/>
      <c r="CK242" s="14"/>
      <c r="CL242" s="14"/>
      <c r="CM242" s="14"/>
      <c r="CN242" s="14"/>
      <c r="CO242" s="14"/>
      <c r="CP242" s="14"/>
      <c r="CQ242" s="14"/>
      <c r="CR242" s="14"/>
      <c r="CS242" s="14"/>
      <c r="CT242" s="14"/>
      <c r="CU242" s="14"/>
      <c r="CV242" s="14"/>
      <c r="CW242" s="14"/>
      <c r="CX242" s="14"/>
      <c r="CY242" s="14"/>
      <c r="CZ242" s="14"/>
      <c r="DA242" s="14"/>
      <c r="DB242" s="14"/>
      <c r="DC242" s="14"/>
      <c r="DD242" s="14"/>
      <c r="DE242" s="14"/>
      <c r="DF242" s="14"/>
      <c r="DG242" s="14"/>
      <c r="DH242" s="14"/>
      <c r="DI242" s="14"/>
      <c r="DJ242" s="14"/>
      <c r="DK242" s="14"/>
      <c r="DL242" s="14"/>
      <c r="DM242" s="14"/>
      <c r="DN242" s="14"/>
      <c r="DO242" s="14"/>
      <c r="DP242" s="14"/>
      <c r="DQ242" s="14"/>
      <c r="DR242" s="14"/>
      <c r="DS242" s="14"/>
      <c r="DT242" s="14"/>
      <c r="DU242" s="14"/>
      <c r="DV242" s="14"/>
      <c r="DW242" s="14"/>
      <c r="DX242" s="14"/>
      <c r="DY242" s="14"/>
      <c r="DZ242" s="14"/>
      <c r="EA242" s="14"/>
      <c r="EB242" s="14"/>
      <c r="EC242" s="14"/>
      <c r="ED242" s="14"/>
      <c r="EE242" s="14"/>
      <c r="EF242" s="14"/>
      <c r="EG242" s="14"/>
      <c r="EH242" s="14"/>
      <c r="EI242" s="14"/>
      <c r="EJ242" s="14"/>
      <c r="EK242" s="14"/>
      <c r="EL242" s="14"/>
      <c r="EM242" s="14"/>
      <c r="EN242" s="14"/>
      <c r="EO242" s="14"/>
      <c r="EP242" s="14"/>
      <c r="EQ242" s="14"/>
      <c r="ER242" s="14"/>
      <c r="ES242" s="14"/>
    </row>
    <row r="243" spans="1:149" s="1" customFormat="1" ht="51.75" customHeight="1">
      <c r="A243" s="90"/>
      <c r="B243" s="90"/>
      <c r="C243" s="90"/>
      <c r="D243" s="90"/>
      <c r="E243" s="32" t="s">
        <v>187</v>
      </c>
      <c r="F243" s="93">
        <v>28556946</v>
      </c>
      <c r="G243" s="129">
        <v>89.5</v>
      </c>
      <c r="H243" s="93">
        <v>25554164</v>
      </c>
      <c r="I243" s="26">
        <v>3000000</v>
      </c>
      <c r="J243" s="26"/>
      <c r="K243" s="135">
        <f t="shared" si="9"/>
        <v>3000000</v>
      </c>
      <c r="L243" s="152"/>
      <c r="M243" s="14"/>
      <c r="N243" s="14"/>
      <c r="O243" s="14"/>
      <c r="P243" s="14"/>
      <c r="Q243" s="14"/>
      <c r="R243" s="14"/>
      <c r="S243" s="14"/>
      <c r="T243" s="14"/>
      <c r="U243" s="14"/>
      <c r="V243" s="14"/>
      <c r="W243" s="14"/>
      <c r="X243" s="14"/>
      <c r="Y243" s="14"/>
      <c r="Z243" s="14"/>
      <c r="AA243" s="14"/>
      <c r="AB243" s="14"/>
      <c r="AC243" s="14"/>
      <c r="AD243" s="14"/>
      <c r="AE243" s="14"/>
      <c r="AF243" s="14"/>
      <c r="AG243" s="14"/>
      <c r="AH243" s="14"/>
      <c r="AI243" s="14"/>
      <c r="AJ243" s="14"/>
      <c r="AK243" s="14"/>
      <c r="AL243" s="14"/>
      <c r="AM243" s="14"/>
      <c r="AN243" s="14"/>
      <c r="AO243" s="14"/>
      <c r="AP243" s="14"/>
      <c r="AQ243" s="14"/>
      <c r="AR243" s="14"/>
      <c r="AS243" s="14"/>
      <c r="AT243" s="14"/>
      <c r="AU243" s="14"/>
      <c r="AV243" s="14"/>
      <c r="AW243" s="14"/>
      <c r="AX243" s="14"/>
      <c r="AY243" s="14"/>
      <c r="AZ243" s="14"/>
      <c r="BA243" s="14"/>
      <c r="BB243" s="14"/>
      <c r="BC243" s="14"/>
      <c r="BD243" s="14"/>
      <c r="BE243" s="14"/>
      <c r="BF243" s="14"/>
      <c r="BG243" s="14"/>
      <c r="BH243" s="14"/>
      <c r="BI243" s="14"/>
      <c r="BJ243" s="14"/>
      <c r="BK243" s="14"/>
      <c r="BL243" s="14"/>
      <c r="BM243" s="14"/>
      <c r="BN243" s="14"/>
      <c r="BO243" s="14"/>
      <c r="BP243" s="14"/>
      <c r="BQ243" s="14"/>
      <c r="BR243" s="14"/>
      <c r="BS243" s="14"/>
      <c r="BT243" s="14"/>
      <c r="BU243" s="14"/>
      <c r="BV243" s="14"/>
      <c r="BW243" s="14"/>
      <c r="BX243" s="14"/>
      <c r="BY243" s="14"/>
      <c r="BZ243" s="14"/>
      <c r="CA243" s="14"/>
      <c r="CB243" s="14"/>
      <c r="CC243" s="14"/>
      <c r="CD243" s="14"/>
      <c r="CE243" s="14"/>
      <c r="CF243" s="14"/>
      <c r="CG243" s="14"/>
      <c r="CH243" s="14"/>
      <c r="CI243" s="14"/>
      <c r="CJ243" s="14"/>
      <c r="CK243" s="14"/>
      <c r="CL243" s="14"/>
      <c r="CM243" s="14"/>
      <c r="CN243" s="14"/>
      <c r="CO243" s="14"/>
      <c r="CP243" s="14"/>
      <c r="CQ243" s="14"/>
      <c r="CR243" s="14"/>
      <c r="CS243" s="14"/>
      <c r="CT243" s="14"/>
      <c r="CU243" s="14"/>
      <c r="CV243" s="14"/>
      <c r="CW243" s="14"/>
      <c r="CX243" s="14"/>
      <c r="CY243" s="14"/>
      <c r="CZ243" s="14"/>
      <c r="DA243" s="14"/>
      <c r="DB243" s="14"/>
      <c r="DC243" s="14"/>
      <c r="DD243" s="14"/>
      <c r="DE243" s="14"/>
      <c r="DF243" s="14"/>
      <c r="DG243" s="14"/>
      <c r="DH243" s="14"/>
      <c r="DI243" s="14"/>
      <c r="DJ243" s="14"/>
      <c r="DK243" s="14"/>
      <c r="DL243" s="14"/>
      <c r="DM243" s="14"/>
      <c r="DN243" s="14"/>
      <c r="DO243" s="14"/>
      <c r="DP243" s="14"/>
      <c r="DQ243" s="14"/>
      <c r="DR243" s="14"/>
      <c r="DS243" s="14"/>
      <c r="DT243" s="14"/>
      <c r="DU243" s="14"/>
      <c r="DV243" s="14"/>
      <c r="DW243" s="14"/>
      <c r="DX243" s="14"/>
      <c r="DY243" s="14"/>
      <c r="DZ243" s="14"/>
      <c r="EA243" s="14"/>
      <c r="EB243" s="14"/>
      <c r="EC243" s="14"/>
      <c r="ED243" s="14"/>
      <c r="EE243" s="14"/>
      <c r="EF243" s="14"/>
      <c r="EG243" s="14"/>
      <c r="EH243" s="14"/>
      <c r="EI243" s="14"/>
      <c r="EJ243" s="14"/>
      <c r="EK243" s="14"/>
      <c r="EL243" s="14"/>
      <c r="EM243" s="14"/>
      <c r="EN243" s="14"/>
      <c r="EO243" s="14"/>
      <c r="EP243" s="14"/>
      <c r="EQ243" s="14"/>
      <c r="ER243" s="14"/>
      <c r="ES243" s="14"/>
    </row>
    <row r="244" spans="1:12" s="14" customFormat="1" ht="45.75" customHeight="1">
      <c r="A244" s="91"/>
      <c r="B244" s="91"/>
      <c r="C244" s="91"/>
      <c r="D244" s="91"/>
      <c r="E244" s="54" t="s">
        <v>188</v>
      </c>
      <c r="F244" s="93">
        <v>15275728</v>
      </c>
      <c r="G244" s="94">
        <v>79.1</v>
      </c>
      <c r="H244" s="93">
        <v>12085200</v>
      </c>
      <c r="I244" s="26">
        <v>11136000</v>
      </c>
      <c r="J244" s="26"/>
      <c r="K244" s="135">
        <f t="shared" si="9"/>
        <v>11136000</v>
      </c>
      <c r="L244" s="152"/>
    </row>
    <row r="245" spans="1:12" s="14" customFormat="1" ht="45" customHeight="1">
      <c r="A245" s="91"/>
      <c r="B245" s="91"/>
      <c r="C245" s="91"/>
      <c r="D245" s="91"/>
      <c r="E245" s="32" t="s">
        <v>385</v>
      </c>
      <c r="F245" s="93">
        <v>151045</v>
      </c>
      <c r="G245" s="94">
        <v>100</v>
      </c>
      <c r="H245" s="93">
        <v>151045</v>
      </c>
      <c r="I245" s="26">
        <v>151400</v>
      </c>
      <c r="J245" s="26">
        <v>-1243</v>
      </c>
      <c r="K245" s="135">
        <f t="shared" si="9"/>
        <v>150157</v>
      </c>
      <c r="L245" s="152"/>
    </row>
    <row r="246" spans="1:12" s="14" customFormat="1" ht="61.5" customHeight="1">
      <c r="A246" s="91"/>
      <c r="B246" s="91"/>
      <c r="C246" s="91"/>
      <c r="D246" s="91"/>
      <c r="E246" s="32" t="s">
        <v>389</v>
      </c>
      <c r="F246" s="93">
        <v>160879</v>
      </c>
      <c r="G246" s="94">
        <v>100</v>
      </c>
      <c r="H246" s="93">
        <v>160879</v>
      </c>
      <c r="I246" s="26">
        <v>157000</v>
      </c>
      <c r="J246" s="26"/>
      <c r="K246" s="135">
        <f t="shared" si="9"/>
        <v>157000</v>
      </c>
      <c r="L246" s="152"/>
    </row>
    <row r="247" spans="1:12" s="14" customFormat="1" ht="72" customHeight="1">
      <c r="A247" s="91"/>
      <c r="B247" s="91"/>
      <c r="C247" s="91"/>
      <c r="D247" s="91"/>
      <c r="E247" s="32" t="s">
        <v>395</v>
      </c>
      <c r="F247" s="93">
        <v>97138</v>
      </c>
      <c r="G247" s="94">
        <v>100</v>
      </c>
      <c r="H247" s="93">
        <v>97138</v>
      </c>
      <c r="I247" s="26">
        <v>100000</v>
      </c>
      <c r="J247" s="26">
        <v>-2862</v>
      </c>
      <c r="K247" s="135">
        <f t="shared" si="9"/>
        <v>97138</v>
      </c>
      <c r="L247" s="152"/>
    </row>
    <row r="248" spans="1:12" s="14" customFormat="1" ht="60.75" customHeight="1">
      <c r="A248" s="91"/>
      <c r="B248" s="91"/>
      <c r="C248" s="91"/>
      <c r="D248" s="91"/>
      <c r="E248" s="32" t="s">
        <v>414</v>
      </c>
      <c r="F248" s="93">
        <v>53632</v>
      </c>
      <c r="G248" s="94">
        <v>100</v>
      </c>
      <c r="H248" s="93">
        <v>53632</v>
      </c>
      <c r="I248" s="26">
        <v>50000</v>
      </c>
      <c r="J248" s="26"/>
      <c r="K248" s="135">
        <f t="shared" si="9"/>
        <v>50000</v>
      </c>
      <c r="L248" s="152"/>
    </row>
    <row r="249" spans="1:12" s="14" customFormat="1" ht="61.5" customHeight="1">
      <c r="A249" s="91"/>
      <c r="B249" s="91"/>
      <c r="C249" s="91"/>
      <c r="D249" s="91"/>
      <c r="E249" s="32" t="s">
        <v>390</v>
      </c>
      <c r="F249" s="93">
        <v>99196</v>
      </c>
      <c r="G249" s="94">
        <v>100</v>
      </c>
      <c r="H249" s="93">
        <v>99196</v>
      </c>
      <c r="I249" s="26">
        <v>2400</v>
      </c>
      <c r="J249" s="26"/>
      <c r="K249" s="135">
        <f t="shared" si="9"/>
        <v>2400</v>
      </c>
      <c r="L249" s="152"/>
    </row>
    <row r="250" spans="1:12" s="14" customFormat="1" ht="61.5" customHeight="1">
      <c r="A250" s="91"/>
      <c r="B250" s="91"/>
      <c r="C250" s="91"/>
      <c r="D250" s="91"/>
      <c r="E250" s="54" t="s">
        <v>448</v>
      </c>
      <c r="F250" s="93">
        <v>46163</v>
      </c>
      <c r="G250" s="94">
        <v>100</v>
      </c>
      <c r="H250" s="93">
        <v>46163</v>
      </c>
      <c r="I250" s="26">
        <v>48000</v>
      </c>
      <c r="J250" s="26">
        <v>-1837</v>
      </c>
      <c r="K250" s="135">
        <f t="shared" si="9"/>
        <v>46163</v>
      </c>
      <c r="L250" s="152"/>
    </row>
    <row r="251" spans="1:12" s="14" customFormat="1" ht="61.5" customHeight="1">
      <c r="A251" s="91"/>
      <c r="B251" s="91"/>
      <c r="C251" s="91"/>
      <c r="D251" s="91"/>
      <c r="E251" s="54" t="s">
        <v>432</v>
      </c>
      <c r="F251" s="93">
        <v>107178</v>
      </c>
      <c r="G251" s="94">
        <v>100</v>
      </c>
      <c r="H251" s="93">
        <v>107178</v>
      </c>
      <c r="I251" s="26">
        <v>107000</v>
      </c>
      <c r="J251" s="26"/>
      <c r="K251" s="135">
        <f t="shared" si="9"/>
        <v>107000</v>
      </c>
      <c r="L251" s="152"/>
    </row>
    <row r="252" spans="1:12" s="14" customFormat="1" ht="64.5" customHeight="1">
      <c r="A252" s="91"/>
      <c r="B252" s="91"/>
      <c r="C252" s="91"/>
      <c r="D252" s="91"/>
      <c r="E252" s="54" t="s">
        <v>259</v>
      </c>
      <c r="F252" s="93">
        <v>96719</v>
      </c>
      <c r="G252" s="94">
        <v>100</v>
      </c>
      <c r="H252" s="93">
        <v>96719</v>
      </c>
      <c r="I252" s="26">
        <f>100000-5700-235</f>
        <v>94065</v>
      </c>
      <c r="J252" s="26"/>
      <c r="K252" s="135">
        <f t="shared" si="9"/>
        <v>94065</v>
      </c>
      <c r="L252" s="152"/>
    </row>
    <row r="253" spans="1:12" s="14" customFormat="1" ht="63.75" customHeight="1">
      <c r="A253" s="91"/>
      <c r="B253" s="91"/>
      <c r="C253" s="91"/>
      <c r="D253" s="91"/>
      <c r="E253" s="54" t="s">
        <v>267</v>
      </c>
      <c r="F253" s="93">
        <v>297594</v>
      </c>
      <c r="G253" s="94">
        <v>100</v>
      </c>
      <c r="H253" s="93">
        <v>297594</v>
      </c>
      <c r="I253" s="26">
        <f>300000-5700-108</f>
        <v>294192</v>
      </c>
      <c r="J253" s="26"/>
      <c r="K253" s="135">
        <f t="shared" si="9"/>
        <v>294192</v>
      </c>
      <c r="L253" s="152"/>
    </row>
    <row r="254" spans="1:12" s="14" customFormat="1" ht="62.25" customHeight="1">
      <c r="A254" s="91"/>
      <c r="B254" s="91"/>
      <c r="C254" s="91"/>
      <c r="D254" s="91"/>
      <c r="E254" s="54" t="s">
        <v>334</v>
      </c>
      <c r="F254" s="93">
        <v>71245</v>
      </c>
      <c r="G254" s="94">
        <v>100</v>
      </c>
      <c r="H254" s="93">
        <v>71245</v>
      </c>
      <c r="I254" s="26">
        <v>67450</v>
      </c>
      <c r="J254" s="26">
        <v>-125</v>
      </c>
      <c r="K254" s="135">
        <f t="shared" si="9"/>
        <v>67325</v>
      </c>
      <c r="L254" s="152"/>
    </row>
    <row r="255" spans="1:12" s="14" customFormat="1" ht="60" customHeight="1">
      <c r="A255" s="91"/>
      <c r="B255" s="91"/>
      <c r="C255" s="91"/>
      <c r="D255" s="91"/>
      <c r="E255" s="54" t="s">
        <v>333</v>
      </c>
      <c r="F255" s="93">
        <v>91410</v>
      </c>
      <c r="G255" s="94">
        <v>100</v>
      </c>
      <c r="H255" s="93">
        <v>91410</v>
      </c>
      <c r="I255" s="26">
        <v>87750</v>
      </c>
      <c r="J255" s="26"/>
      <c r="K255" s="135">
        <f t="shared" si="9"/>
        <v>87750</v>
      </c>
      <c r="L255" s="152">
        <v>43</v>
      </c>
    </row>
    <row r="256" spans="1:12" s="14" customFormat="1" ht="60" customHeight="1">
      <c r="A256" s="91"/>
      <c r="B256" s="91"/>
      <c r="C256" s="91"/>
      <c r="D256" s="91"/>
      <c r="E256" s="54" t="s">
        <v>470</v>
      </c>
      <c r="F256" s="93"/>
      <c r="G256" s="94"/>
      <c r="H256" s="93"/>
      <c r="I256" s="26">
        <v>100000</v>
      </c>
      <c r="J256" s="26"/>
      <c r="K256" s="135">
        <f>J256+I256</f>
        <v>100000</v>
      </c>
      <c r="L256" s="152"/>
    </row>
    <row r="257" spans="1:12" s="14" customFormat="1" ht="66" customHeight="1">
      <c r="A257" s="91"/>
      <c r="B257" s="91"/>
      <c r="C257" s="91"/>
      <c r="D257" s="91"/>
      <c r="E257" s="54" t="s">
        <v>312</v>
      </c>
      <c r="F257" s="93">
        <v>53633</v>
      </c>
      <c r="G257" s="94">
        <v>100</v>
      </c>
      <c r="H257" s="93">
        <v>53633</v>
      </c>
      <c r="I257" s="26">
        <v>50000</v>
      </c>
      <c r="J257" s="26"/>
      <c r="K257" s="135">
        <f t="shared" si="9"/>
        <v>50000</v>
      </c>
      <c r="L257" s="152"/>
    </row>
    <row r="258" spans="1:12" s="14" customFormat="1" ht="60.75" customHeight="1">
      <c r="A258" s="91"/>
      <c r="B258" s="91"/>
      <c r="C258" s="91"/>
      <c r="D258" s="91"/>
      <c r="E258" s="54" t="s">
        <v>313</v>
      </c>
      <c r="F258" s="93">
        <v>53633</v>
      </c>
      <c r="G258" s="94">
        <v>100</v>
      </c>
      <c r="H258" s="93">
        <v>53633</v>
      </c>
      <c r="I258" s="26">
        <v>50000</v>
      </c>
      <c r="J258" s="26"/>
      <c r="K258" s="135">
        <f t="shared" si="9"/>
        <v>50000</v>
      </c>
      <c r="L258" s="152"/>
    </row>
    <row r="259" spans="1:12" s="14" customFormat="1" ht="60.75" customHeight="1">
      <c r="A259" s="91"/>
      <c r="B259" s="91"/>
      <c r="C259" s="91"/>
      <c r="D259" s="91"/>
      <c r="E259" s="54" t="s">
        <v>460</v>
      </c>
      <c r="F259" s="93"/>
      <c r="G259" s="94"/>
      <c r="H259" s="93"/>
      <c r="I259" s="26">
        <v>50000</v>
      </c>
      <c r="J259" s="26"/>
      <c r="K259" s="135">
        <f>J259+I259</f>
        <v>50000</v>
      </c>
      <c r="L259" s="152"/>
    </row>
    <row r="260" spans="1:12" s="14" customFormat="1" ht="40.5" customHeight="1">
      <c r="A260" s="91"/>
      <c r="B260" s="91"/>
      <c r="C260" s="91"/>
      <c r="D260" s="91"/>
      <c r="E260" s="54" t="s">
        <v>431</v>
      </c>
      <c r="F260" s="93">
        <v>53633</v>
      </c>
      <c r="G260" s="94">
        <v>100</v>
      </c>
      <c r="H260" s="93">
        <v>53633</v>
      </c>
      <c r="I260" s="26">
        <v>50000</v>
      </c>
      <c r="J260" s="26"/>
      <c r="K260" s="135">
        <f t="shared" si="9"/>
        <v>50000</v>
      </c>
      <c r="L260" s="152"/>
    </row>
    <row r="261" spans="1:12" s="14" customFormat="1" ht="61.5" customHeight="1">
      <c r="A261" s="91"/>
      <c r="B261" s="91"/>
      <c r="C261" s="91"/>
      <c r="D261" s="91"/>
      <c r="E261" s="54" t="s">
        <v>415</v>
      </c>
      <c r="F261" s="93">
        <v>99196</v>
      </c>
      <c r="G261" s="94">
        <v>100</v>
      </c>
      <c r="H261" s="93">
        <v>99196</v>
      </c>
      <c r="I261" s="26">
        <v>100000</v>
      </c>
      <c r="J261" s="26">
        <v>-804</v>
      </c>
      <c r="K261" s="135">
        <f t="shared" si="9"/>
        <v>99196</v>
      </c>
      <c r="L261" s="152"/>
    </row>
    <row r="262" spans="1:12" s="14" customFormat="1" ht="40.5" customHeight="1">
      <c r="A262" s="91"/>
      <c r="B262" s="91"/>
      <c r="C262" s="91"/>
      <c r="D262" s="91"/>
      <c r="E262" s="54" t="s">
        <v>416</v>
      </c>
      <c r="F262" s="93">
        <v>53632</v>
      </c>
      <c r="G262" s="94">
        <v>100</v>
      </c>
      <c r="H262" s="93">
        <v>53632</v>
      </c>
      <c r="I262" s="26">
        <v>50000</v>
      </c>
      <c r="J262" s="26"/>
      <c r="K262" s="135">
        <f t="shared" si="9"/>
        <v>50000</v>
      </c>
      <c r="L262" s="152"/>
    </row>
    <row r="263" spans="1:12" s="14" customFormat="1" ht="44.25" customHeight="1">
      <c r="A263" s="91"/>
      <c r="B263" s="91"/>
      <c r="C263" s="91"/>
      <c r="D263" s="91"/>
      <c r="E263" s="54" t="s">
        <v>376</v>
      </c>
      <c r="F263" s="93">
        <v>53633</v>
      </c>
      <c r="G263" s="94">
        <v>100</v>
      </c>
      <c r="H263" s="93">
        <v>53633</v>
      </c>
      <c r="I263" s="26">
        <v>50000</v>
      </c>
      <c r="J263" s="26"/>
      <c r="K263" s="135">
        <f t="shared" si="9"/>
        <v>50000</v>
      </c>
      <c r="L263" s="152"/>
    </row>
    <row r="264" spans="1:12" s="14" customFormat="1" ht="44.25" customHeight="1">
      <c r="A264" s="91"/>
      <c r="B264" s="91"/>
      <c r="C264" s="91"/>
      <c r="D264" s="91"/>
      <c r="E264" s="54" t="s">
        <v>433</v>
      </c>
      <c r="F264" s="93"/>
      <c r="G264" s="94"/>
      <c r="H264" s="93"/>
      <c r="I264" s="26">
        <v>28500</v>
      </c>
      <c r="J264" s="26"/>
      <c r="K264" s="135">
        <f t="shared" si="9"/>
        <v>28500</v>
      </c>
      <c r="L264" s="152"/>
    </row>
    <row r="265" spans="1:12" s="14" customFormat="1" ht="48.75" customHeight="1">
      <c r="A265" s="91"/>
      <c r="B265" s="91"/>
      <c r="C265" s="91"/>
      <c r="D265" s="91"/>
      <c r="E265" s="54" t="s">
        <v>375</v>
      </c>
      <c r="F265" s="93">
        <v>152410</v>
      </c>
      <c r="G265" s="94">
        <v>100</v>
      </c>
      <c r="H265" s="93">
        <v>152410</v>
      </c>
      <c r="I265" s="26">
        <v>150000</v>
      </c>
      <c r="J265" s="26"/>
      <c r="K265" s="135">
        <f t="shared" si="9"/>
        <v>150000</v>
      </c>
      <c r="L265" s="152"/>
    </row>
    <row r="266" spans="1:12" s="14" customFormat="1" ht="62.25" customHeight="1">
      <c r="A266" s="91"/>
      <c r="B266" s="91"/>
      <c r="C266" s="91"/>
      <c r="D266" s="91"/>
      <c r="E266" s="32" t="s">
        <v>417</v>
      </c>
      <c r="F266" s="93">
        <v>53141</v>
      </c>
      <c r="G266" s="94">
        <v>100</v>
      </c>
      <c r="H266" s="93">
        <v>53141</v>
      </c>
      <c r="I266" s="26">
        <v>50000</v>
      </c>
      <c r="J266" s="26"/>
      <c r="K266" s="135">
        <f t="shared" si="9"/>
        <v>50000</v>
      </c>
      <c r="L266" s="152"/>
    </row>
    <row r="267" spans="1:12" s="14" customFormat="1" ht="56.25" customHeight="1">
      <c r="A267" s="91"/>
      <c r="B267" s="91"/>
      <c r="C267" s="91"/>
      <c r="D267" s="91"/>
      <c r="E267" s="32" t="s">
        <v>396</v>
      </c>
      <c r="F267" s="93">
        <v>167618</v>
      </c>
      <c r="G267" s="94">
        <v>100</v>
      </c>
      <c r="H267" s="93">
        <v>167618</v>
      </c>
      <c r="I267" s="26">
        <v>175000</v>
      </c>
      <c r="J267" s="26">
        <v>-7382</v>
      </c>
      <c r="K267" s="135">
        <f t="shared" si="9"/>
        <v>167618</v>
      </c>
      <c r="L267" s="152"/>
    </row>
    <row r="268" spans="1:12" s="14" customFormat="1" ht="72.75" customHeight="1">
      <c r="A268" s="91"/>
      <c r="B268" s="91"/>
      <c r="C268" s="91"/>
      <c r="D268" s="91"/>
      <c r="E268" s="32" t="s">
        <v>374</v>
      </c>
      <c r="F268" s="93">
        <v>118534</v>
      </c>
      <c r="G268" s="94">
        <v>100</v>
      </c>
      <c r="H268" s="93">
        <v>118534</v>
      </c>
      <c r="I268" s="26">
        <v>102645</v>
      </c>
      <c r="J268" s="26">
        <v>-697</v>
      </c>
      <c r="K268" s="135">
        <f t="shared" si="9"/>
        <v>101948</v>
      </c>
      <c r="L268" s="152"/>
    </row>
    <row r="269" spans="1:12" s="14" customFormat="1" ht="40.5" customHeight="1">
      <c r="A269" s="91"/>
      <c r="B269" s="91"/>
      <c r="C269" s="91"/>
      <c r="D269" s="91"/>
      <c r="E269" s="32" t="s">
        <v>314</v>
      </c>
      <c r="F269" s="93">
        <v>72553</v>
      </c>
      <c r="G269" s="94">
        <v>100</v>
      </c>
      <c r="H269" s="93">
        <v>72553</v>
      </c>
      <c r="I269" s="26">
        <f>61400-227</f>
        <v>61173</v>
      </c>
      <c r="J269" s="26"/>
      <c r="K269" s="135">
        <f t="shared" si="9"/>
        <v>61173</v>
      </c>
      <c r="L269" s="152"/>
    </row>
    <row r="270" spans="1:12" s="14" customFormat="1" ht="57" customHeight="1">
      <c r="A270" s="91"/>
      <c r="B270" s="91"/>
      <c r="C270" s="91"/>
      <c r="D270" s="91"/>
      <c r="E270" s="32" t="s">
        <v>315</v>
      </c>
      <c r="F270" s="93">
        <v>70604</v>
      </c>
      <c r="G270" s="94">
        <v>100</v>
      </c>
      <c r="H270" s="93">
        <v>70604</v>
      </c>
      <c r="I270" s="26">
        <f>71000-2800-85</f>
        <v>68115</v>
      </c>
      <c r="J270" s="26"/>
      <c r="K270" s="135">
        <f t="shared" si="9"/>
        <v>68115</v>
      </c>
      <c r="L270" s="152"/>
    </row>
    <row r="271" spans="1:12" s="14" customFormat="1" ht="57" customHeight="1">
      <c r="A271" s="91"/>
      <c r="B271" s="91"/>
      <c r="C271" s="91"/>
      <c r="D271" s="91"/>
      <c r="E271" s="54" t="s">
        <v>434</v>
      </c>
      <c r="F271" s="93">
        <v>53633</v>
      </c>
      <c r="G271" s="94">
        <v>100</v>
      </c>
      <c r="H271" s="93">
        <v>53633</v>
      </c>
      <c r="I271" s="26">
        <v>50000</v>
      </c>
      <c r="J271" s="26"/>
      <c r="K271" s="135">
        <f t="shared" si="9"/>
        <v>50000</v>
      </c>
      <c r="L271" s="152">
        <v>44</v>
      </c>
    </row>
    <row r="272" spans="1:12" s="14" customFormat="1" ht="54.75" customHeight="1">
      <c r="A272" s="91"/>
      <c r="B272" s="91"/>
      <c r="C272" s="91"/>
      <c r="D272" s="91"/>
      <c r="E272" s="32" t="s">
        <v>335</v>
      </c>
      <c r="F272" s="93">
        <v>155759</v>
      </c>
      <c r="G272" s="94">
        <v>100</v>
      </c>
      <c r="H272" s="93">
        <v>155759</v>
      </c>
      <c r="I272" s="26">
        <f>55000+100000-1600-470</f>
        <v>152930</v>
      </c>
      <c r="J272" s="26"/>
      <c r="K272" s="135">
        <f t="shared" si="9"/>
        <v>152930</v>
      </c>
      <c r="L272" s="152"/>
    </row>
    <row r="273" spans="1:12" s="14" customFormat="1" ht="54.75" customHeight="1">
      <c r="A273" s="91"/>
      <c r="B273" s="91"/>
      <c r="C273" s="91"/>
      <c r="D273" s="91"/>
      <c r="E273" s="32" t="s">
        <v>402</v>
      </c>
      <c r="F273" s="93">
        <v>70604</v>
      </c>
      <c r="G273" s="94">
        <v>100</v>
      </c>
      <c r="H273" s="93">
        <v>70604</v>
      </c>
      <c r="I273" s="26">
        <v>75000</v>
      </c>
      <c r="J273" s="26">
        <v>-4396</v>
      </c>
      <c r="K273" s="135">
        <f t="shared" si="9"/>
        <v>70604</v>
      </c>
      <c r="L273" s="152"/>
    </row>
    <row r="274" spans="1:12" s="14" customFormat="1" ht="45.75" customHeight="1">
      <c r="A274" s="91"/>
      <c r="B274" s="91"/>
      <c r="C274" s="91"/>
      <c r="D274" s="91"/>
      <c r="E274" s="54" t="s">
        <v>251</v>
      </c>
      <c r="F274" s="93">
        <v>1651333</v>
      </c>
      <c r="G274" s="94">
        <v>100</v>
      </c>
      <c r="H274" s="93">
        <v>1651333</v>
      </c>
      <c r="I274" s="26">
        <v>998774</v>
      </c>
      <c r="J274" s="26"/>
      <c r="K274" s="135">
        <f t="shared" si="9"/>
        <v>998774</v>
      </c>
      <c r="L274" s="152"/>
    </row>
    <row r="275" spans="1:12" s="14" customFormat="1" ht="27.75" customHeight="1">
      <c r="A275" s="91"/>
      <c r="B275" s="91"/>
      <c r="C275" s="91"/>
      <c r="D275" s="91"/>
      <c r="E275" s="54" t="s">
        <v>252</v>
      </c>
      <c r="F275" s="93">
        <v>471924</v>
      </c>
      <c r="G275" s="94">
        <v>100</v>
      </c>
      <c r="H275" s="93">
        <v>471924</v>
      </c>
      <c r="I275" s="26">
        <v>469180</v>
      </c>
      <c r="J275" s="26"/>
      <c r="K275" s="135">
        <f t="shared" si="9"/>
        <v>469180</v>
      </c>
      <c r="L275" s="152"/>
    </row>
    <row r="276" spans="1:12" s="14" customFormat="1" ht="63.75" customHeight="1">
      <c r="A276" s="91"/>
      <c r="B276" s="91"/>
      <c r="C276" s="91"/>
      <c r="D276" s="91"/>
      <c r="E276" s="54" t="s">
        <v>253</v>
      </c>
      <c r="F276" s="93">
        <v>536948</v>
      </c>
      <c r="G276" s="94">
        <v>100</v>
      </c>
      <c r="H276" s="93">
        <v>536948</v>
      </c>
      <c r="I276" s="26">
        <v>536948</v>
      </c>
      <c r="J276" s="26"/>
      <c r="K276" s="135">
        <f t="shared" si="9"/>
        <v>536948</v>
      </c>
      <c r="L276" s="152"/>
    </row>
    <row r="277" spans="1:12" s="14" customFormat="1" ht="41.25" customHeight="1">
      <c r="A277" s="91"/>
      <c r="B277" s="91"/>
      <c r="C277" s="91"/>
      <c r="D277" s="91"/>
      <c r="E277" s="54" t="s">
        <v>254</v>
      </c>
      <c r="F277" s="93">
        <v>282168</v>
      </c>
      <c r="G277" s="94">
        <v>100</v>
      </c>
      <c r="H277" s="93">
        <v>282168</v>
      </c>
      <c r="I277" s="26">
        <v>280160</v>
      </c>
      <c r="J277" s="26"/>
      <c r="K277" s="135">
        <f t="shared" si="9"/>
        <v>280160</v>
      </c>
      <c r="L277" s="152"/>
    </row>
    <row r="278" spans="1:12" s="14" customFormat="1" ht="27.75" customHeight="1">
      <c r="A278" s="91"/>
      <c r="B278" s="91"/>
      <c r="C278" s="91"/>
      <c r="D278" s="91"/>
      <c r="E278" s="54" t="s">
        <v>255</v>
      </c>
      <c r="F278" s="93">
        <v>1135462</v>
      </c>
      <c r="G278" s="94">
        <v>98.2</v>
      </c>
      <c r="H278" s="93">
        <v>1115056</v>
      </c>
      <c r="I278" s="26">
        <v>1009908</v>
      </c>
      <c r="J278" s="26"/>
      <c r="K278" s="135">
        <f t="shared" si="9"/>
        <v>1009908</v>
      </c>
      <c r="L278" s="152"/>
    </row>
    <row r="279" spans="1:12" s="14" customFormat="1" ht="56.25">
      <c r="A279" s="91"/>
      <c r="B279" s="91"/>
      <c r="C279" s="91"/>
      <c r="D279" s="91"/>
      <c r="E279" s="54" t="s">
        <v>256</v>
      </c>
      <c r="F279" s="93">
        <v>465082</v>
      </c>
      <c r="G279" s="94">
        <v>100</v>
      </c>
      <c r="H279" s="93">
        <v>465082</v>
      </c>
      <c r="I279" s="26">
        <v>482174</v>
      </c>
      <c r="J279" s="26"/>
      <c r="K279" s="135">
        <f t="shared" si="9"/>
        <v>482174</v>
      </c>
      <c r="L279" s="152"/>
    </row>
    <row r="280" spans="1:12" s="14" customFormat="1" ht="39" customHeight="1">
      <c r="A280" s="91"/>
      <c r="B280" s="91"/>
      <c r="C280" s="91"/>
      <c r="D280" s="91"/>
      <c r="E280" s="54" t="s">
        <v>257</v>
      </c>
      <c r="F280" s="93">
        <v>634164</v>
      </c>
      <c r="G280" s="94">
        <v>100</v>
      </c>
      <c r="H280" s="93">
        <v>634164</v>
      </c>
      <c r="I280" s="26">
        <v>425207</v>
      </c>
      <c r="J280" s="26"/>
      <c r="K280" s="135">
        <f t="shared" si="9"/>
        <v>425207</v>
      </c>
      <c r="L280" s="152"/>
    </row>
    <row r="281" spans="1:12" s="14" customFormat="1" ht="37.5">
      <c r="A281" s="91"/>
      <c r="B281" s="91"/>
      <c r="C281" s="91"/>
      <c r="D281" s="91"/>
      <c r="E281" s="54" t="s">
        <v>258</v>
      </c>
      <c r="F281" s="93">
        <v>567790</v>
      </c>
      <c r="G281" s="94">
        <v>100</v>
      </c>
      <c r="H281" s="93">
        <v>567790</v>
      </c>
      <c r="I281" s="26">
        <v>567790</v>
      </c>
      <c r="J281" s="26"/>
      <c r="K281" s="135">
        <f t="shared" si="9"/>
        <v>567790</v>
      </c>
      <c r="L281" s="152"/>
    </row>
    <row r="282" spans="1:12" s="14" customFormat="1" ht="27" customHeight="1">
      <c r="A282" s="91"/>
      <c r="B282" s="91"/>
      <c r="C282" s="91"/>
      <c r="D282" s="91"/>
      <c r="E282" s="56" t="s">
        <v>171</v>
      </c>
      <c r="F282" s="93"/>
      <c r="G282" s="108"/>
      <c r="H282" s="93"/>
      <c r="I282" s="29">
        <f>SUM(I283:I304)</f>
        <v>20667183</v>
      </c>
      <c r="J282" s="29">
        <f>SUM(J283:J304)</f>
        <v>-103154</v>
      </c>
      <c r="K282" s="142">
        <f>SUM(K283:K304)</f>
        <v>20564029</v>
      </c>
      <c r="L282" s="152"/>
    </row>
    <row r="283" spans="1:12" s="14" customFormat="1" ht="127.5" customHeight="1">
      <c r="A283" s="91"/>
      <c r="B283" s="91"/>
      <c r="C283" s="91"/>
      <c r="D283" s="91"/>
      <c r="E283" s="32" t="s">
        <v>330</v>
      </c>
      <c r="F283" s="93"/>
      <c r="G283" s="108"/>
      <c r="H283" s="93"/>
      <c r="I283" s="30">
        <v>8500</v>
      </c>
      <c r="J283" s="30"/>
      <c r="K283" s="135">
        <f aca="true" t="shared" si="10" ref="K283:K304">J283+I283</f>
        <v>8500</v>
      </c>
      <c r="L283" s="152"/>
    </row>
    <row r="284" spans="1:12" s="14" customFormat="1" ht="77.25" customHeight="1">
      <c r="A284" s="91"/>
      <c r="B284" s="91"/>
      <c r="C284" s="91"/>
      <c r="D284" s="91"/>
      <c r="E284" s="32" t="s">
        <v>339</v>
      </c>
      <c r="F284" s="93">
        <v>295277</v>
      </c>
      <c r="G284" s="94">
        <v>96.3</v>
      </c>
      <c r="H284" s="93">
        <v>284370</v>
      </c>
      <c r="I284" s="30">
        <v>283000</v>
      </c>
      <c r="J284" s="30"/>
      <c r="K284" s="135">
        <f t="shared" si="10"/>
        <v>283000</v>
      </c>
      <c r="L284" s="152"/>
    </row>
    <row r="285" spans="1:12" s="14" customFormat="1" ht="48" customHeight="1">
      <c r="A285" s="91"/>
      <c r="B285" s="91"/>
      <c r="C285" s="91"/>
      <c r="D285" s="91"/>
      <c r="E285" s="32" t="s">
        <v>189</v>
      </c>
      <c r="F285" s="93">
        <v>2393868</v>
      </c>
      <c r="G285" s="94">
        <v>96.7</v>
      </c>
      <c r="H285" s="93">
        <v>2315521</v>
      </c>
      <c r="I285" s="26">
        <f>100000+1000</f>
        <v>101000</v>
      </c>
      <c r="J285" s="26"/>
      <c r="K285" s="135">
        <f t="shared" si="10"/>
        <v>101000</v>
      </c>
      <c r="L285" s="152"/>
    </row>
    <row r="286" spans="1:12" s="14" customFormat="1" ht="67.5" customHeight="1">
      <c r="A286" s="91"/>
      <c r="B286" s="91"/>
      <c r="C286" s="91"/>
      <c r="D286" s="91"/>
      <c r="E286" s="54" t="s">
        <v>262</v>
      </c>
      <c r="F286" s="93">
        <v>510218</v>
      </c>
      <c r="G286" s="94">
        <v>47.9</v>
      </c>
      <c r="H286" s="93">
        <v>244626</v>
      </c>
      <c r="I286" s="26">
        <f>240000-17400</f>
        <v>222600</v>
      </c>
      <c r="J286" s="26"/>
      <c r="K286" s="135">
        <f t="shared" si="10"/>
        <v>222600</v>
      </c>
      <c r="L286" s="152"/>
    </row>
    <row r="287" spans="1:12" s="14" customFormat="1" ht="48" customHeight="1">
      <c r="A287" s="91"/>
      <c r="B287" s="91"/>
      <c r="C287" s="91"/>
      <c r="D287" s="91"/>
      <c r="E287" s="54" t="s">
        <v>373</v>
      </c>
      <c r="F287" s="93"/>
      <c r="G287" s="94"/>
      <c r="H287" s="93"/>
      <c r="I287" s="26">
        <f>500000+300000</f>
        <v>800000</v>
      </c>
      <c r="J287" s="26"/>
      <c r="K287" s="135">
        <f t="shared" si="10"/>
        <v>800000</v>
      </c>
      <c r="L287" s="152"/>
    </row>
    <row r="288" spans="1:12" s="14" customFormat="1" ht="48" customHeight="1">
      <c r="A288" s="91"/>
      <c r="B288" s="91"/>
      <c r="C288" s="91"/>
      <c r="D288" s="91"/>
      <c r="E288" s="54" t="s">
        <v>371</v>
      </c>
      <c r="F288" s="93">
        <v>895663</v>
      </c>
      <c r="G288" s="94">
        <v>46</v>
      </c>
      <c r="H288" s="93">
        <v>411750</v>
      </c>
      <c r="I288" s="26">
        <f>291000-8936</f>
        <v>282064</v>
      </c>
      <c r="J288" s="26"/>
      <c r="K288" s="135">
        <f t="shared" si="10"/>
        <v>282064</v>
      </c>
      <c r="L288" s="152">
        <v>45</v>
      </c>
    </row>
    <row r="289" spans="1:12" s="14" customFormat="1" ht="48" customHeight="1">
      <c r="A289" s="91"/>
      <c r="B289" s="91"/>
      <c r="C289" s="91"/>
      <c r="D289" s="91"/>
      <c r="E289" s="54" t="s">
        <v>372</v>
      </c>
      <c r="F289" s="93"/>
      <c r="G289" s="94"/>
      <c r="H289" s="93"/>
      <c r="I289" s="26">
        <v>400000</v>
      </c>
      <c r="J289" s="26"/>
      <c r="K289" s="135">
        <f t="shared" si="10"/>
        <v>400000</v>
      </c>
      <c r="L289" s="152"/>
    </row>
    <row r="290" spans="1:149" s="1" customFormat="1" ht="60" customHeight="1">
      <c r="A290" s="91"/>
      <c r="B290" s="91"/>
      <c r="C290" s="91"/>
      <c r="D290" s="91"/>
      <c r="E290" s="54" t="s">
        <v>286</v>
      </c>
      <c r="F290" s="93"/>
      <c r="G290" s="94"/>
      <c r="H290" s="93"/>
      <c r="I290" s="26">
        <v>100000</v>
      </c>
      <c r="J290" s="26"/>
      <c r="K290" s="135">
        <f t="shared" si="10"/>
        <v>100000</v>
      </c>
      <c r="L290" s="152"/>
      <c r="M290" s="14"/>
      <c r="N290" s="14"/>
      <c r="O290" s="14"/>
      <c r="P290" s="14"/>
      <c r="Q290" s="14"/>
      <c r="R290" s="14"/>
      <c r="S290" s="14"/>
      <c r="T290" s="14"/>
      <c r="U290" s="14"/>
      <c r="V290" s="14"/>
      <c r="W290" s="14"/>
      <c r="X290" s="14"/>
      <c r="Y290" s="14"/>
      <c r="Z290" s="14"/>
      <c r="AA290" s="14"/>
      <c r="AB290" s="14"/>
      <c r="AC290" s="14"/>
      <c r="AD290" s="14"/>
      <c r="AE290" s="14"/>
      <c r="AF290" s="14"/>
      <c r="AG290" s="14"/>
      <c r="AH290" s="14"/>
      <c r="AI290" s="14"/>
      <c r="AJ290" s="14"/>
      <c r="AK290" s="14"/>
      <c r="AL290" s="14"/>
      <c r="AM290" s="14"/>
      <c r="AN290" s="14"/>
      <c r="AO290" s="14"/>
      <c r="AP290" s="14"/>
      <c r="AQ290" s="14"/>
      <c r="AR290" s="14"/>
      <c r="AS290" s="14"/>
      <c r="AT290" s="14"/>
      <c r="AU290" s="14"/>
      <c r="AV290" s="14"/>
      <c r="AW290" s="14"/>
      <c r="AX290" s="14"/>
      <c r="AY290" s="14"/>
      <c r="AZ290" s="14"/>
      <c r="BA290" s="14"/>
      <c r="BB290" s="14"/>
      <c r="BC290" s="14"/>
      <c r="BD290" s="14"/>
      <c r="BE290" s="14"/>
      <c r="BF290" s="14"/>
      <c r="BG290" s="14"/>
      <c r="BH290" s="14"/>
      <c r="BI290" s="14"/>
      <c r="BJ290" s="14"/>
      <c r="BK290" s="14"/>
      <c r="BL290" s="14"/>
      <c r="BM290" s="14"/>
      <c r="BN290" s="14"/>
      <c r="BO290" s="14"/>
      <c r="BP290" s="14"/>
      <c r="BQ290" s="14"/>
      <c r="BR290" s="14"/>
      <c r="BS290" s="14"/>
      <c r="BT290" s="14"/>
      <c r="BU290" s="14"/>
      <c r="BV290" s="14"/>
      <c r="BW290" s="14"/>
      <c r="BX290" s="14"/>
      <c r="BY290" s="14"/>
      <c r="BZ290" s="14"/>
      <c r="CA290" s="14"/>
      <c r="CB290" s="14"/>
      <c r="CC290" s="14"/>
      <c r="CD290" s="14"/>
      <c r="CE290" s="14"/>
      <c r="CF290" s="14"/>
      <c r="CG290" s="14"/>
      <c r="CH290" s="14"/>
      <c r="CI290" s="14"/>
      <c r="CJ290" s="14"/>
      <c r="CK290" s="14"/>
      <c r="CL290" s="14"/>
      <c r="CM290" s="14"/>
      <c r="CN290" s="14"/>
      <c r="CO290" s="14"/>
      <c r="CP290" s="14"/>
      <c r="CQ290" s="14"/>
      <c r="CR290" s="14"/>
      <c r="CS290" s="14"/>
      <c r="CT290" s="14"/>
      <c r="CU290" s="14"/>
      <c r="CV290" s="14"/>
      <c r="CW290" s="14"/>
      <c r="CX290" s="14"/>
      <c r="CY290" s="14"/>
      <c r="CZ290" s="14"/>
      <c r="DA290" s="14"/>
      <c r="DB290" s="14"/>
      <c r="DC290" s="14"/>
      <c r="DD290" s="14"/>
      <c r="DE290" s="14"/>
      <c r="DF290" s="14"/>
      <c r="DG290" s="14"/>
      <c r="DH290" s="14"/>
      <c r="DI290" s="14"/>
      <c r="DJ290" s="14"/>
      <c r="DK290" s="14"/>
      <c r="DL290" s="14"/>
      <c r="DM290" s="14"/>
      <c r="DN290" s="14"/>
      <c r="DO290" s="14"/>
      <c r="DP290" s="14"/>
      <c r="DQ290" s="14"/>
      <c r="DR290" s="14"/>
      <c r="DS290" s="14"/>
      <c r="DT290" s="14"/>
      <c r="DU290" s="14"/>
      <c r="DV290" s="14"/>
      <c r="DW290" s="14"/>
      <c r="DX290" s="14"/>
      <c r="DY290" s="14"/>
      <c r="DZ290" s="14"/>
      <c r="EA290" s="14"/>
      <c r="EB290" s="14"/>
      <c r="EC290" s="14"/>
      <c r="ED290" s="14"/>
      <c r="EE290" s="14"/>
      <c r="EF290" s="14"/>
      <c r="EG290" s="14"/>
      <c r="EH290" s="14"/>
      <c r="EI290" s="14"/>
      <c r="EJ290" s="14"/>
      <c r="EK290" s="14"/>
      <c r="EL290" s="14"/>
      <c r="EM290" s="14"/>
      <c r="EN290" s="14"/>
      <c r="EO290" s="14"/>
      <c r="EP290" s="14"/>
      <c r="EQ290" s="14"/>
      <c r="ER290" s="14"/>
      <c r="ES290" s="14"/>
    </row>
    <row r="291" spans="1:149" s="1" customFormat="1" ht="60" customHeight="1">
      <c r="A291" s="91"/>
      <c r="B291" s="91"/>
      <c r="C291" s="91"/>
      <c r="D291" s="91"/>
      <c r="E291" s="54" t="s">
        <v>401</v>
      </c>
      <c r="F291" s="93">
        <v>297296</v>
      </c>
      <c r="G291" s="94">
        <v>100</v>
      </c>
      <c r="H291" s="93">
        <v>297296</v>
      </c>
      <c r="I291" s="26">
        <v>291000</v>
      </c>
      <c r="J291" s="26"/>
      <c r="K291" s="135">
        <f t="shared" si="10"/>
        <v>291000</v>
      </c>
      <c r="L291" s="152"/>
      <c r="M291" s="14"/>
      <c r="N291" s="14"/>
      <c r="O291" s="14"/>
      <c r="P291" s="14"/>
      <c r="Q291" s="14"/>
      <c r="R291" s="14"/>
      <c r="S291" s="14"/>
      <c r="T291" s="14"/>
      <c r="U291" s="14"/>
      <c r="V291" s="14"/>
      <c r="W291" s="14"/>
      <c r="X291" s="14"/>
      <c r="Y291" s="14"/>
      <c r="Z291" s="14"/>
      <c r="AA291" s="14"/>
      <c r="AB291" s="14"/>
      <c r="AC291" s="14"/>
      <c r="AD291" s="14"/>
      <c r="AE291" s="14"/>
      <c r="AF291" s="14"/>
      <c r="AG291" s="14"/>
      <c r="AH291" s="14"/>
      <c r="AI291" s="14"/>
      <c r="AJ291" s="14"/>
      <c r="AK291" s="14"/>
      <c r="AL291" s="14"/>
      <c r="AM291" s="14"/>
      <c r="AN291" s="14"/>
      <c r="AO291" s="14"/>
      <c r="AP291" s="14"/>
      <c r="AQ291" s="14"/>
      <c r="AR291" s="14"/>
      <c r="AS291" s="14"/>
      <c r="AT291" s="14"/>
      <c r="AU291" s="14"/>
      <c r="AV291" s="14"/>
      <c r="AW291" s="14"/>
      <c r="AX291" s="14"/>
      <c r="AY291" s="14"/>
      <c r="AZ291" s="14"/>
      <c r="BA291" s="14"/>
      <c r="BB291" s="14"/>
      <c r="BC291" s="14"/>
      <c r="BD291" s="14"/>
      <c r="BE291" s="14"/>
      <c r="BF291" s="14"/>
      <c r="BG291" s="14"/>
      <c r="BH291" s="14"/>
      <c r="BI291" s="14"/>
      <c r="BJ291" s="14"/>
      <c r="BK291" s="14"/>
      <c r="BL291" s="14"/>
      <c r="BM291" s="14"/>
      <c r="BN291" s="14"/>
      <c r="BO291" s="14"/>
      <c r="BP291" s="14"/>
      <c r="BQ291" s="14"/>
      <c r="BR291" s="14"/>
      <c r="BS291" s="14"/>
      <c r="BT291" s="14"/>
      <c r="BU291" s="14"/>
      <c r="BV291" s="14"/>
      <c r="BW291" s="14"/>
      <c r="BX291" s="14"/>
      <c r="BY291" s="14"/>
      <c r="BZ291" s="14"/>
      <c r="CA291" s="14"/>
      <c r="CB291" s="14"/>
      <c r="CC291" s="14"/>
      <c r="CD291" s="14"/>
      <c r="CE291" s="14"/>
      <c r="CF291" s="14"/>
      <c r="CG291" s="14"/>
      <c r="CH291" s="14"/>
      <c r="CI291" s="14"/>
      <c r="CJ291" s="14"/>
      <c r="CK291" s="14"/>
      <c r="CL291" s="14"/>
      <c r="CM291" s="14"/>
      <c r="CN291" s="14"/>
      <c r="CO291" s="14"/>
      <c r="CP291" s="14"/>
      <c r="CQ291" s="14"/>
      <c r="CR291" s="14"/>
      <c r="CS291" s="14"/>
      <c r="CT291" s="14"/>
      <c r="CU291" s="14"/>
      <c r="CV291" s="14"/>
      <c r="CW291" s="14"/>
      <c r="CX291" s="14"/>
      <c r="CY291" s="14"/>
      <c r="CZ291" s="14"/>
      <c r="DA291" s="14"/>
      <c r="DB291" s="14"/>
      <c r="DC291" s="14"/>
      <c r="DD291" s="14"/>
      <c r="DE291" s="14"/>
      <c r="DF291" s="14"/>
      <c r="DG291" s="14"/>
      <c r="DH291" s="14"/>
      <c r="DI291" s="14"/>
      <c r="DJ291" s="14"/>
      <c r="DK291" s="14"/>
      <c r="DL291" s="14"/>
      <c r="DM291" s="14"/>
      <c r="DN291" s="14"/>
      <c r="DO291" s="14"/>
      <c r="DP291" s="14"/>
      <c r="DQ291" s="14"/>
      <c r="DR291" s="14"/>
      <c r="DS291" s="14"/>
      <c r="DT291" s="14"/>
      <c r="DU291" s="14"/>
      <c r="DV291" s="14"/>
      <c r="DW291" s="14"/>
      <c r="DX291" s="14"/>
      <c r="DY291" s="14"/>
      <c r="DZ291" s="14"/>
      <c r="EA291" s="14"/>
      <c r="EB291" s="14"/>
      <c r="EC291" s="14"/>
      <c r="ED291" s="14"/>
      <c r="EE291" s="14"/>
      <c r="EF291" s="14"/>
      <c r="EG291" s="14"/>
      <c r="EH291" s="14"/>
      <c r="EI291" s="14"/>
      <c r="EJ291" s="14"/>
      <c r="EK291" s="14"/>
      <c r="EL291" s="14"/>
      <c r="EM291" s="14"/>
      <c r="EN291" s="14"/>
      <c r="EO291" s="14"/>
      <c r="EP291" s="14"/>
      <c r="EQ291" s="14"/>
      <c r="ER291" s="14"/>
      <c r="ES291" s="14"/>
    </row>
    <row r="292" spans="1:12" s="14" customFormat="1" ht="72" customHeight="1">
      <c r="A292" s="91"/>
      <c r="B292" s="91"/>
      <c r="C292" s="91"/>
      <c r="D292" s="91"/>
      <c r="E292" s="32" t="s">
        <v>208</v>
      </c>
      <c r="F292" s="93">
        <v>7995986</v>
      </c>
      <c r="G292" s="94">
        <v>72.8</v>
      </c>
      <c r="H292" s="93">
        <v>5825073</v>
      </c>
      <c r="I292" s="26">
        <f>500000+2000000</f>
        <v>2500000</v>
      </c>
      <c r="J292" s="26"/>
      <c r="K292" s="135">
        <f t="shared" si="10"/>
        <v>2500000</v>
      </c>
      <c r="L292" s="152"/>
    </row>
    <row r="293" spans="1:12" s="14" customFormat="1" ht="39.75" customHeight="1">
      <c r="A293" s="91"/>
      <c r="B293" s="91"/>
      <c r="C293" s="91"/>
      <c r="D293" s="91"/>
      <c r="E293" s="54" t="s">
        <v>209</v>
      </c>
      <c r="F293" s="93">
        <v>5617491</v>
      </c>
      <c r="G293" s="94">
        <v>70.6</v>
      </c>
      <c r="H293" s="93">
        <v>3967874</v>
      </c>
      <c r="I293" s="26">
        <v>3000000</v>
      </c>
      <c r="J293" s="26"/>
      <c r="K293" s="135">
        <f t="shared" si="10"/>
        <v>3000000</v>
      </c>
      <c r="L293" s="152"/>
    </row>
    <row r="294" spans="1:12" s="14" customFormat="1" ht="43.5" customHeight="1">
      <c r="A294" s="91"/>
      <c r="B294" s="91"/>
      <c r="C294" s="91"/>
      <c r="D294" s="91"/>
      <c r="E294" s="54" t="s">
        <v>190</v>
      </c>
      <c r="F294" s="93">
        <v>9995386</v>
      </c>
      <c r="G294" s="94">
        <v>20.8</v>
      </c>
      <c r="H294" s="93">
        <v>2081885</v>
      </c>
      <c r="I294" s="26">
        <f>500000-450000-3981</f>
        <v>46019</v>
      </c>
      <c r="J294" s="26"/>
      <c r="K294" s="135">
        <f t="shared" si="10"/>
        <v>46019</v>
      </c>
      <c r="L294" s="152"/>
    </row>
    <row r="295" spans="1:12" s="14" customFormat="1" ht="43.5" customHeight="1">
      <c r="A295" s="91"/>
      <c r="B295" s="91"/>
      <c r="C295" s="91"/>
      <c r="D295" s="91"/>
      <c r="E295" s="54" t="s">
        <v>377</v>
      </c>
      <c r="F295" s="93"/>
      <c r="G295" s="94"/>
      <c r="H295" s="93"/>
      <c r="I295" s="26">
        <v>100000</v>
      </c>
      <c r="J295" s="26"/>
      <c r="K295" s="135">
        <f t="shared" si="10"/>
        <v>100000</v>
      </c>
      <c r="L295" s="152"/>
    </row>
    <row r="296" spans="1:12" s="14" customFormat="1" ht="43.5" customHeight="1">
      <c r="A296" s="91"/>
      <c r="B296" s="91"/>
      <c r="C296" s="91"/>
      <c r="D296" s="91"/>
      <c r="E296" s="54" t="s">
        <v>191</v>
      </c>
      <c r="F296" s="93">
        <v>31834622</v>
      </c>
      <c r="G296" s="94">
        <v>49.9</v>
      </c>
      <c r="H296" s="93">
        <v>15899749</v>
      </c>
      <c r="I296" s="26">
        <v>7000000</v>
      </c>
      <c r="J296" s="26"/>
      <c r="K296" s="135">
        <f t="shared" si="10"/>
        <v>7000000</v>
      </c>
      <c r="L296" s="152"/>
    </row>
    <row r="297" spans="1:12" s="14" customFormat="1" ht="43.5" customHeight="1">
      <c r="A297" s="91"/>
      <c r="B297" s="91"/>
      <c r="C297" s="91"/>
      <c r="D297" s="91"/>
      <c r="E297" s="32" t="s">
        <v>192</v>
      </c>
      <c r="F297" s="93">
        <v>14670250</v>
      </c>
      <c r="G297" s="94">
        <v>48.7</v>
      </c>
      <c r="H297" s="93">
        <v>7146429</v>
      </c>
      <c r="I297" s="26">
        <v>250000</v>
      </c>
      <c r="J297" s="26">
        <v>-103154</v>
      </c>
      <c r="K297" s="135">
        <f t="shared" si="10"/>
        <v>146846</v>
      </c>
      <c r="L297" s="152"/>
    </row>
    <row r="298" spans="1:12" s="14" customFormat="1" ht="66" customHeight="1">
      <c r="A298" s="91"/>
      <c r="B298" s="91"/>
      <c r="C298" s="91"/>
      <c r="D298" s="91"/>
      <c r="E298" s="54" t="s">
        <v>352</v>
      </c>
      <c r="F298" s="93">
        <v>1581853</v>
      </c>
      <c r="G298" s="94">
        <v>46.8</v>
      </c>
      <c r="H298" s="93">
        <v>739746</v>
      </c>
      <c r="I298" s="26">
        <v>500000</v>
      </c>
      <c r="J298" s="26"/>
      <c r="K298" s="135">
        <f t="shared" si="10"/>
        <v>500000</v>
      </c>
      <c r="L298" s="152"/>
    </row>
    <row r="299" spans="1:12" s="14" customFormat="1" ht="78" customHeight="1">
      <c r="A299" s="91"/>
      <c r="B299" s="91"/>
      <c r="C299" s="91"/>
      <c r="D299" s="91"/>
      <c r="E299" s="54" t="s">
        <v>353</v>
      </c>
      <c r="F299" s="93">
        <v>859327</v>
      </c>
      <c r="G299" s="94">
        <v>99.2</v>
      </c>
      <c r="H299" s="93">
        <v>852592</v>
      </c>
      <c r="I299" s="26">
        <v>500000</v>
      </c>
      <c r="J299" s="26"/>
      <c r="K299" s="135">
        <f t="shared" si="10"/>
        <v>500000</v>
      </c>
      <c r="L299" s="152"/>
    </row>
    <row r="300" spans="1:12" s="14" customFormat="1" ht="66" customHeight="1">
      <c r="A300" s="91"/>
      <c r="B300" s="91"/>
      <c r="C300" s="91"/>
      <c r="D300" s="91"/>
      <c r="E300" s="54" t="s">
        <v>193</v>
      </c>
      <c r="F300" s="93">
        <v>1527220</v>
      </c>
      <c r="G300" s="94">
        <v>100</v>
      </c>
      <c r="H300" s="93">
        <v>1527220</v>
      </c>
      <c r="I300" s="26">
        <f>1500000-200000</f>
        <v>1300000</v>
      </c>
      <c r="J300" s="26"/>
      <c r="K300" s="135">
        <f t="shared" si="10"/>
        <v>1300000</v>
      </c>
      <c r="L300" s="152"/>
    </row>
    <row r="301" spans="1:12" s="14" customFormat="1" ht="66" customHeight="1">
      <c r="A301" s="91"/>
      <c r="B301" s="91"/>
      <c r="C301" s="91"/>
      <c r="D301" s="91"/>
      <c r="E301" s="54" t="s">
        <v>468</v>
      </c>
      <c r="F301" s="93"/>
      <c r="G301" s="94"/>
      <c r="H301" s="93"/>
      <c r="I301" s="26">
        <v>100000</v>
      </c>
      <c r="J301" s="26"/>
      <c r="K301" s="135">
        <f>J301+I301</f>
        <v>100000</v>
      </c>
      <c r="L301" s="152"/>
    </row>
    <row r="302" spans="1:12" s="14" customFormat="1" ht="66.75" customHeight="1">
      <c r="A302" s="91"/>
      <c r="B302" s="91"/>
      <c r="C302" s="91"/>
      <c r="D302" s="91"/>
      <c r="E302" s="54" t="s">
        <v>194</v>
      </c>
      <c r="F302" s="93">
        <v>2552113</v>
      </c>
      <c r="G302" s="94">
        <v>98.8</v>
      </c>
      <c r="H302" s="93">
        <v>2521600</v>
      </c>
      <c r="I302" s="26">
        <f>200000-150000</f>
        <v>50000</v>
      </c>
      <c r="J302" s="26"/>
      <c r="K302" s="135">
        <f t="shared" si="10"/>
        <v>50000</v>
      </c>
      <c r="L302" s="152"/>
    </row>
    <row r="303" spans="1:12" s="14" customFormat="1" ht="61.5" customHeight="1">
      <c r="A303" s="91"/>
      <c r="B303" s="91"/>
      <c r="C303" s="91"/>
      <c r="D303" s="91"/>
      <c r="E303" s="54" t="s">
        <v>195</v>
      </c>
      <c r="F303" s="93">
        <v>1435545</v>
      </c>
      <c r="G303" s="94">
        <v>100</v>
      </c>
      <c r="H303" s="93">
        <v>1435545</v>
      </c>
      <c r="I303" s="26">
        <f>1500000-200000</f>
        <v>1300000</v>
      </c>
      <c r="J303" s="26"/>
      <c r="K303" s="135">
        <f t="shared" si="10"/>
        <v>1300000</v>
      </c>
      <c r="L303" s="152"/>
    </row>
    <row r="304" spans="1:149" s="1" customFormat="1" ht="69" customHeight="1">
      <c r="A304" s="91"/>
      <c r="B304" s="91"/>
      <c r="C304" s="91"/>
      <c r="D304" s="91"/>
      <c r="E304" s="54" t="s">
        <v>196</v>
      </c>
      <c r="F304" s="93">
        <v>1543577</v>
      </c>
      <c r="G304" s="94">
        <v>98.2</v>
      </c>
      <c r="H304" s="93">
        <v>1516441</v>
      </c>
      <c r="I304" s="26">
        <f>1500000+33000</f>
        <v>1533000</v>
      </c>
      <c r="J304" s="26"/>
      <c r="K304" s="135">
        <f t="shared" si="10"/>
        <v>1533000</v>
      </c>
      <c r="L304" s="152">
        <v>46</v>
      </c>
      <c r="M304" s="14"/>
      <c r="N304" s="14"/>
      <c r="O304" s="14"/>
      <c r="P304" s="14"/>
      <c r="Q304" s="14"/>
      <c r="R304" s="14"/>
      <c r="S304" s="14"/>
      <c r="T304" s="14"/>
      <c r="U304" s="14"/>
      <c r="V304" s="14"/>
      <c r="W304" s="14"/>
      <c r="X304" s="14"/>
      <c r="Y304" s="14"/>
      <c r="Z304" s="14"/>
      <c r="AA304" s="14"/>
      <c r="AB304" s="14"/>
      <c r="AC304" s="14"/>
      <c r="AD304" s="14"/>
      <c r="AE304" s="14"/>
      <c r="AF304" s="14"/>
      <c r="AG304" s="14"/>
      <c r="AH304" s="14"/>
      <c r="AI304" s="14"/>
      <c r="AJ304" s="14"/>
      <c r="AK304" s="14"/>
      <c r="AL304" s="14"/>
      <c r="AM304" s="14"/>
      <c r="AN304" s="14"/>
      <c r="AO304" s="14"/>
      <c r="AP304" s="14"/>
      <c r="AQ304" s="14"/>
      <c r="AR304" s="14"/>
      <c r="AS304" s="14"/>
      <c r="AT304" s="14"/>
      <c r="AU304" s="14"/>
      <c r="AV304" s="14"/>
      <c r="AW304" s="14"/>
      <c r="AX304" s="14"/>
      <c r="AY304" s="14"/>
      <c r="AZ304" s="14"/>
      <c r="BA304" s="14"/>
      <c r="BB304" s="14"/>
      <c r="BC304" s="14"/>
      <c r="BD304" s="14"/>
      <c r="BE304" s="14"/>
      <c r="BF304" s="14"/>
      <c r="BG304" s="14"/>
      <c r="BH304" s="14"/>
      <c r="BI304" s="14"/>
      <c r="BJ304" s="14"/>
      <c r="BK304" s="14"/>
      <c r="BL304" s="14"/>
      <c r="BM304" s="14"/>
      <c r="BN304" s="14"/>
      <c r="BO304" s="14"/>
      <c r="BP304" s="14"/>
      <c r="BQ304" s="14"/>
      <c r="BR304" s="14"/>
      <c r="BS304" s="14"/>
      <c r="BT304" s="14"/>
      <c r="BU304" s="14"/>
      <c r="BV304" s="14"/>
      <c r="BW304" s="14"/>
      <c r="BX304" s="14"/>
      <c r="BY304" s="14"/>
      <c r="BZ304" s="14"/>
      <c r="CA304" s="14"/>
      <c r="CB304" s="14"/>
      <c r="CC304" s="14"/>
      <c r="CD304" s="14"/>
      <c r="CE304" s="14"/>
      <c r="CF304" s="14"/>
      <c r="CG304" s="14"/>
      <c r="CH304" s="14"/>
      <c r="CI304" s="14"/>
      <c r="CJ304" s="14"/>
      <c r="CK304" s="14"/>
      <c r="CL304" s="14"/>
      <c r="CM304" s="14"/>
      <c r="CN304" s="14"/>
      <c r="CO304" s="14"/>
      <c r="CP304" s="14"/>
      <c r="CQ304" s="14"/>
      <c r="CR304" s="14"/>
      <c r="CS304" s="14"/>
      <c r="CT304" s="14"/>
      <c r="CU304" s="14"/>
      <c r="CV304" s="14"/>
      <c r="CW304" s="14"/>
      <c r="CX304" s="14"/>
      <c r="CY304" s="14"/>
      <c r="CZ304" s="14"/>
      <c r="DA304" s="14"/>
      <c r="DB304" s="14"/>
      <c r="DC304" s="14"/>
      <c r="DD304" s="14"/>
      <c r="DE304" s="14"/>
      <c r="DF304" s="14"/>
      <c r="DG304" s="14"/>
      <c r="DH304" s="14"/>
      <c r="DI304" s="14"/>
      <c r="DJ304" s="14"/>
      <c r="DK304" s="14"/>
      <c r="DL304" s="14"/>
      <c r="DM304" s="14"/>
      <c r="DN304" s="14"/>
      <c r="DO304" s="14"/>
      <c r="DP304" s="14"/>
      <c r="DQ304" s="14"/>
      <c r="DR304" s="14"/>
      <c r="DS304" s="14"/>
      <c r="DT304" s="14"/>
      <c r="DU304" s="14"/>
      <c r="DV304" s="14"/>
      <c r="DW304" s="14"/>
      <c r="DX304" s="14"/>
      <c r="DY304" s="14"/>
      <c r="DZ304" s="14"/>
      <c r="EA304" s="14"/>
      <c r="EB304" s="14"/>
      <c r="EC304" s="14"/>
      <c r="ED304" s="14"/>
      <c r="EE304" s="14"/>
      <c r="EF304" s="14"/>
      <c r="EG304" s="14"/>
      <c r="EH304" s="14"/>
      <c r="EI304" s="14"/>
      <c r="EJ304" s="14"/>
      <c r="EK304" s="14"/>
      <c r="EL304" s="14"/>
      <c r="EM304" s="14"/>
      <c r="EN304" s="14"/>
      <c r="EO304" s="14"/>
      <c r="EP304" s="14"/>
      <c r="EQ304" s="14"/>
      <c r="ER304" s="14"/>
      <c r="ES304" s="14"/>
    </row>
    <row r="305" spans="1:149" s="1" customFormat="1" ht="64.5" customHeight="1">
      <c r="A305" s="46" t="s">
        <v>260</v>
      </c>
      <c r="B305" s="46" t="s">
        <v>80</v>
      </c>
      <c r="C305" s="46" t="s">
        <v>57</v>
      </c>
      <c r="D305" s="54" t="s">
        <v>1</v>
      </c>
      <c r="E305" s="54"/>
      <c r="F305" s="93"/>
      <c r="G305" s="94"/>
      <c r="H305" s="93"/>
      <c r="I305" s="24">
        <v>2200000</v>
      </c>
      <c r="J305" s="24"/>
      <c r="K305" s="133">
        <f>K306+K307</f>
        <v>2200000</v>
      </c>
      <c r="L305" s="152"/>
      <c r="M305" s="14"/>
      <c r="N305" s="14"/>
      <c r="O305" s="14"/>
      <c r="P305" s="14"/>
      <c r="Q305" s="14"/>
      <c r="R305" s="14"/>
      <c r="S305" s="14"/>
      <c r="T305" s="14"/>
      <c r="U305" s="14"/>
      <c r="V305" s="14"/>
      <c r="W305" s="14"/>
      <c r="X305" s="14"/>
      <c r="Y305" s="14"/>
      <c r="Z305" s="14"/>
      <c r="AA305" s="14"/>
      <c r="AB305" s="14"/>
      <c r="AC305" s="14"/>
      <c r="AD305" s="14"/>
      <c r="AE305" s="14"/>
      <c r="AF305" s="14"/>
      <c r="AG305" s="14"/>
      <c r="AH305" s="14"/>
      <c r="AI305" s="14"/>
      <c r="AJ305" s="14"/>
      <c r="AK305" s="14"/>
      <c r="AL305" s="14"/>
      <c r="AM305" s="14"/>
      <c r="AN305" s="14"/>
      <c r="AO305" s="14"/>
      <c r="AP305" s="14"/>
      <c r="AQ305" s="14"/>
      <c r="AR305" s="14"/>
      <c r="AS305" s="14"/>
      <c r="AT305" s="14"/>
      <c r="AU305" s="14"/>
      <c r="AV305" s="14"/>
      <c r="AW305" s="14"/>
      <c r="AX305" s="14"/>
      <c r="AY305" s="14"/>
      <c r="AZ305" s="14"/>
      <c r="BA305" s="14"/>
      <c r="BB305" s="14"/>
      <c r="BC305" s="14"/>
      <c r="BD305" s="14"/>
      <c r="BE305" s="14"/>
      <c r="BF305" s="14"/>
      <c r="BG305" s="14"/>
      <c r="BH305" s="14"/>
      <c r="BI305" s="14"/>
      <c r="BJ305" s="14"/>
      <c r="BK305" s="14"/>
      <c r="BL305" s="14"/>
      <c r="BM305" s="14"/>
      <c r="BN305" s="14"/>
      <c r="BO305" s="14"/>
      <c r="BP305" s="14"/>
      <c r="BQ305" s="14"/>
      <c r="BR305" s="14"/>
      <c r="BS305" s="14"/>
      <c r="BT305" s="14"/>
      <c r="BU305" s="14"/>
      <c r="BV305" s="14"/>
      <c r="BW305" s="14"/>
      <c r="BX305" s="14"/>
      <c r="BY305" s="14"/>
      <c r="BZ305" s="14"/>
      <c r="CA305" s="14"/>
      <c r="CB305" s="14"/>
      <c r="CC305" s="14"/>
      <c r="CD305" s="14"/>
      <c r="CE305" s="14"/>
      <c r="CF305" s="14"/>
      <c r="CG305" s="14"/>
      <c r="CH305" s="14"/>
      <c r="CI305" s="14"/>
      <c r="CJ305" s="14"/>
      <c r="CK305" s="14"/>
      <c r="CL305" s="14"/>
      <c r="CM305" s="14"/>
      <c r="CN305" s="14"/>
      <c r="CO305" s="14"/>
      <c r="CP305" s="14"/>
      <c r="CQ305" s="14"/>
      <c r="CR305" s="14"/>
      <c r="CS305" s="14"/>
      <c r="CT305" s="14"/>
      <c r="CU305" s="14"/>
      <c r="CV305" s="14"/>
      <c r="CW305" s="14"/>
      <c r="CX305" s="14"/>
      <c r="CY305" s="14"/>
      <c r="CZ305" s="14"/>
      <c r="DA305" s="14"/>
      <c r="DB305" s="14"/>
      <c r="DC305" s="14"/>
      <c r="DD305" s="14"/>
      <c r="DE305" s="14"/>
      <c r="DF305" s="14"/>
      <c r="DG305" s="14"/>
      <c r="DH305" s="14"/>
      <c r="DI305" s="14"/>
      <c r="DJ305" s="14"/>
      <c r="DK305" s="14"/>
      <c r="DL305" s="14"/>
      <c r="DM305" s="14"/>
      <c r="DN305" s="14"/>
      <c r="DO305" s="14"/>
      <c r="DP305" s="14"/>
      <c r="DQ305" s="14"/>
      <c r="DR305" s="14"/>
      <c r="DS305" s="14"/>
      <c r="DT305" s="14"/>
      <c r="DU305" s="14"/>
      <c r="DV305" s="14"/>
      <c r="DW305" s="14"/>
      <c r="DX305" s="14"/>
      <c r="DY305" s="14"/>
      <c r="DZ305" s="14"/>
      <c r="EA305" s="14"/>
      <c r="EB305" s="14"/>
      <c r="EC305" s="14"/>
      <c r="ED305" s="14"/>
      <c r="EE305" s="14"/>
      <c r="EF305" s="14"/>
      <c r="EG305" s="14"/>
      <c r="EH305" s="14"/>
      <c r="EI305" s="14"/>
      <c r="EJ305" s="14"/>
      <c r="EK305" s="14"/>
      <c r="EL305" s="14"/>
      <c r="EM305" s="14"/>
      <c r="EN305" s="14"/>
      <c r="EO305" s="14"/>
      <c r="EP305" s="14"/>
      <c r="EQ305" s="14"/>
      <c r="ER305" s="14"/>
      <c r="ES305" s="14"/>
    </row>
    <row r="306" spans="1:149" s="1" customFormat="1" ht="51.75" customHeight="1">
      <c r="A306" s="46"/>
      <c r="B306" s="46"/>
      <c r="C306" s="46"/>
      <c r="D306" s="54"/>
      <c r="E306" s="54" t="s">
        <v>410</v>
      </c>
      <c r="F306" s="93">
        <v>1801547</v>
      </c>
      <c r="G306" s="94">
        <v>99.6</v>
      </c>
      <c r="H306" s="93">
        <v>1795015</v>
      </c>
      <c r="I306" s="26">
        <f>500000+1200000</f>
        <v>1700000</v>
      </c>
      <c r="J306" s="26"/>
      <c r="K306" s="135">
        <f>J306+I306</f>
        <v>1700000</v>
      </c>
      <c r="L306" s="152"/>
      <c r="M306" s="14"/>
      <c r="N306" s="14"/>
      <c r="O306" s="14"/>
      <c r="P306" s="14"/>
      <c r="Q306" s="14"/>
      <c r="R306" s="14"/>
      <c r="S306" s="14"/>
      <c r="T306" s="14"/>
      <c r="U306" s="14"/>
      <c r="V306" s="14"/>
      <c r="W306" s="14"/>
      <c r="X306" s="14"/>
      <c r="Y306" s="14"/>
      <c r="Z306" s="14"/>
      <c r="AA306" s="14"/>
      <c r="AB306" s="14"/>
      <c r="AC306" s="14"/>
      <c r="AD306" s="14"/>
      <c r="AE306" s="14"/>
      <c r="AF306" s="14"/>
      <c r="AG306" s="14"/>
      <c r="AH306" s="14"/>
      <c r="AI306" s="14"/>
      <c r="AJ306" s="14"/>
      <c r="AK306" s="14"/>
      <c r="AL306" s="14"/>
      <c r="AM306" s="14"/>
      <c r="AN306" s="14"/>
      <c r="AO306" s="14"/>
      <c r="AP306" s="14"/>
      <c r="AQ306" s="14"/>
      <c r="AR306" s="14"/>
      <c r="AS306" s="14"/>
      <c r="AT306" s="14"/>
      <c r="AU306" s="14"/>
      <c r="AV306" s="14"/>
      <c r="AW306" s="14"/>
      <c r="AX306" s="14"/>
      <c r="AY306" s="14"/>
      <c r="AZ306" s="14"/>
      <c r="BA306" s="14"/>
      <c r="BB306" s="14"/>
      <c r="BC306" s="14"/>
      <c r="BD306" s="14"/>
      <c r="BE306" s="14"/>
      <c r="BF306" s="14"/>
      <c r="BG306" s="14"/>
      <c r="BH306" s="14"/>
      <c r="BI306" s="14"/>
      <c r="BJ306" s="14"/>
      <c r="BK306" s="14"/>
      <c r="BL306" s="14"/>
      <c r="BM306" s="14"/>
      <c r="BN306" s="14"/>
      <c r="BO306" s="14"/>
      <c r="BP306" s="14"/>
      <c r="BQ306" s="14"/>
      <c r="BR306" s="14"/>
      <c r="BS306" s="14"/>
      <c r="BT306" s="14"/>
      <c r="BU306" s="14"/>
      <c r="BV306" s="14"/>
      <c r="BW306" s="14"/>
      <c r="BX306" s="14"/>
      <c r="BY306" s="14"/>
      <c r="BZ306" s="14"/>
      <c r="CA306" s="14"/>
      <c r="CB306" s="14"/>
      <c r="CC306" s="14"/>
      <c r="CD306" s="14"/>
      <c r="CE306" s="14"/>
      <c r="CF306" s="14"/>
      <c r="CG306" s="14"/>
      <c r="CH306" s="14"/>
      <c r="CI306" s="14"/>
      <c r="CJ306" s="14"/>
      <c r="CK306" s="14"/>
      <c r="CL306" s="14"/>
      <c r="CM306" s="14"/>
      <c r="CN306" s="14"/>
      <c r="CO306" s="14"/>
      <c r="CP306" s="14"/>
      <c r="CQ306" s="14"/>
      <c r="CR306" s="14"/>
      <c r="CS306" s="14"/>
      <c r="CT306" s="14"/>
      <c r="CU306" s="14"/>
      <c r="CV306" s="14"/>
      <c r="CW306" s="14"/>
      <c r="CX306" s="14"/>
      <c r="CY306" s="14"/>
      <c r="CZ306" s="14"/>
      <c r="DA306" s="14"/>
      <c r="DB306" s="14"/>
      <c r="DC306" s="14"/>
      <c r="DD306" s="14"/>
      <c r="DE306" s="14"/>
      <c r="DF306" s="14"/>
      <c r="DG306" s="14"/>
      <c r="DH306" s="14"/>
      <c r="DI306" s="14"/>
      <c r="DJ306" s="14"/>
      <c r="DK306" s="14"/>
      <c r="DL306" s="14"/>
      <c r="DM306" s="14"/>
      <c r="DN306" s="14"/>
      <c r="DO306" s="14"/>
      <c r="DP306" s="14"/>
      <c r="DQ306" s="14"/>
      <c r="DR306" s="14"/>
      <c r="DS306" s="14"/>
      <c r="DT306" s="14"/>
      <c r="DU306" s="14"/>
      <c r="DV306" s="14"/>
      <c r="DW306" s="14"/>
      <c r="DX306" s="14"/>
      <c r="DY306" s="14"/>
      <c r="DZ306" s="14"/>
      <c r="EA306" s="14"/>
      <c r="EB306" s="14"/>
      <c r="EC306" s="14"/>
      <c r="ED306" s="14"/>
      <c r="EE306" s="14"/>
      <c r="EF306" s="14"/>
      <c r="EG306" s="14"/>
      <c r="EH306" s="14"/>
      <c r="EI306" s="14"/>
      <c r="EJ306" s="14"/>
      <c r="EK306" s="14"/>
      <c r="EL306" s="14"/>
      <c r="EM306" s="14"/>
      <c r="EN306" s="14"/>
      <c r="EO306" s="14"/>
      <c r="EP306" s="14"/>
      <c r="EQ306" s="14"/>
      <c r="ER306" s="14"/>
      <c r="ES306" s="14"/>
    </row>
    <row r="307" spans="1:149" s="1" customFormat="1" ht="54.75" customHeight="1">
      <c r="A307" s="46"/>
      <c r="B307" s="46"/>
      <c r="C307" s="46"/>
      <c r="D307" s="54"/>
      <c r="E307" s="54" t="s">
        <v>269</v>
      </c>
      <c r="F307" s="93">
        <v>1579560</v>
      </c>
      <c r="G307" s="94">
        <v>38.3</v>
      </c>
      <c r="H307" s="93">
        <v>605818</v>
      </c>
      <c r="I307" s="26">
        <v>500000</v>
      </c>
      <c r="J307" s="26"/>
      <c r="K307" s="135">
        <f>J307+I307</f>
        <v>500000</v>
      </c>
      <c r="L307" s="152"/>
      <c r="M307" s="14"/>
      <c r="N307" s="14"/>
      <c r="O307" s="14"/>
      <c r="P307" s="14"/>
      <c r="Q307" s="14"/>
      <c r="R307" s="14"/>
      <c r="S307" s="14"/>
      <c r="T307" s="14"/>
      <c r="U307" s="14"/>
      <c r="V307" s="14"/>
      <c r="W307" s="14"/>
      <c r="X307" s="14"/>
      <c r="Y307" s="14"/>
      <c r="Z307" s="14"/>
      <c r="AA307" s="14"/>
      <c r="AB307" s="14"/>
      <c r="AC307" s="14"/>
      <c r="AD307" s="14"/>
      <c r="AE307" s="14"/>
      <c r="AF307" s="14"/>
      <c r="AG307" s="14"/>
      <c r="AH307" s="14"/>
      <c r="AI307" s="14"/>
      <c r="AJ307" s="14"/>
      <c r="AK307" s="14"/>
      <c r="AL307" s="14"/>
      <c r="AM307" s="14"/>
      <c r="AN307" s="14"/>
      <c r="AO307" s="14"/>
      <c r="AP307" s="14"/>
      <c r="AQ307" s="14"/>
      <c r="AR307" s="14"/>
      <c r="AS307" s="14"/>
      <c r="AT307" s="14"/>
      <c r="AU307" s="14"/>
      <c r="AV307" s="14"/>
      <c r="AW307" s="14"/>
      <c r="AX307" s="14"/>
      <c r="AY307" s="14"/>
      <c r="AZ307" s="14"/>
      <c r="BA307" s="14"/>
      <c r="BB307" s="14"/>
      <c r="BC307" s="14"/>
      <c r="BD307" s="14"/>
      <c r="BE307" s="14"/>
      <c r="BF307" s="14"/>
      <c r="BG307" s="14"/>
      <c r="BH307" s="14"/>
      <c r="BI307" s="14"/>
      <c r="BJ307" s="14"/>
      <c r="BK307" s="14"/>
      <c r="BL307" s="14"/>
      <c r="BM307" s="14"/>
      <c r="BN307" s="14"/>
      <c r="BO307" s="14"/>
      <c r="BP307" s="14"/>
      <c r="BQ307" s="14"/>
      <c r="BR307" s="14"/>
      <c r="BS307" s="14"/>
      <c r="BT307" s="14"/>
      <c r="BU307" s="14"/>
      <c r="BV307" s="14"/>
      <c r="BW307" s="14"/>
      <c r="BX307" s="14"/>
      <c r="BY307" s="14"/>
      <c r="BZ307" s="14"/>
      <c r="CA307" s="14"/>
      <c r="CB307" s="14"/>
      <c r="CC307" s="14"/>
      <c r="CD307" s="14"/>
      <c r="CE307" s="14"/>
      <c r="CF307" s="14"/>
      <c r="CG307" s="14"/>
      <c r="CH307" s="14"/>
      <c r="CI307" s="14"/>
      <c r="CJ307" s="14"/>
      <c r="CK307" s="14"/>
      <c r="CL307" s="14"/>
      <c r="CM307" s="14"/>
      <c r="CN307" s="14"/>
      <c r="CO307" s="14"/>
      <c r="CP307" s="14"/>
      <c r="CQ307" s="14"/>
      <c r="CR307" s="14"/>
      <c r="CS307" s="14"/>
      <c r="CT307" s="14"/>
      <c r="CU307" s="14"/>
      <c r="CV307" s="14"/>
      <c r="CW307" s="14"/>
      <c r="CX307" s="14"/>
      <c r="CY307" s="14"/>
      <c r="CZ307" s="14"/>
      <c r="DA307" s="14"/>
      <c r="DB307" s="14"/>
      <c r="DC307" s="14"/>
      <c r="DD307" s="14"/>
      <c r="DE307" s="14"/>
      <c r="DF307" s="14"/>
      <c r="DG307" s="14"/>
      <c r="DH307" s="14"/>
      <c r="DI307" s="14"/>
      <c r="DJ307" s="14"/>
      <c r="DK307" s="14"/>
      <c r="DL307" s="14"/>
      <c r="DM307" s="14"/>
      <c r="DN307" s="14"/>
      <c r="DO307" s="14"/>
      <c r="DP307" s="14"/>
      <c r="DQ307" s="14"/>
      <c r="DR307" s="14"/>
      <c r="DS307" s="14"/>
      <c r="DT307" s="14"/>
      <c r="DU307" s="14"/>
      <c r="DV307" s="14"/>
      <c r="DW307" s="14"/>
      <c r="DX307" s="14"/>
      <c r="DY307" s="14"/>
      <c r="DZ307" s="14"/>
      <c r="EA307" s="14"/>
      <c r="EB307" s="14"/>
      <c r="EC307" s="14"/>
      <c r="ED307" s="14"/>
      <c r="EE307" s="14"/>
      <c r="EF307" s="14"/>
      <c r="EG307" s="14"/>
      <c r="EH307" s="14"/>
      <c r="EI307" s="14"/>
      <c r="EJ307" s="14"/>
      <c r="EK307" s="14"/>
      <c r="EL307" s="14"/>
      <c r="EM307" s="14"/>
      <c r="EN307" s="14"/>
      <c r="EO307" s="14"/>
      <c r="EP307" s="14"/>
      <c r="EQ307" s="14"/>
      <c r="ER307" s="14"/>
      <c r="ES307" s="14"/>
    </row>
    <row r="308" spans="1:12" s="7" customFormat="1" ht="30.75" customHeight="1">
      <c r="A308" s="46" t="s">
        <v>294</v>
      </c>
      <c r="B308" s="46" t="s">
        <v>290</v>
      </c>
      <c r="C308" s="46"/>
      <c r="D308" s="33" t="s">
        <v>291</v>
      </c>
      <c r="E308" s="33"/>
      <c r="F308" s="93"/>
      <c r="G308" s="33"/>
      <c r="H308" s="93"/>
      <c r="I308" s="22">
        <f>SUM(I313)+I309</f>
        <v>1103138</v>
      </c>
      <c r="J308" s="22">
        <f>SUM(J313)+J309</f>
        <v>0</v>
      </c>
      <c r="K308" s="137">
        <f>SUM(K313)+K309</f>
        <v>1103138</v>
      </c>
      <c r="L308" s="152"/>
    </row>
    <row r="309" spans="1:12" s="10" customFormat="1" ht="93" customHeight="1">
      <c r="A309" s="47" t="s">
        <v>461</v>
      </c>
      <c r="B309" s="47" t="s">
        <v>301</v>
      </c>
      <c r="C309" s="47" t="s">
        <v>52</v>
      </c>
      <c r="D309" s="48" t="s">
        <v>302</v>
      </c>
      <c r="E309" s="48"/>
      <c r="F309" s="93"/>
      <c r="G309" s="48"/>
      <c r="H309" s="93"/>
      <c r="I309" s="21">
        <f>I310+I311+I312</f>
        <v>504600</v>
      </c>
      <c r="J309" s="21">
        <f>J310+J311+J312</f>
        <v>0</v>
      </c>
      <c r="K309" s="138">
        <f>K310+K311+K312</f>
        <v>504600</v>
      </c>
      <c r="L309" s="152"/>
    </row>
    <row r="310" spans="1:12" s="7" customFormat="1" ht="72" customHeight="1">
      <c r="A310" s="46"/>
      <c r="B310" s="46"/>
      <c r="C310" s="46"/>
      <c r="D310" s="33"/>
      <c r="E310" s="33" t="s">
        <v>462</v>
      </c>
      <c r="F310" s="93">
        <v>1405464</v>
      </c>
      <c r="G310" s="94">
        <v>100</v>
      </c>
      <c r="H310" s="93">
        <v>1405464</v>
      </c>
      <c r="I310" s="22">
        <v>169890</v>
      </c>
      <c r="J310" s="31"/>
      <c r="K310" s="143">
        <f>J310+I310</f>
        <v>169890</v>
      </c>
      <c r="L310" s="152"/>
    </row>
    <row r="311" spans="1:12" s="7" customFormat="1" ht="62.25" customHeight="1">
      <c r="A311" s="46"/>
      <c r="B311" s="46"/>
      <c r="C311" s="46"/>
      <c r="D311" s="33"/>
      <c r="E311" s="33" t="s">
        <v>463</v>
      </c>
      <c r="F311" s="93">
        <v>1567405</v>
      </c>
      <c r="G311" s="94">
        <v>100</v>
      </c>
      <c r="H311" s="93">
        <v>1567405</v>
      </c>
      <c r="I311" s="22">
        <v>162526</v>
      </c>
      <c r="J311" s="31"/>
      <c r="K311" s="143">
        <f>J311+I311</f>
        <v>162526</v>
      </c>
      <c r="L311" s="152"/>
    </row>
    <row r="312" spans="1:12" s="7" customFormat="1" ht="60.75" customHeight="1">
      <c r="A312" s="46"/>
      <c r="B312" s="46"/>
      <c r="C312" s="46"/>
      <c r="D312" s="33"/>
      <c r="E312" s="33" t="s">
        <v>464</v>
      </c>
      <c r="F312" s="93">
        <v>1572186</v>
      </c>
      <c r="G312" s="94">
        <v>100</v>
      </c>
      <c r="H312" s="93">
        <v>1572186</v>
      </c>
      <c r="I312" s="22">
        <v>172184</v>
      </c>
      <c r="J312" s="31"/>
      <c r="K312" s="143">
        <f>J312+I312</f>
        <v>172184</v>
      </c>
      <c r="L312" s="152"/>
    </row>
    <row r="313" spans="1:12" s="10" customFormat="1" ht="78.75" customHeight="1">
      <c r="A313" s="47" t="s">
        <v>295</v>
      </c>
      <c r="B313" s="47" t="s">
        <v>298</v>
      </c>
      <c r="C313" s="47" t="s">
        <v>52</v>
      </c>
      <c r="D313" s="48" t="s">
        <v>288</v>
      </c>
      <c r="E313" s="48"/>
      <c r="F313" s="93"/>
      <c r="G313" s="48"/>
      <c r="H313" s="93"/>
      <c r="I313" s="21">
        <f>I315+I317</f>
        <v>598538</v>
      </c>
      <c r="J313" s="21">
        <f>J315+J317</f>
        <v>0</v>
      </c>
      <c r="K313" s="138">
        <f>K315+K317</f>
        <v>598538</v>
      </c>
      <c r="L313" s="152"/>
    </row>
    <row r="314" spans="1:12" s="10" customFormat="1" ht="37.5">
      <c r="A314" s="47"/>
      <c r="B314" s="47"/>
      <c r="C314" s="47"/>
      <c r="D314" s="48" t="s">
        <v>456</v>
      </c>
      <c r="E314" s="48"/>
      <c r="F314" s="93"/>
      <c r="G314" s="48"/>
      <c r="H314" s="93"/>
      <c r="I314" s="27">
        <f>I316+I318</f>
        <v>300091</v>
      </c>
      <c r="J314" s="27">
        <f>J316+J318</f>
        <v>0</v>
      </c>
      <c r="K314" s="136">
        <f>J314+I314</f>
        <v>300091</v>
      </c>
      <c r="L314" s="152"/>
    </row>
    <row r="315" spans="1:12" s="7" customFormat="1" ht="78.75" customHeight="1">
      <c r="A315" s="46"/>
      <c r="B315" s="46"/>
      <c r="C315" s="46"/>
      <c r="D315" s="33"/>
      <c r="E315" s="33" t="s">
        <v>428</v>
      </c>
      <c r="F315" s="93"/>
      <c r="G315" s="33"/>
      <c r="H315" s="93"/>
      <c r="I315" s="22">
        <f>289447+91</f>
        <v>289538</v>
      </c>
      <c r="J315" s="31"/>
      <c r="K315" s="143">
        <f>J315+I315</f>
        <v>289538</v>
      </c>
      <c r="L315" s="152"/>
    </row>
    <row r="316" spans="1:12" s="128" customFormat="1" ht="15" customHeight="1">
      <c r="A316" s="83"/>
      <c r="B316" s="83"/>
      <c r="C316" s="83"/>
      <c r="D316" s="84" t="s">
        <v>456</v>
      </c>
      <c r="E316" s="84"/>
      <c r="F316" s="93"/>
      <c r="G316" s="84"/>
      <c r="H316" s="93"/>
      <c r="I316" s="28">
        <v>91</v>
      </c>
      <c r="J316" s="28"/>
      <c r="K316" s="141">
        <f>J316+I316</f>
        <v>91</v>
      </c>
      <c r="L316" s="152"/>
    </row>
    <row r="317" spans="1:12" s="7" customFormat="1" ht="78.75" customHeight="1">
      <c r="A317" s="46"/>
      <c r="B317" s="46"/>
      <c r="C317" s="46"/>
      <c r="D317" s="33"/>
      <c r="E317" s="33" t="s">
        <v>429</v>
      </c>
      <c r="F317" s="93"/>
      <c r="G317" s="33"/>
      <c r="H317" s="93"/>
      <c r="I317" s="22">
        <v>309000</v>
      </c>
      <c r="J317" s="31"/>
      <c r="K317" s="143">
        <f>J317+I317</f>
        <v>309000</v>
      </c>
      <c r="L317" s="152"/>
    </row>
    <row r="318" spans="1:12" s="128" customFormat="1" ht="15" customHeight="1">
      <c r="A318" s="83"/>
      <c r="B318" s="83"/>
      <c r="C318" s="83"/>
      <c r="D318" s="84" t="s">
        <v>456</v>
      </c>
      <c r="E318" s="84"/>
      <c r="F318" s="93"/>
      <c r="G318" s="84"/>
      <c r="H318" s="93"/>
      <c r="I318" s="28">
        <v>300000</v>
      </c>
      <c r="J318" s="28"/>
      <c r="K318" s="141">
        <f>J318+I318</f>
        <v>300000</v>
      </c>
      <c r="L318" s="152"/>
    </row>
    <row r="319" spans="1:12" s="7" customFormat="1" ht="42" customHeight="1">
      <c r="A319" s="46" t="s">
        <v>86</v>
      </c>
      <c r="B319" s="46" t="s">
        <v>2</v>
      </c>
      <c r="C319" s="46" t="s">
        <v>53</v>
      </c>
      <c r="D319" s="33" t="s">
        <v>22</v>
      </c>
      <c r="E319" s="33"/>
      <c r="F319" s="93"/>
      <c r="G319" s="33"/>
      <c r="H319" s="93"/>
      <c r="I319" s="24">
        <f>I320+I321+I322+I323+I324+I325+I326</f>
        <v>17906155</v>
      </c>
      <c r="J319" s="24">
        <f>J320+J321+J322+J323+J324+J325+J326</f>
        <v>0</v>
      </c>
      <c r="K319" s="133">
        <f>K320+K321+K322+K323+K324+K325+K326</f>
        <v>17906155</v>
      </c>
      <c r="L319" s="152"/>
    </row>
    <row r="320" spans="1:12" s="7" customFormat="1" ht="48" customHeight="1">
      <c r="A320" s="46"/>
      <c r="B320" s="46"/>
      <c r="C320" s="46"/>
      <c r="D320" s="33"/>
      <c r="E320" s="33" t="s">
        <v>476</v>
      </c>
      <c r="F320" s="93">
        <v>9999558</v>
      </c>
      <c r="G320" s="99">
        <v>85</v>
      </c>
      <c r="H320" s="93">
        <v>8499624</v>
      </c>
      <c r="I320" s="22">
        <v>1702000</v>
      </c>
      <c r="J320" s="22"/>
      <c r="K320" s="137">
        <v>1702000</v>
      </c>
      <c r="L320" s="152">
        <v>47</v>
      </c>
    </row>
    <row r="321" spans="1:12" s="7" customFormat="1" ht="48.75" customHeight="1">
      <c r="A321" s="46"/>
      <c r="B321" s="46"/>
      <c r="C321" s="46"/>
      <c r="D321" s="33"/>
      <c r="E321" s="33" t="s">
        <v>471</v>
      </c>
      <c r="F321" s="93">
        <v>16378459</v>
      </c>
      <c r="G321" s="99">
        <v>100</v>
      </c>
      <c r="H321" s="93">
        <v>16378459</v>
      </c>
      <c r="I321" s="22">
        <v>6500000</v>
      </c>
      <c r="J321" s="22"/>
      <c r="K321" s="137">
        <v>6500000</v>
      </c>
      <c r="L321" s="152"/>
    </row>
    <row r="322" spans="1:12" s="7" customFormat="1" ht="42.75" customHeight="1">
      <c r="A322" s="46"/>
      <c r="B322" s="46"/>
      <c r="C322" s="46"/>
      <c r="D322" s="33"/>
      <c r="E322" s="33" t="s">
        <v>472</v>
      </c>
      <c r="F322" s="93">
        <v>6817326</v>
      </c>
      <c r="G322" s="99">
        <v>100</v>
      </c>
      <c r="H322" s="93">
        <v>6817326</v>
      </c>
      <c r="I322" s="22">
        <v>2045000</v>
      </c>
      <c r="J322" s="22"/>
      <c r="K322" s="137">
        <v>2045000</v>
      </c>
      <c r="L322" s="152"/>
    </row>
    <row r="323" spans="1:12" s="7" customFormat="1" ht="39" customHeight="1">
      <c r="A323" s="46"/>
      <c r="B323" s="46"/>
      <c r="C323" s="46"/>
      <c r="D323" s="33"/>
      <c r="E323" s="33" t="s">
        <v>473</v>
      </c>
      <c r="F323" s="93"/>
      <c r="G323" s="22"/>
      <c r="H323" s="93"/>
      <c r="I323" s="22">
        <v>65000</v>
      </c>
      <c r="J323" s="22"/>
      <c r="K323" s="137">
        <v>65000</v>
      </c>
      <c r="L323" s="152"/>
    </row>
    <row r="324" spans="1:12" s="7" customFormat="1" ht="38.25" customHeight="1">
      <c r="A324" s="46"/>
      <c r="B324" s="46"/>
      <c r="C324" s="46"/>
      <c r="D324" s="33"/>
      <c r="E324" s="33" t="s">
        <v>474</v>
      </c>
      <c r="F324" s="93"/>
      <c r="G324" s="22"/>
      <c r="H324" s="93"/>
      <c r="I324" s="22">
        <v>318400</v>
      </c>
      <c r="J324" s="22"/>
      <c r="K324" s="137">
        <v>318400</v>
      </c>
      <c r="L324" s="152"/>
    </row>
    <row r="325" spans="1:12" s="7" customFormat="1" ht="38.25" customHeight="1">
      <c r="A325" s="46"/>
      <c r="B325" s="46"/>
      <c r="C325" s="46"/>
      <c r="D325" s="33"/>
      <c r="E325" s="33" t="s">
        <v>475</v>
      </c>
      <c r="F325" s="93"/>
      <c r="G325" s="22"/>
      <c r="H325" s="93"/>
      <c r="I325" s="22">
        <v>145755</v>
      </c>
      <c r="J325" s="22"/>
      <c r="K325" s="137">
        <v>145755</v>
      </c>
      <c r="L325" s="152"/>
    </row>
    <row r="326" spans="1:12" s="7" customFormat="1" ht="48.75" customHeight="1">
      <c r="A326" s="46"/>
      <c r="B326" s="46"/>
      <c r="C326" s="46"/>
      <c r="D326" s="33"/>
      <c r="E326" s="33" t="s">
        <v>477</v>
      </c>
      <c r="F326" s="22"/>
      <c r="G326" s="22"/>
      <c r="H326" s="93"/>
      <c r="I326" s="22">
        <v>7130000</v>
      </c>
      <c r="J326" s="22"/>
      <c r="K326" s="137">
        <v>7130000</v>
      </c>
      <c r="L326" s="152"/>
    </row>
    <row r="327" spans="1:12" s="7" customFormat="1" ht="54" customHeight="1">
      <c r="A327" s="42" t="s">
        <v>340</v>
      </c>
      <c r="B327" s="85"/>
      <c r="C327" s="85"/>
      <c r="D327" s="56" t="s">
        <v>341</v>
      </c>
      <c r="E327" s="56"/>
      <c r="F327" s="56"/>
      <c r="G327" s="56"/>
      <c r="H327" s="93"/>
      <c r="I327" s="24">
        <f aca="true" t="shared" si="11" ref="I327:K328">I328</f>
        <v>140000</v>
      </c>
      <c r="J327" s="24">
        <f>J328</f>
        <v>0</v>
      </c>
      <c r="K327" s="133">
        <f t="shared" si="11"/>
        <v>140000</v>
      </c>
      <c r="L327" s="152"/>
    </row>
    <row r="328" spans="1:12" s="7" customFormat="1" ht="51.75" customHeight="1">
      <c r="A328" s="44" t="s">
        <v>342</v>
      </c>
      <c r="B328" s="72"/>
      <c r="C328" s="72"/>
      <c r="D328" s="58" t="s">
        <v>341</v>
      </c>
      <c r="E328" s="58"/>
      <c r="F328" s="58"/>
      <c r="G328" s="58"/>
      <c r="H328" s="93"/>
      <c r="I328" s="25">
        <f t="shared" si="11"/>
        <v>140000</v>
      </c>
      <c r="J328" s="25">
        <f t="shared" si="11"/>
        <v>0</v>
      </c>
      <c r="K328" s="134">
        <f t="shared" si="11"/>
        <v>140000</v>
      </c>
      <c r="L328" s="152"/>
    </row>
    <row r="329" spans="1:12" s="7" customFormat="1" ht="60" customHeight="1">
      <c r="A329" s="46" t="s">
        <v>343</v>
      </c>
      <c r="B329" s="46" t="s">
        <v>344</v>
      </c>
      <c r="C329" s="46" t="s">
        <v>57</v>
      </c>
      <c r="D329" s="33" t="s">
        <v>345</v>
      </c>
      <c r="E329" s="33"/>
      <c r="F329" s="33"/>
      <c r="G329" s="33"/>
      <c r="H329" s="93"/>
      <c r="I329" s="26">
        <v>140000</v>
      </c>
      <c r="J329" s="26"/>
      <c r="K329" s="135">
        <f>J329+I329</f>
        <v>140000</v>
      </c>
      <c r="L329" s="152"/>
    </row>
    <row r="330" spans="1:12" s="6" customFormat="1" ht="72" customHeight="1">
      <c r="A330" s="42" t="s">
        <v>131</v>
      </c>
      <c r="B330" s="85"/>
      <c r="C330" s="85"/>
      <c r="D330" s="56" t="s">
        <v>29</v>
      </c>
      <c r="E330" s="56"/>
      <c r="F330" s="56"/>
      <c r="G330" s="56"/>
      <c r="H330" s="93"/>
      <c r="I330" s="24">
        <f aca="true" t="shared" si="12" ref="I330:K331">I331</f>
        <v>40000</v>
      </c>
      <c r="J330" s="24">
        <f t="shared" si="12"/>
        <v>0</v>
      </c>
      <c r="K330" s="133">
        <f t="shared" si="12"/>
        <v>40000</v>
      </c>
      <c r="L330" s="152"/>
    </row>
    <row r="331" spans="1:12" s="6" customFormat="1" ht="75.75" customHeight="1">
      <c r="A331" s="44" t="s">
        <v>129</v>
      </c>
      <c r="B331" s="72"/>
      <c r="C331" s="72"/>
      <c r="D331" s="58" t="s">
        <v>29</v>
      </c>
      <c r="E331" s="58"/>
      <c r="F331" s="58"/>
      <c r="G331" s="58"/>
      <c r="H331" s="93"/>
      <c r="I331" s="25">
        <f t="shared" si="12"/>
        <v>40000</v>
      </c>
      <c r="J331" s="25">
        <f t="shared" si="12"/>
        <v>0</v>
      </c>
      <c r="K331" s="134">
        <f t="shared" si="12"/>
        <v>40000</v>
      </c>
      <c r="L331" s="152"/>
    </row>
    <row r="332" spans="1:12" s="10" customFormat="1" ht="76.5" customHeight="1">
      <c r="A332" s="46" t="s">
        <v>130</v>
      </c>
      <c r="B332" s="46" t="s">
        <v>66</v>
      </c>
      <c r="C332" s="46" t="s">
        <v>31</v>
      </c>
      <c r="D332" s="33" t="s">
        <v>67</v>
      </c>
      <c r="E332" s="33"/>
      <c r="F332" s="33"/>
      <c r="G332" s="33"/>
      <c r="H332" s="93"/>
      <c r="I332" s="26">
        <v>40000</v>
      </c>
      <c r="J332" s="26"/>
      <c r="K332" s="135">
        <f>J332+I332</f>
        <v>40000</v>
      </c>
      <c r="L332" s="152"/>
    </row>
    <row r="333" spans="1:12" s="5" customFormat="1" ht="48" customHeight="1">
      <c r="A333" s="42" t="s">
        <v>132</v>
      </c>
      <c r="B333" s="42"/>
      <c r="C333" s="42"/>
      <c r="D333" s="56" t="s">
        <v>27</v>
      </c>
      <c r="E333" s="56"/>
      <c r="F333" s="56"/>
      <c r="G333" s="56"/>
      <c r="H333" s="93"/>
      <c r="I333" s="24">
        <f>I334</f>
        <v>273500</v>
      </c>
      <c r="J333" s="24">
        <f>J334</f>
        <v>0</v>
      </c>
      <c r="K333" s="133">
        <f>K334</f>
        <v>273500</v>
      </c>
      <c r="L333" s="152"/>
    </row>
    <row r="334" spans="1:12" s="6" customFormat="1" ht="48.75" customHeight="1">
      <c r="A334" s="44" t="s">
        <v>133</v>
      </c>
      <c r="B334" s="44"/>
      <c r="C334" s="44"/>
      <c r="D334" s="58" t="s">
        <v>27</v>
      </c>
      <c r="E334" s="58"/>
      <c r="F334" s="58"/>
      <c r="G334" s="58"/>
      <c r="H334" s="93"/>
      <c r="I334" s="25">
        <f>I335+I336+I337+I338</f>
        <v>273500</v>
      </c>
      <c r="J334" s="25">
        <f>J335+J336+J337+J338</f>
        <v>0</v>
      </c>
      <c r="K334" s="134">
        <f>K335+K336+K337+K338</f>
        <v>273500</v>
      </c>
      <c r="L334" s="152"/>
    </row>
    <row r="335" spans="1:12" s="5" customFormat="1" ht="81" customHeight="1">
      <c r="A335" s="46" t="s">
        <v>134</v>
      </c>
      <c r="B335" s="46" t="s">
        <v>66</v>
      </c>
      <c r="C335" s="46" t="s">
        <v>31</v>
      </c>
      <c r="D335" s="33" t="s">
        <v>67</v>
      </c>
      <c r="E335" s="33"/>
      <c r="F335" s="33"/>
      <c r="G335" s="33"/>
      <c r="H335" s="93"/>
      <c r="I335" s="26">
        <f>150000-130500</f>
        <v>19500</v>
      </c>
      <c r="J335" s="26"/>
      <c r="K335" s="135">
        <f>J335+I335</f>
        <v>19500</v>
      </c>
      <c r="L335" s="152"/>
    </row>
    <row r="336" spans="1:12" s="7" customFormat="1" ht="54" customHeight="1">
      <c r="A336" s="51" t="s">
        <v>148</v>
      </c>
      <c r="B336" s="51" t="s">
        <v>149</v>
      </c>
      <c r="C336" s="51" t="s">
        <v>52</v>
      </c>
      <c r="D336" s="33" t="s">
        <v>152</v>
      </c>
      <c r="E336" s="33"/>
      <c r="F336" s="33"/>
      <c r="G336" s="33"/>
      <c r="H336" s="93"/>
      <c r="I336" s="26">
        <f>25000+25000</f>
        <v>50000</v>
      </c>
      <c r="J336" s="26"/>
      <c r="K336" s="135">
        <f>J336+I336</f>
        <v>50000</v>
      </c>
      <c r="L336" s="153">
        <v>48</v>
      </c>
    </row>
    <row r="337" spans="1:12" s="7" customFormat="1" ht="98.25" customHeight="1">
      <c r="A337" s="51" t="s">
        <v>150</v>
      </c>
      <c r="B337" s="51" t="s">
        <v>151</v>
      </c>
      <c r="C337" s="51" t="s">
        <v>52</v>
      </c>
      <c r="D337" s="33" t="s">
        <v>153</v>
      </c>
      <c r="E337" s="33"/>
      <c r="F337" s="33"/>
      <c r="G337" s="33"/>
      <c r="H337" s="93"/>
      <c r="I337" s="26">
        <v>25000</v>
      </c>
      <c r="J337" s="26"/>
      <c r="K337" s="135">
        <f>J337+I337</f>
        <v>25000</v>
      </c>
      <c r="L337" s="153"/>
    </row>
    <row r="338" spans="1:12" s="7" customFormat="1" ht="87.75" customHeight="1">
      <c r="A338" s="51" t="s">
        <v>284</v>
      </c>
      <c r="B338" s="51" t="s">
        <v>285</v>
      </c>
      <c r="C338" s="51" t="s">
        <v>30</v>
      </c>
      <c r="D338" s="53" t="s">
        <v>296</v>
      </c>
      <c r="E338" s="33"/>
      <c r="F338" s="33"/>
      <c r="G338" s="33"/>
      <c r="H338" s="93"/>
      <c r="I338" s="26">
        <v>179000</v>
      </c>
      <c r="J338" s="26"/>
      <c r="K338" s="135">
        <f>J338+I338</f>
        <v>179000</v>
      </c>
      <c r="L338" s="153"/>
    </row>
    <row r="339" spans="1:12" s="5" customFormat="1" ht="51" customHeight="1">
      <c r="A339" s="42" t="s">
        <v>135</v>
      </c>
      <c r="B339" s="42"/>
      <c r="C339" s="42"/>
      <c r="D339" s="56" t="s">
        <v>28</v>
      </c>
      <c r="E339" s="56"/>
      <c r="F339" s="56"/>
      <c r="G339" s="56"/>
      <c r="H339" s="56"/>
      <c r="I339" s="24">
        <f>I340</f>
        <v>613800</v>
      </c>
      <c r="J339" s="24">
        <f>J340</f>
        <v>0</v>
      </c>
      <c r="K339" s="133">
        <f>K340</f>
        <v>613800</v>
      </c>
      <c r="L339" s="153"/>
    </row>
    <row r="340" spans="1:12" s="6" customFormat="1" ht="42" customHeight="1">
      <c r="A340" s="44" t="s">
        <v>136</v>
      </c>
      <c r="B340" s="44"/>
      <c r="C340" s="44"/>
      <c r="D340" s="58" t="s">
        <v>28</v>
      </c>
      <c r="E340" s="58"/>
      <c r="F340" s="58"/>
      <c r="G340" s="58"/>
      <c r="H340" s="58"/>
      <c r="I340" s="25">
        <f>I341+I342</f>
        <v>613800</v>
      </c>
      <c r="J340" s="25">
        <f>J341+J342</f>
        <v>0</v>
      </c>
      <c r="K340" s="134">
        <f>K341+K342</f>
        <v>613800</v>
      </c>
      <c r="L340" s="153"/>
    </row>
    <row r="341" spans="1:12" s="7" customFormat="1" ht="77.25" customHeight="1">
      <c r="A341" s="46" t="s">
        <v>137</v>
      </c>
      <c r="B341" s="46" t="s">
        <v>66</v>
      </c>
      <c r="C341" s="46" t="s">
        <v>31</v>
      </c>
      <c r="D341" s="33" t="s">
        <v>67</v>
      </c>
      <c r="E341" s="33"/>
      <c r="F341" s="33"/>
      <c r="G341" s="33"/>
      <c r="H341" s="33"/>
      <c r="I341" s="26">
        <f>184000-123000</f>
        <v>61000</v>
      </c>
      <c r="J341" s="26"/>
      <c r="K341" s="135">
        <f>J341+I341</f>
        <v>61000</v>
      </c>
      <c r="L341" s="153"/>
    </row>
    <row r="342" spans="1:12" s="7" customFormat="1" ht="27" customHeight="1">
      <c r="A342" s="46" t="s">
        <v>234</v>
      </c>
      <c r="B342" s="46" t="s">
        <v>235</v>
      </c>
      <c r="C342" s="46" t="s">
        <v>30</v>
      </c>
      <c r="D342" s="62" t="s">
        <v>236</v>
      </c>
      <c r="E342" s="62"/>
      <c r="F342" s="62"/>
      <c r="G342" s="62"/>
      <c r="H342" s="62"/>
      <c r="I342" s="26">
        <f>514800+38000</f>
        <v>552800</v>
      </c>
      <c r="J342" s="26"/>
      <c r="K342" s="135">
        <f>I342+J342</f>
        <v>552800</v>
      </c>
      <c r="L342" s="153"/>
    </row>
    <row r="343" spans="1:12" s="5" customFormat="1" ht="33" customHeight="1">
      <c r="A343" s="42"/>
      <c r="B343" s="85"/>
      <c r="C343" s="85"/>
      <c r="D343" s="109" t="s">
        <v>8</v>
      </c>
      <c r="E343" s="109"/>
      <c r="F343" s="109"/>
      <c r="G343" s="109"/>
      <c r="H343" s="109"/>
      <c r="I343" s="24">
        <f>I12+I35+I57+I71+I95+I107+I176+I179+I330+I333+I339+I327+I89</f>
        <v>516001986.24</v>
      </c>
      <c r="J343" s="24">
        <f>J12+J35+J57+J71+J95+J107+J176+J179+J330+J333+J339+J327+J89</f>
        <v>-89000</v>
      </c>
      <c r="K343" s="133">
        <f>K12+K35+K57+K71+K95+K107+K176+K179+K330+K333+K339+K327+K89</f>
        <v>515912986.24</v>
      </c>
      <c r="L343" s="153"/>
    </row>
    <row r="344" spans="1:12" s="5" customFormat="1" ht="21" customHeight="1">
      <c r="A344" s="42"/>
      <c r="B344" s="42"/>
      <c r="C344" s="42"/>
      <c r="D344" s="56" t="s">
        <v>456</v>
      </c>
      <c r="E344" s="56"/>
      <c r="F344" s="56"/>
      <c r="G344" s="56"/>
      <c r="H344" s="56"/>
      <c r="I344" s="24">
        <f>I37+I59+I73+I97++I109+I181+I91</f>
        <v>41161369.970000006</v>
      </c>
      <c r="J344" s="24">
        <f>J37+J59+J73+J97++J109+J181+J91</f>
        <v>0</v>
      </c>
      <c r="K344" s="133">
        <f>K37+K59+K73+K97++K109+K181+K91</f>
        <v>41161369.970000006</v>
      </c>
      <c r="L344" s="153"/>
    </row>
    <row r="345" spans="1:12" s="1" customFormat="1" ht="27.75" customHeight="1">
      <c r="A345" s="110"/>
      <c r="B345" s="111"/>
      <c r="C345" s="111"/>
      <c r="D345" s="112"/>
      <c r="E345" s="112"/>
      <c r="F345" s="112"/>
      <c r="G345" s="112"/>
      <c r="H345" s="112"/>
      <c r="I345" s="113"/>
      <c r="K345" s="144"/>
      <c r="L345" s="153"/>
    </row>
    <row r="346" spans="1:12" s="1" customFormat="1" ht="27.75" customHeight="1">
      <c r="A346" s="110"/>
      <c r="B346" s="111"/>
      <c r="C346" s="111"/>
      <c r="D346" s="112"/>
      <c r="E346" s="112"/>
      <c r="F346" s="112"/>
      <c r="G346" s="112"/>
      <c r="H346" s="112"/>
      <c r="I346" s="113"/>
      <c r="K346" s="144"/>
      <c r="L346" s="153"/>
    </row>
    <row r="347" spans="1:12" s="1" customFormat="1" ht="27.75" customHeight="1">
      <c r="A347" s="110"/>
      <c r="B347" s="111"/>
      <c r="C347" s="111"/>
      <c r="D347" s="112"/>
      <c r="E347" s="112"/>
      <c r="F347" s="112"/>
      <c r="G347" s="112"/>
      <c r="H347" s="112"/>
      <c r="I347" s="113"/>
      <c r="K347" s="144"/>
      <c r="L347" s="153"/>
    </row>
    <row r="348" spans="1:12" s="1" customFormat="1" ht="27.75" customHeight="1">
      <c r="A348" s="110"/>
      <c r="B348" s="111"/>
      <c r="C348" s="111"/>
      <c r="D348" s="112"/>
      <c r="E348" s="112"/>
      <c r="F348" s="112"/>
      <c r="G348" s="112"/>
      <c r="H348" s="112"/>
      <c r="I348" s="113"/>
      <c r="K348" s="144"/>
      <c r="L348" s="153"/>
    </row>
    <row r="349" spans="1:12" s="20" customFormat="1" ht="27.75">
      <c r="A349" s="170" t="s">
        <v>481</v>
      </c>
      <c r="B349" s="170"/>
      <c r="C349" s="170"/>
      <c r="D349" s="170"/>
      <c r="E349" s="170"/>
      <c r="J349" s="163" t="s">
        <v>482</v>
      </c>
      <c r="K349" s="163"/>
      <c r="L349" s="153"/>
    </row>
    <row r="350" spans="1:34" s="1" customFormat="1" ht="27.75" customHeight="1">
      <c r="A350" s="154"/>
      <c r="B350" s="154"/>
      <c r="C350" s="154"/>
      <c r="D350" s="154"/>
      <c r="E350" s="154"/>
      <c r="F350" s="112"/>
      <c r="G350" s="112"/>
      <c r="H350" s="112"/>
      <c r="I350" s="113"/>
      <c r="J350" s="155"/>
      <c r="K350" s="155"/>
      <c r="L350" s="153"/>
      <c r="M350" s="149"/>
      <c r="N350" s="149"/>
      <c r="O350" s="149"/>
      <c r="P350" s="149"/>
      <c r="Q350" s="149"/>
      <c r="R350" s="149"/>
      <c r="S350" s="149"/>
      <c r="T350" s="149"/>
      <c r="U350" s="149"/>
      <c r="V350" s="149"/>
      <c r="W350" s="149"/>
      <c r="X350" s="149"/>
      <c r="Y350" s="149"/>
      <c r="Z350" s="149"/>
      <c r="AA350" s="149"/>
      <c r="AB350" s="149"/>
      <c r="AC350" s="149"/>
      <c r="AD350" s="149"/>
      <c r="AE350" s="149"/>
      <c r="AF350" s="149"/>
      <c r="AG350" s="149"/>
      <c r="AH350" s="149"/>
    </row>
    <row r="351" spans="1:34" s="20" customFormat="1" ht="27.75">
      <c r="A351" s="161"/>
      <c r="B351" s="161"/>
      <c r="C351" s="161"/>
      <c r="D351" s="161"/>
      <c r="E351" s="161"/>
      <c r="H351" s="163"/>
      <c r="I351" s="163"/>
      <c r="J351" s="155"/>
      <c r="K351" s="155"/>
      <c r="L351" s="153"/>
      <c r="M351" s="150"/>
      <c r="N351" s="150"/>
      <c r="O351" s="150"/>
      <c r="P351" s="150"/>
      <c r="Q351" s="150"/>
      <c r="R351" s="150"/>
      <c r="S351" s="150"/>
      <c r="T351" s="150"/>
      <c r="U351" s="150"/>
      <c r="V351" s="150"/>
      <c r="W351" s="150"/>
      <c r="X351" s="150"/>
      <c r="Y351" s="150"/>
      <c r="Z351" s="150"/>
      <c r="AA351" s="150"/>
      <c r="AB351" s="150"/>
      <c r="AC351" s="150"/>
      <c r="AD351" s="150"/>
      <c r="AE351" s="150"/>
      <c r="AF351" s="150"/>
      <c r="AG351" s="150"/>
      <c r="AH351" s="150"/>
    </row>
    <row r="352" spans="1:12" s="3" customFormat="1" ht="6" customHeight="1">
      <c r="A352" s="114"/>
      <c r="B352" s="114"/>
      <c r="C352" s="114"/>
      <c r="D352" s="115"/>
      <c r="E352" s="115"/>
      <c r="F352" s="115"/>
      <c r="G352" s="115"/>
      <c r="H352" s="115"/>
      <c r="I352" s="116"/>
      <c r="J352" s="1"/>
      <c r="K352" s="145"/>
      <c r="L352" s="153"/>
    </row>
    <row r="353" spans="1:12" s="19" customFormat="1" ht="27.75">
      <c r="A353" s="117"/>
      <c r="B353" s="118"/>
      <c r="C353" s="119"/>
      <c r="D353" s="120"/>
      <c r="E353" s="121"/>
      <c r="F353" s="121"/>
      <c r="G353" s="121"/>
      <c r="H353" s="122"/>
      <c r="I353" s="125"/>
      <c r="J353" s="1"/>
      <c r="K353" s="146"/>
      <c r="L353" s="153"/>
    </row>
    <row r="354" spans="1:11" s="1" customFormat="1" ht="27.75" customHeight="1">
      <c r="A354" s="110"/>
      <c r="B354" s="111"/>
      <c r="C354" s="111"/>
      <c r="D354" s="112"/>
      <c r="E354" s="112"/>
      <c r="F354" s="112"/>
      <c r="G354" s="112"/>
      <c r="H354" s="112"/>
      <c r="I354" s="113"/>
      <c r="K354" s="144"/>
    </row>
    <row r="355" spans="1:12" s="1" customFormat="1" ht="27.75" customHeight="1">
      <c r="A355" s="110"/>
      <c r="B355" s="111"/>
      <c r="C355" s="111"/>
      <c r="D355" s="112"/>
      <c r="E355" s="112"/>
      <c r="F355" s="112"/>
      <c r="G355" s="112"/>
      <c r="H355" s="112"/>
      <c r="I355" s="113"/>
      <c r="K355" s="144"/>
      <c r="L355" s="151"/>
    </row>
    <row r="356" spans="1:12" s="1" customFormat="1" ht="27.75" customHeight="1">
      <c r="A356" s="110"/>
      <c r="B356" s="111"/>
      <c r="C356" s="111"/>
      <c r="D356" s="112"/>
      <c r="E356" s="112"/>
      <c r="F356" s="112"/>
      <c r="G356" s="112"/>
      <c r="H356" s="112"/>
      <c r="I356" s="113"/>
      <c r="K356" s="144"/>
      <c r="L356" s="151"/>
    </row>
    <row r="357" spans="1:12" s="1" customFormat="1" ht="27.75" customHeight="1">
      <c r="A357" s="110"/>
      <c r="B357" s="111"/>
      <c r="C357" s="111"/>
      <c r="D357" s="112"/>
      <c r="E357" s="112"/>
      <c r="F357" s="112"/>
      <c r="G357" s="112"/>
      <c r="H357" s="112"/>
      <c r="I357" s="113"/>
      <c r="K357" s="144"/>
      <c r="L357" s="151"/>
    </row>
    <row r="358" spans="1:12" s="1" customFormat="1" ht="27.75" customHeight="1">
      <c r="A358" s="110"/>
      <c r="B358" s="111"/>
      <c r="C358" s="111"/>
      <c r="D358" s="112"/>
      <c r="E358" s="112"/>
      <c r="F358" s="112"/>
      <c r="G358" s="112"/>
      <c r="H358" s="112"/>
      <c r="I358" s="113"/>
      <c r="K358" s="144"/>
      <c r="L358" s="151"/>
    </row>
    <row r="359" spans="1:12" s="1" customFormat="1" ht="27.75" customHeight="1">
      <c r="A359" s="110"/>
      <c r="B359" s="111"/>
      <c r="C359" s="111"/>
      <c r="D359" s="112"/>
      <c r="E359" s="112"/>
      <c r="F359" s="112"/>
      <c r="G359" s="112"/>
      <c r="H359" s="112"/>
      <c r="I359" s="113"/>
      <c r="K359" s="144"/>
      <c r="L359" s="151"/>
    </row>
    <row r="360" spans="1:12" s="1" customFormat="1" ht="27.75" customHeight="1">
      <c r="A360" s="110"/>
      <c r="B360" s="111"/>
      <c r="C360" s="111"/>
      <c r="D360" s="112"/>
      <c r="E360" s="112"/>
      <c r="F360" s="112"/>
      <c r="G360" s="112"/>
      <c r="H360" s="112"/>
      <c r="I360" s="113"/>
      <c r="K360" s="144"/>
      <c r="L360" s="151"/>
    </row>
    <row r="361" spans="1:12" s="1" customFormat="1" ht="27.75" customHeight="1">
      <c r="A361" s="110"/>
      <c r="B361" s="111"/>
      <c r="C361" s="111"/>
      <c r="D361" s="112"/>
      <c r="E361" s="112"/>
      <c r="F361" s="112"/>
      <c r="G361" s="112"/>
      <c r="H361" s="112"/>
      <c r="I361" s="113"/>
      <c r="K361" s="144"/>
      <c r="L361" s="151"/>
    </row>
    <row r="362" spans="1:12" s="1" customFormat="1" ht="18.75">
      <c r="A362" s="110"/>
      <c r="B362" s="111"/>
      <c r="C362" s="111"/>
      <c r="D362" s="112"/>
      <c r="E362" s="112"/>
      <c r="F362" s="112"/>
      <c r="G362" s="112"/>
      <c r="H362" s="112"/>
      <c r="I362" s="113"/>
      <c r="K362" s="144"/>
      <c r="L362" s="151"/>
    </row>
    <row r="363" spans="1:12" s="1" customFormat="1" ht="18.75">
      <c r="A363" s="110"/>
      <c r="B363" s="111"/>
      <c r="C363" s="111"/>
      <c r="D363" s="112"/>
      <c r="E363" s="112"/>
      <c r="F363" s="112"/>
      <c r="G363" s="112"/>
      <c r="H363" s="112"/>
      <c r="I363" s="113"/>
      <c r="K363" s="144"/>
      <c r="L363" s="151"/>
    </row>
    <row r="364" spans="1:12" s="1" customFormat="1" ht="18.75">
      <c r="A364" s="110"/>
      <c r="B364" s="111"/>
      <c r="C364" s="111"/>
      <c r="D364" s="112"/>
      <c r="E364" s="112"/>
      <c r="F364" s="112"/>
      <c r="G364" s="112"/>
      <c r="H364" s="112"/>
      <c r="I364" s="113"/>
      <c r="K364" s="144"/>
      <c r="L364" s="151"/>
    </row>
    <row r="365" spans="1:12" s="1" customFormat="1" ht="18.75">
      <c r="A365" s="110"/>
      <c r="B365" s="111"/>
      <c r="C365" s="111"/>
      <c r="D365" s="112"/>
      <c r="E365" s="112"/>
      <c r="F365" s="112"/>
      <c r="G365" s="112"/>
      <c r="H365" s="112"/>
      <c r="I365" s="113"/>
      <c r="K365" s="144"/>
      <c r="L365" s="151"/>
    </row>
    <row r="366" spans="1:12" s="1" customFormat="1" ht="18.75">
      <c r="A366" s="110"/>
      <c r="B366" s="111"/>
      <c r="C366" s="111"/>
      <c r="D366" s="112"/>
      <c r="E366" s="112"/>
      <c r="F366" s="112"/>
      <c r="G366" s="112"/>
      <c r="H366" s="112"/>
      <c r="I366" s="113"/>
      <c r="K366" s="144"/>
      <c r="L366" s="151"/>
    </row>
    <row r="367" spans="1:12" s="1" customFormat="1" ht="18.75">
      <c r="A367" s="110"/>
      <c r="B367" s="111"/>
      <c r="C367" s="111"/>
      <c r="D367" s="112"/>
      <c r="E367" s="112"/>
      <c r="F367" s="112"/>
      <c r="G367" s="112"/>
      <c r="H367" s="112"/>
      <c r="I367" s="113"/>
      <c r="K367" s="144"/>
      <c r="L367" s="151"/>
    </row>
    <row r="368" spans="1:12" s="1" customFormat="1" ht="18.75">
      <c r="A368" s="110"/>
      <c r="B368" s="111"/>
      <c r="C368" s="111"/>
      <c r="D368" s="112"/>
      <c r="E368" s="112"/>
      <c r="F368" s="112"/>
      <c r="G368" s="112"/>
      <c r="H368" s="112"/>
      <c r="I368" s="113"/>
      <c r="K368" s="144"/>
      <c r="L368" s="151"/>
    </row>
    <row r="369" spans="1:12" s="1" customFormat="1" ht="18.75">
      <c r="A369" s="110"/>
      <c r="B369" s="111"/>
      <c r="C369" s="111"/>
      <c r="D369" s="112"/>
      <c r="E369" s="112"/>
      <c r="F369" s="112"/>
      <c r="G369" s="112"/>
      <c r="H369" s="112"/>
      <c r="I369" s="113"/>
      <c r="K369" s="144"/>
      <c r="L369" s="151"/>
    </row>
    <row r="370" spans="1:12" s="1" customFormat="1" ht="18.75">
      <c r="A370" s="110"/>
      <c r="B370" s="111"/>
      <c r="C370" s="111"/>
      <c r="D370" s="112"/>
      <c r="E370" s="112"/>
      <c r="F370" s="112"/>
      <c r="G370" s="112"/>
      <c r="H370" s="112"/>
      <c r="I370" s="113"/>
      <c r="K370" s="144"/>
      <c r="L370" s="151"/>
    </row>
    <row r="371" spans="1:12" s="1" customFormat="1" ht="18.75">
      <c r="A371" s="110"/>
      <c r="B371" s="111"/>
      <c r="C371" s="111"/>
      <c r="D371" s="112"/>
      <c r="E371" s="112"/>
      <c r="F371" s="112"/>
      <c r="G371" s="112"/>
      <c r="H371" s="112"/>
      <c r="I371" s="113"/>
      <c r="K371" s="144"/>
      <c r="L371" s="151"/>
    </row>
    <row r="372" spans="1:12" s="1" customFormat="1" ht="18.75">
      <c r="A372" s="110"/>
      <c r="B372" s="111"/>
      <c r="C372" s="111"/>
      <c r="D372" s="112"/>
      <c r="E372" s="112"/>
      <c r="F372" s="112"/>
      <c r="G372" s="112"/>
      <c r="H372" s="112"/>
      <c r="I372" s="113"/>
      <c r="K372" s="144"/>
      <c r="L372" s="151"/>
    </row>
    <row r="373" spans="1:12" s="1" customFormat="1" ht="18.75">
      <c r="A373" s="110"/>
      <c r="B373" s="111"/>
      <c r="C373" s="111"/>
      <c r="D373" s="112"/>
      <c r="E373" s="112"/>
      <c r="F373" s="112"/>
      <c r="G373" s="112"/>
      <c r="H373" s="112"/>
      <c r="I373" s="113"/>
      <c r="K373" s="144"/>
      <c r="L373" s="151"/>
    </row>
    <row r="374" spans="1:12" s="1" customFormat="1" ht="18.75">
      <c r="A374" s="110"/>
      <c r="B374" s="111"/>
      <c r="C374" s="111"/>
      <c r="D374" s="112"/>
      <c r="E374" s="112"/>
      <c r="F374" s="112"/>
      <c r="G374" s="112"/>
      <c r="H374" s="112"/>
      <c r="I374" s="113"/>
      <c r="K374" s="144"/>
      <c r="L374" s="151"/>
    </row>
    <row r="375" spans="1:12" s="1" customFormat="1" ht="18.75">
      <c r="A375" s="110"/>
      <c r="B375" s="111"/>
      <c r="C375" s="111"/>
      <c r="D375" s="112"/>
      <c r="E375" s="112"/>
      <c r="F375" s="112"/>
      <c r="G375" s="112"/>
      <c r="H375" s="112"/>
      <c r="I375" s="113"/>
      <c r="K375" s="144"/>
      <c r="L375" s="151"/>
    </row>
    <row r="376" spans="1:12" s="1" customFormat="1" ht="18.75">
      <c r="A376" s="110"/>
      <c r="B376" s="111"/>
      <c r="C376" s="111"/>
      <c r="D376" s="112"/>
      <c r="E376" s="112"/>
      <c r="F376" s="112"/>
      <c r="G376" s="112"/>
      <c r="H376" s="112"/>
      <c r="I376" s="113"/>
      <c r="K376" s="144"/>
      <c r="L376" s="151"/>
    </row>
    <row r="377" spans="1:12" s="1" customFormat="1" ht="18.75">
      <c r="A377" s="110"/>
      <c r="B377" s="111"/>
      <c r="C377" s="111"/>
      <c r="D377" s="112"/>
      <c r="E377" s="112"/>
      <c r="F377" s="112"/>
      <c r="G377" s="112"/>
      <c r="H377" s="112"/>
      <c r="I377" s="113"/>
      <c r="K377" s="144"/>
      <c r="L377" s="151"/>
    </row>
    <row r="378" spans="1:12" s="1" customFormat="1" ht="18.75">
      <c r="A378" s="110"/>
      <c r="B378" s="111"/>
      <c r="C378" s="111"/>
      <c r="D378" s="112"/>
      <c r="E378" s="112"/>
      <c r="F378" s="112"/>
      <c r="G378" s="112"/>
      <c r="H378" s="112"/>
      <c r="I378" s="113"/>
      <c r="K378" s="144"/>
      <c r="L378" s="151"/>
    </row>
    <row r="379" spans="1:12" s="1" customFormat="1" ht="18.75">
      <c r="A379" s="110"/>
      <c r="B379" s="111"/>
      <c r="C379" s="111"/>
      <c r="D379" s="112"/>
      <c r="E379" s="112"/>
      <c r="F379" s="112"/>
      <c r="G379" s="112"/>
      <c r="H379" s="112"/>
      <c r="I379" s="113"/>
      <c r="K379" s="144"/>
      <c r="L379" s="151"/>
    </row>
    <row r="380" spans="1:12" s="1" customFormat="1" ht="18.75">
      <c r="A380" s="110"/>
      <c r="B380" s="111"/>
      <c r="C380" s="111"/>
      <c r="D380" s="112"/>
      <c r="E380" s="112"/>
      <c r="F380" s="112"/>
      <c r="G380" s="112"/>
      <c r="H380" s="112"/>
      <c r="I380" s="113"/>
      <c r="K380" s="144"/>
      <c r="L380" s="151"/>
    </row>
    <row r="381" spans="1:12" s="1" customFormat="1" ht="18.75">
      <c r="A381" s="110"/>
      <c r="B381" s="111"/>
      <c r="C381" s="111"/>
      <c r="D381" s="112"/>
      <c r="E381" s="112"/>
      <c r="F381" s="112"/>
      <c r="G381" s="112"/>
      <c r="H381" s="112"/>
      <c r="I381" s="113"/>
      <c r="K381" s="144"/>
      <c r="L381" s="151"/>
    </row>
    <row r="382" spans="1:12" s="1" customFormat="1" ht="18.75">
      <c r="A382" s="110"/>
      <c r="B382" s="111"/>
      <c r="C382" s="111"/>
      <c r="D382" s="112"/>
      <c r="E382" s="112"/>
      <c r="F382" s="112"/>
      <c r="G382" s="112"/>
      <c r="H382" s="112"/>
      <c r="I382" s="113"/>
      <c r="K382" s="144"/>
      <c r="L382" s="151"/>
    </row>
    <row r="383" spans="1:12" s="1" customFormat="1" ht="18.75">
      <c r="A383" s="110"/>
      <c r="B383" s="111"/>
      <c r="C383" s="111"/>
      <c r="D383" s="112"/>
      <c r="E383" s="112"/>
      <c r="F383" s="112"/>
      <c r="G383" s="112"/>
      <c r="H383" s="112"/>
      <c r="I383" s="113"/>
      <c r="K383" s="144"/>
      <c r="L383" s="151"/>
    </row>
    <row r="384" spans="1:12" s="1" customFormat="1" ht="18.75">
      <c r="A384" s="110"/>
      <c r="B384" s="111"/>
      <c r="C384" s="111"/>
      <c r="D384" s="112"/>
      <c r="E384" s="112"/>
      <c r="F384" s="112"/>
      <c r="G384" s="112"/>
      <c r="H384" s="112"/>
      <c r="I384" s="113"/>
      <c r="K384" s="144"/>
      <c r="L384" s="151"/>
    </row>
    <row r="385" spans="1:12" s="1" customFormat="1" ht="18.75">
      <c r="A385" s="110"/>
      <c r="B385" s="111"/>
      <c r="C385" s="111"/>
      <c r="D385" s="112"/>
      <c r="E385" s="112"/>
      <c r="F385" s="112"/>
      <c r="G385" s="112"/>
      <c r="H385" s="112"/>
      <c r="I385" s="113"/>
      <c r="K385" s="144"/>
      <c r="L385" s="151"/>
    </row>
    <row r="386" spans="1:12" s="1" customFormat="1" ht="18.75">
      <c r="A386" s="110"/>
      <c r="B386" s="111"/>
      <c r="C386" s="111"/>
      <c r="D386" s="112"/>
      <c r="E386" s="112"/>
      <c r="F386" s="112"/>
      <c r="G386" s="112"/>
      <c r="H386" s="112"/>
      <c r="I386" s="113"/>
      <c r="K386" s="144"/>
      <c r="L386" s="151"/>
    </row>
    <row r="387" spans="1:12" s="1" customFormat="1" ht="18.75">
      <c r="A387" s="110"/>
      <c r="B387" s="111"/>
      <c r="C387" s="111"/>
      <c r="D387" s="112"/>
      <c r="E387" s="112"/>
      <c r="F387" s="112"/>
      <c r="G387" s="112"/>
      <c r="H387" s="112"/>
      <c r="I387" s="113"/>
      <c r="K387" s="144"/>
      <c r="L387" s="151"/>
    </row>
    <row r="388" spans="1:12" s="1" customFormat="1" ht="18.75">
      <c r="A388" s="110"/>
      <c r="B388" s="111"/>
      <c r="C388" s="111"/>
      <c r="D388" s="112"/>
      <c r="E388" s="112"/>
      <c r="F388" s="112"/>
      <c r="G388" s="112"/>
      <c r="H388" s="112"/>
      <c r="I388" s="113"/>
      <c r="K388" s="144"/>
      <c r="L388" s="151"/>
    </row>
    <row r="389" spans="1:12" s="1" customFormat="1" ht="18.75">
      <c r="A389" s="110"/>
      <c r="B389" s="111"/>
      <c r="C389" s="111"/>
      <c r="D389" s="112"/>
      <c r="E389" s="112"/>
      <c r="F389" s="112"/>
      <c r="G389" s="112"/>
      <c r="H389" s="112"/>
      <c r="I389" s="113"/>
      <c r="K389" s="144"/>
      <c r="L389" s="151"/>
    </row>
    <row r="390" spans="1:12" s="1" customFormat="1" ht="18.75">
      <c r="A390" s="110"/>
      <c r="B390" s="111"/>
      <c r="C390" s="111"/>
      <c r="D390" s="112"/>
      <c r="E390" s="112"/>
      <c r="F390" s="112"/>
      <c r="G390" s="112"/>
      <c r="H390" s="112"/>
      <c r="I390" s="113"/>
      <c r="K390" s="144"/>
      <c r="L390" s="151"/>
    </row>
    <row r="391" spans="1:12" s="1" customFormat="1" ht="18.75">
      <c r="A391" s="110"/>
      <c r="B391" s="111"/>
      <c r="C391" s="111"/>
      <c r="D391" s="112"/>
      <c r="E391" s="112"/>
      <c r="F391" s="112"/>
      <c r="G391" s="112"/>
      <c r="H391" s="112"/>
      <c r="I391" s="113"/>
      <c r="K391" s="144"/>
      <c r="L391" s="151"/>
    </row>
    <row r="392" spans="1:12" s="1" customFormat="1" ht="18.75">
      <c r="A392" s="110"/>
      <c r="B392" s="111"/>
      <c r="C392" s="111"/>
      <c r="D392" s="112"/>
      <c r="E392" s="112"/>
      <c r="F392" s="112"/>
      <c r="G392" s="112"/>
      <c r="H392" s="112"/>
      <c r="I392" s="113"/>
      <c r="K392" s="144"/>
      <c r="L392" s="151"/>
    </row>
    <row r="393" spans="1:12" s="1" customFormat="1" ht="18.75">
      <c r="A393" s="110"/>
      <c r="B393" s="111"/>
      <c r="C393" s="111"/>
      <c r="D393" s="112"/>
      <c r="E393" s="112"/>
      <c r="F393" s="112"/>
      <c r="G393" s="112"/>
      <c r="H393" s="112"/>
      <c r="I393" s="113"/>
      <c r="K393" s="144"/>
      <c r="L393" s="151"/>
    </row>
    <row r="394" spans="1:12" s="1" customFormat="1" ht="18.75">
      <c r="A394" s="110"/>
      <c r="B394" s="111"/>
      <c r="C394" s="111"/>
      <c r="D394" s="112"/>
      <c r="E394" s="112"/>
      <c r="F394" s="112"/>
      <c r="G394" s="112"/>
      <c r="H394" s="112"/>
      <c r="I394" s="113"/>
      <c r="K394" s="144"/>
      <c r="L394" s="151"/>
    </row>
    <row r="395" spans="1:12" s="1" customFormat="1" ht="18.75">
      <c r="A395" s="110"/>
      <c r="B395" s="111"/>
      <c r="C395" s="111"/>
      <c r="D395" s="112"/>
      <c r="E395" s="112"/>
      <c r="F395" s="112"/>
      <c r="G395" s="112"/>
      <c r="H395" s="112"/>
      <c r="I395" s="113"/>
      <c r="K395" s="144"/>
      <c r="L395" s="151"/>
    </row>
    <row r="396" spans="1:12" s="1" customFormat="1" ht="18.75">
      <c r="A396" s="110"/>
      <c r="B396" s="111"/>
      <c r="C396" s="111"/>
      <c r="D396" s="112"/>
      <c r="E396" s="112"/>
      <c r="F396" s="112"/>
      <c r="G396" s="112"/>
      <c r="H396" s="112"/>
      <c r="I396" s="113"/>
      <c r="K396" s="144"/>
      <c r="L396" s="151"/>
    </row>
    <row r="397" spans="1:12" s="1" customFormat="1" ht="18.75">
      <c r="A397" s="110"/>
      <c r="B397" s="111"/>
      <c r="C397" s="111"/>
      <c r="D397" s="112"/>
      <c r="E397" s="112"/>
      <c r="F397" s="112"/>
      <c r="G397" s="112"/>
      <c r="H397" s="112"/>
      <c r="I397" s="113"/>
      <c r="K397" s="144"/>
      <c r="L397" s="151"/>
    </row>
    <row r="398" spans="1:12" s="1" customFormat="1" ht="18.75">
      <c r="A398" s="110"/>
      <c r="B398" s="111"/>
      <c r="C398" s="111"/>
      <c r="D398" s="112"/>
      <c r="E398" s="112"/>
      <c r="F398" s="112"/>
      <c r="G398" s="112"/>
      <c r="H398" s="112"/>
      <c r="I398" s="113"/>
      <c r="K398" s="144"/>
      <c r="L398" s="151"/>
    </row>
    <row r="399" spans="1:12" s="1" customFormat="1" ht="18.75">
      <c r="A399" s="110"/>
      <c r="B399" s="111"/>
      <c r="C399" s="111"/>
      <c r="D399" s="112"/>
      <c r="E399" s="112"/>
      <c r="F399" s="112"/>
      <c r="G399" s="112"/>
      <c r="H399" s="112"/>
      <c r="I399" s="113"/>
      <c r="K399" s="144"/>
      <c r="L399" s="151"/>
    </row>
    <row r="400" spans="1:12" s="1" customFormat="1" ht="18.75">
      <c r="A400" s="110"/>
      <c r="B400" s="111"/>
      <c r="C400" s="111"/>
      <c r="D400" s="112"/>
      <c r="E400" s="112"/>
      <c r="F400" s="112"/>
      <c r="G400" s="112"/>
      <c r="H400" s="112"/>
      <c r="I400" s="113"/>
      <c r="K400" s="144"/>
      <c r="L400" s="151"/>
    </row>
    <row r="401" spans="1:12" s="1" customFormat="1" ht="18.75">
      <c r="A401" s="110"/>
      <c r="B401" s="111"/>
      <c r="C401" s="111"/>
      <c r="D401" s="112"/>
      <c r="E401" s="112"/>
      <c r="F401" s="112"/>
      <c r="G401" s="112"/>
      <c r="H401" s="112"/>
      <c r="I401" s="113"/>
      <c r="K401" s="144"/>
      <c r="L401" s="151"/>
    </row>
    <row r="402" spans="1:12" s="1" customFormat="1" ht="18.75">
      <c r="A402" s="110"/>
      <c r="B402" s="111"/>
      <c r="C402" s="111"/>
      <c r="D402" s="112"/>
      <c r="E402" s="112"/>
      <c r="F402" s="112"/>
      <c r="G402" s="112"/>
      <c r="H402" s="112"/>
      <c r="I402" s="113"/>
      <c r="K402" s="144"/>
      <c r="L402" s="151"/>
    </row>
    <row r="403" spans="1:12" s="1" customFormat="1" ht="18.75">
      <c r="A403" s="110"/>
      <c r="B403" s="111"/>
      <c r="C403" s="111"/>
      <c r="D403" s="112"/>
      <c r="E403" s="112"/>
      <c r="F403" s="112"/>
      <c r="G403" s="112"/>
      <c r="H403" s="112"/>
      <c r="I403" s="113"/>
      <c r="K403" s="144"/>
      <c r="L403" s="151"/>
    </row>
    <row r="404" spans="1:12" s="1" customFormat="1" ht="18.75">
      <c r="A404" s="110"/>
      <c r="B404" s="111"/>
      <c r="C404" s="111"/>
      <c r="D404" s="112"/>
      <c r="E404" s="112"/>
      <c r="F404" s="112"/>
      <c r="G404" s="112"/>
      <c r="H404" s="112"/>
      <c r="I404" s="113"/>
      <c r="K404" s="144"/>
      <c r="L404" s="151"/>
    </row>
    <row r="405" spans="1:12" s="1" customFormat="1" ht="18.75">
      <c r="A405" s="110"/>
      <c r="B405" s="111"/>
      <c r="C405" s="111"/>
      <c r="D405" s="112"/>
      <c r="E405" s="112"/>
      <c r="F405" s="112"/>
      <c r="G405" s="112"/>
      <c r="H405" s="112"/>
      <c r="I405" s="113"/>
      <c r="K405" s="144"/>
      <c r="L405" s="151"/>
    </row>
    <row r="406" spans="1:12" s="1" customFormat="1" ht="18.75">
      <c r="A406" s="110"/>
      <c r="B406" s="111"/>
      <c r="C406" s="111"/>
      <c r="D406" s="112"/>
      <c r="E406" s="112"/>
      <c r="F406" s="112"/>
      <c r="G406" s="112"/>
      <c r="H406" s="112"/>
      <c r="I406" s="113"/>
      <c r="K406" s="144"/>
      <c r="L406" s="151"/>
    </row>
    <row r="407" spans="1:12" s="1" customFormat="1" ht="18.75">
      <c r="A407" s="110"/>
      <c r="B407" s="111"/>
      <c r="C407" s="111"/>
      <c r="D407" s="112"/>
      <c r="E407" s="112"/>
      <c r="F407" s="112"/>
      <c r="G407" s="112"/>
      <c r="H407" s="112"/>
      <c r="I407" s="113"/>
      <c r="K407" s="144"/>
      <c r="L407" s="151"/>
    </row>
    <row r="408" spans="1:12" s="1" customFormat="1" ht="18.75">
      <c r="A408" s="110"/>
      <c r="B408" s="111"/>
      <c r="C408" s="111"/>
      <c r="D408" s="112"/>
      <c r="E408" s="112"/>
      <c r="F408" s="112"/>
      <c r="G408" s="112"/>
      <c r="H408" s="112"/>
      <c r="I408" s="113"/>
      <c r="K408" s="144"/>
      <c r="L408" s="151"/>
    </row>
    <row r="409" spans="1:12" s="1" customFormat="1" ht="18.75">
      <c r="A409" s="110"/>
      <c r="B409" s="111"/>
      <c r="C409" s="111"/>
      <c r="D409" s="112"/>
      <c r="E409" s="112"/>
      <c r="F409" s="112"/>
      <c r="G409" s="112"/>
      <c r="H409" s="112"/>
      <c r="I409" s="113"/>
      <c r="K409" s="144"/>
      <c r="L409" s="151"/>
    </row>
    <row r="410" spans="1:12" s="1" customFormat="1" ht="18.75">
      <c r="A410" s="110"/>
      <c r="B410" s="111"/>
      <c r="C410" s="111"/>
      <c r="D410" s="112"/>
      <c r="E410" s="112"/>
      <c r="F410" s="112"/>
      <c r="G410" s="112"/>
      <c r="H410" s="112"/>
      <c r="I410" s="113"/>
      <c r="K410" s="144"/>
      <c r="L410" s="151"/>
    </row>
    <row r="411" spans="1:12" s="1" customFormat="1" ht="18.75">
      <c r="A411" s="110"/>
      <c r="B411" s="111"/>
      <c r="C411" s="111"/>
      <c r="D411" s="112"/>
      <c r="E411" s="112"/>
      <c r="F411" s="112"/>
      <c r="G411" s="112"/>
      <c r="H411" s="112"/>
      <c r="I411" s="113"/>
      <c r="K411" s="144"/>
      <c r="L411" s="151"/>
    </row>
    <row r="412" spans="1:12" s="1" customFormat="1" ht="18.75">
      <c r="A412" s="110"/>
      <c r="B412" s="111"/>
      <c r="C412" s="111"/>
      <c r="D412" s="112"/>
      <c r="E412" s="112"/>
      <c r="F412" s="112"/>
      <c r="G412" s="112"/>
      <c r="H412" s="112"/>
      <c r="I412" s="113"/>
      <c r="K412" s="144"/>
      <c r="L412" s="151"/>
    </row>
    <row r="413" spans="1:12" s="1" customFormat="1" ht="18.75">
      <c r="A413" s="110"/>
      <c r="B413" s="111"/>
      <c r="C413" s="111"/>
      <c r="D413" s="112"/>
      <c r="E413" s="112"/>
      <c r="F413" s="112"/>
      <c r="G413" s="112"/>
      <c r="H413" s="112"/>
      <c r="I413" s="113"/>
      <c r="K413" s="144"/>
      <c r="L413" s="151"/>
    </row>
    <row r="414" spans="1:12" s="1" customFormat="1" ht="18.75">
      <c r="A414" s="110"/>
      <c r="B414" s="111"/>
      <c r="C414" s="111"/>
      <c r="D414" s="112"/>
      <c r="E414" s="112"/>
      <c r="F414" s="112"/>
      <c r="G414" s="112"/>
      <c r="H414" s="112"/>
      <c r="I414" s="113"/>
      <c r="K414" s="144"/>
      <c r="L414" s="151"/>
    </row>
    <row r="415" spans="1:12" s="1" customFormat="1" ht="18.75">
      <c r="A415" s="110"/>
      <c r="B415" s="111"/>
      <c r="C415" s="111"/>
      <c r="D415" s="112"/>
      <c r="E415" s="112"/>
      <c r="F415" s="112"/>
      <c r="G415" s="112"/>
      <c r="H415" s="112"/>
      <c r="I415" s="113"/>
      <c r="K415" s="144"/>
      <c r="L415" s="151"/>
    </row>
    <row r="416" spans="1:12" s="1" customFormat="1" ht="18.75">
      <c r="A416" s="110"/>
      <c r="B416" s="111"/>
      <c r="C416" s="111"/>
      <c r="D416" s="112"/>
      <c r="E416" s="112"/>
      <c r="F416" s="112"/>
      <c r="G416" s="112"/>
      <c r="H416" s="112"/>
      <c r="I416" s="113"/>
      <c r="K416" s="144"/>
      <c r="L416" s="151"/>
    </row>
    <row r="417" spans="1:12" s="1" customFormat="1" ht="18.75">
      <c r="A417" s="110"/>
      <c r="B417" s="111"/>
      <c r="C417" s="111"/>
      <c r="D417" s="112"/>
      <c r="E417" s="112"/>
      <c r="F417" s="112"/>
      <c r="G417" s="112"/>
      <c r="H417" s="112"/>
      <c r="I417" s="113"/>
      <c r="K417" s="144"/>
      <c r="L417" s="151"/>
    </row>
    <row r="418" spans="1:12" s="1" customFormat="1" ht="18.75">
      <c r="A418" s="110"/>
      <c r="B418" s="111"/>
      <c r="C418" s="111"/>
      <c r="D418" s="112"/>
      <c r="E418" s="112"/>
      <c r="F418" s="112"/>
      <c r="G418" s="112"/>
      <c r="H418" s="112"/>
      <c r="I418" s="113"/>
      <c r="K418" s="144"/>
      <c r="L418" s="151"/>
    </row>
    <row r="419" spans="1:12" s="1" customFormat="1" ht="18.75">
      <c r="A419" s="110"/>
      <c r="B419" s="111"/>
      <c r="C419" s="111"/>
      <c r="D419" s="112"/>
      <c r="E419" s="112"/>
      <c r="F419" s="112"/>
      <c r="G419" s="112"/>
      <c r="H419" s="112"/>
      <c r="I419" s="113"/>
      <c r="K419" s="144"/>
      <c r="L419" s="151"/>
    </row>
    <row r="420" spans="1:12" s="1" customFormat="1" ht="18.75">
      <c r="A420" s="110"/>
      <c r="B420" s="111"/>
      <c r="C420" s="111"/>
      <c r="D420" s="112"/>
      <c r="E420" s="112"/>
      <c r="F420" s="112"/>
      <c r="G420" s="112"/>
      <c r="H420" s="112"/>
      <c r="I420" s="113"/>
      <c r="K420" s="144"/>
      <c r="L420" s="151"/>
    </row>
    <row r="421" spans="1:12" s="1" customFormat="1" ht="18.75">
      <c r="A421" s="110"/>
      <c r="B421" s="111"/>
      <c r="C421" s="111"/>
      <c r="D421" s="112"/>
      <c r="E421" s="112"/>
      <c r="F421" s="112"/>
      <c r="G421" s="112"/>
      <c r="H421" s="112"/>
      <c r="I421" s="113"/>
      <c r="K421" s="144"/>
      <c r="L421" s="151"/>
    </row>
    <row r="422" spans="1:12" s="1" customFormat="1" ht="18.75">
      <c r="A422" s="110"/>
      <c r="B422" s="111"/>
      <c r="C422" s="111"/>
      <c r="D422" s="112"/>
      <c r="E422" s="112"/>
      <c r="F422" s="112"/>
      <c r="G422" s="112"/>
      <c r="H422" s="112"/>
      <c r="I422" s="113"/>
      <c r="K422" s="144"/>
      <c r="L422" s="151"/>
    </row>
    <row r="423" spans="1:12" s="1" customFormat="1" ht="18.75">
      <c r="A423" s="110"/>
      <c r="B423" s="111"/>
      <c r="C423" s="111"/>
      <c r="D423" s="112"/>
      <c r="E423" s="112"/>
      <c r="F423" s="112"/>
      <c r="G423" s="112"/>
      <c r="H423" s="112"/>
      <c r="I423" s="113"/>
      <c r="K423" s="144"/>
      <c r="L423" s="151"/>
    </row>
    <row r="424" spans="1:12" s="1" customFormat="1" ht="18.75">
      <c r="A424" s="110"/>
      <c r="B424" s="111"/>
      <c r="C424" s="111"/>
      <c r="D424" s="112"/>
      <c r="E424" s="112"/>
      <c r="F424" s="112"/>
      <c r="G424" s="112"/>
      <c r="H424" s="112"/>
      <c r="I424" s="113"/>
      <c r="K424" s="144"/>
      <c r="L424" s="151"/>
    </row>
    <row r="425" spans="1:12" s="1" customFormat="1" ht="18.75">
      <c r="A425" s="110"/>
      <c r="B425" s="111"/>
      <c r="C425" s="111"/>
      <c r="D425" s="112"/>
      <c r="E425" s="112"/>
      <c r="F425" s="112"/>
      <c r="G425" s="112"/>
      <c r="H425" s="112"/>
      <c r="I425" s="113"/>
      <c r="K425" s="144"/>
      <c r="L425" s="151"/>
    </row>
    <row r="426" spans="1:12" s="1" customFormat="1" ht="18.75">
      <c r="A426" s="110"/>
      <c r="B426" s="111"/>
      <c r="C426" s="111"/>
      <c r="D426" s="112"/>
      <c r="E426" s="112"/>
      <c r="F426" s="112"/>
      <c r="G426" s="112"/>
      <c r="H426" s="112"/>
      <c r="I426" s="113"/>
      <c r="K426" s="144"/>
      <c r="L426" s="151"/>
    </row>
    <row r="427" spans="1:12" s="1" customFormat="1" ht="18.75">
      <c r="A427" s="110"/>
      <c r="B427" s="111"/>
      <c r="C427" s="111"/>
      <c r="D427" s="112"/>
      <c r="E427" s="112"/>
      <c r="F427" s="112"/>
      <c r="G427" s="112"/>
      <c r="H427" s="112"/>
      <c r="I427" s="113"/>
      <c r="K427" s="144"/>
      <c r="L427" s="151"/>
    </row>
    <row r="428" spans="1:12" s="1" customFormat="1" ht="18.75">
      <c r="A428" s="110"/>
      <c r="B428" s="111"/>
      <c r="C428" s="111"/>
      <c r="D428" s="112"/>
      <c r="E428" s="112"/>
      <c r="F428" s="112"/>
      <c r="G428" s="112"/>
      <c r="H428" s="112"/>
      <c r="I428" s="113"/>
      <c r="K428" s="144"/>
      <c r="L428" s="151"/>
    </row>
    <row r="429" spans="1:12" s="1" customFormat="1" ht="18.75">
      <c r="A429" s="110"/>
      <c r="B429" s="111"/>
      <c r="C429" s="111"/>
      <c r="D429" s="112"/>
      <c r="E429" s="112"/>
      <c r="F429" s="112"/>
      <c r="G429" s="112"/>
      <c r="H429" s="112"/>
      <c r="I429" s="113"/>
      <c r="K429" s="144"/>
      <c r="L429" s="151"/>
    </row>
    <row r="430" spans="1:12" s="1" customFormat="1" ht="18.75">
      <c r="A430" s="110"/>
      <c r="B430" s="111"/>
      <c r="C430" s="111"/>
      <c r="D430" s="112"/>
      <c r="E430" s="112"/>
      <c r="F430" s="112"/>
      <c r="G430" s="112"/>
      <c r="H430" s="112"/>
      <c r="I430" s="113"/>
      <c r="K430" s="144"/>
      <c r="L430" s="151"/>
    </row>
    <row r="431" spans="1:12" s="1" customFormat="1" ht="18.75">
      <c r="A431" s="110"/>
      <c r="B431" s="111"/>
      <c r="C431" s="111"/>
      <c r="D431" s="112"/>
      <c r="E431" s="112"/>
      <c r="F431" s="112"/>
      <c r="G431" s="112"/>
      <c r="H431" s="112"/>
      <c r="I431" s="113"/>
      <c r="K431" s="144"/>
      <c r="L431" s="151"/>
    </row>
    <row r="432" spans="1:12" s="1" customFormat="1" ht="18.75">
      <c r="A432" s="110"/>
      <c r="B432" s="111"/>
      <c r="C432" s="111"/>
      <c r="D432" s="112"/>
      <c r="E432" s="112"/>
      <c r="F432" s="112"/>
      <c r="G432" s="112"/>
      <c r="H432" s="112"/>
      <c r="I432" s="113"/>
      <c r="K432" s="144"/>
      <c r="L432" s="151"/>
    </row>
    <row r="433" spans="1:12" s="1" customFormat="1" ht="18.75">
      <c r="A433" s="110"/>
      <c r="B433" s="111"/>
      <c r="C433" s="111"/>
      <c r="D433" s="112"/>
      <c r="E433" s="112"/>
      <c r="F433" s="112"/>
      <c r="G433" s="112"/>
      <c r="H433" s="112"/>
      <c r="I433" s="113"/>
      <c r="K433" s="144"/>
      <c r="L433" s="151"/>
    </row>
    <row r="434" spans="1:12" s="1" customFormat="1" ht="18.75">
      <c r="A434" s="110"/>
      <c r="B434" s="111"/>
      <c r="C434" s="111"/>
      <c r="D434" s="112"/>
      <c r="E434" s="112"/>
      <c r="F434" s="112"/>
      <c r="G434" s="112"/>
      <c r="H434" s="112"/>
      <c r="I434" s="113"/>
      <c r="K434" s="144"/>
      <c r="L434" s="151"/>
    </row>
    <row r="435" spans="1:12" s="1" customFormat="1" ht="18.75">
      <c r="A435" s="110"/>
      <c r="B435" s="111"/>
      <c r="C435" s="111"/>
      <c r="D435" s="112"/>
      <c r="E435" s="112"/>
      <c r="F435" s="112"/>
      <c r="G435" s="112"/>
      <c r="H435" s="112"/>
      <c r="I435" s="113"/>
      <c r="K435" s="144"/>
      <c r="L435" s="151"/>
    </row>
    <row r="436" spans="1:12" s="1" customFormat="1" ht="18.75">
      <c r="A436" s="110"/>
      <c r="B436" s="111"/>
      <c r="C436" s="111"/>
      <c r="D436" s="112"/>
      <c r="E436" s="112"/>
      <c r="F436" s="112"/>
      <c r="G436" s="112"/>
      <c r="H436" s="112"/>
      <c r="I436" s="113"/>
      <c r="K436" s="144"/>
      <c r="L436" s="151"/>
    </row>
    <row r="437" spans="1:12" s="1" customFormat="1" ht="18.75">
      <c r="A437" s="110"/>
      <c r="B437" s="111"/>
      <c r="C437" s="111"/>
      <c r="D437" s="112"/>
      <c r="E437" s="112"/>
      <c r="F437" s="112"/>
      <c r="G437" s="112"/>
      <c r="H437" s="112"/>
      <c r="I437" s="113"/>
      <c r="K437" s="144"/>
      <c r="L437" s="151"/>
    </row>
    <row r="438" spans="1:12" s="1" customFormat="1" ht="18.75">
      <c r="A438" s="110"/>
      <c r="B438" s="111"/>
      <c r="C438" s="111"/>
      <c r="D438" s="112"/>
      <c r="E438" s="112"/>
      <c r="F438" s="112"/>
      <c r="G438" s="112"/>
      <c r="H438" s="112"/>
      <c r="I438" s="113"/>
      <c r="K438" s="144"/>
      <c r="L438" s="151"/>
    </row>
    <row r="439" spans="1:12" s="1" customFormat="1" ht="18.75">
      <c r="A439" s="110"/>
      <c r="B439" s="111"/>
      <c r="C439" s="111"/>
      <c r="D439" s="112"/>
      <c r="E439" s="112"/>
      <c r="F439" s="112"/>
      <c r="G439" s="112"/>
      <c r="H439" s="112"/>
      <c r="I439" s="113"/>
      <c r="K439" s="144"/>
      <c r="L439" s="151"/>
    </row>
    <row r="440" spans="1:12" s="1" customFormat="1" ht="18.75">
      <c r="A440" s="110"/>
      <c r="B440" s="111"/>
      <c r="C440" s="111"/>
      <c r="D440" s="112"/>
      <c r="E440" s="112"/>
      <c r="F440" s="112"/>
      <c r="G440" s="112"/>
      <c r="H440" s="112"/>
      <c r="I440" s="113"/>
      <c r="K440" s="144"/>
      <c r="L440" s="151"/>
    </row>
    <row r="441" spans="1:12" s="1" customFormat="1" ht="18.75">
      <c r="A441" s="110"/>
      <c r="B441" s="111"/>
      <c r="C441" s="111"/>
      <c r="D441" s="112"/>
      <c r="E441" s="112"/>
      <c r="F441" s="112"/>
      <c r="G441" s="112"/>
      <c r="H441" s="112"/>
      <c r="I441" s="113"/>
      <c r="K441" s="144"/>
      <c r="L441" s="151"/>
    </row>
    <row r="442" spans="1:12" s="1" customFormat="1" ht="18.75">
      <c r="A442" s="110"/>
      <c r="B442" s="111"/>
      <c r="C442" s="111"/>
      <c r="D442" s="112"/>
      <c r="E442" s="112"/>
      <c r="F442" s="112"/>
      <c r="G442" s="112"/>
      <c r="H442" s="112"/>
      <c r="I442" s="113"/>
      <c r="K442" s="144"/>
      <c r="L442" s="151"/>
    </row>
    <row r="443" spans="1:12" s="1" customFormat="1" ht="18.75">
      <c r="A443" s="110"/>
      <c r="B443" s="111"/>
      <c r="C443" s="111"/>
      <c r="D443" s="112"/>
      <c r="E443" s="112"/>
      <c r="F443" s="112"/>
      <c r="G443" s="112"/>
      <c r="H443" s="112"/>
      <c r="I443" s="113"/>
      <c r="K443" s="144"/>
      <c r="L443" s="151"/>
    </row>
    <row r="444" spans="1:12" s="1" customFormat="1" ht="18.75">
      <c r="A444" s="110"/>
      <c r="B444" s="111"/>
      <c r="C444" s="111"/>
      <c r="D444" s="112"/>
      <c r="E444" s="112"/>
      <c r="F444" s="112"/>
      <c r="G444" s="112"/>
      <c r="H444" s="112"/>
      <c r="I444" s="113"/>
      <c r="K444" s="144"/>
      <c r="L444" s="151"/>
    </row>
    <row r="445" spans="1:12" s="1" customFormat="1" ht="18.75">
      <c r="A445" s="110"/>
      <c r="B445" s="111"/>
      <c r="C445" s="111"/>
      <c r="D445" s="112"/>
      <c r="E445" s="112"/>
      <c r="F445" s="112"/>
      <c r="G445" s="112"/>
      <c r="H445" s="112"/>
      <c r="I445" s="113"/>
      <c r="K445" s="144"/>
      <c r="L445" s="151"/>
    </row>
    <row r="446" spans="1:12" s="1" customFormat="1" ht="18.75">
      <c r="A446" s="110"/>
      <c r="B446" s="111"/>
      <c r="C446" s="111"/>
      <c r="D446" s="112"/>
      <c r="E446" s="112"/>
      <c r="F446" s="112"/>
      <c r="G446" s="112"/>
      <c r="H446" s="112"/>
      <c r="I446" s="113"/>
      <c r="K446" s="144"/>
      <c r="L446" s="151"/>
    </row>
    <row r="447" spans="1:12" s="1" customFormat="1" ht="18.75">
      <c r="A447" s="110"/>
      <c r="B447" s="111"/>
      <c r="C447" s="111"/>
      <c r="D447" s="112"/>
      <c r="E447" s="112"/>
      <c r="F447" s="112"/>
      <c r="G447" s="112"/>
      <c r="H447" s="112"/>
      <c r="I447" s="113"/>
      <c r="K447" s="144"/>
      <c r="L447" s="151"/>
    </row>
    <row r="448" spans="1:12" s="1" customFormat="1" ht="18.75">
      <c r="A448" s="110"/>
      <c r="B448" s="111"/>
      <c r="C448" s="111"/>
      <c r="D448" s="112"/>
      <c r="E448" s="112"/>
      <c r="F448" s="112"/>
      <c r="G448" s="112"/>
      <c r="H448" s="112"/>
      <c r="I448" s="113"/>
      <c r="K448" s="144"/>
      <c r="L448" s="151"/>
    </row>
    <row r="449" spans="1:12" s="1" customFormat="1" ht="18.75">
      <c r="A449" s="110"/>
      <c r="B449" s="111"/>
      <c r="C449" s="111"/>
      <c r="D449" s="112"/>
      <c r="E449" s="112"/>
      <c r="F449" s="112"/>
      <c r="G449" s="112"/>
      <c r="H449" s="112"/>
      <c r="I449" s="113"/>
      <c r="K449" s="144"/>
      <c r="L449" s="151"/>
    </row>
    <row r="450" spans="1:12" s="1" customFormat="1" ht="18.75">
      <c r="A450" s="110"/>
      <c r="B450" s="111"/>
      <c r="C450" s="111"/>
      <c r="D450" s="112"/>
      <c r="E450" s="112"/>
      <c r="F450" s="112"/>
      <c r="G450" s="112"/>
      <c r="H450" s="112"/>
      <c r="I450" s="113"/>
      <c r="K450" s="144"/>
      <c r="L450" s="151"/>
    </row>
    <row r="451" spans="1:12" s="1" customFormat="1" ht="18.75">
      <c r="A451" s="110"/>
      <c r="B451" s="111"/>
      <c r="C451" s="111"/>
      <c r="D451" s="112"/>
      <c r="E451" s="112"/>
      <c r="F451" s="112"/>
      <c r="G451" s="112"/>
      <c r="H451" s="112"/>
      <c r="I451" s="113"/>
      <c r="K451" s="144"/>
      <c r="L451" s="151"/>
    </row>
    <row r="452" spans="1:12" s="1" customFormat="1" ht="18.75">
      <c r="A452" s="110"/>
      <c r="B452" s="111"/>
      <c r="C452" s="111"/>
      <c r="D452" s="112"/>
      <c r="E452" s="112"/>
      <c r="F452" s="112"/>
      <c r="G452" s="112"/>
      <c r="H452" s="112"/>
      <c r="I452" s="113"/>
      <c r="K452" s="144"/>
      <c r="L452" s="151"/>
    </row>
    <row r="453" spans="1:12" s="1" customFormat="1" ht="18.75">
      <c r="A453" s="110"/>
      <c r="B453" s="111"/>
      <c r="C453" s="111"/>
      <c r="D453" s="112"/>
      <c r="E453" s="112"/>
      <c r="F453" s="112"/>
      <c r="G453" s="112"/>
      <c r="H453" s="112"/>
      <c r="I453" s="113"/>
      <c r="K453" s="144"/>
      <c r="L453" s="151"/>
    </row>
    <row r="454" spans="1:12" s="1" customFormat="1" ht="18.75">
      <c r="A454" s="110"/>
      <c r="B454" s="111"/>
      <c r="C454" s="111"/>
      <c r="D454" s="112"/>
      <c r="E454" s="112"/>
      <c r="F454" s="112"/>
      <c r="G454" s="112"/>
      <c r="H454" s="112"/>
      <c r="I454" s="113"/>
      <c r="K454" s="144"/>
      <c r="L454" s="151"/>
    </row>
    <row r="455" spans="1:12" s="1" customFormat="1" ht="18.75">
      <c r="A455" s="110"/>
      <c r="B455" s="111"/>
      <c r="C455" s="111"/>
      <c r="D455" s="112"/>
      <c r="E455" s="112"/>
      <c r="F455" s="112"/>
      <c r="G455" s="112"/>
      <c r="H455" s="112"/>
      <c r="I455" s="113"/>
      <c r="K455" s="144"/>
      <c r="L455" s="151"/>
    </row>
    <row r="456" spans="1:12" s="1" customFormat="1" ht="18.75">
      <c r="A456" s="110"/>
      <c r="B456" s="111"/>
      <c r="C456" s="111"/>
      <c r="D456" s="112"/>
      <c r="E456" s="112"/>
      <c r="F456" s="112"/>
      <c r="G456" s="112"/>
      <c r="H456" s="112"/>
      <c r="I456" s="113"/>
      <c r="K456" s="144"/>
      <c r="L456" s="151"/>
    </row>
  </sheetData>
  <sheetProtection/>
  <mergeCells count="45">
    <mergeCell ref="A6:K6"/>
    <mergeCell ref="K8:K10"/>
    <mergeCell ref="F8:F10"/>
    <mergeCell ref="A349:E349"/>
    <mergeCell ref="J349:K349"/>
    <mergeCell ref="B8:B10"/>
    <mergeCell ref="C8:C10"/>
    <mergeCell ref="J8:J10"/>
    <mergeCell ref="J351:K351"/>
    <mergeCell ref="A351:E351"/>
    <mergeCell ref="A8:A10"/>
    <mergeCell ref="G8:G10"/>
    <mergeCell ref="H351:I351"/>
    <mergeCell ref="D8:D10"/>
    <mergeCell ref="E8:E10"/>
    <mergeCell ref="A350:E350"/>
    <mergeCell ref="J350:K350"/>
    <mergeCell ref="L1:L21"/>
    <mergeCell ref="I8:I10"/>
    <mergeCell ref="H8:H10"/>
    <mergeCell ref="H1:K1"/>
    <mergeCell ref="H2:K2"/>
    <mergeCell ref="L22:L38"/>
    <mergeCell ref="L39:L55"/>
    <mergeCell ref="H3:K3"/>
    <mergeCell ref="L56:L74"/>
    <mergeCell ref="L75:L81"/>
    <mergeCell ref="L82:L90"/>
    <mergeCell ref="L91:L109"/>
    <mergeCell ref="L110:L122"/>
    <mergeCell ref="L123:L133"/>
    <mergeCell ref="L134:L143"/>
    <mergeCell ref="L144:L156"/>
    <mergeCell ref="L157:L172"/>
    <mergeCell ref="L173:L187"/>
    <mergeCell ref="L188:L207"/>
    <mergeCell ref="L208:L222"/>
    <mergeCell ref="L320:L335"/>
    <mergeCell ref="L336:L353"/>
    <mergeCell ref="L223:L239"/>
    <mergeCell ref="L240:L254"/>
    <mergeCell ref="L255:L270"/>
    <mergeCell ref="L271:L287"/>
    <mergeCell ref="L288:L303"/>
    <mergeCell ref="L304:L319"/>
  </mergeCells>
  <printOptions horizontalCentered="1"/>
  <pageMargins left="0.1968503937007874" right="0.1968503937007874" top="1.1811023622047245" bottom="0.5905511811023623" header="0.1968503937007874" footer="0.2362204724409449"/>
  <pageSetup fitToHeight="26" fitToWidth="1" horizontalDpi="600" verticalDpi="600" orientation="landscape" paperSize="9" scale="52" r:id="rId1"/>
  <headerFooter differentFirst="1" alignWithMargins="0">
    <oddHeader>&amp;R&amp;18Продовження додатку 4</oddHeader>
  </headerFooter>
  <rowBreaks count="1" manualBreakCount="1">
    <brk id="76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Майковська Юлія Миколаївна</cp:lastModifiedBy>
  <cp:lastPrinted>2018-10-11T12:34:47Z</cp:lastPrinted>
  <dcterms:created xsi:type="dcterms:W3CDTF">2014-01-17T10:52:16Z</dcterms:created>
  <dcterms:modified xsi:type="dcterms:W3CDTF">2018-10-17T11:42:53Z</dcterms:modified>
  <cp:category/>
  <cp:version/>
  <cp:contentType/>
  <cp:contentStatus/>
</cp:coreProperties>
</file>