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7'!$14:$15</definedName>
    <definedName name="_xlnm.Print_Area" localSheetId="0">'дод 7'!$A$7:$K$220</definedName>
  </definedNames>
  <calcPr fullCalcOnLoad="1"/>
</workbook>
</file>

<file path=xl/sharedStrings.xml><?xml version="1.0" encoding="utf-8"?>
<sst xmlns="http://schemas.openxmlformats.org/spreadsheetml/2006/main" count="1001" uniqueCount="496">
  <si>
    <t>Загальний фонд</t>
  </si>
  <si>
    <t>Спеціальний фонд</t>
  </si>
  <si>
    <t>0111</t>
  </si>
  <si>
    <t xml:space="preserve">Всього 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</si>
  <si>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</si>
  <si>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</si>
  <si>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</si>
  <si>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</si>
  <si>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</si>
  <si>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</si>
  <si>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</si>
  <si>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</si>
  <si>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</si>
  <si>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</si>
  <si>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</si>
  <si>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</si>
  <si>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</si>
  <si>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</si>
  <si>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</si>
  <si>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</si>
  <si>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</si>
  <si>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</si>
  <si>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</si>
  <si>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</si>
  <si>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</si>
  <si>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</si>
  <si>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</si>
  <si>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</si>
  <si>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</si>
  <si>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</si>
  <si>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</si>
  <si>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</si>
  <si>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</si>
  <si>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</si>
  <si>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</si>
  <si>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</si>
  <si>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</si>
  <si>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</si>
  <si>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</si>
  <si>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</si>
  <si>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</si>
  <si>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</si>
  <si>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</si>
  <si>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</si>
  <si>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</si>
  <si>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</si>
  <si>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</si>
  <si>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</si>
  <si>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</si>
  <si>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</si>
  <si>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</si>
  <si>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</si>
  <si>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</si>
  <si>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</si>
  <si>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</si>
  <si>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</si>
  <si>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</si>
  <si>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</si>
  <si>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</si>
  <si>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</si>
  <si>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</si>
  <si>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</si>
  <si>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</si>
  <si>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</si>
  <si>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</si>
  <si>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Цільова Програма підтримки малого та середнього підприємництва в м.Суми на 2017-2019 роки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</si>
  <si>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</si>
  <si>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</si>
  <si>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</si>
  <si>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</si>
  <si>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</si>
  <si>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</si>
  <si>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</si>
  <si>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</si>
  <si>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</si>
  <si>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</si>
  <si>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</si>
  <si>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</si>
  <si>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</si>
  <si>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</si>
  <si>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</si>
  <si>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</si>
  <si>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</si>
  <si>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</si>
  <si>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</si>
  <si>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</si>
  <si>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</si>
  <si>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</si>
  <si>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</si>
  <si>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</si>
  <si>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</si>
  <si>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</si>
  <si>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</si>
  <si>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</si>
  <si>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</si>
  <si>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</si>
  <si>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</si>
  <si>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</si>
  <si>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</si>
  <si>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</si>
  <si>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</si>
  <si>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</si>
  <si>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</si>
  <si>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</si>
  <si>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</si>
  <si>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</si>
  <si>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</si>
  <si>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</si>
  <si>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</si>
  <si>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</si>
  <si>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</si>
  <si>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</si>
  <si>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</si>
  <si>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</si>
  <si>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</si>
  <si>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</si>
  <si>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</si>
  <si>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</si>
  <si>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</si>
  <si>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</si>
  <si>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</si>
  <si>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</si>
  <si>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</si>
  <si>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</si>
  <si>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</si>
  <si>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</si>
  <si>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</si>
  <si>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</si>
  <si>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</si>
  <si>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</si>
  <si>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</si>
  <si>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</si>
  <si>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</si>
  <si>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</si>
  <si>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</si>
  <si>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</si>
  <si>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</si>
  <si>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</si>
  <si>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</si>
  <si>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</si>
  <si>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</si>
  <si>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</si>
  <si>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</si>
  <si>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</si>
  <si>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</si>
  <si>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</si>
  <si>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</si>
  <si>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</si>
  <si>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</si>
  <si>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</si>
  <si>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</si>
  <si>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</si>
  <si>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</si>
  <si>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</si>
  <si>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</si>
  <si>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</si>
  <si>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</si>
  <si>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</si>
  <si>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</si>
  <si>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</si>
  <si>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</si>
  <si>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</si>
  <si>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</si>
  <si>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</si>
  <si>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</si>
  <si>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</si>
  <si>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</si>
  <si>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</si>
  <si>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</si>
  <si>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</si>
  <si>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</si>
  <si>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</si>
  <si>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</si>
  <si>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</si>
  <si>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</si>
  <si>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</si>
  <si>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</si>
  <si>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</si>
  <si>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</si>
  <si>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</si>
  <si>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</si>
  <si>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</si>
  <si>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</si>
  <si>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 Служба у справах дітей Сумської міської ради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</si>
  <si>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</si>
  <si>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</si>
  <si>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</si>
  <si>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</si>
  <si>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</si>
  <si>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</si>
  <si>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</si>
  <si>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</si>
  <si>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</si>
  <si>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</si>
  <si>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</si>
  <si>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</si>
  <si>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</si>
  <si>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</si>
  <si>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</si>
  <si>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</si>
  <si>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</si>
  <si>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</si>
  <si>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</si>
  <si>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</si>
  <si>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</si>
  <si>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</si>
  <si>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</si>
  <si>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</si>
  <si>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</si>
  <si>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</si>
  <si>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</si>
  <si>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</si>
  <si>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</si>
  <si>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</si>
  <si>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</si>
  <si>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</si>
  <si>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</si>
  <si>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</si>
  <si>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</si>
  <si>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</si>
  <si>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</si>
  <si>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</si>
  <si>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</si>
  <si>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</si>
  <si>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</si>
  <si>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</si>
  <si>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</si>
  <si>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</si>
  <si>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</si>
  <si>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</si>
  <si>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</si>
  <si>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</si>
  <si>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</si>
  <si>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</si>
  <si>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</si>
  <si>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</si>
  <si>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</si>
  <si>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</si>
  <si>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</si>
  <si>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</si>
  <si>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</si>
  <si>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</si>
  <si>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</si>
  <si>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</si>
  <si>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</si>
  <si>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</si>
  <si>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</si>
  <si>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</si>
  <si>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</si>
  <si>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</si>
  <si>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</si>
  <si>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</si>
  <si>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</si>
  <si>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</si>
  <si>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</si>
  <si>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</si>
  <si>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</si>
  <si>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</si>
  <si>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</si>
  <si>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</si>
  <si>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</si>
  <si>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</si>
  <si>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</si>
  <si>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</si>
  <si>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</si>
  <si>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</si>
  <si>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</si>
  <si>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</si>
  <si>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</si>
  <si>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</si>
  <si>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</si>
  <si>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</si>
  <si>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</si>
  <si>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</si>
  <si>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</si>
  <si>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</si>
  <si>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</si>
  <si>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</si>
  <si>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</si>
  <si>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</si>
  <si>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</si>
  <si>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</si>
  <si>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</si>
  <si>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</si>
  <si>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</si>
  <si>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</si>
  <si>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</si>
  <si>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</si>
  <si>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</si>
  <si>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</si>
  <si>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</si>
  <si>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</si>
  <si>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</si>
  <si>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</si>
  <si>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</si>
  <si>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</si>
  <si>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</si>
  <si>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</si>
  <si>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</si>
  <si>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</si>
  <si>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</si>
  <si>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</si>
  <si>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</si>
  <si>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</si>
  <si>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</si>
  <si>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</si>
  <si>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</si>
  <si>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</si>
  <si>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0726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</si>
  <si>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</si>
  <si>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</si>
  <si>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</si>
  <si>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</si>
  <si>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</si>
  <si>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</si>
  <si>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</si>
  <si>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</si>
  <si>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</si>
  <si>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</si>
  <si>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</si>
  <si>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</si>
  <si>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</si>
  <si>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</si>
  <si>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</si>
  <si>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</si>
  <si>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</si>
  <si>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</si>
  <si>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</si>
  <si>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</si>
  <si>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</si>
  <si>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</si>
  <si>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</si>
  <si>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</si>
  <si>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</si>
  <si>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</si>
  <si>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</si>
  <si>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</si>
  <si>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</si>
  <si>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</si>
  <si>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</si>
  <si>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</si>
  <si>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</si>
  <si>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</si>
  <si>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</si>
  <si>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</si>
  <si>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</si>
  <si>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</si>
  <si>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</si>
  <si>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</si>
  <si>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</si>
  <si>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</si>
  <si>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1014081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</si>
  <si>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</si>
  <si>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</si>
  <si>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</si>
  <si>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</si>
  <si>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</si>
  <si>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</si>
  <si>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</si>
  <si>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</si>
  <si>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</si>
  <si>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</si>
  <si>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</si>
  <si>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</si>
  <si>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</si>
  <si>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</si>
  <si>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</si>
  <si>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</si>
  <si>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Міська комплексна Програма «Охорона здоров’я на 2017-2020 роки»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</si>
  <si>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</si>
  <si>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</si>
  <si>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</si>
  <si>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</si>
  <si>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</si>
  <si>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Розподіл витрат місцевого бюджету на реалізацію місцевих програм у 2019 році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</si>
  <si>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</si>
  <si>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</si>
  <si>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</si>
  <si>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</si>
  <si>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</si>
  <si>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</si>
  <si>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</si>
  <si>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</si>
  <si>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</si>
  <si>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</si>
  <si>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програма «Відкритий інформаційний простір м.Суми» на 2019-2021 роки </t>
  </si>
  <si>
    <t xml:space="preserve">Комплексна міська програма «Освіта м. Суми на 2019-2021 роки» </t>
  </si>
  <si>
    <t xml:space="preserve">Міська цільова програма «Соціальні служби готові прийти на допомогу на 2019-2021 роки» </t>
  </si>
  <si>
    <t xml:space="preserve">Міська програма «Місто Суми – територія добра та милосердя на 2019 – 2021 роки» </t>
  </si>
  <si>
    <t>Програма економічного і соціального розвитку м. Суми на 2019 рік та основних напрямів розвитку на 2020-2021 роки</t>
  </si>
  <si>
    <t xml:space="preserve">Програма «Молодь міста Суми на 2019-2021 роки» </t>
  </si>
  <si>
    <t>Міська цільова комплексна Програма розвитку культури  міста Суми на 2019 - 2021 роки</t>
  </si>
  <si>
    <t xml:space="preserve">Міська комплексна програма «Правопорядок» на період 2019-2021 роки </t>
  </si>
  <si>
    <t xml:space="preserve">Міська цільова (комплексна) Програма розвитку міського пасажирського транспорту м. Суми на 2019-2021 роки </t>
  </si>
  <si>
    <t>Програма охорони навколишнього природного середовища м. Суми на 2019-2021 роки</t>
  </si>
  <si>
    <t>Програма розвитку фізичної культури і спорту в місті Суми на 2019-2021 роки</t>
  </si>
  <si>
    <t>Комплексна цільова "Програма управління та ефективного використання майна комунальної власності та земельних ресурсів територіальної громади міста Суми на 2019-2021 роки"</t>
  </si>
  <si>
    <t>Міська цільова "Програма захисту населення і території м. Суми від надзвичайних ситуацій техногенного та природного характеру на 2019-2021 роки"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</si>
  <si>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</si>
  <si>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</si>
  <si>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</si>
  <si>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21.12.2016 року № 1619-МР (зі змінами)</t>
  </si>
  <si>
    <t>від 30.11.2016 року № 1451-МР (зі змінами)</t>
  </si>
  <si>
    <t>від 21.12.2017 року № 2913-МР (зі змінами)</t>
  </si>
  <si>
    <t>від 21.12.2016 року № 1548-МР (зі змінами)</t>
  </si>
  <si>
    <t>від 25.01.2017 року № 1669-МР (зі змінами)</t>
  </si>
  <si>
    <t>від 26.10.2016 року № 1268-МР (зі змінами)</t>
  </si>
  <si>
    <t>від 21.12.2016 року № 1551-МР (зі змінами)</t>
  </si>
  <si>
    <t>3717693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</si>
  <si>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</si>
  <si>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</si>
  <si>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</si>
  <si>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</si>
  <si>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0611030</t>
  </si>
  <si>
    <t>Надання загальної середньої освіти вечiрнiми (змінними) школами</t>
  </si>
  <si>
    <t>0611150</t>
  </si>
  <si>
    <t>1150</t>
  </si>
  <si>
    <t xml:space="preserve">Методичне забезпечення діяльності навчальних закладів </t>
  </si>
  <si>
    <t xml:space="preserve">міську програму «Місто Суми – територія добра та милосердя на 2019 – 2021 роки» </t>
  </si>
  <si>
    <t>Комплексна міська програма «Освіта м. Суми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</si>
  <si>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</si>
  <si>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міську програму «Автоматизація муніципальних телекомунікаційних систем на 2017- 2019 роки в м. Суми»  </t>
  </si>
  <si>
    <t>2030</t>
  </si>
  <si>
    <t>0733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</si>
  <si>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</si>
  <si>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</si>
  <si>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</si>
  <si>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</si>
  <si>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Програма економічного і соціального розвитку м. Суми на 2019 рік та основні напрями розвитку на 2020-2021 роки</t>
  </si>
  <si>
    <t>проект рішення</t>
  </si>
  <si>
    <t xml:space="preserve">від 28.11.2018 року № 4149-МР </t>
  </si>
  <si>
    <t>від 28.11.2018 року № 4148-МР</t>
  </si>
  <si>
    <t>від 28.11.2018 року № 4150-МР</t>
  </si>
  <si>
    <t>від 28.11.2018 № 4153-МР</t>
  </si>
  <si>
    <t>Міська цільова "Програма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2019 рік"</t>
  </si>
  <si>
    <t>0712144</t>
  </si>
  <si>
    <t>2144</t>
  </si>
  <si>
    <t>0712146</t>
  </si>
  <si>
    <t>2146</t>
  </si>
  <si>
    <t>0712151</t>
  </si>
  <si>
    <t>2151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</si>
  <si>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</si>
  <si>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</si>
  <si>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Забезпечення діяльності інших закладів у сфері охорони здоров’я</t>
  </si>
  <si>
    <t>0613242</t>
  </si>
  <si>
    <t>Міська комплексна Програма «Охорона здоров’я на 2019-2021 роки»</t>
  </si>
  <si>
    <t>Міська комплексна Програма «Охорона здоров’я на 2019-2021 роки», в якій враховано видатки на:</t>
  </si>
  <si>
    <t>Міську програму "Соціальна підтримка учасників антитерористичної операції та членів їх сімей" на 2017-2019 роки"</t>
  </si>
  <si>
    <t xml:space="preserve">від 19.12.2018 року № 4331-МР 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</si>
  <si>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</si>
  <si>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</si>
  <si>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</si>
  <si>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4332-МР</t>
  </si>
  <si>
    <t>від 19.12.2018 року № 4326-МР</t>
  </si>
  <si>
    <t>від 19.12.2018 року № 4329-МР</t>
  </si>
  <si>
    <t>від 19.12.2018 року № 4333-МР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</si>
  <si>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</si>
  <si>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</si>
  <si>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</si>
  <si>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грн.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</si>
  <si>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</si>
  <si>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</si>
  <si>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</si>
  <si>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</si>
  <si>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</si>
  <si>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</si>
  <si>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</si>
  <si>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</si>
  <si>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</si>
  <si>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</si>
  <si>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</si>
  <si>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</si>
  <si>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</si>
  <si>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</si>
  <si>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</si>
  <si>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15177370</t>
  </si>
  <si>
    <t>1217670</t>
  </si>
  <si>
    <t xml:space="preserve">від 21.12.2017 року № 2920-МР </t>
  </si>
  <si>
    <t>від 25.07.2018 №3683 -МР     (зі змінами)</t>
  </si>
  <si>
    <t>від 26.10.2016 року № 1268-МР       (зі змінами)</t>
  </si>
  <si>
    <t>від 28.11.2018 року № 4148-МР         (зі змінами)</t>
  </si>
  <si>
    <t>від 26.10.2016 року № 1268-МР        (зі змінами)</t>
  </si>
  <si>
    <t>від 21.12.2016 року № 1619-МР           (зі змінами)</t>
  </si>
  <si>
    <t>від 26.10.2016 року № 1268-МР           (зі змінами)</t>
  </si>
  <si>
    <t>Інші діяльність у сфері житлово-комунального господарства</t>
  </si>
  <si>
    <t>від 28.11.2018 року № 4154-МР  (зі змінами)</t>
  </si>
  <si>
    <t>від 19.12.2018 № 4331-МР</t>
  </si>
  <si>
    <t>3717370</t>
  </si>
  <si>
    <t>від 19.12.2018 року № 4316-МР (зі змінами)</t>
  </si>
  <si>
    <t>від 28.11.2018 року № 4148-МР           (зі змінами)</t>
  </si>
  <si>
    <t>від 28.11.2018 № 4151-МР (зі змінами)</t>
  </si>
  <si>
    <t xml:space="preserve">                Додаток 7</t>
  </si>
  <si>
    <t>до рішення виконавчого комітету</t>
  </si>
  <si>
    <r>
      <t xml:space="preserve">від </t>
    </r>
    <r>
      <rPr>
        <sz val="50"/>
        <color indexed="9"/>
        <rFont val="Times New Roman"/>
        <family val="1"/>
      </rPr>
      <t>09.04.2019</t>
    </r>
    <r>
      <rPr>
        <sz val="50"/>
        <rFont val="Times New Roman"/>
        <family val="1"/>
      </rPr>
      <t xml:space="preserve"> № </t>
    </r>
  </si>
  <si>
    <t>Заступник директора департаменту фінансів, економіки та інвестицій</t>
  </si>
  <si>
    <t>Л.І. Співакова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</si>
</sst>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i/>
      <sz val="30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sz val="42"/>
      <name val="Times New Roman"/>
      <family val="1"/>
    </font>
    <font>
      <sz val="5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47" borderId="9" applyNumberFormat="0" applyAlignment="0" applyProtection="0"/>
    <xf numFmtId="0" fontId="9" fillId="48" borderId="1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5" fillId="3" borderId="0" applyNumberFormat="0" applyBorder="0" applyAlignment="0" applyProtection="0"/>
    <xf numFmtId="0" fontId="6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8" fillId="50" borderId="14" applyNumberFormat="0" applyAlignment="0" applyProtection="0"/>
    <xf numFmtId="0" fontId="17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16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Alignment="1" applyProtection="1">
      <alignment vertical="center"/>
      <protection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vertical="center"/>
    </xf>
    <xf numFmtId="4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/>
    </xf>
    <xf numFmtId="4" fontId="34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49" fontId="31" fillId="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49" fontId="27" fillId="0" borderId="18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8" fillId="0" borderId="0" xfId="0" applyFont="1" applyFill="1" applyAlignment="1">
      <alignment/>
    </xf>
    <xf numFmtId="0" fontId="31" fillId="0" borderId="21" xfId="0" applyFont="1" applyFill="1" applyBorder="1" applyAlignment="1">
      <alignment horizontal="center" vertical="center" wrapText="1"/>
    </xf>
    <xf numFmtId="200" fontId="32" fillId="0" borderId="17" xfId="95" applyNumberFormat="1" applyFont="1" applyFill="1" applyBorder="1" applyAlignment="1">
      <alignment horizontal="left" vertical="center"/>
      <protection/>
    </xf>
    <xf numFmtId="200" fontId="32" fillId="0" borderId="17" xfId="95" applyNumberFormat="1" applyFont="1" applyFill="1" applyBorder="1" applyAlignment="1">
      <alignment vertical="center"/>
      <protection/>
    </xf>
    <xf numFmtId="0" fontId="27" fillId="0" borderId="17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4" fontId="27" fillId="0" borderId="17" xfId="0" applyNumberFormat="1" applyFont="1" applyFill="1" applyBorder="1" applyAlignment="1">
      <alignment vertical="center" wrapText="1"/>
    </xf>
    <xf numFmtId="0" fontId="32" fillId="0" borderId="17" xfId="0" applyFont="1" applyFill="1" applyBorder="1" applyAlignment="1">
      <alignment vertical="center" wrapText="1"/>
    </xf>
    <xf numFmtId="4" fontId="32" fillId="0" borderId="17" xfId="0" applyNumberFormat="1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 vertical="center"/>
    </xf>
    <xf numFmtId="0" fontId="27" fillId="0" borderId="20" xfId="0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Alignment="1">
      <alignment vertical="center"/>
    </xf>
    <xf numFmtId="3" fontId="41" fillId="0" borderId="0" xfId="0" applyNumberFormat="1" applyFont="1" applyFill="1" applyBorder="1" applyAlignment="1">
      <alignment vertical="center" wrapText="1"/>
    </xf>
    <xf numFmtId="49" fontId="43" fillId="0" borderId="0" xfId="0" applyNumberFormat="1" applyFont="1" applyFill="1" applyBorder="1" applyAlignment="1" applyProtection="1">
      <alignment horizontal="left" vertical="center"/>
      <protection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3" fontId="33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vertical="center"/>
    </xf>
    <xf numFmtId="1" fontId="34" fillId="0" borderId="0" xfId="0" applyNumberFormat="1" applyFont="1" applyFill="1" applyBorder="1" applyAlignment="1">
      <alignment horizontal="center" vertical="center" textRotation="180"/>
    </xf>
    <xf numFmtId="1" fontId="34" fillId="0" borderId="0" xfId="0" applyNumberFormat="1" applyFont="1" applyFill="1" applyBorder="1" applyAlignment="1" applyProtection="1">
      <alignment horizontal="center" vertical="center" textRotation="180"/>
      <protection/>
    </xf>
    <xf numFmtId="4" fontId="30" fillId="0" borderId="0" xfId="0" applyNumberFormat="1" applyFont="1" applyFill="1" applyBorder="1" applyAlignment="1">
      <alignment vertical="justify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32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4" fontId="27" fillId="0" borderId="18" xfId="95" applyNumberFormat="1" applyFont="1" applyFill="1" applyBorder="1" applyAlignment="1">
      <alignment horizontal="center" vertical="center"/>
      <protection/>
    </xf>
    <xf numFmtId="4" fontId="40" fillId="0" borderId="17" xfId="95" applyNumberFormat="1" applyFont="1" applyFill="1" applyBorder="1" applyAlignment="1">
      <alignment horizontal="center" vertical="center"/>
      <protection/>
    </xf>
    <xf numFmtId="4" fontId="72" fillId="0" borderId="17" xfId="95" applyNumberFormat="1" applyFont="1" applyFill="1" applyBorder="1" applyAlignment="1">
      <alignment horizontal="center" vertical="center"/>
      <protection/>
    </xf>
    <xf numFmtId="4" fontId="31" fillId="0" borderId="17" xfId="95" applyNumberFormat="1" applyFont="1" applyFill="1" applyBorder="1" applyAlignment="1">
      <alignment horizontal="center" vertical="center"/>
      <protection/>
    </xf>
    <xf numFmtId="1" fontId="34" fillId="0" borderId="0" xfId="0" applyNumberFormat="1" applyFont="1" applyFill="1" applyBorder="1" applyAlignment="1" applyProtection="1">
      <alignment vertical="center" textRotation="180"/>
      <protection/>
    </xf>
    <xf numFmtId="3" fontId="41" fillId="0" borderId="0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Fill="1" applyBorder="1" applyAlignment="1" applyProtection="1">
      <alignment horizontal="center" vertical="center"/>
      <protection/>
    </xf>
    <xf numFmtId="1" fontId="27" fillId="0" borderId="18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1" fontId="27" fillId="0" borderId="22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>
      <alignment wrapText="1"/>
    </xf>
    <xf numFmtId="0" fontId="39" fillId="0" borderId="0" xfId="0" applyFont="1" applyFill="1" applyAlignment="1">
      <alignment horizontal="left" vertical="center"/>
    </xf>
    <xf numFmtId="0" fontId="39" fillId="0" borderId="17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/>
    </xf>
    <xf numFmtId="4" fontId="31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/>
    </xf>
    <xf numFmtId="1" fontId="34" fillId="0" borderId="23" xfId="0" applyNumberFormat="1" applyFont="1" applyFill="1" applyBorder="1" applyAlignment="1" applyProtection="1">
      <alignment horizontal="center" vertical="center" textRotation="180"/>
      <protection/>
    </xf>
    <xf numFmtId="1" fontId="34" fillId="0" borderId="0" xfId="0" applyNumberFormat="1" applyFont="1" applyFill="1" applyBorder="1" applyAlignment="1" applyProtection="1">
      <alignment horizontal="center" vertical="center" textRotation="180"/>
      <protection/>
    </xf>
    <xf numFmtId="0" fontId="32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1" fontId="27" fillId="0" borderId="20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1" fontId="27" fillId="0" borderId="18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1" fontId="27" fillId="0" borderId="20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0" xfId="0" applyNumberFormat="1" applyFont="1" applyFill="1" applyBorder="1" applyAlignment="1">
      <alignment horizontal="left" vertical="center" wrapText="1"/>
    </xf>
    <xf numFmtId="4" fontId="32" fillId="0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21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left" vertical="center" wrapText="1"/>
    </xf>
    <xf numFmtId="4" fontId="32" fillId="0" borderId="18" xfId="0" applyNumberFormat="1" applyFont="1" applyFill="1" applyBorder="1" applyAlignment="1" applyProtection="1">
      <alignment horizontal="center" vertical="center" wrapText="1"/>
      <protection/>
    </xf>
    <xf numFmtId="4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Font="1" applyFill="1" applyAlignment="1">
      <alignment vertical="center" wrapText="1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 applyProtection="1">
      <alignment horizontal="center" vertical="center"/>
      <protection/>
    </xf>
    <xf numFmtId="3" fontId="41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1" fontId="27" fillId="0" borderId="17" xfId="0" applyNumberFormat="1" applyFont="1" applyFill="1" applyBorder="1" applyAlignment="1">
      <alignment horizontal="center" vertic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view="pageBreakPreview" zoomScale="25" zoomScaleNormal="25" zoomScaleSheetLayoutView="25" workbookViewId="0" topLeftCell="A154">
      <selection activeCell="E105" sqref="E105"/>
    </sheetView>
  </sheetViews>
  <sheetFormatPr defaultColWidth="9.16015625" defaultRowHeight="12.75"/>
  <cols>
    <col min="1" max="1" width="56.5" style="11" customWidth="1"/>
    <col min="2" max="2" width="51.83203125" style="11" customWidth="1"/>
    <col min="3" max="3" width="55.16015625" style="11" customWidth="1"/>
    <col min="4" max="4" width="157" style="10" customWidth="1"/>
    <col min="5" max="5" width="165" style="11" customWidth="1"/>
    <col min="6" max="6" width="101.83203125" style="11" customWidth="1"/>
    <col min="7" max="7" width="81.83203125" style="11" customWidth="1"/>
    <col min="8" max="8" width="80.16015625" style="23" customWidth="1"/>
    <col min="9" max="9" width="66.5" style="23" customWidth="1"/>
    <col min="10" max="10" width="67.66015625" style="23" customWidth="1"/>
    <col min="11" max="11" width="16.83203125" style="73" customWidth="1"/>
    <col min="12" max="12" width="52.5" style="101" customWidth="1"/>
    <col min="13" max="13" width="9.16015625" style="1" customWidth="1"/>
    <col min="14" max="14" width="54.16015625" style="62" customWidth="1"/>
    <col min="15" max="16" width="9.16015625" style="1" customWidth="1"/>
    <col min="17" max="17" width="16.5" style="1" customWidth="1"/>
    <col min="18" max="16384" width="9.16015625" style="1" customWidth="1"/>
  </cols>
  <sheetData>
    <row r="1" spans="1:16" ht="60" customHeight="1" hidden="1">
      <c r="A1" s="16"/>
      <c r="B1" s="16"/>
      <c r="C1" s="16"/>
      <c r="H1" s="128" t="s">
        <v>362</v>
      </c>
      <c r="I1" s="128"/>
      <c r="J1" s="128"/>
      <c r="M1" s="2"/>
      <c r="O1" s="2"/>
      <c r="P1" s="2"/>
    </row>
    <row r="2" spans="1:16" ht="75" customHeight="1" hidden="1">
      <c r="A2" s="16"/>
      <c r="B2" s="16"/>
      <c r="C2" s="16"/>
      <c r="H2" s="128" t="s">
        <v>363</v>
      </c>
      <c r="I2" s="128"/>
      <c r="J2" s="128"/>
      <c r="M2" s="2"/>
      <c r="O2" s="2"/>
      <c r="P2" s="2"/>
    </row>
    <row r="3" spans="1:16" ht="75" customHeight="1" hidden="1">
      <c r="A3" s="16"/>
      <c r="B3" s="16"/>
      <c r="C3" s="16"/>
      <c r="H3" s="128" t="s">
        <v>364</v>
      </c>
      <c r="I3" s="128"/>
      <c r="J3" s="128"/>
      <c r="M3" s="2"/>
      <c r="O3" s="2"/>
      <c r="P3" s="2"/>
    </row>
    <row r="4" spans="1:16" ht="75" customHeight="1" hidden="1">
      <c r="A4" s="16"/>
      <c r="B4" s="16"/>
      <c r="C4" s="16"/>
      <c r="H4" s="128" t="s">
        <v>365</v>
      </c>
      <c r="I4" s="128"/>
      <c r="J4" s="128"/>
      <c r="M4" s="2"/>
      <c r="O4" s="2"/>
      <c r="P4" s="2"/>
    </row>
    <row r="5" spans="1:16" ht="75" customHeight="1" hidden="1">
      <c r="A5" s="16"/>
      <c r="B5" s="16"/>
      <c r="C5" s="16"/>
      <c r="H5" s="128" t="s">
        <v>366</v>
      </c>
      <c r="I5" s="128"/>
      <c r="J5" s="128"/>
      <c r="M5" s="2"/>
      <c r="O5" s="2"/>
      <c r="P5" s="2"/>
    </row>
    <row r="6" spans="1:16" ht="84" customHeight="1" hidden="1">
      <c r="A6" s="16"/>
      <c r="B6" s="16"/>
      <c r="C6" s="16"/>
      <c r="H6" s="128"/>
      <c r="I6" s="128"/>
      <c r="J6" s="128"/>
      <c r="M6" s="2"/>
      <c r="O6" s="2"/>
      <c r="P6" s="2"/>
    </row>
    <row r="7" spans="1:16" ht="69" customHeight="1">
      <c r="A7" s="16"/>
      <c r="B7" s="16"/>
      <c r="C7" s="16"/>
      <c r="H7" s="72" t="s">
        <v>491</v>
      </c>
      <c r="I7" s="72"/>
      <c r="J7" s="72"/>
      <c r="K7" s="108">
        <v>45</v>
      </c>
      <c r="L7" s="102"/>
      <c r="M7" s="2"/>
      <c r="O7" s="2"/>
      <c r="P7" s="2"/>
    </row>
    <row r="8" spans="1:16" ht="66.75" customHeight="1">
      <c r="A8" s="16"/>
      <c r="B8" s="16"/>
      <c r="C8" s="16"/>
      <c r="H8" s="128" t="s">
        <v>492</v>
      </c>
      <c r="I8" s="128"/>
      <c r="J8" s="128"/>
      <c r="K8" s="108"/>
      <c r="L8" s="102"/>
      <c r="M8" s="2"/>
      <c r="O8" s="2"/>
      <c r="P8" s="2"/>
    </row>
    <row r="9" spans="1:16" ht="66.75" customHeight="1">
      <c r="A9" s="16"/>
      <c r="B9" s="16"/>
      <c r="C9" s="16"/>
      <c r="H9" s="132" t="s">
        <v>493</v>
      </c>
      <c r="I9" s="132"/>
      <c r="J9" s="132"/>
      <c r="K9" s="108"/>
      <c r="L9" s="102"/>
      <c r="M9" s="2"/>
      <c r="O9" s="2"/>
      <c r="P9" s="2"/>
    </row>
    <row r="10" spans="1:16" ht="66.75" customHeight="1">
      <c r="A10" s="16"/>
      <c r="B10" s="16"/>
      <c r="C10" s="16"/>
      <c r="H10" s="72"/>
      <c r="I10" s="72"/>
      <c r="J10" s="72"/>
      <c r="K10" s="108"/>
      <c r="L10" s="102"/>
      <c r="M10" s="2"/>
      <c r="O10" s="2"/>
      <c r="P10" s="2"/>
    </row>
    <row r="11" spans="1:16" ht="105" customHeight="1">
      <c r="A11" s="16"/>
      <c r="B11" s="16"/>
      <c r="C11" s="16"/>
      <c r="H11" s="42"/>
      <c r="I11" s="42"/>
      <c r="J11" s="42"/>
      <c r="K11" s="108"/>
      <c r="M11" s="2"/>
      <c r="O11" s="2"/>
      <c r="P11" s="2"/>
    </row>
    <row r="12" spans="1:15" ht="67.5" customHeight="1">
      <c r="A12" s="131" t="s">
        <v>374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08"/>
      <c r="L12" s="103"/>
      <c r="M12" s="25"/>
      <c r="N12" s="63"/>
      <c r="O12" s="17"/>
    </row>
    <row r="13" spans="1:15" ht="46.5" customHeight="1">
      <c r="A13" s="5"/>
      <c r="B13" s="5"/>
      <c r="C13" s="5"/>
      <c r="D13" s="6"/>
      <c r="E13" s="7"/>
      <c r="F13" s="7"/>
      <c r="G13" s="7"/>
      <c r="H13" s="34"/>
      <c r="I13" s="34"/>
      <c r="J13" s="86" t="s">
        <v>459</v>
      </c>
      <c r="K13" s="108"/>
      <c r="L13" s="103"/>
      <c r="M13" s="25"/>
      <c r="N13" s="63"/>
      <c r="O13" s="17"/>
    </row>
    <row r="14" spans="1:13" ht="103.5" customHeight="1">
      <c r="A14" s="109" t="s">
        <v>375</v>
      </c>
      <c r="B14" s="109" t="s">
        <v>376</v>
      </c>
      <c r="C14" s="109" t="s">
        <v>377</v>
      </c>
      <c r="D14" s="109" t="s">
        <v>382</v>
      </c>
      <c r="E14" s="109" t="s">
        <v>66</v>
      </c>
      <c r="F14" s="109" t="s">
        <v>378</v>
      </c>
      <c r="G14" s="109" t="s">
        <v>379</v>
      </c>
      <c r="H14" s="129" t="s">
        <v>0</v>
      </c>
      <c r="I14" s="126" t="s">
        <v>1</v>
      </c>
      <c r="J14" s="127"/>
      <c r="K14" s="108"/>
      <c r="L14" s="104"/>
      <c r="M14" s="25"/>
    </row>
    <row r="15" spans="1:13" ht="217.5" customHeight="1">
      <c r="A15" s="110"/>
      <c r="B15" s="110"/>
      <c r="C15" s="110"/>
      <c r="D15" s="110"/>
      <c r="E15" s="110"/>
      <c r="F15" s="110"/>
      <c r="G15" s="110"/>
      <c r="H15" s="130"/>
      <c r="I15" s="35" t="s">
        <v>379</v>
      </c>
      <c r="J15" s="35" t="s">
        <v>380</v>
      </c>
      <c r="K15" s="108"/>
      <c r="L15" s="104"/>
      <c r="M15" s="25"/>
    </row>
    <row r="16" spans="1:14" s="45" customFormat="1" ht="102" customHeight="1">
      <c r="A16" s="20"/>
      <c r="B16" s="20"/>
      <c r="C16" s="20"/>
      <c r="D16" s="21" t="s">
        <v>136</v>
      </c>
      <c r="E16" s="52"/>
      <c r="F16" s="53"/>
      <c r="G16" s="78">
        <f>SUM(G17+G19+G20+G21+G22+G23+G24+G25+G26+G27+G28+G29+G30+G31+G32+G33+G34+G35+G36+G37+G38+G39+G42+G43+G45+G46+G47+G48+G49+G50+G51+G52+G53+G56)</f>
        <v>126953029</v>
      </c>
      <c r="H16" s="78">
        <f>SUM(H17+H19+H20+H21+H22+H23+H24+H25+H26+H27+H28+H29+H30+H31+H32+H33+H34+H35+H36+H37+H38+H39+H42+H43+H45+H46+H47+H48+H49+H50+H51+H52+H53+H56)</f>
        <v>66389740</v>
      </c>
      <c r="I16" s="78">
        <f>SUM(I17+I19+I20+I21+I22+I23+I24+I25+I26+I27+I28+I29+I30+I31+I32+I33+I34+I35+I36+I37+I38+I39+I42+I43+I45+I46+I47+I48+I49+I50+I51+I52+I53+I56)</f>
        <v>60563289</v>
      </c>
      <c r="J16" s="78">
        <f>SUM(J17+J19+J20+J21+J22+J23+J24+J25+J26+J27+J28+J29+J30+J31+J32+J33+J34+J35+J36+J37+J38+J39+J42+J43+J45+J46+J47+J48+J49+J50+J51+J52+J53+J56)</f>
        <v>60002900</v>
      </c>
      <c r="K16" s="108"/>
      <c r="L16" s="105">
        <f>H16+I16-G16</f>
        <v>0</v>
      </c>
      <c r="N16" s="64"/>
    </row>
    <row r="17" spans="1:14" ht="156.75" customHeight="1">
      <c r="A17" s="133" t="s">
        <v>137</v>
      </c>
      <c r="B17" s="116" t="s">
        <v>80</v>
      </c>
      <c r="C17" s="116" t="s">
        <v>2</v>
      </c>
      <c r="D17" s="111" t="s">
        <v>81</v>
      </c>
      <c r="E17" s="13" t="s">
        <v>385</v>
      </c>
      <c r="F17" s="54" t="s">
        <v>470</v>
      </c>
      <c r="G17" s="79">
        <f aca="true" t="shared" si="0" ref="G17:G80">H17+I17</f>
        <v>1850000</v>
      </c>
      <c r="H17" s="79">
        <v>1850000</v>
      </c>
      <c r="I17" s="79"/>
      <c r="J17" s="79"/>
      <c r="K17" s="108"/>
      <c r="L17" s="105">
        <f aca="true" t="shared" si="1" ref="L17:L80">H17+I17-G17</f>
        <v>0</v>
      </c>
      <c r="N17" s="64"/>
    </row>
    <row r="18" spans="1:14" ht="155.25" customHeight="1" hidden="1">
      <c r="A18" s="134"/>
      <c r="B18" s="117"/>
      <c r="C18" s="117"/>
      <c r="D18" s="112"/>
      <c r="E18" s="13" t="s">
        <v>74</v>
      </c>
      <c r="F18" s="54" t="s">
        <v>401</v>
      </c>
      <c r="G18" s="79">
        <f t="shared" si="0"/>
        <v>0</v>
      </c>
      <c r="H18" s="79">
        <f>400000-400000</f>
        <v>0</v>
      </c>
      <c r="I18" s="79"/>
      <c r="J18" s="79"/>
      <c r="K18" s="108"/>
      <c r="L18" s="105">
        <f t="shared" si="1"/>
        <v>0</v>
      </c>
      <c r="N18" s="64"/>
    </row>
    <row r="19" spans="1:14" ht="200.25" customHeight="1">
      <c r="A19" s="30" t="s">
        <v>216</v>
      </c>
      <c r="B19" s="87" t="s">
        <v>29</v>
      </c>
      <c r="C19" s="89" t="s">
        <v>14</v>
      </c>
      <c r="D19" s="32" t="s">
        <v>215</v>
      </c>
      <c r="E19" s="32" t="s">
        <v>217</v>
      </c>
      <c r="F19" s="55" t="s">
        <v>407</v>
      </c>
      <c r="G19" s="79">
        <f t="shared" si="0"/>
        <v>210000</v>
      </c>
      <c r="H19" s="80">
        <f>200000+10000</f>
        <v>210000</v>
      </c>
      <c r="I19" s="80"/>
      <c r="J19" s="80"/>
      <c r="K19" s="108"/>
      <c r="L19" s="105">
        <f t="shared" si="1"/>
        <v>0</v>
      </c>
      <c r="N19" s="64"/>
    </row>
    <row r="20" spans="1:14" s="4" customFormat="1" ht="151.5" customHeight="1">
      <c r="A20" s="30" t="s">
        <v>266</v>
      </c>
      <c r="B20" s="87" t="s">
        <v>44</v>
      </c>
      <c r="C20" s="89">
        <v>1070</v>
      </c>
      <c r="D20" s="13" t="s">
        <v>39</v>
      </c>
      <c r="E20" s="32" t="s">
        <v>386</v>
      </c>
      <c r="F20" s="32" t="s">
        <v>453</v>
      </c>
      <c r="G20" s="79">
        <f t="shared" si="0"/>
        <v>116396</v>
      </c>
      <c r="H20" s="80">
        <v>116396</v>
      </c>
      <c r="I20" s="80"/>
      <c r="J20" s="80"/>
      <c r="K20" s="108"/>
      <c r="L20" s="105">
        <f t="shared" si="1"/>
        <v>0</v>
      </c>
      <c r="N20" s="64"/>
    </row>
    <row r="21" spans="1:14" s="4" customFormat="1" ht="113.25" customHeight="1">
      <c r="A21" s="135" t="s">
        <v>138</v>
      </c>
      <c r="B21" s="116" t="s">
        <v>82</v>
      </c>
      <c r="C21" s="116">
        <v>1070</v>
      </c>
      <c r="D21" s="111" t="s">
        <v>381</v>
      </c>
      <c r="E21" s="13" t="s">
        <v>390</v>
      </c>
      <c r="F21" s="54" t="s">
        <v>430</v>
      </c>
      <c r="G21" s="79">
        <f t="shared" si="0"/>
        <v>81375</v>
      </c>
      <c r="H21" s="79">
        <v>81375</v>
      </c>
      <c r="I21" s="79"/>
      <c r="J21" s="79"/>
      <c r="K21" s="108"/>
      <c r="L21" s="105">
        <f t="shared" si="1"/>
        <v>0</v>
      </c>
      <c r="N21" s="64"/>
    </row>
    <row r="22" spans="1:14" s="4" customFormat="1" ht="104.25" customHeight="1">
      <c r="A22" s="136"/>
      <c r="B22" s="117"/>
      <c r="C22" s="117"/>
      <c r="D22" s="112"/>
      <c r="E22" s="32" t="s">
        <v>386</v>
      </c>
      <c r="F22" s="32" t="s">
        <v>453</v>
      </c>
      <c r="G22" s="79">
        <f t="shared" si="0"/>
        <v>172155</v>
      </c>
      <c r="H22" s="79">
        <v>172155</v>
      </c>
      <c r="I22" s="79"/>
      <c r="J22" s="79"/>
      <c r="K22" s="108"/>
      <c r="L22" s="105">
        <f t="shared" si="1"/>
        <v>0</v>
      </c>
      <c r="N22" s="64"/>
    </row>
    <row r="23" spans="1:14" s="4" customFormat="1" ht="152.25" customHeight="1">
      <c r="A23" s="12" t="s">
        <v>139</v>
      </c>
      <c r="B23" s="90" t="s">
        <v>83</v>
      </c>
      <c r="C23" s="90" t="s">
        <v>8</v>
      </c>
      <c r="D23" s="13" t="s">
        <v>84</v>
      </c>
      <c r="E23" s="13" t="s">
        <v>387</v>
      </c>
      <c r="F23" s="54" t="s">
        <v>456</v>
      </c>
      <c r="G23" s="79">
        <f t="shared" si="0"/>
        <v>65000</v>
      </c>
      <c r="H23" s="79">
        <v>65000</v>
      </c>
      <c r="I23" s="79"/>
      <c r="J23" s="79"/>
      <c r="K23" s="108"/>
      <c r="L23" s="105">
        <f t="shared" si="1"/>
        <v>0</v>
      </c>
      <c r="N23" s="64"/>
    </row>
    <row r="24" spans="1:14" s="4" customFormat="1" ht="155.25" customHeight="1">
      <c r="A24" s="12" t="s">
        <v>140</v>
      </c>
      <c r="B24" s="90" t="s">
        <v>85</v>
      </c>
      <c r="C24" s="90" t="s">
        <v>8</v>
      </c>
      <c r="D24" s="13" t="s">
        <v>86</v>
      </c>
      <c r="E24" s="13" t="s">
        <v>390</v>
      </c>
      <c r="F24" s="54" t="s">
        <v>430</v>
      </c>
      <c r="G24" s="79">
        <f t="shared" si="0"/>
        <v>800000</v>
      </c>
      <c r="H24" s="79">
        <v>800000</v>
      </c>
      <c r="I24" s="79"/>
      <c r="J24" s="79"/>
      <c r="K24" s="108"/>
      <c r="L24" s="105">
        <f t="shared" si="1"/>
        <v>0</v>
      </c>
      <c r="N24" s="64"/>
    </row>
    <row r="25" spans="1:14" s="18" customFormat="1" ht="240.75" customHeight="1">
      <c r="A25" s="12" t="s">
        <v>141</v>
      </c>
      <c r="B25" s="90" t="s">
        <v>42</v>
      </c>
      <c r="C25" s="90" t="s">
        <v>8</v>
      </c>
      <c r="D25" s="13" t="s">
        <v>46</v>
      </c>
      <c r="E25" s="13" t="s">
        <v>390</v>
      </c>
      <c r="F25" s="54" t="s">
        <v>430</v>
      </c>
      <c r="G25" s="79">
        <f t="shared" si="0"/>
        <v>3076854</v>
      </c>
      <c r="H25" s="79">
        <f>488000+2588854</f>
        <v>3076854</v>
      </c>
      <c r="I25" s="79"/>
      <c r="J25" s="79"/>
      <c r="K25" s="108"/>
      <c r="L25" s="105">
        <f t="shared" si="1"/>
        <v>0</v>
      </c>
      <c r="N25" s="64"/>
    </row>
    <row r="26" spans="1:14" s="4" customFormat="1" ht="132.75">
      <c r="A26" s="12" t="s">
        <v>270</v>
      </c>
      <c r="B26" s="90" t="s">
        <v>272</v>
      </c>
      <c r="C26" s="90" t="s">
        <v>7</v>
      </c>
      <c r="D26" s="33" t="s">
        <v>273</v>
      </c>
      <c r="E26" s="13" t="s">
        <v>387</v>
      </c>
      <c r="F26" s="54" t="s">
        <v>456</v>
      </c>
      <c r="G26" s="79">
        <f t="shared" si="0"/>
        <v>1028700</v>
      </c>
      <c r="H26" s="79">
        <f>973700+55000</f>
        <v>1028700</v>
      </c>
      <c r="I26" s="79"/>
      <c r="J26" s="39"/>
      <c r="K26" s="108"/>
      <c r="L26" s="105">
        <f t="shared" si="1"/>
        <v>0</v>
      </c>
      <c r="N26" s="64"/>
    </row>
    <row r="27" spans="1:14" s="4" customFormat="1" ht="104.25" customHeight="1">
      <c r="A27" s="133" t="s">
        <v>271</v>
      </c>
      <c r="B27" s="116" t="s">
        <v>274</v>
      </c>
      <c r="C27" s="116" t="s">
        <v>7</v>
      </c>
      <c r="D27" s="124" t="s">
        <v>275</v>
      </c>
      <c r="E27" s="13" t="s">
        <v>388</v>
      </c>
      <c r="F27" s="54" t="s">
        <v>472</v>
      </c>
      <c r="G27" s="79">
        <f t="shared" si="0"/>
        <v>172670</v>
      </c>
      <c r="H27" s="79">
        <v>172670</v>
      </c>
      <c r="I27" s="79"/>
      <c r="J27" s="39"/>
      <c r="K27" s="108"/>
      <c r="L27" s="105">
        <f t="shared" si="1"/>
        <v>0</v>
      </c>
      <c r="N27" s="64"/>
    </row>
    <row r="28" spans="1:14" s="4" customFormat="1" ht="143.25" customHeight="1">
      <c r="A28" s="134"/>
      <c r="B28" s="117"/>
      <c r="C28" s="117"/>
      <c r="D28" s="125"/>
      <c r="E28" s="13" t="s">
        <v>78</v>
      </c>
      <c r="F28" s="54" t="s">
        <v>406</v>
      </c>
      <c r="G28" s="79">
        <f t="shared" si="0"/>
        <v>65920</v>
      </c>
      <c r="H28" s="79">
        <v>65920</v>
      </c>
      <c r="I28" s="79"/>
      <c r="J28" s="39"/>
      <c r="K28" s="108"/>
      <c r="L28" s="105">
        <f t="shared" si="1"/>
        <v>0</v>
      </c>
      <c r="N28" s="64"/>
    </row>
    <row r="29" spans="1:14" s="4" customFormat="1" ht="143.25" customHeight="1">
      <c r="A29" s="37" t="s">
        <v>315</v>
      </c>
      <c r="B29" s="91" t="s">
        <v>316</v>
      </c>
      <c r="C29" s="91" t="s">
        <v>317</v>
      </c>
      <c r="D29" s="38" t="s">
        <v>318</v>
      </c>
      <c r="E29" s="13" t="s">
        <v>390</v>
      </c>
      <c r="F29" s="54" t="s">
        <v>430</v>
      </c>
      <c r="G29" s="79">
        <f t="shared" si="0"/>
        <v>700000</v>
      </c>
      <c r="H29" s="79">
        <v>700000</v>
      </c>
      <c r="I29" s="79"/>
      <c r="J29" s="39"/>
      <c r="K29" s="108"/>
      <c r="L29" s="105">
        <f t="shared" si="1"/>
        <v>0</v>
      </c>
      <c r="N29" s="64"/>
    </row>
    <row r="30" spans="1:14" s="4" customFormat="1" ht="117.75" customHeight="1">
      <c r="A30" s="31" t="s">
        <v>306</v>
      </c>
      <c r="B30" s="87" t="s">
        <v>304</v>
      </c>
      <c r="C30" s="87" t="s">
        <v>10</v>
      </c>
      <c r="D30" s="32" t="s">
        <v>305</v>
      </c>
      <c r="E30" s="13" t="s">
        <v>385</v>
      </c>
      <c r="F30" s="54" t="s">
        <v>470</v>
      </c>
      <c r="G30" s="79">
        <f t="shared" si="0"/>
        <v>800000</v>
      </c>
      <c r="H30" s="79">
        <v>800000</v>
      </c>
      <c r="I30" s="79"/>
      <c r="J30" s="79"/>
      <c r="K30" s="108"/>
      <c r="L30" s="105">
        <f t="shared" si="1"/>
        <v>0</v>
      </c>
      <c r="N30" s="64"/>
    </row>
    <row r="31" spans="1:14" s="4" customFormat="1" ht="111.75" customHeight="1">
      <c r="A31" s="31" t="s">
        <v>278</v>
      </c>
      <c r="B31" s="87" t="s">
        <v>276</v>
      </c>
      <c r="C31" s="87" t="s">
        <v>10</v>
      </c>
      <c r="D31" s="48" t="s">
        <v>277</v>
      </c>
      <c r="E31" s="13" t="s">
        <v>385</v>
      </c>
      <c r="F31" s="54" t="s">
        <v>470</v>
      </c>
      <c r="G31" s="79">
        <f t="shared" si="0"/>
        <v>429100</v>
      </c>
      <c r="H31" s="79">
        <v>429100</v>
      </c>
      <c r="I31" s="79"/>
      <c r="J31" s="79"/>
      <c r="K31" s="108"/>
      <c r="L31" s="105">
        <f t="shared" si="1"/>
        <v>0</v>
      </c>
      <c r="N31" s="64"/>
    </row>
    <row r="32" spans="1:14" s="4" customFormat="1" ht="105.75" customHeight="1">
      <c r="A32" s="12" t="s">
        <v>142</v>
      </c>
      <c r="B32" s="90" t="s">
        <v>61</v>
      </c>
      <c r="C32" s="90" t="s">
        <v>11</v>
      </c>
      <c r="D32" s="13" t="s">
        <v>47</v>
      </c>
      <c r="E32" s="13" t="s">
        <v>395</v>
      </c>
      <c r="F32" s="54" t="s">
        <v>432</v>
      </c>
      <c r="G32" s="79">
        <f t="shared" si="0"/>
        <v>810000</v>
      </c>
      <c r="H32" s="79">
        <f>750000+60000</f>
        <v>810000</v>
      </c>
      <c r="I32" s="79"/>
      <c r="J32" s="79"/>
      <c r="K32" s="107">
        <v>46</v>
      </c>
      <c r="L32" s="105">
        <f t="shared" si="1"/>
        <v>0</v>
      </c>
      <c r="N32" s="64"/>
    </row>
    <row r="33" spans="1:14" s="4" customFormat="1" ht="126.75" customHeight="1">
      <c r="A33" s="12" t="s">
        <v>143</v>
      </c>
      <c r="B33" s="90" t="s">
        <v>62</v>
      </c>
      <c r="C33" s="90" t="s">
        <v>11</v>
      </c>
      <c r="D33" s="13" t="s">
        <v>12</v>
      </c>
      <c r="E33" s="13" t="s">
        <v>395</v>
      </c>
      <c r="F33" s="54" t="s">
        <v>432</v>
      </c>
      <c r="G33" s="79">
        <f t="shared" si="0"/>
        <v>862000</v>
      </c>
      <c r="H33" s="79">
        <f>750000+65000+22000+25000</f>
        <v>862000</v>
      </c>
      <c r="I33" s="79"/>
      <c r="J33" s="79"/>
      <c r="K33" s="107"/>
      <c r="L33" s="105">
        <f t="shared" si="1"/>
        <v>0</v>
      </c>
      <c r="N33" s="64"/>
    </row>
    <row r="34" spans="1:14" s="4" customFormat="1" ht="120.75" customHeight="1">
      <c r="A34" s="12" t="s">
        <v>144</v>
      </c>
      <c r="B34" s="90" t="s">
        <v>69</v>
      </c>
      <c r="C34" s="90" t="s">
        <v>11</v>
      </c>
      <c r="D34" s="13" t="s">
        <v>48</v>
      </c>
      <c r="E34" s="13" t="s">
        <v>395</v>
      </c>
      <c r="F34" s="54" t="s">
        <v>432</v>
      </c>
      <c r="G34" s="79">
        <f t="shared" si="0"/>
        <v>10376300</v>
      </c>
      <c r="H34" s="79">
        <f>10041300+70000+30000+35000-10000</f>
        <v>10166300</v>
      </c>
      <c r="I34" s="79">
        <f>200000+10000</f>
        <v>210000</v>
      </c>
      <c r="J34" s="79">
        <f>200000+10000</f>
        <v>210000</v>
      </c>
      <c r="K34" s="107"/>
      <c r="L34" s="105">
        <f t="shared" si="1"/>
        <v>0</v>
      </c>
      <c r="N34" s="64"/>
    </row>
    <row r="35" spans="1:14" s="4" customFormat="1" ht="144.75" customHeight="1">
      <c r="A35" s="12" t="s">
        <v>145</v>
      </c>
      <c r="B35" s="90" t="s">
        <v>70</v>
      </c>
      <c r="C35" s="90" t="s">
        <v>11</v>
      </c>
      <c r="D35" s="13" t="s">
        <v>49</v>
      </c>
      <c r="E35" s="13" t="s">
        <v>395</v>
      </c>
      <c r="F35" s="54" t="s">
        <v>432</v>
      </c>
      <c r="G35" s="79">
        <f t="shared" si="0"/>
        <v>9032300</v>
      </c>
      <c r="H35" s="79">
        <f>8727300+38000+20000+40000+25000</f>
        <v>8850300</v>
      </c>
      <c r="I35" s="79">
        <f>120000+52000+10000</f>
        <v>182000</v>
      </c>
      <c r="J35" s="79">
        <f>120000+52000+10000</f>
        <v>182000</v>
      </c>
      <c r="K35" s="107"/>
      <c r="L35" s="105">
        <f t="shared" si="1"/>
        <v>0</v>
      </c>
      <c r="N35" s="64"/>
    </row>
    <row r="36" spans="1:14" s="4" customFormat="1" ht="192.75" customHeight="1">
      <c r="A36" s="12" t="s">
        <v>146</v>
      </c>
      <c r="B36" s="90" t="s">
        <v>73</v>
      </c>
      <c r="C36" s="90" t="s">
        <v>11</v>
      </c>
      <c r="D36" s="13" t="s">
        <v>71</v>
      </c>
      <c r="E36" s="13" t="s">
        <v>395</v>
      </c>
      <c r="F36" s="54" t="s">
        <v>432</v>
      </c>
      <c r="G36" s="79">
        <f t="shared" si="0"/>
        <v>4426889</v>
      </c>
      <c r="H36" s="79">
        <f>3511500+23000</f>
        <v>3534500</v>
      </c>
      <c r="I36" s="79">
        <f>385389+7000+500000</f>
        <v>892389</v>
      </c>
      <c r="J36" s="79">
        <f>135000+7000+500000</f>
        <v>642000</v>
      </c>
      <c r="K36" s="107"/>
      <c r="L36" s="105">
        <f t="shared" si="1"/>
        <v>0</v>
      </c>
      <c r="N36" s="64"/>
    </row>
    <row r="37" spans="1:14" s="4" customFormat="1" ht="150.75" customHeight="1">
      <c r="A37" s="12" t="s">
        <v>147</v>
      </c>
      <c r="B37" s="90" t="s">
        <v>68</v>
      </c>
      <c r="C37" s="90" t="s">
        <v>11</v>
      </c>
      <c r="D37" s="13" t="s">
        <v>72</v>
      </c>
      <c r="E37" s="13" t="s">
        <v>395</v>
      </c>
      <c r="F37" s="54" t="s">
        <v>432</v>
      </c>
      <c r="G37" s="79">
        <f t="shared" si="0"/>
        <v>6348380</v>
      </c>
      <c r="H37" s="79">
        <f>6057200+40000+251180</f>
        <v>6348380</v>
      </c>
      <c r="I37" s="79"/>
      <c r="J37" s="79"/>
      <c r="K37" s="107"/>
      <c r="L37" s="105">
        <f t="shared" si="1"/>
        <v>0</v>
      </c>
      <c r="N37" s="64"/>
    </row>
    <row r="38" spans="1:14" s="4" customFormat="1" ht="146.25" customHeight="1">
      <c r="A38" s="12" t="s">
        <v>148</v>
      </c>
      <c r="B38" s="90" t="s">
        <v>104</v>
      </c>
      <c r="C38" s="90" t="s">
        <v>32</v>
      </c>
      <c r="D38" s="13" t="s">
        <v>31</v>
      </c>
      <c r="E38" s="13" t="s">
        <v>393</v>
      </c>
      <c r="F38" s="54" t="s">
        <v>451</v>
      </c>
      <c r="G38" s="79">
        <f t="shared" si="0"/>
        <v>10102369.4</v>
      </c>
      <c r="H38" s="79">
        <f>4000000+6102369.4</f>
        <v>10102369.4</v>
      </c>
      <c r="I38" s="79"/>
      <c r="J38" s="79"/>
      <c r="K38" s="107"/>
      <c r="L38" s="105">
        <f t="shared" si="1"/>
        <v>0</v>
      </c>
      <c r="N38" s="64"/>
    </row>
    <row r="39" spans="1:14" s="4" customFormat="1" ht="138" customHeight="1">
      <c r="A39" s="12" t="s">
        <v>149</v>
      </c>
      <c r="B39" s="90" t="s">
        <v>105</v>
      </c>
      <c r="C39" s="90" t="s">
        <v>33</v>
      </c>
      <c r="D39" s="13" t="s">
        <v>106</v>
      </c>
      <c r="E39" s="13" t="s">
        <v>393</v>
      </c>
      <c r="F39" s="54" t="s">
        <v>451</v>
      </c>
      <c r="G39" s="79">
        <f t="shared" si="0"/>
        <v>897630.5999999996</v>
      </c>
      <c r="H39" s="79">
        <f>7000000-6102369.4</f>
        <v>897630.5999999996</v>
      </c>
      <c r="I39" s="79"/>
      <c r="J39" s="79"/>
      <c r="K39" s="107"/>
      <c r="L39" s="105">
        <f t="shared" si="1"/>
        <v>0</v>
      </c>
      <c r="N39" s="64"/>
    </row>
    <row r="40" spans="1:14" s="4" customFormat="1" ht="169.5" customHeight="1" hidden="1">
      <c r="A40" s="12" t="s">
        <v>150</v>
      </c>
      <c r="B40" s="90" t="s">
        <v>107</v>
      </c>
      <c r="C40" s="90" t="s">
        <v>33</v>
      </c>
      <c r="D40" s="13" t="s">
        <v>108</v>
      </c>
      <c r="E40" s="13" t="s">
        <v>393</v>
      </c>
      <c r="F40" s="32" t="s">
        <v>429</v>
      </c>
      <c r="G40" s="79">
        <f t="shared" si="0"/>
        <v>0</v>
      </c>
      <c r="H40" s="79"/>
      <c r="I40" s="79"/>
      <c r="J40" s="79"/>
      <c r="K40" s="107"/>
      <c r="L40" s="105">
        <f t="shared" si="1"/>
        <v>0</v>
      </c>
      <c r="N40" s="64"/>
    </row>
    <row r="41" spans="1:14" s="18" customFormat="1" ht="133.5" customHeight="1" hidden="1">
      <c r="A41" s="12" t="s">
        <v>291</v>
      </c>
      <c r="B41" s="90" t="s">
        <v>292</v>
      </c>
      <c r="C41" s="90" t="s">
        <v>294</v>
      </c>
      <c r="D41" s="13" t="s">
        <v>293</v>
      </c>
      <c r="E41" s="13" t="s">
        <v>393</v>
      </c>
      <c r="F41" s="32" t="s">
        <v>429</v>
      </c>
      <c r="G41" s="79">
        <f t="shared" si="0"/>
        <v>0</v>
      </c>
      <c r="H41" s="79"/>
      <c r="I41" s="79"/>
      <c r="J41" s="79"/>
      <c r="K41" s="107"/>
      <c r="L41" s="105">
        <f t="shared" si="1"/>
        <v>0</v>
      </c>
      <c r="N41" s="64"/>
    </row>
    <row r="42" spans="1:14" s="4" customFormat="1" ht="154.5" customHeight="1">
      <c r="A42" s="12" t="s">
        <v>227</v>
      </c>
      <c r="B42" s="90" t="s">
        <v>228</v>
      </c>
      <c r="C42" s="90" t="s">
        <v>229</v>
      </c>
      <c r="D42" s="13" t="s">
        <v>230</v>
      </c>
      <c r="E42" s="13" t="s">
        <v>74</v>
      </c>
      <c r="F42" s="54" t="s">
        <v>401</v>
      </c>
      <c r="G42" s="79">
        <f t="shared" si="0"/>
        <v>13851360</v>
      </c>
      <c r="H42" s="79">
        <f>6802500+2861360+400000</f>
        <v>10063860</v>
      </c>
      <c r="I42" s="79">
        <f>3197500+590000</f>
        <v>3787500</v>
      </c>
      <c r="J42" s="79">
        <f>3197500+590000</f>
        <v>3787500</v>
      </c>
      <c r="K42" s="107"/>
      <c r="L42" s="105">
        <f t="shared" si="1"/>
        <v>0</v>
      </c>
      <c r="N42" s="64"/>
    </row>
    <row r="43" spans="1:14" s="18" customFormat="1" ht="169.5" customHeight="1">
      <c r="A43" s="12" t="s">
        <v>151</v>
      </c>
      <c r="B43" s="90" t="s">
        <v>109</v>
      </c>
      <c r="C43" s="90" t="s">
        <v>6</v>
      </c>
      <c r="D43" s="13" t="s">
        <v>50</v>
      </c>
      <c r="E43" s="13" t="s">
        <v>65</v>
      </c>
      <c r="F43" s="54" t="s">
        <v>402</v>
      </c>
      <c r="G43" s="79">
        <f t="shared" si="0"/>
        <v>100000</v>
      </c>
      <c r="H43" s="79">
        <v>100000</v>
      </c>
      <c r="I43" s="79"/>
      <c r="J43" s="79"/>
      <c r="K43" s="107"/>
      <c r="L43" s="105">
        <f t="shared" si="1"/>
        <v>0</v>
      </c>
      <c r="N43" s="64"/>
    </row>
    <row r="44" spans="1:14" s="18" customFormat="1" ht="124.5" customHeight="1" hidden="1">
      <c r="A44" s="31" t="s">
        <v>231</v>
      </c>
      <c r="B44" s="87" t="s">
        <v>96</v>
      </c>
      <c r="C44" s="90" t="s">
        <v>28</v>
      </c>
      <c r="D44" s="13" t="s">
        <v>57</v>
      </c>
      <c r="E44" s="13" t="s">
        <v>79</v>
      </c>
      <c r="F44" s="54" t="s">
        <v>404</v>
      </c>
      <c r="G44" s="79">
        <f t="shared" si="0"/>
        <v>0</v>
      </c>
      <c r="H44" s="79"/>
      <c r="I44" s="79"/>
      <c r="J44" s="79"/>
      <c r="K44" s="107"/>
      <c r="L44" s="105">
        <f t="shared" si="1"/>
        <v>0</v>
      </c>
      <c r="N44" s="64"/>
    </row>
    <row r="45" spans="1:14" s="18" customFormat="1" ht="151.5" customHeight="1">
      <c r="A45" s="31" t="s">
        <v>152</v>
      </c>
      <c r="B45" s="87" t="s">
        <v>110</v>
      </c>
      <c r="C45" s="87" t="s">
        <v>5</v>
      </c>
      <c r="D45" s="32" t="s">
        <v>51</v>
      </c>
      <c r="E45" s="13" t="s">
        <v>393</v>
      </c>
      <c r="F45" s="54" t="s">
        <v>451</v>
      </c>
      <c r="G45" s="79">
        <f t="shared" si="0"/>
        <v>52989300</v>
      </c>
      <c r="H45" s="79"/>
      <c r="I45" s="79">
        <f>61989300-9000000</f>
        <v>52989300</v>
      </c>
      <c r="J45" s="79">
        <f>61989300-9000000</f>
        <v>52989300</v>
      </c>
      <c r="K45" s="107"/>
      <c r="L45" s="105">
        <f t="shared" si="1"/>
        <v>0</v>
      </c>
      <c r="N45" s="64"/>
    </row>
    <row r="46" spans="1:14" s="18" customFormat="1" ht="163.5" customHeight="1">
      <c r="A46" s="133" t="s">
        <v>220</v>
      </c>
      <c r="B46" s="116" t="s">
        <v>221</v>
      </c>
      <c r="C46" s="116" t="s">
        <v>5</v>
      </c>
      <c r="D46" s="124" t="s">
        <v>222</v>
      </c>
      <c r="E46" s="15" t="s">
        <v>428</v>
      </c>
      <c r="F46" s="54" t="s">
        <v>473</v>
      </c>
      <c r="G46" s="79">
        <f t="shared" si="0"/>
        <v>158690</v>
      </c>
      <c r="H46" s="79">
        <v>158690</v>
      </c>
      <c r="I46" s="79"/>
      <c r="J46" s="79"/>
      <c r="K46" s="107"/>
      <c r="L46" s="105">
        <f t="shared" si="1"/>
        <v>0</v>
      </c>
      <c r="N46" s="64"/>
    </row>
    <row r="47" spans="1:14" s="18" customFormat="1" ht="112.5" customHeight="1">
      <c r="A47" s="134"/>
      <c r="B47" s="117"/>
      <c r="C47" s="117"/>
      <c r="D47" s="125"/>
      <c r="E47" s="13" t="s">
        <v>79</v>
      </c>
      <c r="F47" s="54" t="s">
        <v>404</v>
      </c>
      <c r="G47" s="79">
        <f t="shared" si="0"/>
        <v>85000</v>
      </c>
      <c r="H47" s="79">
        <v>85000</v>
      </c>
      <c r="I47" s="79"/>
      <c r="J47" s="79"/>
      <c r="K47" s="107"/>
      <c r="L47" s="105">
        <f t="shared" si="1"/>
        <v>0</v>
      </c>
      <c r="N47" s="64"/>
    </row>
    <row r="48" spans="1:14" s="4" customFormat="1" ht="120.75" customHeight="1">
      <c r="A48" s="12" t="s">
        <v>232</v>
      </c>
      <c r="B48" s="90" t="s">
        <v>233</v>
      </c>
      <c r="C48" s="90" t="s">
        <v>5</v>
      </c>
      <c r="D48" s="13" t="s">
        <v>234</v>
      </c>
      <c r="E48" s="13" t="s">
        <v>385</v>
      </c>
      <c r="F48" s="54" t="s">
        <v>485</v>
      </c>
      <c r="G48" s="79">
        <f t="shared" si="0"/>
        <v>2654000</v>
      </c>
      <c r="H48" s="79">
        <f>2172100+93000-87000+450000</f>
        <v>2628100</v>
      </c>
      <c r="I48" s="79">
        <v>25900</v>
      </c>
      <c r="J48" s="79">
        <v>25900</v>
      </c>
      <c r="K48" s="107"/>
      <c r="L48" s="105">
        <f t="shared" si="1"/>
        <v>0</v>
      </c>
      <c r="N48" s="64"/>
    </row>
    <row r="49" spans="1:14" ht="197.25" customHeight="1">
      <c r="A49" s="12" t="s">
        <v>153</v>
      </c>
      <c r="B49" s="90" t="s">
        <v>111</v>
      </c>
      <c r="C49" s="90" t="s">
        <v>112</v>
      </c>
      <c r="D49" s="13" t="s">
        <v>113</v>
      </c>
      <c r="E49" s="13" t="s">
        <v>397</v>
      </c>
      <c r="F49" s="54" t="s">
        <v>452</v>
      </c>
      <c r="G49" s="79">
        <f t="shared" si="0"/>
        <v>2457800</v>
      </c>
      <c r="H49" s="79">
        <v>450600</v>
      </c>
      <c r="I49" s="79">
        <v>2007200</v>
      </c>
      <c r="J49" s="79">
        <v>2007200</v>
      </c>
      <c r="K49" s="107"/>
      <c r="L49" s="105">
        <f t="shared" si="1"/>
        <v>0</v>
      </c>
      <c r="N49" s="64"/>
    </row>
    <row r="50" spans="1:14" ht="123" customHeight="1">
      <c r="A50" s="12" t="s">
        <v>223</v>
      </c>
      <c r="B50" s="90" t="s">
        <v>224</v>
      </c>
      <c r="C50" s="90" t="s">
        <v>225</v>
      </c>
      <c r="D50" s="33" t="s">
        <v>226</v>
      </c>
      <c r="E50" s="13" t="s">
        <v>392</v>
      </c>
      <c r="F50" s="54" t="s">
        <v>448</v>
      </c>
      <c r="G50" s="79">
        <f t="shared" si="0"/>
        <v>819800</v>
      </c>
      <c r="H50" s="79">
        <f>789800+30000</f>
        <v>819800</v>
      </c>
      <c r="I50" s="79"/>
      <c r="J50" s="79"/>
      <c r="K50" s="107"/>
      <c r="L50" s="105">
        <f t="shared" si="1"/>
        <v>0</v>
      </c>
      <c r="N50" s="64"/>
    </row>
    <row r="51" spans="1:14" ht="116.25" customHeight="1">
      <c r="A51" s="12" t="s">
        <v>154</v>
      </c>
      <c r="B51" s="90" t="s">
        <v>89</v>
      </c>
      <c r="C51" s="90" t="s">
        <v>13</v>
      </c>
      <c r="D51" s="13" t="s">
        <v>90</v>
      </c>
      <c r="E51" s="15" t="s">
        <v>394</v>
      </c>
      <c r="F51" s="32" t="s">
        <v>471</v>
      </c>
      <c r="G51" s="79">
        <f t="shared" si="0"/>
        <v>310000</v>
      </c>
      <c r="H51" s="79"/>
      <c r="I51" s="79">
        <f>260000+50000</f>
        <v>310000</v>
      </c>
      <c r="J51" s="79"/>
      <c r="K51" s="107"/>
      <c r="L51" s="105">
        <f t="shared" si="1"/>
        <v>0</v>
      </c>
      <c r="N51" s="64"/>
    </row>
    <row r="52" spans="1:14" ht="122.25" customHeight="1">
      <c r="A52" s="12" t="s">
        <v>267</v>
      </c>
      <c r="B52" s="90" t="s">
        <v>268</v>
      </c>
      <c r="C52" s="90" t="s">
        <v>30</v>
      </c>
      <c r="D52" s="13" t="s">
        <v>269</v>
      </c>
      <c r="E52" s="13" t="s">
        <v>385</v>
      </c>
      <c r="F52" s="54" t="s">
        <v>470</v>
      </c>
      <c r="G52" s="79">
        <f t="shared" si="0"/>
        <v>193000</v>
      </c>
      <c r="H52" s="79">
        <f>150000+43000</f>
        <v>193000</v>
      </c>
      <c r="I52" s="79"/>
      <c r="J52" s="79"/>
      <c r="K52" s="107"/>
      <c r="L52" s="105">
        <f t="shared" si="1"/>
        <v>0</v>
      </c>
      <c r="N52" s="64"/>
    </row>
    <row r="53" spans="1:14" ht="116.25" customHeight="1">
      <c r="A53" s="133" t="s">
        <v>350</v>
      </c>
      <c r="B53" s="116" t="s">
        <v>87</v>
      </c>
      <c r="C53" s="116" t="s">
        <v>29</v>
      </c>
      <c r="D53" s="111" t="s">
        <v>88</v>
      </c>
      <c r="E53" s="13" t="s">
        <v>392</v>
      </c>
      <c r="F53" s="32" t="s">
        <v>486</v>
      </c>
      <c r="G53" s="79">
        <f t="shared" si="0"/>
        <v>400000</v>
      </c>
      <c r="H53" s="79">
        <v>241000</v>
      </c>
      <c r="I53" s="79">
        <v>159000</v>
      </c>
      <c r="J53" s="79">
        <v>159000</v>
      </c>
      <c r="K53" s="107">
        <v>47</v>
      </c>
      <c r="L53" s="105">
        <f t="shared" si="1"/>
        <v>0</v>
      </c>
      <c r="N53" s="64"/>
    </row>
    <row r="54" spans="1:14" ht="149.25" customHeight="1" hidden="1">
      <c r="A54" s="134"/>
      <c r="B54" s="117"/>
      <c r="C54" s="117"/>
      <c r="D54" s="112"/>
      <c r="E54" s="15" t="s">
        <v>389</v>
      </c>
      <c r="F54" s="32" t="s">
        <v>429</v>
      </c>
      <c r="G54" s="79">
        <f t="shared" si="0"/>
        <v>0</v>
      </c>
      <c r="H54" s="79"/>
      <c r="I54" s="79"/>
      <c r="J54" s="79"/>
      <c r="K54" s="107"/>
      <c r="L54" s="105">
        <f t="shared" si="1"/>
        <v>0</v>
      </c>
      <c r="N54" s="64"/>
    </row>
    <row r="55" spans="1:14" ht="104.25" customHeight="1" hidden="1">
      <c r="A55" s="118" t="s">
        <v>323</v>
      </c>
      <c r="B55" s="137" t="s">
        <v>324</v>
      </c>
      <c r="C55" s="137" t="s">
        <v>29</v>
      </c>
      <c r="D55" s="123" t="s">
        <v>325</v>
      </c>
      <c r="E55" s="13" t="s">
        <v>392</v>
      </c>
      <c r="F55" s="32" t="s">
        <v>429</v>
      </c>
      <c r="G55" s="79">
        <f t="shared" si="0"/>
        <v>0</v>
      </c>
      <c r="H55" s="79"/>
      <c r="I55" s="79"/>
      <c r="J55" s="79"/>
      <c r="K55" s="107"/>
      <c r="L55" s="105">
        <f t="shared" si="1"/>
        <v>0</v>
      </c>
      <c r="N55" s="64"/>
    </row>
    <row r="56" spans="1:14" ht="318" customHeight="1">
      <c r="A56" s="118"/>
      <c r="B56" s="137"/>
      <c r="C56" s="137"/>
      <c r="D56" s="123"/>
      <c r="E56" s="13" t="s">
        <v>434</v>
      </c>
      <c r="F56" s="54" t="s">
        <v>490</v>
      </c>
      <c r="G56" s="79">
        <f t="shared" si="0"/>
        <v>510040</v>
      </c>
      <c r="H56" s="79">
        <f>271850+238190</f>
        <v>510040</v>
      </c>
      <c r="I56" s="79"/>
      <c r="J56" s="79"/>
      <c r="K56" s="107"/>
      <c r="L56" s="105">
        <f t="shared" si="1"/>
        <v>0</v>
      </c>
      <c r="N56" s="64"/>
    </row>
    <row r="57" spans="1:14" ht="177" customHeight="1" hidden="1">
      <c r="A57" s="118"/>
      <c r="B57" s="137"/>
      <c r="C57" s="137"/>
      <c r="D57" s="123"/>
      <c r="E57" s="15" t="s">
        <v>389</v>
      </c>
      <c r="F57" s="32" t="s">
        <v>429</v>
      </c>
      <c r="G57" s="79">
        <f t="shared" si="0"/>
        <v>0</v>
      </c>
      <c r="H57" s="79"/>
      <c r="I57" s="79"/>
      <c r="J57" s="79"/>
      <c r="K57" s="107"/>
      <c r="L57" s="105">
        <f t="shared" si="1"/>
        <v>0</v>
      </c>
      <c r="N57" s="64"/>
    </row>
    <row r="58" spans="1:14" s="3" customFormat="1" ht="101.25" customHeight="1">
      <c r="A58" s="20"/>
      <c r="B58" s="92"/>
      <c r="C58" s="92"/>
      <c r="D58" s="21" t="s">
        <v>155</v>
      </c>
      <c r="E58" s="21"/>
      <c r="F58" s="57"/>
      <c r="G58" s="78">
        <f>SUM(G59+G60+G63+G67+G68+G69+G70+G71+G72+G73+G74+G75+G76+G77+G78+G79+G80+G81+G82+G83+G84)</f>
        <v>925647069.09</v>
      </c>
      <c r="H58" s="78">
        <f>SUM(H59+H60+H63+H67+H68+H69+H70+H71+H72+H73+H74+H75+H76+H77+H78+H79+H80+H81+H82+H83+H84)</f>
        <v>844765143.6</v>
      </c>
      <c r="I58" s="78">
        <f>SUM(I59+I60+I63+I67+I68+I69+I70+I71+I72+I73+I74+I75+I76+I77+I78+I79+I80+I81+I82+I83+I84)</f>
        <v>80881925.49000001</v>
      </c>
      <c r="J58" s="78">
        <f>SUM(J59+J60+J63+J67+J68+J69+J70+J71+J72+J73+J74+J75+J76+J77+J78+J79+J80+J81+J82+J83+J84)</f>
        <v>37423086.49</v>
      </c>
      <c r="K58" s="107"/>
      <c r="L58" s="105">
        <f t="shared" si="1"/>
        <v>0</v>
      </c>
      <c r="N58" s="64"/>
    </row>
    <row r="59" spans="1:14" s="3" customFormat="1" ht="134.25" customHeight="1">
      <c r="A59" s="31" t="s">
        <v>156</v>
      </c>
      <c r="B59" s="87" t="s">
        <v>80</v>
      </c>
      <c r="C59" s="87" t="s">
        <v>2</v>
      </c>
      <c r="D59" s="32" t="s">
        <v>81</v>
      </c>
      <c r="E59" s="13" t="s">
        <v>385</v>
      </c>
      <c r="F59" s="54" t="s">
        <v>470</v>
      </c>
      <c r="G59" s="79">
        <f t="shared" si="0"/>
        <v>30000</v>
      </c>
      <c r="H59" s="79">
        <v>30000</v>
      </c>
      <c r="I59" s="79"/>
      <c r="J59" s="79"/>
      <c r="K59" s="107"/>
      <c r="L59" s="105">
        <f t="shared" si="1"/>
        <v>0</v>
      </c>
      <c r="N59" s="64"/>
    </row>
    <row r="60" spans="1:14" ht="151.5" customHeight="1">
      <c r="A60" s="133" t="s">
        <v>157</v>
      </c>
      <c r="B60" s="116" t="s">
        <v>40</v>
      </c>
      <c r="C60" s="116" t="s">
        <v>15</v>
      </c>
      <c r="D60" s="111" t="s">
        <v>97</v>
      </c>
      <c r="E60" s="32" t="s">
        <v>419</v>
      </c>
      <c r="F60" s="32" t="s">
        <v>453</v>
      </c>
      <c r="G60" s="79">
        <f t="shared" si="0"/>
        <v>234001562</v>
      </c>
      <c r="H60" s="79">
        <f>213029620+72000+56500+2000+54995-1000000</f>
        <v>212215115</v>
      </c>
      <c r="I60" s="79">
        <f>19749311+1163000+600000+112000-34164+73500+122800</f>
        <v>21786447</v>
      </c>
      <c r="J60" s="79">
        <f>3500000+1163000+600000+112000-34164+73500+122800</f>
        <v>5537136</v>
      </c>
      <c r="K60" s="107"/>
      <c r="L60" s="105">
        <f t="shared" si="1"/>
        <v>0</v>
      </c>
      <c r="N60" s="64"/>
    </row>
    <row r="61" spans="1:14" s="61" customFormat="1" ht="105" customHeight="1">
      <c r="A61" s="140"/>
      <c r="B61" s="122"/>
      <c r="C61" s="122"/>
      <c r="D61" s="141"/>
      <c r="E61" s="59" t="s">
        <v>418</v>
      </c>
      <c r="F61" s="59" t="s">
        <v>489</v>
      </c>
      <c r="G61" s="81">
        <f>H61+I61</f>
        <v>36816</v>
      </c>
      <c r="H61" s="81">
        <v>36816</v>
      </c>
      <c r="I61" s="81"/>
      <c r="J61" s="81"/>
      <c r="K61" s="107"/>
      <c r="L61" s="105">
        <f t="shared" si="1"/>
        <v>0</v>
      </c>
      <c r="N61" s="64"/>
    </row>
    <row r="62" spans="1:14" s="61" customFormat="1" ht="144" customHeight="1">
      <c r="A62" s="134"/>
      <c r="B62" s="117"/>
      <c r="C62" s="117"/>
      <c r="D62" s="112"/>
      <c r="E62" s="59" t="s">
        <v>420</v>
      </c>
      <c r="F62" s="59" t="s">
        <v>483</v>
      </c>
      <c r="G62" s="81">
        <f>H62+I62</f>
        <v>1125208</v>
      </c>
      <c r="H62" s="81">
        <v>1125208</v>
      </c>
      <c r="I62" s="81"/>
      <c r="J62" s="81"/>
      <c r="K62" s="107"/>
      <c r="L62" s="105">
        <f t="shared" si="1"/>
        <v>0</v>
      </c>
      <c r="N62" s="64"/>
    </row>
    <row r="63" spans="1:14" s="61" customFormat="1" ht="162" customHeight="1">
      <c r="A63" s="133" t="s">
        <v>158</v>
      </c>
      <c r="B63" s="116" t="s">
        <v>38</v>
      </c>
      <c r="C63" s="116" t="s">
        <v>16</v>
      </c>
      <c r="D63" s="111" t="s">
        <v>98</v>
      </c>
      <c r="E63" s="32" t="s">
        <v>419</v>
      </c>
      <c r="F63" s="32" t="s">
        <v>453</v>
      </c>
      <c r="G63" s="79">
        <f t="shared" si="0"/>
        <v>501928444.66</v>
      </c>
      <c r="H63" s="79">
        <f>463740523+2350000+277870+110800+152663+143654.6-190117+4218226-1124285</f>
        <v>469679334.6</v>
      </c>
      <c r="I63" s="79">
        <f>26407022+1000000+1890000+900000+134786+343800-138223.94+1300000+88500+49300+40000+233926</f>
        <v>32249110.06</v>
      </c>
      <c r="J63" s="79">
        <f>8400000+1890000+900000+134786+343800-138223.94+1300000+88500+49300+40000+233926</f>
        <v>13242088.06</v>
      </c>
      <c r="K63" s="107"/>
      <c r="L63" s="105">
        <f t="shared" si="1"/>
        <v>0</v>
      </c>
      <c r="N63" s="64"/>
    </row>
    <row r="64" spans="1:14" s="61" customFormat="1" ht="111.75" customHeight="1">
      <c r="A64" s="140"/>
      <c r="B64" s="122"/>
      <c r="C64" s="122"/>
      <c r="D64" s="141"/>
      <c r="E64" s="59" t="s">
        <v>418</v>
      </c>
      <c r="F64" s="59" t="s">
        <v>480</v>
      </c>
      <c r="G64" s="81">
        <f t="shared" si="0"/>
        <v>94440</v>
      </c>
      <c r="H64" s="81">
        <v>94440</v>
      </c>
      <c r="I64" s="81"/>
      <c r="J64" s="81"/>
      <c r="K64" s="107"/>
      <c r="L64" s="105">
        <f t="shared" si="1"/>
        <v>0</v>
      </c>
      <c r="N64" s="64"/>
    </row>
    <row r="65" spans="1:14" s="61" customFormat="1" ht="138.75" customHeight="1">
      <c r="A65" s="140"/>
      <c r="B65" s="122"/>
      <c r="C65" s="122"/>
      <c r="D65" s="141"/>
      <c r="E65" s="59" t="s">
        <v>420</v>
      </c>
      <c r="F65" s="60" t="s">
        <v>481</v>
      </c>
      <c r="G65" s="81">
        <f t="shared" si="0"/>
        <v>2611265</v>
      </c>
      <c r="H65" s="81">
        <v>2611265</v>
      </c>
      <c r="I65" s="81"/>
      <c r="J65" s="81"/>
      <c r="K65" s="107"/>
      <c r="L65" s="105">
        <f t="shared" si="1"/>
        <v>0</v>
      </c>
      <c r="N65" s="64"/>
    </row>
    <row r="66" spans="1:14" s="61" customFormat="1" ht="156.75" customHeight="1">
      <c r="A66" s="140"/>
      <c r="B66" s="122"/>
      <c r="C66" s="122"/>
      <c r="D66" s="141"/>
      <c r="E66" s="59" t="s">
        <v>421</v>
      </c>
      <c r="F66" s="60" t="s">
        <v>482</v>
      </c>
      <c r="G66" s="81">
        <f t="shared" si="0"/>
        <v>1180960</v>
      </c>
      <c r="H66" s="81">
        <v>1180960</v>
      </c>
      <c r="I66" s="81"/>
      <c r="J66" s="81"/>
      <c r="K66" s="107"/>
      <c r="L66" s="105">
        <f t="shared" si="1"/>
        <v>0</v>
      </c>
      <c r="N66" s="64"/>
    </row>
    <row r="67" spans="1:14" ht="108.75" customHeight="1">
      <c r="A67" s="12" t="s">
        <v>413</v>
      </c>
      <c r="B67" s="90" t="s">
        <v>24</v>
      </c>
      <c r="C67" s="90" t="s">
        <v>16</v>
      </c>
      <c r="D67" s="98" t="s">
        <v>414</v>
      </c>
      <c r="E67" s="32" t="s">
        <v>386</v>
      </c>
      <c r="F67" s="32" t="s">
        <v>453</v>
      </c>
      <c r="G67" s="79">
        <f t="shared" si="0"/>
        <v>946850</v>
      </c>
      <c r="H67" s="79">
        <v>946850</v>
      </c>
      <c r="I67" s="79"/>
      <c r="J67" s="79"/>
      <c r="K67" s="107"/>
      <c r="L67" s="105">
        <f t="shared" si="1"/>
        <v>0</v>
      </c>
      <c r="N67" s="64"/>
    </row>
    <row r="68" spans="1:14" ht="297.75" customHeight="1">
      <c r="A68" s="30" t="s">
        <v>159</v>
      </c>
      <c r="B68" s="93" t="s">
        <v>22</v>
      </c>
      <c r="C68" s="87" t="s">
        <v>37</v>
      </c>
      <c r="D68" s="55" t="s">
        <v>99</v>
      </c>
      <c r="E68" s="32" t="s">
        <v>386</v>
      </c>
      <c r="F68" s="32" t="s">
        <v>453</v>
      </c>
      <c r="G68" s="79">
        <f t="shared" si="0"/>
        <v>9069050</v>
      </c>
      <c r="H68" s="79">
        <f>8801450+80200+4000</f>
        <v>8885650</v>
      </c>
      <c r="I68" s="79">
        <f>150000+33400</f>
        <v>183400</v>
      </c>
      <c r="J68" s="79">
        <f>150000+33400</f>
        <v>183400</v>
      </c>
      <c r="K68" s="107"/>
      <c r="L68" s="105">
        <f t="shared" si="1"/>
        <v>0</v>
      </c>
      <c r="N68" s="64"/>
    </row>
    <row r="69" spans="1:14" ht="168.75" customHeight="1">
      <c r="A69" s="14" t="s">
        <v>160</v>
      </c>
      <c r="B69" s="94" t="s">
        <v>7</v>
      </c>
      <c r="C69" s="90" t="s">
        <v>36</v>
      </c>
      <c r="D69" s="13" t="s">
        <v>100</v>
      </c>
      <c r="E69" s="32" t="s">
        <v>386</v>
      </c>
      <c r="F69" s="32" t="s">
        <v>453</v>
      </c>
      <c r="G69" s="79">
        <f t="shared" si="0"/>
        <v>24965462</v>
      </c>
      <c r="H69" s="79">
        <f>24404580+10000+250882</f>
        <v>24665462</v>
      </c>
      <c r="I69" s="79">
        <v>300000</v>
      </c>
      <c r="J69" s="79">
        <v>300000</v>
      </c>
      <c r="K69" s="107"/>
      <c r="L69" s="105">
        <f t="shared" si="1"/>
        <v>0</v>
      </c>
      <c r="N69" s="64"/>
    </row>
    <row r="70" spans="1:14" ht="104.25" customHeight="1">
      <c r="A70" s="14" t="s">
        <v>409</v>
      </c>
      <c r="B70" s="94" t="s">
        <v>410</v>
      </c>
      <c r="C70" s="90" t="s">
        <v>411</v>
      </c>
      <c r="D70" s="13" t="s">
        <v>412</v>
      </c>
      <c r="E70" s="32" t="s">
        <v>386</v>
      </c>
      <c r="F70" s="32" t="s">
        <v>453</v>
      </c>
      <c r="G70" s="79">
        <f t="shared" si="0"/>
        <v>114252006</v>
      </c>
      <c r="H70" s="79">
        <v>103006500</v>
      </c>
      <c r="I70" s="79">
        <f>7717506+3528000</f>
        <v>11245506</v>
      </c>
      <c r="J70" s="79">
        <f>3528000</f>
        <v>3528000</v>
      </c>
      <c r="K70" s="107"/>
      <c r="L70" s="105">
        <f t="shared" si="1"/>
        <v>0</v>
      </c>
      <c r="N70" s="64"/>
    </row>
    <row r="71" spans="1:14" ht="104.25" customHeight="1">
      <c r="A71" s="30" t="s">
        <v>415</v>
      </c>
      <c r="B71" s="93" t="s">
        <v>416</v>
      </c>
      <c r="C71" s="87" t="s">
        <v>17</v>
      </c>
      <c r="D71" s="32" t="s">
        <v>417</v>
      </c>
      <c r="E71" s="32" t="s">
        <v>386</v>
      </c>
      <c r="F71" s="32" t="s">
        <v>453</v>
      </c>
      <c r="G71" s="79">
        <f t="shared" si="0"/>
        <v>2838770</v>
      </c>
      <c r="H71" s="79">
        <v>2838770</v>
      </c>
      <c r="I71" s="79"/>
      <c r="J71" s="79"/>
      <c r="K71" s="107"/>
      <c r="L71" s="105">
        <f t="shared" si="1"/>
        <v>0</v>
      </c>
      <c r="N71" s="64"/>
    </row>
    <row r="72" spans="1:14" s="4" customFormat="1" ht="114" customHeight="1">
      <c r="A72" s="14" t="s">
        <v>300</v>
      </c>
      <c r="B72" s="94" t="s">
        <v>296</v>
      </c>
      <c r="C72" s="90" t="s">
        <v>17</v>
      </c>
      <c r="D72" s="32" t="s">
        <v>298</v>
      </c>
      <c r="E72" s="32" t="s">
        <v>386</v>
      </c>
      <c r="F72" s="32" t="s">
        <v>453</v>
      </c>
      <c r="G72" s="79">
        <f t="shared" si="0"/>
        <v>8295190</v>
      </c>
      <c r="H72" s="79">
        <f>9685900+44800-1583510</f>
        <v>8147190</v>
      </c>
      <c r="I72" s="79">
        <f>170000+8000-30000</f>
        <v>148000</v>
      </c>
      <c r="J72" s="79">
        <f>170000+8000-30000</f>
        <v>148000</v>
      </c>
      <c r="K72" s="107"/>
      <c r="L72" s="105">
        <f t="shared" si="1"/>
        <v>0</v>
      </c>
      <c r="N72" s="64"/>
    </row>
    <row r="73" spans="1:14" s="4" customFormat="1" ht="123" customHeight="1">
      <c r="A73" s="14" t="s">
        <v>301</v>
      </c>
      <c r="B73" s="94" t="s">
        <v>297</v>
      </c>
      <c r="C73" s="90" t="s">
        <v>17</v>
      </c>
      <c r="D73" s="13" t="s">
        <v>299</v>
      </c>
      <c r="E73" s="32" t="s">
        <v>386</v>
      </c>
      <c r="F73" s="32" t="s">
        <v>453</v>
      </c>
      <c r="G73" s="79">
        <f t="shared" si="0"/>
        <v>90400</v>
      </c>
      <c r="H73" s="79">
        <v>90400</v>
      </c>
      <c r="I73" s="79"/>
      <c r="J73" s="79"/>
      <c r="K73" s="107">
        <v>48</v>
      </c>
      <c r="L73" s="105">
        <f t="shared" si="1"/>
        <v>0</v>
      </c>
      <c r="N73" s="64"/>
    </row>
    <row r="74" spans="1:14" s="4" customFormat="1" ht="123" customHeight="1">
      <c r="A74" s="30" t="s">
        <v>460</v>
      </c>
      <c r="B74" s="93" t="s">
        <v>461</v>
      </c>
      <c r="C74" s="87" t="s">
        <v>17</v>
      </c>
      <c r="D74" s="32" t="s">
        <v>462</v>
      </c>
      <c r="E74" s="32" t="s">
        <v>386</v>
      </c>
      <c r="F74" s="32" t="s">
        <v>453</v>
      </c>
      <c r="G74" s="79">
        <f t="shared" si="0"/>
        <v>1613510</v>
      </c>
      <c r="H74" s="79">
        <v>1583510</v>
      </c>
      <c r="I74" s="79">
        <v>30000</v>
      </c>
      <c r="J74" s="79">
        <v>30000</v>
      </c>
      <c r="K74" s="107"/>
      <c r="L74" s="105">
        <f t="shared" si="1"/>
        <v>0</v>
      </c>
      <c r="N74" s="64"/>
    </row>
    <row r="75" spans="1:14" ht="94.5" customHeight="1">
      <c r="A75" s="135" t="s">
        <v>161</v>
      </c>
      <c r="B75" s="119" t="s">
        <v>42</v>
      </c>
      <c r="C75" s="116" t="s">
        <v>8</v>
      </c>
      <c r="D75" s="111" t="s">
        <v>46</v>
      </c>
      <c r="E75" s="13" t="s">
        <v>390</v>
      </c>
      <c r="F75" s="54" t="s">
        <v>430</v>
      </c>
      <c r="G75" s="79">
        <f t="shared" si="0"/>
        <v>3746800</v>
      </c>
      <c r="H75" s="79">
        <v>3746800</v>
      </c>
      <c r="I75" s="79"/>
      <c r="J75" s="79"/>
      <c r="K75" s="107"/>
      <c r="L75" s="105">
        <f t="shared" si="1"/>
        <v>0</v>
      </c>
      <c r="N75" s="64"/>
    </row>
    <row r="76" spans="1:14" ht="121.5" customHeight="1">
      <c r="A76" s="139"/>
      <c r="B76" s="120"/>
      <c r="C76" s="122"/>
      <c r="D76" s="141"/>
      <c r="E76" s="13" t="s">
        <v>388</v>
      </c>
      <c r="F76" s="54" t="s">
        <v>472</v>
      </c>
      <c r="G76" s="79">
        <f t="shared" si="0"/>
        <v>97600</v>
      </c>
      <c r="H76" s="79">
        <v>97600</v>
      </c>
      <c r="I76" s="79"/>
      <c r="J76" s="79"/>
      <c r="K76" s="107"/>
      <c r="L76" s="105">
        <f t="shared" si="1"/>
        <v>0</v>
      </c>
      <c r="N76" s="64"/>
    </row>
    <row r="77" spans="1:14" ht="142.5" customHeight="1">
      <c r="A77" s="136"/>
      <c r="B77" s="121"/>
      <c r="C77" s="117"/>
      <c r="D77" s="112"/>
      <c r="E77" s="13" t="s">
        <v>78</v>
      </c>
      <c r="F77" s="54" t="s">
        <v>406</v>
      </c>
      <c r="G77" s="79">
        <f t="shared" si="0"/>
        <v>3456600</v>
      </c>
      <c r="H77" s="79">
        <v>3456600</v>
      </c>
      <c r="I77" s="79"/>
      <c r="J77" s="79"/>
      <c r="K77" s="107"/>
      <c r="L77" s="105">
        <f t="shared" si="1"/>
        <v>0</v>
      </c>
      <c r="N77" s="64"/>
    </row>
    <row r="78" spans="1:14" ht="142.5" customHeight="1">
      <c r="A78" s="66" t="s">
        <v>444</v>
      </c>
      <c r="B78" s="95" t="s">
        <v>274</v>
      </c>
      <c r="C78" s="88" t="s">
        <v>7</v>
      </c>
      <c r="D78" s="65" t="s">
        <v>275</v>
      </c>
      <c r="E78" s="13" t="s">
        <v>75</v>
      </c>
      <c r="F78" s="54" t="s">
        <v>488</v>
      </c>
      <c r="G78" s="79">
        <f t="shared" si="0"/>
        <v>56110</v>
      </c>
      <c r="H78" s="79">
        <v>56110</v>
      </c>
      <c r="I78" s="79"/>
      <c r="J78" s="79"/>
      <c r="K78" s="107"/>
      <c r="L78" s="105">
        <f t="shared" si="1"/>
        <v>0</v>
      </c>
      <c r="N78" s="64"/>
    </row>
    <row r="79" spans="1:14" s="4" customFormat="1" ht="147" customHeight="1">
      <c r="A79" s="12" t="s">
        <v>162</v>
      </c>
      <c r="B79" s="90" t="s">
        <v>69</v>
      </c>
      <c r="C79" s="90" t="s">
        <v>11</v>
      </c>
      <c r="D79" s="13" t="s">
        <v>48</v>
      </c>
      <c r="E79" s="13" t="s">
        <v>395</v>
      </c>
      <c r="F79" s="54" t="s">
        <v>432</v>
      </c>
      <c r="G79" s="79">
        <f t="shared" si="0"/>
        <v>4896100</v>
      </c>
      <c r="H79" s="79">
        <v>4846100</v>
      </c>
      <c r="I79" s="79">
        <v>50000</v>
      </c>
      <c r="J79" s="79">
        <v>50000</v>
      </c>
      <c r="K79" s="107"/>
      <c r="L79" s="105">
        <f t="shared" si="1"/>
        <v>0</v>
      </c>
      <c r="N79" s="64"/>
    </row>
    <row r="80" spans="1:14" s="4" customFormat="1" ht="88.5">
      <c r="A80" s="133" t="s">
        <v>327</v>
      </c>
      <c r="B80" s="116" t="s">
        <v>328</v>
      </c>
      <c r="C80" s="116" t="s">
        <v>5</v>
      </c>
      <c r="D80" s="111" t="s">
        <v>329</v>
      </c>
      <c r="E80" s="32" t="s">
        <v>386</v>
      </c>
      <c r="F80" s="32" t="s">
        <v>453</v>
      </c>
      <c r="G80" s="79">
        <f t="shared" si="0"/>
        <v>2641808.37</v>
      </c>
      <c r="H80" s="79"/>
      <c r="I80" s="79">
        <v>2641808.37</v>
      </c>
      <c r="J80" s="79">
        <v>2641808.37</v>
      </c>
      <c r="K80" s="107"/>
      <c r="L80" s="105">
        <f t="shared" si="1"/>
        <v>0</v>
      </c>
      <c r="N80" s="64"/>
    </row>
    <row r="81" spans="1:14" s="4" customFormat="1" ht="132.75">
      <c r="A81" s="134"/>
      <c r="B81" s="117"/>
      <c r="C81" s="117"/>
      <c r="D81" s="112"/>
      <c r="E81" s="13" t="s">
        <v>79</v>
      </c>
      <c r="F81" s="54" t="s">
        <v>404</v>
      </c>
      <c r="G81" s="79">
        <f>H81+I81</f>
        <v>8166654.06</v>
      </c>
      <c r="H81" s="79"/>
      <c r="I81" s="79">
        <v>8166654.06</v>
      </c>
      <c r="J81" s="79">
        <v>8166654.06</v>
      </c>
      <c r="K81" s="107"/>
      <c r="L81" s="105">
        <f aca="true" t="shared" si="2" ref="L81:L144">H81+I81-G81</f>
        <v>0</v>
      </c>
      <c r="N81" s="64"/>
    </row>
    <row r="82" spans="1:14" s="19" customFormat="1" ht="138" customHeight="1">
      <c r="A82" s="12" t="s">
        <v>163</v>
      </c>
      <c r="B82" s="90" t="s">
        <v>96</v>
      </c>
      <c r="C82" s="90" t="s">
        <v>28</v>
      </c>
      <c r="D82" s="13" t="s">
        <v>57</v>
      </c>
      <c r="E82" s="13" t="s">
        <v>79</v>
      </c>
      <c r="F82" s="54" t="s">
        <v>404</v>
      </c>
      <c r="G82" s="79">
        <f>H82+I82</f>
        <v>4023000</v>
      </c>
      <c r="H82" s="79">
        <v>427000</v>
      </c>
      <c r="I82" s="79">
        <f>4046000+3900000-3900000-450000</f>
        <v>3596000</v>
      </c>
      <c r="J82" s="79">
        <f>4046000+3900000-3900000-450000</f>
        <v>3596000</v>
      </c>
      <c r="K82" s="107"/>
      <c r="L82" s="105">
        <f t="shared" si="2"/>
        <v>0</v>
      </c>
      <c r="N82" s="64"/>
    </row>
    <row r="83" spans="1:14" ht="132.75">
      <c r="A83" s="14" t="s">
        <v>164</v>
      </c>
      <c r="B83" s="94" t="s">
        <v>89</v>
      </c>
      <c r="C83" s="90" t="s">
        <v>13</v>
      </c>
      <c r="D83" s="13" t="s">
        <v>90</v>
      </c>
      <c r="E83" s="15" t="s">
        <v>394</v>
      </c>
      <c r="F83" s="32" t="s">
        <v>471</v>
      </c>
      <c r="G83" s="79">
        <f>H83+I83</f>
        <v>485000</v>
      </c>
      <c r="H83" s="79"/>
      <c r="I83" s="79">
        <v>485000</v>
      </c>
      <c r="J83" s="79"/>
      <c r="K83" s="107"/>
      <c r="L83" s="105">
        <f t="shared" si="2"/>
        <v>0</v>
      </c>
      <c r="N83" s="64"/>
    </row>
    <row r="84" spans="1:14" ht="222.75" customHeight="1">
      <c r="A84" s="31" t="s">
        <v>326</v>
      </c>
      <c r="B84" s="87" t="s">
        <v>324</v>
      </c>
      <c r="C84" s="87" t="s">
        <v>29</v>
      </c>
      <c r="D84" s="48" t="s">
        <v>325</v>
      </c>
      <c r="E84" s="13" t="s">
        <v>78</v>
      </c>
      <c r="F84" s="54" t="s">
        <v>406</v>
      </c>
      <c r="G84" s="79">
        <f aca="true" t="shared" si="3" ref="G84:G109">H84+I84</f>
        <v>46152</v>
      </c>
      <c r="H84" s="79">
        <v>46152</v>
      </c>
      <c r="I84" s="79"/>
      <c r="J84" s="79"/>
      <c r="K84" s="107"/>
      <c r="L84" s="105">
        <f t="shared" si="2"/>
        <v>0</v>
      </c>
      <c r="N84" s="64"/>
    </row>
    <row r="85" spans="1:14" s="3" customFormat="1" ht="97.5" customHeight="1">
      <c r="A85" s="20"/>
      <c r="B85" s="92"/>
      <c r="C85" s="92"/>
      <c r="D85" s="21" t="s">
        <v>165</v>
      </c>
      <c r="E85" s="21"/>
      <c r="F85" s="21"/>
      <c r="G85" s="78">
        <f>SUM(G86+G87+G91+G93+G96+G99+G100+G101+G103+G105+G106+G107)</f>
        <v>382621016.88</v>
      </c>
      <c r="H85" s="78">
        <f>SUM(H86+H87+H91+H93+H96+H99+H100+H101+H103+H105+H106+H107)</f>
        <v>338199140</v>
      </c>
      <c r="I85" s="78">
        <f>SUM(I86+I87+I91+I93+I96+I99+I100+I101+I103+I105+I106+I107)</f>
        <v>44421876.879999995</v>
      </c>
      <c r="J85" s="78">
        <f>SUM(J86+J87+J91+J93+J96+J99+J100+J101+J103+J105+J106+J107)</f>
        <v>34829223.8</v>
      </c>
      <c r="K85" s="107"/>
      <c r="L85" s="105">
        <f t="shared" si="2"/>
        <v>0</v>
      </c>
      <c r="N85" s="64"/>
    </row>
    <row r="86" spans="1:14" ht="144.75" customHeight="1">
      <c r="A86" s="12" t="s">
        <v>166</v>
      </c>
      <c r="B86" s="90" t="s">
        <v>80</v>
      </c>
      <c r="C86" s="90" t="s">
        <v>2</v>
      </c>
      <c r="D86" s="32" t="s">
        <v>81</v>
      </c>
      <c r="E86" s="13" t="s">
        <v>385</v>
      </c>
      <c r="F86" s="54" t="s">
        <v>470</v>
      </c>
      <c r="G86" s="79">
        <f>H86+I86</f>
        <v>5000</v>
      </c>
      <c r="H86" s="79">
        <v>5000</v>
      </c>
      <c r="I86" s="79"/>
      <c r="J86" s="79"/>
      <c r="K86" s="107"/>
      <c r="L86" s="105">
        <f t="shared" si="2"/>
        <v>0</v>
      </c>
      <c r="N86" s="64"/>
    </row>
    <row r="87" spans="1:14" ht="153.75" customHeight="1">
      <c r="A87" s="143" t="s">
        <v>167</v>
      </c>
      <c r="B87" s="148" t="s">
        <v>41</v>
      </c>
      <c r="C87" s="137" t="s">
        <v>20</v>
      </c>
      <c r="D87" s="144" t="s">
        <v>52</v>
      </c>
      <c r="E87" s="15" t="s">
        <v>446</v>
      </c>
      <c r="F87" s="32" t="s">
        <v>455</v>
      </c>
      <c r="G87" s="79">
        <f>H87+I87</f>
        <v>279317871.3</v>
      </c>
      <c r="H87" s="79">
        <f>266450098+50000+1298500+25000</f>
        <v>267823598</v>
      </c>
      <c r="I87" s="79">
        <f>12000000+170000-675726.7</f>
        <v>11494273.3</v>
      </c>
      <c r="J87" s="79">
        <f>12000000+170000-675726.2</f>
        <v>11494273.8</v>
      </c>
      <c r="K87" s="107"/>
      <c r="L87" s="105">
        <f t="shared" si="2"/>
        <v>0</v>
      </c>
      <c r="N87" s="64"/>
    </row>
    <row r="88" spans="1:14" ht="165.75" customHeight="1" hidden="1">
      <c r="A88" s="143"/>
      <c r="B88" s="148"/>
      <c r="C88" s="137"/>
      <c r="D88" s="144"/>
      <c r="E88" s="13" t="s">
        <v>74</v>
      </c>
      <c r="F88" s="54" t="s">
        <v>401</v>
      </c>
      <c r="G88" s="79">
        <f t="shared" si="3"/>
        <v>0</v>
      </c>
      <c r="H88" s="79"/>
      <c r="I88" s="79"/>
      <c r="J88" s="79"/>
      <c r="K88" s="107"/>
      <c r="L88" s="105">
        <f t="shared" si="2"/>
        <v>0</v>
      </c>
      <c r="N88" s="64"/>
    </row>
    <row r="89" spans="1:14" s="61" customFormat="1" ht="141.75" customHeight="1">
      <c r="A89" s="143"/>
      <c r="B89" s="148"/>
      <c r="C89" s="137"/>
      <c r="D89" s="144"/>
      <c r="E89" s="59" t="s">
        <v>447</v>
      </c>
      <c r="F89" s="60" t="s">
        <v>483</v>
      </c>
      <c r="G89" s="81">
        <f t="shared" si="3"/>
        <v>148560</v>
      </c>
      <c r="H89" s="81">
        <v>148560</v>
      </c>
      <c r="I89" s="81"/>
      <c r="J89" s="81"/>
      <c r="K89" s="107"/>
      <c r="L89" s="105">
        <f t="shared" si="2"/>
        <v>0</v>
      </c>
      <c r="N89" s="67"/>
    </row>
    <row r="90" spans="1:14" s="61" customFormat="1" ht="153.75" customHeight="1" hidden="1">
      <c r="A90" s="135" t="s">
        <v>168</v>
      </c>
      <c r="B90" s="119" t="s">
        <v>422</v>
      </c>
      <c r="C90" s="116" t="s">
        <v>423</v>
      </c>
      <c r="D90" s="111" t="s">
        <v>91</v>
      </c>
      <c r="E90" s="59"/>
      <c r="F90" s="60"/>
      <c r="G90" s="81"/>
      <c r="H90" s="81"/>
      <c r="I90" s="81"/>
      <c r="J90" s="81"/>
      <c r="K90" s="107"/>
      <c r="L90" s="105">
        <f t="shared" si="2"/>
        <v>0</v>
      </c>
      <c r="N90" s="67"/>
    </row>
    <row r="91" spans="1:14" ht="132.75" customHeight="1">
      <c r="A91" s="139"/>
      <c r="B91" s="120"/>
      <c r="C91" s="122"/>
      <c r="D91" s="141"/>
      <c r="E91" s="15" t="s">
        <v>446</v>
      </c>
      <c r="F91" s="32" t="s">
        <v>455</v>
      </c>
      <c r="G91" s="79">
        <f>H91+I91</f>
        <v>38728216</v>
      </c>
      <c r="H91" s="79">
        <v>37728216</v>
      </c>
      <c r="I91" s="79">
        <v>1000000</v>
      </c>
      <c r="J91" s="79">
        <v>1000000</v>
      </c>
      <c r="K91" s="107"/>
      <c r="L91" s="105">
        <f t="shared" si="2"/>
        <v>0</v>
      </c>
      <c r="N91" s="64"/>
    </row>
    <row r="92" spans="1:14" ht="132.75" customHeight="1">
      <c r="A92" s="136"/>
      <c r="B92" s="121"/>
      <c r="C92" s="117"/>
      <c r="D92" s="112"/>
      <c r="E92" s="59" t="s">
        <v>447</v>
      </c>
      <c r="F92" s="60" t="s">
        <v>481</v>
      </c>
      <c r="G92" s="81">
        <f>H92+I92</f>
        <v>16090</v>
      </c>
      <c r="H92" s="81">
        <v>16090</v>
      </c>
      <c r="I92" s="79"/>
      <c r="J92" s="79"/>
      <c r="K92" s="107"/>
      <c r="L92" s="105">
        <f t="shared" si="2"/>
        <v>0</v>
      </c>
      <c r="N92" s="64"/>
    </row>
    <row r="93" spans="1:14" ht="132.75" customHeight="1">
      <c r="A93" s="135" t="s">
        <v>169</v>
      </c>
      <c r="B93" s="119" t="s">
        <v>92</v>
      </c>
      <c r="C93" s="116" t="s">
        <v>21</v>
      </c>
      <c r="D93" s="111" t="s">
        <v>93</v>
      </c>
      <c r="E93" s="15" t="s">
        <v>446</v>
      </c>
      <c r="F93" s="32" t="s">
        <v>455</v>
      </c>
      <c r="G93" s="79">
        <f>H93+I93</f>
        <v>6636457</v>
      </c>
      <c r="H93" s="79">
        <v>6226457</v>
      </c>
      <c r="I93" s="79">
        <f>400000+10000</f>
        <v>410000</v>
      </c>
      <c r="J93" s="79">
        <f>400000+10000</f>
        <v>410000</v>
      </c>
      <c r="K93" s="107">
        <v>49</v>
      </c>
      <c r="L93" s="105">
        <f t="shared" si="2"/>
        <v>0</v>
      </c>
      <c r="N93" s="64"/>
    </row>
    <row r="94" spans="1:14" s="61" customFormat="1" ht="156.75" customHeight="1">
      <c r="A94" s="136"/>
      <c r="B94" s="121"/>
      <c r="C94" s="117"/>
      <c r="D94" s="112"/>
      <c r="E94" s="59" t="s">
        <v>447</v>
      </c>
      <c r="F94" s="60" t="s">
        <v>481</v>
      </c>
      <c r="G94" s="81">
        <f t="shared" si="3"/>
        <v>9000</v>
      </c>
      <c r="H94" s="81">
        <v>9000</v>
      </c>
      <c r="I94" s="81"/>
      <c r="J94" s="81"/>
      <c r="K94" s="107"/>
      <c r="L94" s="105">
        <f t="shared" si="2"/>
        <v>0</v>
      </c>
      <c r="N94" s="67"/>
    </row>
    <row r="95" spans="1:14" s="4" customFormat="1" ht="159.75" customHeight="1" hidden="1">
      <c r="A95" s="135" t="s">
        <v>170</v>
      </c>
      <c r="B95" s="119" t="s">
        <v>94</v>
      </c>
      <c r="C95" s="116" t="s">
        <v>308</v>
      </c>
      <c r="D95" s="111" t="s">
        <v>95</v>
      </c>
      <c r="E95" s="13"/>
      <c r="F95" s="54"/>
      <c r="G95" s="79">
        <f t="shared" si="3"/>
        <v>0</v>
      </c>
      <c r="H95" s="79"/>
      <c r="I95" s="79"/>
      <c r="J95" s="79"/>
      <c r="K95" s="107"/>
      <c r="L95" s="105">
        <f t="shared" si="2"/>
        <v>0</v>
      </c>
      <c r="N95" s="64"/>
    </row>
    <row r="96" spans="1:14" s="4" customFormat="1" ht="138.75" customHeight="1">
      <c r="A96" s="136"/>
      <c r="B96" s="121"/>
      <c r="C96" s="117"/>
      <c r="D96" s="112"/>
      <c r="E96" s="15" t="s">
        <v>445</v>
      </c>
      <c r="F96" s="32" t="s">
        <v>455</v>
      </c>
      <c r="G96" s="79">
        <f t="shared" si="3"/>
        <v>5755815</v>
      </c>
      <c r="H96" s="79">
        <f>2680000+80000</f>
        <v>2760000</v>
      </c>
      <c r="I96" s="79">
        <f>3000000-4185</f>
        <v>2995815</v>
      </c>
      <c r="J96" s="79">
        <f>3000000-4185</f>
        <v>2995815</v>
      </c>
      <c r="K96" s="107"/>
      <c r="L96" s="105">
        <f t="shared" si="2"/>
        <v>0</v>
      </c>
      <c r="N96" s="64"/>
    </row>
    <row r="97" spans="1:14" s="4" customFormat="1" ht="159.75" customHeight="1" hidden="1">
      <c r="A97" s="135" t="s">
        <v>319</v>
      </c>
      <c r="B97" s="119" t="s">
        <v>320</v>
      </c>
      <c r="C97" s="119" t="s">
        <v>321</v>
      </c>
      <c r="D97" s="124" t="s">
        <v>322</v>
      </c>
      <c r="E97" s="13" t="s">
        <v>78</v>
      </c>
      <c r="F97" s="54"/>
      <c r="G97" s="79">
        <f t="shared" si="3"/>
        <v>0</v>
      </c>
      <c r="H97" s="79"/>
      <c r="I97" s="79"/>
      <c r="J97" s="79"/>
      <c r="K97" s="107"/>
      <c r="L97" s="105">
        <f t="shared" si="2"/>
        <v>0</v>
      </c>
      <c r="N97" s="64"/>
    </row>
    <row r="98" spans="1:14" s="4" customFormat="1" ht="133.5" customHeight="1" hidden="1">
      <c r="A98" s="136"/>
      <c r="B98" s="121"/>
      <c r="C98" s="121"/>
      <c r="D98" s="125"/>
      <c r="E98" s="15" t="s">
        <v>368</v>
      </c>
      <c r="F98" s="56"/>
      <c r="G98" s="79">
        <f t="shared" si="3"/>
        <v>0</v>
      </c>
      <c r="H98" s="79"/>
      <c r="I98" s="79"/>
      <c r="J98" s="79"/>
      <c r="K98" s="107"/>
      <c r="L98" s="105">
        <f t="shared" si="2"/>
        <v>0</v>
      </c>
      <c r="N98" s="64"/>
    </row>
    <row r="99" spans="1:14" s="4" customFormat="1" ht="106.5" customHeight="1">
      <c r="A99" s="14" t="s">
        <v>435</v>
      </c>
      <c r="B99" s="94" t="s">
        <v>436</v>
      </c>
      <c r="C99" s="94" t="s">
        <v>311</v>
      </c>
      <c r="D99" s="13" t="s">
        <v>441</v>
      </c>
      <c r="E99" s="15" t="s">
        <v>445</v>
      </c>
      <c r="F99" s="32" t="s">
        <v>455</v>
      </c>
      <c r="G99" s="79">
        <f t="shared" si="3"/>
        <v>4580500</v>
      </c>
      <c r="H99" s="79">
        <v>4580500</v>
      </c>
      <c r="I99" s="79"/>
      <c r="J99" s="79"/>
      <c r="K99" s="107"/>
      <c r="L99" s="105">
        <f t="shared" si="2"/>
        <v>0</v>
      </c>
      <c r="N99" s="64"/>
    </row>
    <row r="100" spans="1:14" s="4" customFormat="1" ht="106.5" customHeight="1">
      <c r="A100" s="14" t="s">
        <v>437</v>
      </c>
      <c r="B100" s="94" t="s">
        <v>438</v>
      </c>
      <c r="C100" s="94" t="s">
        <v>311</v>
      </c>
      <c r="D100" s="13" t="s">
        <v>442</v>
      </c>
      <c r="E100" s="15" t="s">
        <v>445</v>
      </c>
      <c r="F100" s="32" t="s">
        <v>455</v>
      </c>
      <c r="G100" s="79">
        <f t="shared" si="3"/>
        <v>1456300</v>
      </c>
      <c r="H100" s="79">
        <f>1465420-9120</f>
        <v>1456300</v>
      </c>
      <c r="I100" s="79"/>
      <c r="J100" s="79"/>
      <c r="K100" s="107"/>
      <c r="L100" s="105">
        <f t="shared" si="2"/>
        <v>0</v>
      </c>
      <c r="N100" s="64"/>
    </row>
    <row r="101" spans="1:14" s="4" customFormat="1" ht="106.5" customHeight="1">
      <c r="A101" s="14" t="s">
        <v>439</v>
      </c>
      <c r="B101" s="94" t="s">
        <v>440</v>
      </c>
      <c r="C101" s="94" t="s">
        <v>311</v>
      </c>
      <c r="D101" s="13" t="s">
        <v>443</v>
      </c>
      <c r="E101" s="15" t="s">
        <v>445</v>
      </c>
      <c r="F101" s="32" t="s">
        <v>455</v>
      </c>
      <c r="G101" s="79">
        <f t="shared" si="3"/>
        <v>2602469</v>
      </c>
      <c r="H101" s="79">
        <v>2602469</v>
      </c>
      <c r="I101" s="79"/>
      <c r="J101" s="79"/>
      <c r="K101" s="107"/>
      <c r="L101" s="105">
        <f t="shared" si="2"/>
        <v>0</v>
      </c>
      <c r="N101" s="64"/>
    </row>
    <row r="102" spans="1:14" s="4" customFormat="1" ht="144.75" customHeight="1" hidden="1">
      <c r="A102" s="135" t="s">
        <v>313</v>
      </c>
      <c r="B102" s="119" t="s">
        <v>310</v>
      </c>
      <c r="C102" s="119" t="s">
        <v>311</v>
      </c>
      <c r="D102" s="124" t="s">
        <v>312</v>
      </c>
      <c r="E102" s="13" t="s">
        <v>78</v>
      </c>
      <c r="F102" s="54"/>
      <c r="G102" s="79">
        <f t="shared" si="3"/>
        <v>0</v>
      </c>
      <c r="H102" s="79"/>
      <c r="I102" s="79"/>
      <c r="J102" s="79"/>
      <c r="K102" s="107"/>
      <c r="L102" s="105">
        <f t="shared" si="2"/>
        <v>0</v>
      </c>
      <c r="N102" s="64"/>
    </row>
    <row r="103" spans="1:14" s="4" customFormat="1" ht="147" customHeight="1">
      <c r="A103" s="139"/>
      <c r="B103" s="120"/>
      <c r="C103" s="120"/>
      <c r="D103" s="142"/>
      <c r="E103" s="15" t="s">
        <v>446</v>
      </c>
      <c r="F103" s="32" t="s">
        <v>455</v>
      </c>
      <c r="G103" s="79">
        <f t="shared" si="3"/>
        <v>18016600</v>
      </c>
      <c r="H103" s="79">
        <f>14928600+88000</f>
        <v>15016600</v>
      </c>
      <c r="I103" s="79">
        <f>3000000-3000000+2042260+957740</f>
        <v>3000000</v>
      </c>
      <c r="J103" s="79">
        <f>3000000-3000000+2042260+957740</f>
        <v>3000000</v>
      </c>
      <c r="K103" s="107"/>
      <c r="L103" s="105">
        <f t="shared" si="2"/>
        <v>0</v>
      </c>
      <c r="N103" s="64"/>
    </row>
    <row r="104" spans="1:14" s="61" customFormat="1" ht="141" customHeight="1">
      <c r="A104" s="136"/>
      <c r="B104" s="121"/>
      <c r="C104" s="121"/>
      <c r="D104" s="125"/>
      <c r="E104" s="59" t="s">
        <v>447</v>
      </c>
      <c r="F104" s="60" t="s">
        <v>479</v>
      </c>
      <c r="G104" s="81">
        <f t="shared" si="3"/>
        <v>288000</v>
      </c>
      <c r="H104" s="81">
        <f>200000+88000</f>
        <v>288000</v>
      </c>
      <c r="I104" s="81"/>
      <c r="J104" s="81"/>
      <c r="K104" s="107"/>
      <c r="L104" s="105">
        <f t="shared" si="2"/>
        <v>0</v>
      </c>
      <c r="N104" s="67"/>
    </row>
    <row r="105" spans="1:14" s="4" customFormat="1" ht="162" customHeight="1">
      <c r="A105" s="12" t="s">
        <v>330</v>
      </c>
      <c r="B105" s="90" t="s">
        <v>328</v>
      </c>
      <c r="C105" s="90" t="s">
        <v>5</v>
      </c>
      <c r="D105" s="13" t="s">
        <v>329</v>
      </c>
      <c r="E105" s="15" t="s">
        <v>445</v>
      </c>
      <c r="F105" s="56" t="s">
        <v>477</v>
      </c>
      <c r="G105" s="79">
        <f t="shared" si="3"/>
        <v>3319135</v>
      </c>
      <c r="H105" s="79"/>
      <c r="I105" s="79">
        <f>2639223.3+679911.7</f>
        <v>3319135</v>
      </c>
      <c r="J105" s="79">
        <f>2639223.3+679911.7</f>
        <v>3319135</v>
      </c>
      <c r="K105" s="107"/>
      <c r="L105" s="105">
        <f t="shared" si="2"/>
        <v>0</v>
      </c>
      <c r="N105" s="64"/>
    </row>
    <row r="106" spans="1:14" ht="102.75" customHeight="1">
      <c r="A106" s="12" t="s">
        <v>171</v>
      </c>
      <c r="B106" s="90" t="s">
        <v>96</v>
      </c>
      <c r="C106" s="90" t="s">
        <v>28</v>
      </c>
      <c r="D106" s="13" t="s">
        <v>57</v>
      </c>
      <c r="E106" s="13" t="s">
        <v>79</v>
      </c>
      <c r="F106" s="54" t="s">
        <v>404</v>
      </c>
      <c r="G106" s="79">
        <f t="shared" si="3"/>
        <v>12610000</v>
      </c>
      <c r="H106" s="79"/>
      <c r="I106" s="79">
        <f>8300000-40000+3900000+450000</f>
        <v>12610000</v>
      </c>
      <c r="J106" s="79">
        <f>8300000-40000+3900000+450000</f>
        <v>12610000</v>
      </c>
      <c r="K106" s="107"/>
      <c r="L106" s="105">
        <f t="shared" si="2"/>
        <v>0</v>
      </c>
      <c r="N106" s="64"/>
    </row>
    <row r="107" spans="1:14" ht="195.75" customHeight="1">
      <c r="A107" s="12" t="s">
        <v>425</v>
      </c>
      <c r="B107" s="90" t="s">
        <v>426</v>
      </c>
      <c r="C107" s="90" t="s">
        <v>14</v>
      </c>
      <c r="D107" s="13" t="s">
        <v>427</v>
      </c>
      <c r="E107" s="13" t="s">
        <v>79</v>
      </c>
      <c r="F107" s="54" t="s">
        <v>404</v>
      </c>
      <c r="G107" s="79">
        <f t="shared" si="3"/>
        <v>9592653.58</v>
      </c>
      <c r="H107" s="79"/>
      <c r="I107" s="79">
        <f>5760000+3832653.58</f>
        <v>9592653.58</v>
      </c>
      <c r="J107" s="79"/>
      <c r="K107" s="107"/>
      <c r="L107" s="105">
        <f t="shared" si="2"/>
        <v>0</v>
      </c>
      <c r="N107" s="64"/>
    </row>
    <row r="108" spans="1:14" ht="132.75" customHeight="1" hidden="1">
      <c r="A108" s="12" t="s">
        <v>367</v>
      </c>
      <c r="B108" s="90" t="s">
        <v>89</v>
      </c>
      <c r="C108" s="90" t="s">
        <v>13</v>
      </c>
      <c r="D108" s="13" t="s">
        <v>90</v>
      </c>
      <c r="E108" s="15" t="s">
        <v>394</v>
      </c>
      <c r="F108" s="32" t="s">
        <v>429</v>
      </c>
      <c r="G108" s="79">
        <f t="shared" si="3"/>
        <v>0</v>
      </c>
      <c r="H108" s="82"/>
      <c r="I108" s="82"/>
      <c r="J108" s="79"/>
      <c r="K108" s="107"/>
      <c r="L108" s="105">
        <f t="shared" si="2"/>
        <v>0</v>
      </c>
      <c r="N108" s="64"/>
    </row>
    <row r="109" spans="1:14" ht="141.75" customHeight="1" hidden="1">
      <c r="A109" s="12" t="s">
        <v>355</v>
      </c>
      <c r="B109" s="90" t="s">
        <v>87</v>
      </c>
      <c r="C109" s="90" t="s">
        <v>356</v>
      </c>
      <c r="D109" s="99" t="s">
        <v>88</v>
      </c>
      <c r="E109" s="15" t="s">
        <v>389</v>
      </c>
      <c r="F109" s="32" t="s">
        <v>429</v>
      </c>
      <c r="G109" s="79">
        <f t="shared" si="3"/>
        <v>0</v>
      </c>
      <c r="H109" s="79"/>
      <c r="I109" s="79"/>
      <c r="J109" s="79"/>
      <c r="K109" s="107"/>
      <c r="L109" s="105">
        <f t="shared" si="2"/>
        <v>0</v>
      </c>
      <c r="N109" s="64"/>
    </row>
    <row r="110" spans="1:14" s="3" customFormat="1" ht="114" customHeight="1">
      <c r="A110" s="20"/>
      <c r="B110" s="92"/>
      <c r="C110" s="92"/>
      <c r="D110" s="21" t="s">
        <v>172</v>
      </c>
      <c r="E110" s="21"/>
      <c r="F110" s="57"/>
      <c r="G110" s="78">
        <f>SUM(G111+G112+G113+G114+G116+G117+G118+G119+G120+G121+G122+G123+G124+G125+G126+G127+G128+G129+G130)</f>
        <v>81253855</v>
      </c>
      <c r="H110" s="78">
        <f>SUM(H111+H112+H113+H114+H116+H117+H118+H119+H120+H121+H122+H123+H124+H125+H126+H127+H128+H129+H130)</f>
        <v>80901466</v>
      </c>
      <c r="I110" s="78">
        <f>SUM(I111+I112+I113+I114+I116+I117+I118+I119+I120+I121+I122+I123+I124+I125+I126+I127+I128+I129+I130)</f>
        <v>352389</v>
      </c>
      <c r="J110" s="78">
        <f>SUM(J111+J112+J113+J114+J116+J117+J118+J119+J120+J121+J122+J123+J124+J125+J126+J127+J128+J129+J130)</f>
        <v>352389</v>
      </c>
      <c r="K110" s="107"/>
      <c r="L110" s="105">
        <f t="shared" si="2"/>
        <v>0</v>
      </c>
      <c r="N110" s="64"/>
    </row>
    <row r="111" spans="1:14" ht="143.25" customHeight="1">
      <c r="A111" s="31" t="s">
        <v>173</v>
      </c>
      <c r="B111" s="87" t="s">
        <v>80</v>
      </c>
      <c r="C111" s="87" t="s">
        <v>2</v>
      </c>
      <c r="D111" s="32" t="s">
        <v>81</v>
      </c>
      <c r="E111" s="13" t="s">
        <v>385</v>
      </c>
      <c r="F111" s="54" t="s">
        <v>470</v>
      </c>
      <c r="G111" s="79">
        <f aca="true" t="shared" si="4" ref="G111:G130">H111+I111</f>
        <v>50000</v>
      </c>
      <c r="H111" s="79">
        <v>50000</v>
      </c>
      <c r="I111" s="79"/>
      <c r="J111" s="79"/>
      <c r="K111" s="107"/>
      <c r="L111" s="105">
        <f t="shared" si="2"/>
        <v>0</v>
      </c>
      <c r="N111" s="64"/>
    </row>
    <row r="112" spans="1:14" s="49" customFormat="1" ht="115.5" customHeight="1">
      <c r="A112" s="31" t="s">
        <v>174</v>
      </c>
      <c r="B112" s="87" t="s">
        <v>43</v>
      </c>
      <c r="C112" s="96">
        <v>1030</v>
      </c>
      <c r="D112" s="32" t="s">
        <v>114</v>
      </c>
      <c r="E112" s="13" t="s">
        <v>388</v>
      </c>
      <c r="F112" s="54" t="s">
        <v>472</v>
      </c>
      <c r="G112" s="79">
        <f t="shared" si="4"/>
        <v>742736</v>
      </c>
      <c r="H112" s="80">
        <v>510136</v>
      </c>
      <c r="I112" s="80">
        <v>232600</v>
      </c>
      <c r="J112" s="80">
        <v>232600</v>
      </c>
      <c r="K112" s="107"/>
      <c r="L112" s="105">
        <f t="shared" si="2"/>
        <v>0</v>
      </c>
      <c r="N112" s="64"/>
    </row>
    <row r="113" spans="1:14" s="4" customFormat="1" ht="102.75" customHeight="1">
      <c r="A113" s="12" t="s">
        <v>175</v>
      </c>
      <c r="B113" s="90" t="s">
        <v>115</v>
      </c>
      <c r="C113" s="90">
        <v>1070</v>
      </c>
      <c r="D113" s="13" t="s">
        <v>53</v>
      </c>
      <c r="E113" s="13" t="s">
        <v>388</v>
      </c>
      <c r="F113" s="54" t="s">
        <v>472</v>
      </c>
      <c r="G113" s="79">
        <f t="shared" si="4"/>
        <v>1436397</v>
      </c>
      <c r="H113" s="80">
        <v>1436397</v>
      </c>
      <c r="I113" s="80"/>
      <c r="J113" s="80"/>
      <c r="K113" s="107"/>
      <c r="L113" s="105">
        <f t="shared" si="2"/>
        <v>0</v>
      </c>
      <c r="N113" s="64"/>
    </row>
    <row r="114" spans="1:14" s="4" customFormat="1" ht="147.75" customHeight="1">
      <c r="A114" s="12" t="s">
        <v>176</v>
      </c>
      <c r="B114" s="90" t="s">
        <v>44</v>
      </c>
      <c r="C114" s="90" t="s">
        <v>22</v>
      </c>
      <c r="D114" s="13" t="s">
        <v>39</v>
      </c>
      <c r="E114" s="13" t="s">
        <v>388</v>
      </c>
      <c r="F114" s="54" t="s">
        <v>472</v>
      </c>
      <c r="G114" s="79">
        <f t="shared" si="4"/>
        <v>12115300</v>
      </c>
      <c r="H114" s="79">
        <f>10000000+1000000+1115300</f>
        <v>12115300</v>
      </c>
      <c r="I114" s="79"/>
      <c r="J114" s="79"/>
      <c r="K114" s="107"/>
      <c r="L114" s="105">
        <f t="shared" si="2"/>
        <v>0</v>
      </c>
      <c r="N114" s="64"/>
    </row>
    <row r="115" spans="1:14" s="4" customFormat="1" ht="150.75" customHeight="1" hidden="1">
      <c r="A115" s="12" t="s">
        <v>177</v>
      </c>
      <c r="B115" s="90" t="s">
        <v>63</v>
      </c>
      <c r="C115" s="90" t="s">
        <v>22</v>
      </c>
      <c r="D115" s="13" t="s">
        <v>76</v>
      </c>
      <c r="E115" s="13" t="s">
        <v>388</v>
      </c>
      <c r="F115" s="54" t="s">
        <v>431</v>
      </c>
      <c r="G115" s="79">
        <f t="shared" si="4"/>
        <v>0</v>
      </c>
      <c r="H115" s="79"/>
      <c r="I115" s="79"/>
      <c r="J115" s="79"/>
      <c r="K115" s="107"/>
      <c r="L115" s="105">
        <f t="shared" si="2"/>
        <v>0</v>
      </c>
      <c r="N115" s="64"/>
    </row>
    <row r="116" spans="1:14" s="4" customFormat="1" ht="132.75">
      <c r="A116" s="12" t="s">
        <v>178</v>
      </c>
      <c r="B116" s="90" t="s">
        <v>82</v>
      </c>
      <c r="C116" s="90" t="s">
        <v>22</v>
      </c>
      <c r="D116" s="13" t="s">
        <v>25</v>
      </c>
      <c r="E116" s="13" t="s">
        <v>388</v>
      </c>
      <c r="F116" s="54" t="s">
        <v>472</v>
      </c>
      <c r="G116" s="79">
        <f t="shared" si="4"/>
        <v>23639850</v>
      </c>
      <c r="H116" s="79">
        <f>20255150+1500000+1884700</f>
        <v>23639850</v>
      </c>
      <c r="I116" s="79"/>
      <c r="J116" s="79"/>
      <c r="K116" s="107"/>
      <c r="L116" s="105">
        <f t="shared" si="2"/>
        <v>0</v>
      </c>
      <c r="N116" s="64"/>
    </row>
    <row r="117" spans="1:14" s="4" customFormat="1" ht="210.75" customHeight="1">
      <c r="A117" s="12" t="s">
        <v>179</v>
      </c>
      <c r="B117" s="90" t="s">
        <v>45</v>
      </c>
      <c r="C117" s="90" t="s">
        <v>38</v>
      </c>
      <c r="D117" s="13" t="s">
        <v>55</v>
      </c>
      <c r="E117" s="13" t="s">
        <v>388</v>
      </c>
      <c r="F117" s="54" t="s">
        <v>472</v>
      </c>
      <c r="G117" s="79">
        <f t="shared" si="4"/>
        <v>254600</v>
      </c>
      <c r="H117" s="79">
        <f>254600</f>
        <v>254600</v>
      </c>
      <c r="I117" s="79"/>
      <c r="J117" s="79"/>
      <c r="K117" s="107"/>
      <c r="L117" s="105">
        <f t="shared" si="2"/>
        <v>0</v>
      </c>
      <c r="N117" s="64"/>
    </row>
    <row r="118" spans="1:14" s="4" customFormat="1" ht="285" customHeight="1">
      <c r="A118" s="31" t="s">
        <v>383</v>
      </c>
      <c r="B118" s="87" t="s">
        <v>399</v>
      </c>
      <c r="C118" s="87" t="s">
        <v>40</v>
      </c>
      <c r="D118" s="32" t="s">
        <v>398</v>
      </c>
      <c r="E118" s="13" t="s">
        <v>388</v>
      </c>
      <c r="F118" s="54" t="s">
        <v>472</v>
      </c>
      <c r="G118" s="79">
        <f t="shared" si="4"/>
        <v>1812956</v>
      </c>
      <c r="H118" s="79">
        <v>1812956</v>
      </c>
      <c r="I118" s="79"/>
      <c r="J118" s="79"/>
      <c r="K118" s="107">
        <v>50</v>
      </c>
      <c r="L118" s="105">
        <f t="shared" si="2"/>
        <v>0</v>
      </c>
      <c r="N118" s="64"/>
    </row>
    <row r="119" spans="1:14" ht="130.5" customHeight="1">
      <c r="A119" s="133" t="s">
        <v>180</v>
      </c>
      <c r="B119" s="116" t="s">
        <v>116</v>
      </c>
      <c r="C119" s="116" t="s">
        <v>4</v>
      </c>
      <c r="D119" s="111" t="s">
        <v>303</v>
      </c>
      <c r="E119" s="13" t="s">
        <v>388</v>
      </c>
      <c r="F119" s="54" t="s">
        <v>472</v>
      </c>
      <c r="G119" s="79">
        <f t="shared" si="4"/>
        <v>1716099</v>
      </c>
      <c r="H119" s="79">
        <v>1716099</v>
      </c>
      <c r="I119" s="79"/>
      <c r="J119" s="79"/>
      <c r="K119" s="107"/>
      <c r="L119" s="105">
        <f t="shared" si="2"/>
        <v>0</v>
      </c>
      <c r="N119" s="64"/>
    </row>
    <row r="120" spans="1:14" ht="142.5" customHeight="1">
      <c r="A120" s="134"/>
      <c r="B120" s="117"/>
      <c r="C120" s="117"/>
      <c r="D120" s="112"/>
      <c r="E120" s="13" t="s">
        <v>78</v>
      </c>
      <c r="F120" s="54" t="s">
        <v>406</v>
      </c>
      <c r="G120" s="79">
        <f t="shared" si="4"/>
        <v>150000</v>
      </c>
      <c r="H120" s="79">
        <v>150000</v>
      </c>
      <c r="I120" s="79"/>
      <c r="J120" s="79"/>
      <c r="K120" s="107"/>
      <c r="L120" s="105">
        <f t="shared" si="2"/>
        <v>0</v>
      </c>
      <c r="N120" s="64"/>
    </row>
    <row r="121" spans="1:14" s="4" customFormat="1" ht="109.5" customHeight="1">
      <c r="A121" s="133" t="s">
        <v>283</v>
      </c>
      <c r="B121" s="116" t="s">
        <v>309</v>
      </c>
      <c r="C121" s="116" t="s">
        <v>24</v>
      </c>
      <c r="D121" s="111" t="s">
        <v>23</v>
      </c>
      <c r="E121" s="13" t="s">
        <v>388</v>
      </c>
      <c r="F121" s="54" t="s">
        <v>472</v>
      </c>
      <c r="G121" s="79">
        <f t="shared" si="4"/>
        <v>1145921</v>
      </c>
      <c r="H121" s="79">
        <f>1123242+101632-78953</f>
        <v>1145921</v>
      </c>
      <c r="I121" s="79"/>
      <c r="J121" s="79"/>
      <c r="K121" s="107"/>
      <c r="L121" s="105">
        <f t="shared" si="2"/>
        <v>0</v>
      </c>
      <c r="N121" s="64"/>
    </row>
    <row r="122" spans="1:14" s="4" customFormat="1" ht="151.5" customHeight="1">
      <c r="A122" s="134"/>
      <c r="B122" s="117"/>
      <c r="C122" s="117"/>
      <c r="D122" s="112"/>
      <c r="E122" s="13" t="s">
        <v>78</v>
      </c>
      <c r="F122" s="54" t="s">
        <v>406</v>
      </c>
      <c r="G122" s="79">
        <f t="shared" si="4"/>
        <v>1239698</v>
      </c>
      <c r="H122" s="79">
        <v>1239698</v>
      </c>
      <c r="I122" s="79"/>
      <c r="J122" s="79"/>
      <c r="K122" s="107"/>
      <c r="L122" s="105">
        <f t="shared" si="2"/>
        <v>0</v>
      </c>
      <c r="N122" s="64"/>
    </row>
    <row r="123" spans="1:14" s="4" customFormat="1" ht="151.5" customHeight="1">
      <c r="A123" s="12" t="s">
        <v>284</v>
      </c>
      <c r="B123" s="90" t="s">
        <v>286</v>
      </c>
      <c r="C123" s="90" t="s">
        <v>24</v>
      </c>
      <c r="D123" s="13" t="s">
        <v>285</v>
      </c>
      <c r="E123" s="13" t="s">
        <v>388</v>
      </c>
      <c r="F123" s="54" t="s">
        <v>472</v>
      </c>
      <c r="G123" s="79">
        <f t="shared" si="4"/>
        <v>1385920</v>
      </c>
      <c r="H123" s="79">
        <v>1385920</v>
      </c>
      <c r="I123" s="79"/>
      <c r="J123" s="79"/>
      <c r="K123" s="107"/>
      <c r="L123" s="105">
        <f t="shared" si="2"/>
        <v>0</v>
      </c>
      <c r="N123" s="64"/>
    </row>
    <row r="124" spans="1:14" s="18" customFormat="1" ht="148.5" customHeight="1">
      <c r="A124" s="12" t="s">
        <v>181</v>
      </c>
      <c r="B124" s="90" t="s">
        <v>64</v>
      </c>
      <c r="C124" s="90" t="s">
        <v>7</v>
      </c>
      <c r="D124" s="13" t="s">
        <v>117</v>
      </c>
      <c r="E124" s="13" t="s">
        <v>388</v>
      </c>
      <c r="F124" s="54" t="s">
        <v>472</v>
      </c>
      <c r="G124" s="79">
        <f t="shared" si="4"/>
        <v>81525</v>
      </c>
      <c r="H124" s="79">
        <v>81525</v>
      </c>
      <c r="I124" s="79"/>
      <c r="J124" s="79"/>
      <c r="K124" s="107"/>
      <c r="L124" s="105">
        <f t="shared" si="2"/>
        <v>0</v>
      </c>
      <c r="N124" s="64"/>
    </row>
    <row r="125" spans="1:14" s="18" customFormat="1" ht="115.5" customHeight="1">
      <c r="A125" s="12" t="s">
        <v>287</v>
      </c>
      <c r="B125" s="90" t="s">
        <v>288</v>
      </c>
      <c r="C125" s="90" t="s">
        <v>34</v>
      </c>
      <c r="D125" s="13" t="s">
        <v>54</v>
      </c>
      <c r="E125" s="13" t="s">
        <v>384</v>
      </c>
      <c r="F125" s="32" t="s">
        <v>457</v>
      </c>
      <c r="G125" s="79">
        <f t="shared" si="4"/>
        <v>300000</v>
      </c>
      <c r="H125" s="79">
        <v>300000</v>
      </c>
      <c r="I125" s="79"/>
      <c r="J125" s="79"/>
      <c r="K125" s="107"/>
      <c r="L125" s="105">
        <f t="shared" si="2"/>
        <v>0</v>
      </c>
      <c r="N125" s="64"/>
    </row>
    <row r="126" spans="1:14" s="50" customFormat="1" ht="129.75" customHeight="1">
      <c r="A126" s="133" t="s">
        <v>289</v>
      </c>
      <c r="B126" s="119" t="s">
        <v>274</v>
      </c>
      <c r="C126" s="119" t="s">
        <v>7</v>
      </c>
      <c r="D126" s="111" t="s">
        <v>275</v>
      </c>
      <c r="E126" s="13" t="s">
        <v>388</v>
      </c>
      <c r="F126" s="54" t="s">
        <v>472</v>
      </c>
      <c r="G126" s="79">
        <f t="shared" si="4"/>
        <v>10332118</v>
      </c>
      <c r="H126" s="79">
        <f>5816125+123900+102440+78953+1884870+507500+500000+400000+240000+110000+403530+164800</f>
        <v>10332118</v>
      </c>
      <c r="I126" s="79"/>
      <c r="J126" s="79"/>
      <c r="K126" s="107"/>
      <c r="L126" s="105">
        <f t="shared" si="2"/>
        <v>0</v>
      </c>
      <c r="N126" s="64"/>
    </row>
    <row r="127" spans="1:14" s="50" customFormat="1" ht="144.75" customHeight="1">
      <c r="A127" s="134"/>
      <c r="B127" s="121"/>
      <c r="C127" s="121"/>
      <c r="D127" s="112"/>
      <c r="E127" s="13" t="s">
        <v>78</v>
      </c>
      <c r="F127" s="54" t="s">
        <v>406</v>
      </c>
      <c r="G127" s="79">
        <f t="shared" si="4"/>
        <v>24066946</v>
      </c>
      <c r="H127" s="79">
        <v>24066946</v>
      </c>
      <c r="I127" s="79"/>
      <c r="J127" s="79"/>
      <c r="K127" s="107"/>
      <c r="L127" s="105">
        <f t="shared" si="2"/>
        <v>0</v>
      </c>
      <c r="N127" s="64"/>
    </row>
    <row r="128" spans="1:14" s="18" customFormat="1" ht="177">
      <c r="A128" s="12" t="s">
        <v>469</v>
      </c>
      <c r="B128" s="90" t="s">
        <v>328</v>
      </c>
      <c r="C128" s="90" t="s">
        <v>5</v>
      </c>
      <c r="D128" s="13" t="s">
        <v>329</v>
      </c>
      <c r="E128" s="15" t="s">
        <v>428</v>
      </c>
      <c r="F128" s="54" t="s">
        <v>473</v>
      </c>
      <c r="G128" s="79">
        <f t="shared" si="4"/>
        <v>119789</v>
      </c>
      <c r="H128" s="79"/>
      <c r="I128" s="79">
        <f>116300+3489</f>
        <v>119789</v>
      </c>
      <c r="J128" s="79">
        <f>116300+3489</f>
        <v>119789</v>
      </c>
      <c r="K128" s="107"/>
      <c r="L128" s="105">
        <f t="shared" si="2"/>
        <v>0</v>
      </c>
      <c r="N128" s="64"/>
    </row>
    <row r="129" spans="1:14" s="4" customFormat="1" ht="90.75" customHeight="1">
      <c r="A129" s="133" t="s">
        <v>182</v>
      </c>
      <c r="B129" s="116" t="s">
        <v>87</v>
      </c>
      <c r="C129" s="116" t="s">
        <v>29</v>
      </c>
      <c r="D129" s="111" t="s">
        <v>88</v>
      </c>
      <c r="E129" s="13" t="s">
        <v>388</v>
      </c>
      <c r="F129" s="54" t="s">
        <v>472</v>
      </c>
      <c r="G129" s="79">
        <f t="shared" si="4"/>
        <v>70000</v>
      </c>
      <c r="H129" s="79">
        <v>70000</v>
      </c>
      <c r="I129" s="79"/>
      <c r="J129" s="79"/>
      <c r="K129" s="107"/>
      <c r="L129" s="105">
        <f t="shared" si="2"/>
        <v>0</v>
      </c>
      <c r="N129" s="64"/>
    </row>
    <row r="130" spans="1:14" s="4" customFormat="1" ht="138.75" customHeight="1">
      <c r="A130" s="134"/>
      <c r="B130" s="117"/>
      <c r="C130" s="117"/>
      <c r="D130" s="112"/>
      <c r="E130" s="13" t="s">
        <v>78</v>
      </c>
      <c r="F130" s="54" t="s">
        <v>406</v>
      </c>
      <c r="G130" s="79">
        <f t="shared" si="4"/>
        <v>594000</v>
      </c>
      <c r="H130" s="79">
        <v>594000</v>
      </c>
      <c r="I130" s="79"/>
      <c r="J130" s="79"/>
      <c r="K130" s="107"/>
      <c r="L130" s="105">
        <f t="shared" si="2"/>
        <v>0</v>
      </c>
      <c r="N130" s="64"/>
    </row>
    <row r="131" spans="1:14" s="3" customFormat="1" ht="93" customHeight="1">
      <c r="A131" s="20"/>
      <c r="B131" s="92"/>
      <c r="C131" s="92"/>
      <c r="D131" s="21" t="s">
        <v>183</v>
      </c>
      <c r="E131" s="21"/>
      <c r="F131" s="57"/>
      <c r="G131" s="78">
        <f>SUM(G132+G133)</f>
        <v>228740</v>
      </c>
      <c r="H131" s="78">
        <f>SUM(H132+H133)</f>
        <v>188440</v>
      </c>
      <c r="I131" s="78">
        <f>SUM(I132+I133)</f>
        <v>40300</v>
      </c>
      <c r="J131" s="78">
        <f>SUM(J132+J133)</f>
        <v>40300</v>
      </c>
      <c r="K131" s="107"/>
      <c r="L131" s="105">
        <f t="shared" si="2"/>
        <v>0</v>
      </c>
      <c r="N131" s="64"/>
    </row>
    <row r="132" spans="1:14" s="3" customFormat="1" ht="265.5">
      <c r="A132" s="12" t="s">
        <v>463</v>
      </c>
      <c r="B132" s="90" t="s">
        <v>464</v>
      </c>
      <c r="C132" s="90" t="s">
        <v>8</v>
      </c>
      <c r="D132" s="13" t="s">
        <v>465</v>
      </c>
      <c r="E132" s="13" t="s">
        <v>75</v>
      </c>
      <c r="F132" s="32" t="s">
        <v>488</v>
      </c>
      <c r="G132" s="79">
        <f>H132+I132</f>
        <v>128740</v>
      </c>
      <c r="H132" s="79">
        <v>88440</v>
      </c>
      <c r="I132" s="79">
        <v>40300</v>
      </c>
      <c r="J132" s="79">
        <v>40300</v>
      </c>
      <c r="K132" s="107"/>
      <c r="L132" s="105">
        <f t="shared" si="2"/>
        <v>0</v>
      </c>
      <c r="N132" s="64"/>
    </row>
    <row r="133" spans="1:14" s="4" customFormat="1" ht="120" customHeight="1">
      <c r="A133" s="12" t="s">
        <v>184</v>
      </c>
      <c r="B133" s="90" t="s">
        <v>58</v>
      </c>
      <c r="C133" s="90" t="s">
        <v>8</v>
      </c>
      <c r="D133" s="13" t="s">
        <v>56</v>
      </c>
      <c r="E133" s="13" t="s">
        <v>75</v>
      </c>
      <c r="F133" s="32" t="s">
        <v>488</v>
      </c>
      <c r="G133" s="79">
        <f>H133+I133</f>
        <v>100000</v>
      </c>
      <c r="H133" s="79">
        <v>100000</v>
      </c>
      <c r="I133" s="79"/>
      <c r="J133" s="79"/>
      <c r="K133" s="107"/>
      <c r="L133" s="105">
        <f t="shared" si="2"/>
        <v>0</v>
      </c>
      <c r="N133" s="64"/>
    </row>
    <row r="134" spans="1:14" s="3" customFormat="1" ht="114.75" customHeight="1">
      <c r="A134" s="20"/>
      <c r="B134" s="92"/>
      <c r="C134" s="92"/>
      <c r="D134" s="21" t="s">
        <v>185</v>
      </c>
      <c r="E134" s="21"/>
      <c r="F134" s="57"/>
      <c r="G134" s="78">
        <f>SUM(G135+G136+G137+G138+G139+G141)</f>
        <v>4745090</v>
      </c>
      <c r="H134" s="78">
        <f>SUM(H135+H136+H137+H138+H139+H141)</f>
        <v>3281070</v>
      </c>
      <c r="I134" s="78">
        <f>SUM(I135+I136+I137+I138+I139+I141)</f>
        <v>1464020</v>
      </c>
      <c r="J134" s="78">
        <f>SUM(J135+J136+J137+J138+J139+J141)</f>
        <v>1464020</v>
      </c>
      <c r="K134" s="107"/>
      <c r="L134" s="105">
        <f t="shared" si="2"/>
        <v>0</v>
      </c>
      <c r="N134" s="64"/>
    </row>
    <row r="135" spans="1:14" ht="168.75" customHeight="1">
      <c r="A135" s="31" t="s">
        <v>186</v>
      </c>
      <c r="B135" s="87" t="s">
        <v>80</v>
      </c>
      <c r="C135" s="87" t="s">
        <v>2</v>
      </c>
      <c r="D135" s="32" t="s">
        <v>81</v>
      </c>
      <c r="E135" s="13" t="s">
        <v>385</v>
      </c>
      <c r="F135" s="54" t="s">
        <v>470</v>
      </c>
      <c r="G135" s="79">
        <f aca="true" t="shared" si="5" ref="G135:G141">H135+I135</f>
        <v>30000</v>
      </c>
      <c r="H135" s="79">
        <v>30000</v>
      </c>
      <c r="I135" s="79"/>
      <c r="J135" s="79"/>
      <c r="K135" s="107">
        <v>51</v>
      </c>
      <c r="L135" s="105">
        <f t="shared" si="2"/>
        <v>0</v>
      </c>
      <c r="N135" s="64"/>
    </row>
    <row r="136" spans="1:14" ht="180.75" customHeight="1">
      <c r="A136" s="12" t="s">
        <v>187</v>
      </c>
      <c r="B136" s="90" t="s">
        <v>102</v>
      </c>
      <c r="C136" s="90" t="s">
        <v>36</v>
      </c>
      <c r="D136" s="13" t="s">
        <v>103</v>
      </c>
      <c r="E136" s="13" t="s">
        <v>391</v>
      </c>
      <c r="F136" s="32" t="s">
        <v>454</v>
      </c>
      <c r="G136" s="79">
        <f t="shared" si="5"/>
        <v>512231</v>
      </c>
      <c r="H136" s="79">
        <v>402231</v>
      </c>
      <c r="I136" s="79">
        <f>100000+10000</f>
        <v>110000</v>
      </c>
      <c r="J136" s="79">
        <f>100000+10000</f>
        <v>110000</v>
      </c>
      <c r="K136" s="107"/>
      <c r="L136" s="105">
        <f t="shared" si="2"/>
        <v>0</v>
      </c>
      <c r="N136" s="64"/>
    </row>
    <row r="137" spans="1:14" ht="150.75" customHeight="1">
      <c r="A137" s="12" t="s">
        <v>188</v>
      </c>
      <c r="B137" s="90" t="s">
        <v>59</v>
      </c>
      <c r="C137" s="90" t="s">
        <v>35</v>
      </c>
      <c r="D137" s="13" t="s">
        <v>101</v>
      </c>
      <c r="E137" s="13" t="s">
        <v>391</v>
      </c>
      <c r="F137" s="32" t="s">
        <v>454</v>
      </c>
      <c r="G137" s="79">
        <f t="shared" si="5"/>
        <v>801459</v>
      </c>
      <c r="H137" s="79">
        <f>387139+25000+12000+25000+4300</f>
        <v>453439</v>
      </c>
      <c r="I137" s="79">
        <f>300000+5000+43020</f>
        <v>348020</v>
      </c>
      <c r="J137" s="79">
        <f>300000+5000+43020</f>
        <v>348020</v>
      </c>
      <c r="K137" s="107"/>
      <c r="L137" s="105">
        <f t="shared" si="2"/>
        <v>0</v>
      </c>
      <c r="N137" s="64"/>
    </row>
    <row r="138" spans="1:14" s="4" customFormat="1" ht="153" customHeight="1">
      <c r="A138" s="12" t="s">
        <v>351</v>
      </c>
      <c r="B138" s="90" t="s">
        <v>304</v>
      </c>
      <c r="C138" s="90" t="s">
        <v>10</v>
      </c>
      <c r="D138" s="13" t="s">
        <v>305</v>
      </c>
      <c r="E138" s="13" t="s">
        <v>391</v>
      </c>
      <c r="F138" s="32" t="s">
        <v>454</v>
      </c>
      <c r="G138" s="79">
        <f t="shared" si="5"/>
        <v>10000</v>
      </c>
      <c r="H138" s="79">
        <v>10000</v>
      </c>
      <c r="I138" s="79"/>
      <c r="J138" s="79"/>
      <c r="K138" s="107"/>
      <c r="L138" s="105">
        <f t="shared" si="2"/>
        <v>0</v>
      </c>
      <c r="N138" s="64"/>
    </row>
    <row r="139" spans="1:14" s="4" customFormat="1" ht="162.75" customHeight="1">
      <c r="A139" s="12" t="s">
        <v>279</v>
      </c>
      <c r="B139" s="90" t="s">
        <v>276</v>
      </c>
      <c r="C139" s="90" t="s">
        <v>10</v>
      </c>
      <c r="D139" s="32" t="s">
        <v>277</v>
      </c>
      <c r="E139" s="13" t="s">
        <v>391</v>
      </c>
      <c r="F139" s="32" t="s">
        <v>454</v>
      </c>
      <c r="G139" s="79">
        <f t="shared" si="5"/>
        <v>2385400</v>
      </c>
      <c r="H139" s="79">
        <f>2039400+250000+86000+5000+5000</f>
        <v>2385400</v>
      </c>
      <c r="I139" s="79"/>
      <c r="J139" s="79"/>
      <c r="K139" s="107"/>
      <c r="L139" s="105">
        <f t="shared" si="2"/>
        <v>0</v>
      </c>
      <c r="N139" s="64"/>
    </row>
    <row r="140" spans="1:14" s="4" customFormat="1" ht="177" customHeight="1" hidden="1">
      <c r="A140" s="41" t="s">
        <v>357</v>
      </c>
      <c r="B140" s="88" t="s">
        <v>328</v>
      </c>
      <c r="C140" s="88" t="s">
        <v>5</v>
      </c>
      <c r="D140" s="13" t="s">
        <v>329</v>
      </c>
      <c r="E140" s="13" t="s">
        <v>391</v>
      </c>
      <c r="F140" s="32" t="s">
        <v>429</v>
      </c>
      <c r="G140" s="79">
        <f t="shared" si="5"/>
        <v>0</v>
      </c>
      <c r="H140" s="79"/>
      <c r="I140" s="79"/>
      <c r="J140" s="79"/>
      <c r="K140" s="107"/>
      <c r="L140" s="105">
        <f t="shared" si="2"/>
        <v>0</v>
      </c>
      <c r="N140" s="64"/>
    </row>
    <row r="141" spans="1:14" ht="159.75" customHeight="1">
      <c r="A141" s="12" t="s">
        <v>189</v>
      </c>
      <c r="B141" s="90" t="s">
        <v>96</v>
      </c>
      <c r="C141" s="90" t="s">
        <v>28</v>
      </c>
      <c r="D141" s="13" t="s">
        <v>57</v>
      </c>
      <c r="E141" s="13" t="s">
        <v>79</v>
      </c>
      <c r="F141" s="54" t="s">
        <v>404</v>
      </c>
      <c r="G141" s="79">
        <f t="shared" si="5"/>
        <v>1006000</v>
      </c>
      <c r="H141" s="79"/>
      <c r="I141" s="79">
        <v>1006000</v>
      </c>
      <c r="J141" s="79">
        <v>1006000</v>
      </c>
      <c r="K141" s="107"/>
      <c r="L141" s="105">
        <f t="shared" si="2"/>
        <v>0</v>
      </c>
      <c r="N141" s="64"/>
    </row>
    <row r="142" spans="1:14" s="3" customFormat="1" ht="117" customHeight="1">
      <c r="A142" s="20"/>
      <c r="B142" s="92"/>
      <c r="C142" s="92"/>
      <c r="D142" s="21" t="s">
        <v>190</v>
      </c>
      <c r="E142" s="21"/>
      <c r="F142" s="57"/>
      <c r="G142" s="78">
        <f>SUM(G143+G144+G146+G147+G148+G149+G150+G151+G152+G154+G155+G156+G157+G158+G159+G160+G162+G163+G164+G165+G166+G168+G169+G170)</f>
        <v>385319589.69</v>
      </c>
      <c r="H142" s="78">
        <f>SUM(H143+H144+H146+H147+H148+H149+H150+H151+H152+H154+H155+H156+H157+H158+H159+H160+H162+H163+H164+H165+H166+H168+H169+H170)</f>
        <v>212985170.8</v>
      </c>
      <c r="I142" s="78">
        <f>SUM(I143+I144+I146+I147+I148+I149+I150+I151+I152+I154+I155+I156+I157+I158+I159+I160+I162+I163+I164+I165+I166+I168+I169+I170)</f>
        <v>172334418.89</v>
      </c>
      <c r="J142" s="78">
        <f>SUM(J143+J144+J146+J147+J148+J149+J150+J151+J152+J154+J155+J156+J157+J158+J159+J160+J162+J163+J164+J165+J166+J168+J169+J170)</f>
        <v>167140683.48</v>
      </c>
      <c r="K142" s="107"/>
      <c r="L142" s="105">
        <f t="shared" si="2"/>
        <v>0</v>
      </c>
      <c r="N142" s="64"/>
    </row>
    <row r="143" spans="1:14" ht="138.75" customHeight="1">
      <c r="A143" s="31" t="s">
        <v>191</v>
      </c>
      <c r="B143" s="87" t="s">
        <v>80</v>
      </c>
      <c r="C143" s="87" t="s">
        <v>2</v>
      </c>
      <c r="D143" s="32" t="s">
        <v>81</v>
      </c>
      <c r="E143" s="13" t="s">
        <v>385</v>
      </c>
      <c r="F143" s="54" t="s">
        <v>470</v>
      </c>
      <c r="G143" s="79">
        <f aca="true" t="shared" si="6" ref="G143:G170">H143+I143</f>
        <v>40000</v>
      </c>
      <c r="H143" s="79">
        <v>40000</v>
      </c>
      <c r="I143" s="79"/>
      <c r="J143" s="79"/>
      <c r="K143" s="107"/>
      <c r="L143" s="105">
        <f t="shared" si="2"/>
        <v>0</v>
      </c>
      <c r="N143" s="64"/>
    </row>
    <row r="144" spans="1:14" ht="144" customHeight="1">
      <c r="A144" s="133" t="s">
        <v>290</v>
      </c>
      <c r="B144" s="116" t="s">
        <v>288</v>
      </c>
      <c r="C144" s="116" t="s">
        <v>34</v>
      </c>
      <c r="D144" s="111" t="s">
        <v>54</v>
      </c>
      <c r="E144" s="13" t="s">
        <v>235</v>
      </c>
      <c r="F144" s="13" t="s">
        <v>403</v>
      </c>
      <c r="G144" s="79">
        <f t="shared" si="6"/>
        <v>380000</v>
      </c>
      <c r="H144" s="79">
        <v>380000</v>
      </c>
      <c r="I144" s="79"/>
      <c r="J144" s="79"/>
      <c r="K144" s="107"/>
      <c r="L144" s="105">
        <f t="shared" si="2"/>
        <v>0</v>
      </c>
      <c r="N144" s="64"/>
    </row>
    <row r="145" spans="1:14" ht="111" customHeight="1" hidden="1">
      <c r="A145" s="134"/>
      <c r="B145" s="117"/>
      <c r="C145" s="117"/>
      <c r="D145" s="112"/>
      <c r="E145" s="13" t="s">
        <v>384</v>
      </c>
      <c r="F145" s="32" t="s">
        <v>429</v>
      </c>
      <c r="G145" s="79">
        <f t="shared" si="6"/>
        <v>0</v>
      </c>
      <c r="H145" s="79"/>
      <c r="I145" s="79"/>
      <c r="J145" s="79"/>
      <c r="K145" s="107"/>
      <c r="L145" s="105">
        <f aca="true" t="shared" si="7" ref="L145:L208">H145+I145-G145</f>
        <v>0</v>
      </c>
      <c r="N145" s="64"/>
    </row>
    <row r="146" spans="1:14" s="4" customFormat="1" ht="159" customHeight="1">
      <c r="A146" s="31" t="s">
        <v>192</v>
      </c>
      <c r="B146" s="87" t="s">
        <v>127</v>
      </c>
      <c r="C146" s="87" t="s">
        <v>26</v>
      </c>
      <c r="D146" s="32" t="s">
        <v>128</v>
      </c>
      <c r="E146" s="13" t="s">
        <v>235</v>
      </c>
      <c r="F146" s="13" t="s">
        <v>403</v>
      </c>
      <c r="G146" s="79">
        <f t="shared" si="6"/>
        <v>26869450</v>
      </c>
      <c r="H146" s="79"/>
      <c r="I146" s="79">
        <f>26800000+72700-23250+20000</f>
        <v>26869450</v>
      </c>
      <c r="J146" s="79">
        <f>26800000+72700-23250+20000</f>
        <v>26869450</v>
      </c>
      <c r="K146" s="107"/>
      <c r="L146" s="105">
        <f t="shared" si="7"/>
        <v>0</v>
      </c>
      <c r="N146" s="64"/>
    </row>
    <row r="147" spans="1:14" s="4" customFormat="1" ht="159" customHeight="1">
      <c r="A147" s="14" t="s">
        <v>193</v>
      </c>
      <c r="B147" s="94" t="s">
        <v>131</v>
      </c>
      <c r="C147" s="90" t="s">
        <v>9</v>
      </c>
      <c r="D147" s="13" t="s">
        <v>132</v>
      </c>
      <c r="E147" s="13" t="s">
        <v>235</v>
      </c>
      <c r="F147" s="13" t="s">
        <v>403</v>
      </c>
      <c r="G147" s="79">
        <f t="shared" si="6"/>
        <v>23082357</v>
      </c>
      <c r="H147" s="79">
        <f>14082357+9000000</f>
        <v>23082357</v>
      </c>
      <c r="I147" s="79"/>
      <c r="J147" s="79"/>
      <c r="K147" s="107"/>
      <c r="L147" s="105">
        <f t="shared" si="7"/>
        <v>0</v>
      </c>
      <c r="N147" s="64"/>
    </row>
    <row r="148" spans="1:14" s="4" customFormat="1" ht="159" customHeight="1">
      <c r="A148" s="14" t="s">
        <v>236</v>
      </c>
      <c r="B148" s="94" t="s">
        <v>237</v>
      </c>
      <c r="C148" s="90" t="s">
        <v>9</v>
      </c>
      <c r="D148" s="13" t="s">
        <v>238</v>
      </c>
      <c r="E148" s="15" t="s">
        <v>77</v>
      </c>
      <c r="F148" s="56" t="s">
        <v>405</v>
      </c>
      <c r="G148" s="79">
        <f t="shared" si="6"/>
        <v>20400300</v>
      </c>
      <c r="H148" s="79">
        <f>520000+15300</f>
        <v>535300</v>
      </c>
      <c r="I148" s="79">
        <v>19865000</v>
      </c>
      <c r="J148" s="79">
        <v>19865000</v>
      </c>
      <c r="K148" s="107"/>
      <c r="L148" s="105">
        <f t="shared" si="7"/>
        <v>0</v>
      </c>
      <c r="N148" s="64"/>
    </row>
    <row r="149" spans="1:14" s="4" customFormat="1" ht="159" customHeight="1">
      <c r="A149" s="30" t="s">
        <v>331</v>
      </c>
      <c r="B149" s="93" t="s">
        <v>332</v>
      </c>
      <c r="C149" s="90" t="s">
        <v>9</v>
      </c>
      <c r="D149" s="13" t="s">
        <v>333</v>
      </c>
      <c r="E149" s="13" t="s">
        <v>235</v>
      </c>
      <c r="F149" s="13" t="s">
        <v>403</v>
      </c>
      <c r="G149" s="79">
        <f t="shared" si="6"/>
        <v>1136130</v>
      </c>
      <c r="H149" s="79"/>
      <c r="I149" s="79">
        <f>1108600+27530</f>
        <v>1136130</v>
      </c>
      <c r="J149" s="79">
        <f>1108600+27530</f>
        <v>1136130</v>
      </c>
      <c r="K149" s="107"/>
      <c r="L149" s="105">
        <f t="shared" si="7"/>
        <v>0</v>
      </c>
      <c r="N149" s="64"/>
    </row>
    <row r="150" spans="1:14" s="4" customFormat="1" ht="153" customHeight="1">
      <c r="A150" s="31" t="s">
        <v>194</v>
      </c>
      <c r="B150" s="87" t="s">
        <v>129</v>
      </c>
      <c r="C150" s="87" t="s">
        <v>9</v>
      </c>
      <c r="D150" s="32" t="s">
        <v>130</v>
      </c>
      <c r="E150" s="13" t="s">
        <v>235</v>
      </c>
      <c r="F150" s="13" t="s">
        <v>403</v>
      </c>
      <c r="G150" s="79">
        <f t="shared" si="6"/>
        <v>500000</v>
      </c>
      <c r="H150" s="79">
        <v>500000</v>
      </c>
      <c r="I150" s="79"/>
      <c r="J150" s="79"/>
      <c r="K150" s="107"/>
      <c r="L150" s="105">
        <f t="shared" si="7"/>
        <v>0</v>
      </c>
      <c r="N150" s="64"/>
    </row>
    <row r="151" spans="1:14" s="18" customFormat="1" ht="186" customHeight="1">
      <c r="A151" s="14" t="s">
        <v>195</v>
      </c>
      <c r="B151" s="94" t="s">
        <v>60</v>
      </c>
      <c r="C151" s="90" t="s">
        <v>9</v>
      </c>
      <c r="D151" s="33" t="s">
        <v>133</v>
      </c>
      <c r="E151" s="13" t="s">
        <v>235</v>
      </c>
      <c r="F151" s="13" t="s">
        <v>403</v>
      </c>
      <c r="G151" s="79">
        <f t="shared" si="6"/>
        <v>3253000</v>
      </c>
      <c r="H151" s="79">
        <f>350000+557000+200000-63000+2209000</f>
        <v>3253000</v>
      </c>
      <c r="I151" s="79"/>
      <c r="J151" s="79"/>
      <c r="K151" s="107"/>
      <c r="L151" s="105">
        <f t="shared" si="7"/>
        <v>0</v>
      </c>
      <c r="N151" s="64"/>
    </row>
    <row r="152" spans="1:14" ht="145.5" customHeight="1">
      <c r="A152" s="135" t="s">
        <v>196</v>
      </c>
      <c r="B152" s="119" t="s">
        <v>120</v>
      </c>
      <c r="C152" s="116" t="s">
        <v>9</v>
      </c>
      <c r="D152" s="124" t="s">
        <v>121</v>
      </c>
      <c r="E152" s="13" t="s">
        <v>235</v>
      </c>
      <c r="F152" s="13" t="s">
        <v>403</v>
      </c>
      <c r="G152" s="79">
        <f t="shared" si="6"/>
        <v>215145717.63</v>
      </c>
      <c r="H152" s="79">
        <f>68545300+4500000+109000000+500000-300000-3528000-23000+208000-19950-18600+3600+15000-200000+40000+87000</f>
        <v>178809350</v>
      </c>
      <c r="I152" s="79">
        <f>36285000-4500000+200000+300000+3528000+859910-29177.17-307365.2</f>
        <v>36336367.629999995</v>
      </c>
      <c r="J152" s="79">
        <f>36285000-4500000+200000+300000+3528000+859910-29177.17-307365.2</f>
        <v>36336367.629999995</v>
      </c>
      <c r="K152" s="107"/>
      <c r="L152" s="105">
        <f t="shared" si="7"/>
        <v>0</v>
      </c>
      <c r="N152" s="64"/>
    </row>
    <row r="153" spans="1:14" ht="130.5" customHeight="1" hidden="1">
      <c r="A153" s="136"/>
      <c r="B153" s="121"/>
      <c r="C153" s="117"/>
      <c r="D153" s="125"/>
      <c r="E153" s="15" t="s">
        <v>394</v>
      </c>
      <c r="F153" s="32" t="s">
        <v>429</v>
      </c>
      <c r="G153" s="79">
        <f t="shared" si="6"/>
        <v>0</v>
      </c>
      <c r="H153" s="79"/>
      <c r="I153" s="79"/>
      <c r="J153" s="79"/>
      <c r="K153" s="74"/>
      <c r="L153" s="105">
        <f t="shared" si="7"/>
        <v>0</v>
      </c>
      <c r="N153" s="64"/>
    </row>
    <row r="154" spans="1:14" ht="163.5" customHeight="1">
      <c r="A154" s="135" t="s">
        <v>218</v>
      </c>
      <c r="B154" s="119" t="s">
        <v>219</v>
      </c>
      <c r="C154" s="116" t="s">
        <v>240</v>
      </c>
      <c r="D154" s="124" t="s">
        <v>239</v>
      </c>
      <c r="E154" s="13" t="s">
        <v>235</v>
      </c>
      <c r="F154" s="13" t="s">
        <v>403</v>
      </c>
      <c r="G154" s="79">
        <f t="shared" si="6"/>
        <v>2671885.4</v>
      </c>
      <c r="H154" s="79">
        <f>2480102+200000+620-8836.6</f>
        <v>2671885.4</v>
      </c>
      <c r="I154" s="79"/>
      <c r="J154" s="79"/>
      <c r="K154" s="107">
        <v>52</v>
      </c>
      <c r="L154" s="105">
        <f t="shared" si="7"/>
        <v>0</v>
      </c>
      <c r="N154" s="64"/>
    </row>
    <row r="155" spans="1:14" ht="163.5" customHeight="1">
      <c r="A155" s="139"/>
      <c r="B155" s="120"/>
      <c r="C155" s="122"/>
      <c r="D155" s="142"/>
      <c r="E155" s="15" t="s">
        <v>428</v>
      </c>
      <c r="F155" s="54" t="s">
        <v>473</v>
      </c>
      <c r="G155" s="79">
        <f t="shared" si="6"/>
        <v>16441120.4</v>
      </c>
      <c r="H155" s="79">
        <f>2852460-411800-40000-733109.6</f>
        <v>1667550.4</v>
      </c>
      <c r="I155" s="79">
        <f>15234190-420620-40000</f>
        <v>14773570</v>
      </c>
      <c r="J155" s="79">
        <f>15234190-420620-40000</f>
        <v>14773570</v>
      </c>
      <c r="K155" s="107"/>
      <c r="L155" s="105">
        <f t="shared" si="7"/>
        <v>0</v>
      </c>
      <c r="N155" s="64"/>
    </row>
    <row r="156" spans="1:14" ht="325.5" customHeight="1">
      <c r="A156" s="136"/>
      <c r="B156" s="121"/>
      <c r="C156" s="117"/>
      <c r="D156" s="125"/>
      <c r="E156" s="13" t="s">
        <v>449</v>
      </c>
      <c r="F156" s="13" t="s">
        <v>450</v>
      </c>
      <c r="G156" s="79">
        <f t="shared" si="6"/>
        <v>545728</v>
      </c>
      <c r="H156" s="79">
        <f>546348-620</f>
        <v>545728</v>
      </c>
      <c r="I156" s="79"/>
      <c r="J156" s="79"/>
      <c r="K156" s="107"/>
      <c r="L156" s="105">
        <f t="shared" si="7"/>
        <v>0</v>
      </c>
      <c r="N156" s="64"/>
    </row>
    <row r="157" spans="1:14" ht="163.5" customHeight="1">
      <c r="A157" s="133" t="s">
        <v>241</v>
      </c>
      <c r="B157" s="116" t="s">
        <v>242</v>
      </c>
      <c r="C157" s="116" t="s">
        <v>67</v>
      </c>
      <c r="D157" s="111" t="s">
        <v>243</v>
      </c>
      <c r="E157" s="13" t="s">
        <v>235</v>
      </c>
      <c r="F157" s="13" t="s">
        <v>403</v>
      </c>
      <c r="G157" s="79">
        <f t="shared" si="6"/>
        <v>1999687.6</v>
      </c>
      <c r="H157" s="79"/>
      <c r="I157" s="79">
        <f>1990851+8836.6</f>
        <v>1999687.6</v>
      </c>
      <c r="J157" s="79">
        <f>1990851+8836.6</f>
        <v>1999687.6</v>
      </c>
      <c r="K157" s="107"/>
      <c r="L157" s="105">
        <f t="shared" si="7"/>
        <v>0</v>
      </c>
      <c r="N157" s="64"/>
    </row>
    <row r="158" spans="1:14" ht="115.5" customHeight="1">
      <c r="A158" s="134"/>
      <c r="B158" s="117"/>
      <c r="C158" s="117"/>
      <c r="D158" s="112"/>
      <c r="E158" s="15" t="s">
        <v>394</v>
      </c>
      <c r="F158" s="32" t="s">
        <v>471</v>
      </c>
      <c r="G158" s="79">
        <f t="shared" si="6"/>
        <v>24224763.43</v>
      </c>
      <c r="H158" s="79"/>
      <c r="I158" s="79">
        <f>24524763.43-300000</f>
        <v>24224763.43</v>
      </c>
      <c r="J158" s="79">
        <f>24524763.43-300000</f>
        <v>24224763.43</v>
      </c>
      <c r="K158" s="107"/>
      <c r="L158" s="105">
        <f t="shared" si="7"/>
        <v>0</v>
      </c>
      <c r="N158" s="64"/>
    </row>
    <row r="159" spans="1:14" ht="163.5" customHeight="1">
      <c r="A159" s="12" t="s">
        <v>244</v>
      </c>
      <c r="B159" s="90" t="s">
        <v>245</v>
      </c>
      <c r="C159" s="90" t="s">
        <v>67</v>
      </c>
      <c r="D159" s="13" t="s">
        <v>458</v>
      </c>
      <c r="E159" s="13" t="s">
        <v>235</v>
      </c>
      <c r="F159" s="13" t="s">
        <v>403</v>
      </c>
      <c r="G159" s="79">
        <f t="shared" si="6"/>
        <v>5765753</v>
      </c>
      <c r="H159" s="79"/>
      <c r="I159" s="79">
        <v>5765753</v>
      </c>
      <c r="J159" s="79">
        <v>5765753</v>
      </c>
      <c r="K159" s="107"/>
      <c r="L159" s="105">
        <f t="shared" si="7"/>
        <v>0</v>
      </c>
      <c r="N159" s="64"/>
    </row>
    <row r="160" spans="1:14" ht="163.5" customHeight="1">
      <c r="A160" s="12" t="s">
        <v>197</v>
      </c>
      <c r="B160" s="90" t="s">
        <v>122</v>
      </c>
      <c r="C160" s="90" t="s">
        <v>67</v>
      </c>
      <c r="D160" s="13" t="s">
        <v>123</v>
      </c>
      <c r="E160" s="13" t="s">
        <v>235</v>
      </c>
      <c r="F160" s="13" t="s">
        <v>403</v>
      </c>
      <c r="G160" s="79">
        <f t="shared" si="6"/>
        <v>3100000</v>
      </c>
      <c r="H160" s="79"/>
      <c r="I160" s="79">
        <f>3100000+3700000-3700000</f>
        <v>3100000</v>
      </c>
      <c r="J160" s="79">
        <f>3100000+3700000-3700000</f>
        <v>3100000</v>
      </c>
      <c r="K160" s="107"/>
      <c r="L160" s="105">
        <f t="shared" si="7"/>
        <v>0</v>
      </c>
      <c r="N160" s="64"/>
    </row>
    <row r="161" spans="1:14" s="4" customFormat="1" ht="178.5" customHeight="1" hidden="1">
      <c r="A161" s="12" t="s">
        <v>344</v>
      </c>
      <c r="B161" s="90" t="s">
        <v>345</v>
      </c>
      <c r="C161" s="90" t="s">
        <v>5</v>
      </c>
      <c r="D161" s="13" t="s">
        <v>346</v>
      </c>
      <c r="E161" s="13" t="s">
        <v>235</v>
      </c>
      <c r="F161" s="13" t="s">
        <v>403</v>
      </c>
      <c r="G161" s="79">
        <f t="shared" si="6"/>
        <v>0</v>
      </c>
      <c r="H161" s="79"/>
      <c r="I161" s="79"/>
      <c r="J161" s="79"/>
      <c r="K161" s="107"/>
      <c r="L161" s="105">
        <f t="shared" si="7"/>
        <v>0</v>
      </c>
      <c r="N161" s="64"/>
    </row>
    <row r="162" spans="1:14" s="4" customFormat="1" ht="177">
      <c r="A162" s="133" t="s">
        <v>334</v>
      </c>
      <c r="B162" s="116" t="s">
        <v>328</v>
      </c>
      <c r="C162" s="116" t="s">
        <v>5</v>
      </c>
      <c r="D162" s="111" t="s">
        <v>329</v>
      </c>
      <c r="E162" s="13" t="s">
        <v>235</v>
      </c>
      <c r="F162" s="13" t="s">
        <v>403</v>
      </c>
      <c r="G162" s="79">
        <f t="shared" si="6"/>
        <v>23448258.25</v>
      </c>
      <c r="H162" s="79"/>
      <c r="I162" s="79">
        <v>23448258.25</v>
      </c>
      <c r="J162" s="79">
        <v>23448258.25</v>
      </c>
      <c r="K162" s="107"/>
      <c r="L162" s="105">
        <f t="shared" si="7"/>
        <v>0</v>
      </c>
      <c r="N162" s="64"/>
    </row>
    <row r="163" spans="1:14" s="4" customFormat="1" ht="138" customHeight="1">
      <c r="A163" s="134"/>
      <c r="B163" s="117"/>
      <c r="C163" s="117"/>
      <c r="D163" s="112"/>
      <c r="E163" s="15" t="s">
        <v>394</v>
      </c>
      <c r="F163" s="32" t="s">
        <v>471</v>
      </c>
      <c r="G163" s="79">
        <f t="shared" si="6"/>
        <v>3320295.57</v>
      </c>
      <c r="H163" s="79"/>
      <c r="I163" s="79">
        <v>3320295.57</v>
      </c>
      <c r="J163" s="79">
        <v>3320295.57</v>
      </c>
      <c r="K163" s="107"/>
      <c r="L163" s="105">
        <f t="shared" si="7"/>
        <v>0</v>
      </c>
      <c r="N163" s="64"/>
    </row>
    <row r="164" spans="1:14" s="18" customFormat="1" ht="165" customHeight="1">
      <c r="A164" s="12" t="s">
        <v>198</v>
      </c>
      <c r="B164" s="90" t="s">
        <v>96</v>
      </c>
      <c r="C164" s="90" t="s">
        <v>28</v>
      </c>
      <c r="D164" s="13" t="s">
        <v>57</v>
      </c>
      <c r="E164" s="13" t="s">
        <v>235</v>
      </c>
      <c r="F164" s="13" t="s">
        <v>403</v>
      </c>
      <c r="G164" s="79">
        <f t="shared" si="6"/>
        <v>1500000</v>
      </c>
      <c r="H164" s="79">
        <v>1500000</v>
      </c>
      <c r="I164" s="79"/>
      <c r="J164" s="79"/>
      <c r="K164" s="107"/>
      <c r="L164" s="105">
        <f t="shared" si="7"/>
        <v>0</v>
      </c>
      <c r="N164" s="64"/>
    </row>
    <row r="165" spans="1:14" s="18" customFormat="1" ht="165" customHeight="1">
      <c r="A165" s="12" t="s">
        <v>476</v>
      </c>
      <c r="B165" s="90">
        <v>7670</v>
      </c>
      <c r="C165" s="90">
        <v>490</v>
      </c>
      <c r="D165" s="13" t="s">
        <v>51</v>
      </c>
      <c r="E165" s="13" t="s">
        <v>235</v>
      </c>
      <c r="F165" s="13" t="s">
        <v>403</v>
      </c>
      <c r="G165" s="79">
        <f t="shared" si="6"/>
        <v>363000</v>
      </c>
      <c r="H165" s="79"/>
      <c r="I165" s="79">
        <f>63000+300000</f>
        <v>363000</v>
      </c>
      <c r="J165" s="79">
        <f>63000+300000</f>
        <v>363000</v>
      </c>
      <c r="K165" s="107"/>
      <c r="L165" s="105">
        <f t="shared" si="7"/>
        <v>0</v>
      </c>
      <c r="N165" s="64"/>
    </row>
    <row r="166" spans="1:14" s="4" customFormat="1" ht="405" customHeight="1">
      <c r="A166" s="12" t="s">
        <v>280</v>
      </c>
      <c r="B166" s="90" t="s">
        <v>281</v>
      </c>
      <c r="C166" s="90" t="s">
        <v>5</v>
      </c>
      <c r="D166" s="13" t="s">
        <v>302</v>
      </c>
      <c r="E166" s="13" t="s">
        <v>235</v>
      </c>
      <c r="F166" s="13" t="s">
        <v>403</v>
      </c>
      <c r="G166" s="79">
        <f t="shared" si="6"/>
        <v>287835.41</v>
      </c>
      <c r="H166" s="79"/>
      <c r="I166" s="79">
        <v>287835.41</v>
      </c>
      <c r="J166" s="79"/>
      <c r="K166" s="107"/>
      <c r="L166" s="105">
        <f t="shared" si="7"/>
        <v>0</v>
      </c>
      <c r="N166" s="64"/>
    </row>
    <row r="167" spans="1:14" ht="163.5" customHeight="1" hidden="1">
      <c r="A167" s="12" t="s">
        <v>199</v>
      </c>
      <c r="B167" s="90" t="s">
        <v>134</v>
      </c>
      <c r="C167" s="90" t="s">
        <v>19</v>
      </c>
      <c r="D167" s="13" t="s">
        <v>18</v>
      </c>
      <c r="E167" s="15" t="s">
        <v>394</v>
      </c>
      <c r="F167" s="32" t="s">
        <v>429</v>
      </c>
      <c r="G167" s="79">
        <f t="shared" si="6"/>
        <v>0</v>
      </c>
      <c r="H167" s="79"/>
      <c r="I167" s="79"/>
      <c r="J167" s="79"/>
      <c r="K167" s="107"/>
      <c r="L167" s="105">
        <f t="shared" si="7"/>
        <v>0</v>
      </c>
      <c r="N167" s="64"/>
    </row>
    <row r="168" spans="1:14" ht="141" customHeight="1">
      <c r="A168" s="12" t="s">
        <v>201</v>
      </c>
      <c r="B168" s="90" t="s">
        <v>89</v>
      </c>
      <c r="C168" s="90" t="s">
        <v>13</v>
      </c>
      <c r="D168" s="13" t="s">
        <v>90</v>
      </c>
      <c r="E168" s="15" t="s">
        <v>394</v>
      </c>
      <c r="F168" s="32" t="s">
        <v>471</v>
      </c>
      <c r="G168" s="79">
        <f t="shared" si="6"/>
        <v>4905900</v>
      </c>
      <c r="H168" s="79"/>
      <c r="I168" s="79">
        <v>4905900</v>
      </c>
      <c r="J168" s="79"/>
      <c r="K168" s="107"/>
      <c r="L168" s="105">
        <f t="shared" si="7"/>
        <v>0</v>
      </c>
      <c r="N168" s="64"/>
    </row>
    <row r="169" spans="1:14" s="4" customFormat="1" ht="159" customHeight="1">
      <c r="A169" s="12" t="s">
        <v>202</v>
      </c>
      <c r="B169" s="90" t="s">
        <v>124</v>
      </c>
      <c r="C169" s="90" t="s">
        <v>5</v>
      </c>
      <c r="D169" s="43" t="s">
        <v>135</v>
      </c>
      <c r="E169" s="13" t="s">
        <v>235</v>
      </c>
      <c r="F169" s="13" t="s">
        <v>403</v>
      </c>
      <c r="G169" s="79">
        <f t="shared" si="6"/>
        <v>-2054092</v>
      </c>
      <c r="H169" s="79"/>
      <c r="I169" s="79">
        <v>-2054092</v>
      </c>
      <c r="J169" s="79">
        <v>-2054092</v>
      </c>
      <c r="K169" s="107"/>
      <c r="L169" s="105">
        <f t="shared" si="7"/>
        <v>0</v>
      </c>
      <c r="N169" s="64"/>
    </row>
    <row r="170" spans="1:14" s="18" customFormat="1" ht="153" customHeight="1">
      <c r="A170" s="14" t="s">
        <v>200</v>
      </c>
      <c r="B170" s="94" t="s">
        <v>87</v>
      </c>
      <c r="C170" s="90" t="s">
        <v>29</v>
      </c>
      <c r="D170" s="13" t="s">
        <v>88</v>
      </c>
      <c r="E170" s="13" t="s">
        <v>235</v>
      </c>
      <c r="F170" s="13" t="s">
        <v>403</v>
      </c>
      <c r="G170" s="79">
        <f t="shared" si="6"/>
        <v>7992500</v>
      </c>
      <c r="H170" s="79"/>
      <c r="I170" s="79">
        <f>7000000+992500</f>
        <v>7992500</v>
      </c>
      <c r="J170" s="79">
        <f>7000000+992500</f>
        <v>7992500</v>
      </c>
      <c r="K170" s="107">
        <v>53</v>
      </c>
      <c r="L170" s="105">
        <f t="shared" si="7"/>
        <v>0</v>
      </c>
      <c r="N170" s="64"/>
    </row>
    <row r="171" spans="1:14" s="3" customFormat="1" ht="156.75" customHeight="1">
      <c r="A171" s="20"/>
      <c r="B171" s="92"/>
      <c r="C171" s="92"/>
      <c r="D171" s="21" t="s">
        <v>206</v>
      </c>
      <c r="E171" s="21"/>
      <c r="F171" s="57"/>
      <c r="G171" s="78">
        <f>SUM(G172+G173+G175+G176+G177+G178+G179+G181+G182+G183+G184+G185+G186+G187+G188+G190+G193+G194)</f>
        <v>252786531.48999998</v>
      </c>
      <c r="H171" s="78">
        <f>SUM(H172+H173+H175+H176+H177+H178+H179+H181+H182+H183+H184+H185+H186+H187+H188+H190+H193+H194)</f>
        <v>2509034.2</v>
      </c>
      <c r="I171" s="78">
        <f>SUM(I172+I173+I175+I176+I177+I178+I179+I181+I182+I183+I184+I185+I186+I187+I188+I190+I193+I194)</f>
        <v>250277497.29000002</v>
      </c>
      <c r="J171" s="78">
        <f>SUM(J172+J173+J175+J176+J177+J178+J179+J181+J182+J183+J184+J185+J186+J187+J188+J190+J193+J194)</f>
        <v>219078192.8</v>
      </c>
      <c r="K171" s="107"/>
      <c r="L171" s="105">
        <f t="shared" si="7"/>
        <v>0</v>
      </c>
      <c r="N171" s="64"/>
    </row>
    <row r="172" spans="1:14" ht="156" customHeight="1">
      <c r="A172" s="30" t="s">
        <v>207</v>
      </c>
      <c r="B172" s="93" t="s">
        <v>80</v>
      </c>
      <c r="C172" s="87" t="s">
        <v>2</v>
      </c>
      <c r="D172" s="32" t="s">
        <v>81</v>
      </c>
      <c r="E172" s="13" t="s">
        <v>385</v>
      </c>
      <c r="F172" s="54" t="s">
        <v>470</v>
      </c>
      <c r="G172" s="79">
        <f aca="true" t="shared" si="8" ref="G172:G179">H172+I172</f>
        <v>10000</v>
      </c>
      <c r="H172" s="79"/>
      <c r="I172" s="79">
        <v>10000</v>
      </c>
      <c r="J172" s="79"/>
      <c r="K172" s="107"/>
      <c r="L172" s="105">
        <f t="shared" si="7"/>
        <v>0</v>
      </c>
      <c r="N172" s="64"/>
    </row>
    <row r="173" spans="1:14" ht="156" customHeight="1">
      <c r="A173" s="12" t="s">
        <v>208</v>
      </c>
      <c r="B173" s="90" t="s">
        <v>120</v>
      </c>
      <c r="C173" s="90" t="s">
        <v>9</v>
      </c>
      <c r="D173" s="13" t="s">
        <v>121</v>
      </c>
      <c r="E173" s="13" t="s">
        <v>235</v>
      </c>
      <c r="F173" s="13" t="s">
        <v>403</v>
      </c>
      <c r="G173" s="79">
        <f t="shared" si="8"/>
        <v>80040000</v>
      </c>
      <c r="H173" s="79"/>
      <c r="I173" s="79">
        <f>80000000+40000</f>
        <v>80040000</v>
      </c>
      <c r="J173" s="79">
        <f>80000000+40000</f>
        <v>80040000</v>
      </c>
      <c r="K173" s="107"/>
      <c r="L173" s="105">
        <f t="shared" si="7"/>
        <v>0</v>
      </c>
      <c r="N173" s="64"/>
    </row>
    <row r="174" spans="1:14" s="4" customFormat="1" ht="144" customHeight="1" hidden="1">
      <c r="A174" s="12" t="s">
        <v>347</v>
      </c>
      <c r="B174" s="90" t="s">
        <v>348</v>
      </c>
      <c r="C174" s="90" t="s">
        <v>26</v>
      </c>
      <c r="D174" s="13" t="s">
        <v>349</v>
      </c>
      <c r="E174" s="15" t="s">
        <v>389</v>
      </c>
      <c r="F174" s="32" t="s">
        <v>429</v>
      </c>
      <c r="G174" s="79">
        <f t="shared" si="8"/>
        <v>0</v>
      </c>
      <c r="H174" s="79"/>
      <c r="I174" s="79"/>
      <c r="J174" s="79"/>
      <c r="K174" s="107"/>
      <c r="L174" s="105">
        <f t="shared" si="7"/>
        <v>0</v>
      </c>
      <c r="N174" s="64"/>
    </row>
    <row r="175" spans="1:14" s="4" customFormat="1" ht="247.5" customHeight="1">
      <c r="A175" s="12" t="s">
        <v>358</v>
      </c>
      <c r="B175" s="90" t="s">
        <v>359</v>
      </c>
      <c r="C175" s="90" t="s">
        <v>26</v>
      </c>
      <c r="D175" s="97" t="s">
        <v>360</v>
      </c>
      <c r="E175" s="13" t="s">
        <v>75</v>
      </c>
      <c r="F175" s="32" t="s">
        <v>488</v>
      </c>
      <c r="G175" s="79">
        <f t="shared" si="8"/>
        <v>300000</v>
      </c>
      <c r="H175" s="79"/>
      <c r="I175" s="79">
        <v>300000</v>
      </c>
      <c r="J175" s="79">
        <v>300000</v>
      </c>
      <c r="K175" s="107"/>
      <c r="L175" s="105">
        <f t="shared" si="7"/>
        <v>0</v>
      </c>
      <c r="N175" s="64"/>
    </row>
    <row r="176" spans="1:14" s="4" customFormat="1" ht="235.5" customHeight="1">
      <c r="A176" s="12" t="s">
        <v>209</v>
      </c>
      <c r="B176" s="90" t="s">
        <v>125</v>
      </c>
      <c r="C176" s="90" t="s">
        <v>26</v>
      </c>
      <c r="D176" s="13" t="s">
        <v>126</v>
      </c>
      <c r="E176" s="15" t="s">
        <v>246</v>
      </c>
      <c r="F176" s="15" t="s">
        <v>400</v>
      </c>
      <c r="G176" s="79">
        <f t="shared" si="8"/>
        <v>135589.81</v>
      </c>
      <c r="H176" s="79">
        <v>84906</v>
      </c>
      <c r="I176" s="79">
        <f>42126+8557.81</f>
        <v>50683.81</v>
      </c>
      <c r="J176" s="79"/>
      <c r="K176" s="107"/>
      <c r="L176" s="105">
        <f t="shared" si="7"/>
        <v>0</v>
      </c>
      <c r="N176" s="64"/>
    </row>
    <row r="177" spans="1:14" s="4" customFormat="1" ht="175.5" customHeight="1">
      <c r="A177" s="12" t="s">
        <v>474</v>
      </c>
      <c r="B177" s="90">
        <v>6090</v>
      </c>
      <c r="C177" s="12" t="s">
        <v>240</v>
      </c>
      <c r="D177" s="13" t="s">
        <v>484</v>
      </c>
      <c r="E177" s="15" t="s">
        <v>428</v>
      </c>
      <c r="F177" s="54" t="s">
        <v>473</v>
      </c>
      <c r="G177" s="79">
        <f t="shared" si="8"/>
        <v>404689.6</v>
      </c>
      <c r="H177" s="79">
        <v>404689.6</v>
      </c>
      <c r="I177" s="79"/>
      <c r="J177" s="79"/>
      <c r="K177" s="107"/>
      <c r="L177" s="105">
        <f t="shared" si="7"/>
        <v>0</v>
      </c>
      <c r="N177" s="64"/>
    </row>
    <row r="178" spans="1:14" ht="174" customHeight="1">
      <c r="A178" s="12" t="s">
        <v>247</v>
      </c>
      <c r="B178" s="90" t="s">
        <v>242</v>
      </c>
      <c r="C178" s="90" t="s">
        <v>67</v>
      </c>
      <c r="D178" s="13" t="s">
        <v>243</v>
      </c>
      <c r="E178" s="15" t="s">
        <v>428</v>
      </c>
      <c r="F178" s="54" t="s">
        <v>473</v>
      </c>
      <c r="G178" s="79">
        <f t="shared" si="8"/>
        <v>8310965.8</v>
      </c>
      <c r="H178" s="79"/>
      <c r="I178" s="79">
        <f>7800000-489034.2+1000000</f>
        <v>8310965.8</v>
      </c>
      <c r="J178" s="79">
        <f>7800000-489034.2+1000000</f>
        <v>8310965.8</v>
      </c>
      <c r="K178" s="107"/>
      <c r="L178" s="105">
        <f t="shared" si="7"/>
        <v>0</v>
      </c>
      <c r="N178" s="64"/>
    </row>
    <row r="179" spans="1:14" s="4" customFormat="1" ht="153" customHeight="1">
      <c r="A179" s="133" t="s">
        <v>248</v>
      </c>
      <c r="B179" s="116" t="s">
        <v>249</v>
      </c>
      <c r="C179" s="116" t="s">
        <v>67</v>
      </c>
      <c r="D179" s="111" t="s">
        <v>250</v>
      </c>
      <c r="E179" s="15" t="s">
        <v>428</v>
      </c>
      <c r="F179" s="54" t="s">
        <v>473</v>
      </c>
      <c r="G179" s="79">
        <f t="shared" si="8"/>
        <v>10985940</v>
      </c>
      <c r="H179" s="79"/>
      <c r="I179" s="79">
        <f>10600000+100000+1500000+100000-390-599610-864060+150000</f>
        <v>10985940</v>
      </c>
      <c r="J179" s="79">
        <f>10600000+100000+1500000+100000-390-599610-864060+150000</f>
        <v>10985940</v>
      </c>
      <c r="K179" s="107"/>
      <c r="L179" s="105">
        <f t="shared" si="7"/>
        <v>0</v>
      </c>
      <c r="N179" s="64"/>
    </row>
    <row r="180" spans="1:14" s="4" customFormat="1" ht="147" customHeight="1" hidden="1">
      <c r="A180" s="134"/>
      <c r="B180" s="117"/>
      <c r="C180" s="117"/>
      <c r="D180" s="112"/>
      <c r="E180" s="13" t="s">
        <v>79</v>
      </c>
      <c r="F180" s="32" t="s">
        <v>429</v>
      </c>
      <c r="G180" s="79">
        <f aca="true" t="shared" si="9" ref="G180:G208">H180+I180</f>
        <v>0</v>
      </c>
      <c r="H180" s="79"/>
      <c r="I180" s="79"/>
      <c r="J180" s="79"/>
      <c r="K180" s="107"/>
      <c r="L180" s="105">
        <f t="shared" si="7"/>
        <v>0</v>
      </c>
      <c r="N180" s="64"/>
    </row>
    <row r="181" spans="1:14" s="4" customFormat="1" ht="132" customHeight="1">
      <c r="A181" s="12" t="s">
        <v>251</v>
      </c>
      <c r="B181" s="90" t="s">
        <v>252</v>
      </c>
      <c r="C181" s="90" t="s">
        <v>67</v>
      </c>
      <c r="D181" s="13" t="s">
        <v>253</v>
      </c>
      <c r="E181" s="15" t="s">
        <v>428</v>
      </c>
      <c r="F181" s="54" t="s">
        <v>473</v>
      </c>
      <c r="G181" s="79">
        <f t="shared" si="9"/>
        <v>7500000</v>
      </c>
      <c r="H181" s="79"/>
      <c r="I181" s="79">
        <f>4000000+100000+100000+3300000</f>
        <v>7500000</v>
      </c>
      <c r="J181" s="79">
        <f>4000000+100000+100000+3300000</f>
        <v>7500000</v>
      </c>
      <c r="K181" s="107"/>
      <c r="L181" s="105">
        <f t="shared" si="7"/>
        <v>0</v>
      </c>
      <c r="N181" s="64"/>
    </row>
    <row r="182" spans="1:14" s="4" customFormat="1" ht="135" customHeight="1">
      <c r="A182" s="12" t="s">
        <v>254</v>
      </c>
      <c r="B182" s="90" t="s">
        <v>255</v>
      </c>
      <c r="C182" s="90" t="s">
        <v>67</v>
      </c>
      <c r="D182" s="13" t="s">
        <v>256</v>
      </c>
      <c r="E182" s="15" t="s">
        <v>428</v>
      </c>
      <c r="F182" s="54" t="s">
        <v>473</v>
      </c>
      <c r="G182" s="79">
        <f t="shared" si="9"/>
        <v>9181651</v>
      </c>
      <c r="H182" s="79"/>
      <c r="I182" s="79">
        <f>10000000-2000000+1181651</f>
        <v>9181651</v>
      </c>
      <c r="J182" s="79">
        <f>10000000-2000000+1181651</f>
        <v>9181651</v>
      </c>
      <c r="K182" s="107"/>
      <c r="L182" s="105">
        <f t="shared" si="7"/>
        <v>0</v>
      </c>
      <c r="N182" s="64"/>
    </row>
    <row r="183" spans="1:14" ht="147" customHeight="1">
      <c r="A183" s="12" t="s">
        <v>257</v>
      </c>
      <c r="B183" s="90" t="s">
        <v>245</v>
      </c>
      <c r="C183" s="90" t="s">
        <v>67</v>
      </c>
      <c r="D183" s="13" t="s">
        <v>458</v>
      </c>
      <c r="E183" s="15" t="s">
        <v>428</v>
      </c>
      <c r="F183" s="54" t="s">
        <v>473</v>
      </c>
      <c r="G183" s="79">
        <f t="shared" si="9"/>
        <v>26575019</v>
      </c>
      <c r="H183" s="79"/>
      <c r="I183" s="79">
        <f>44100000-6900000-3000000-8562214+3761733-1000000-2000000+175500</f>
        <v>26575019</v>
      </c>
      <c r="J183" s="79">
        <f>44100000-6900000-3000000-8562214+3761733-1000000-2000000+175500</f>
        <v>26575019</v>
      </c>
      <c r="K183" s="107"/>
      <c r="L183" s="105">
        <f t="shared" si="7"/>
        <v>0</v>
      </c>
      <c r="N183" s="64"/>
    </row>
    <row r="184" spans="1:14" ht="138" customHeight="1">
      <c r="A184" s="12" t="s">
        <v>314</v>
      </c>
      <c r="B184" s="90" t="s">
        <v>122</v>
      </c>
      <c r="C184" s="90" t="s">
        <v>67</v>
      </c>
      <c r="D184" s="13" t="s">
        <v>123</v>
      </c>
      <c r="E184" s="15" t="s">
        <v>428</v>
      </c>
      <c r="F184" s="54" t="s">
        <v>473</v>
      </c>
      <c r="G184" s="79">
        <f t="shared" si="9"/>
        <v>500000</v>
      </c>
      <c r="H184" s="79"/>
      <c r="I184" s="79">
        <v>500000</v>
      </c>
      <c r="J184" s="79">
        <v>500000</v>
      </c>
      <c r="K184" s="107"/>
      <c r="L184" s="105">
        <f t="shared" si="7"/>
        <v>0</v>
      </c>
      <c r="N184" s="64"/>
    </row>
    <row r="185" spans="1:14" s="4" customFormat="1" ht="162" customHeight="1">
      <c r="A185" s="12" t="s">
        <v>361</v>
      </c>
      <c r="B185" s="90" t="s">
        <v>345</v>
      </c>
      <c r="C185" s="90" t="s">
        <v>5</v>
      </c>
      <c r="D185" s="13" t="s">
        <v>346</v>
      </c>
      <c r="E185" s="15" t="s">
        <v>428</v>
      </c>
      <c r="F185" s="54" t="s">
        <v>473</v>
      </c>
      <c r="G185" s="79">
        <f t="shared" si="9"/>
        <v>28000</v>
      </c>
      <c r="H185" s="79"/>
      <c r="I185" s="79">
        <v>28000</v>
      </c>
      <c r="J185" s="79">
        <v>28000</v>
      </c>
      <c r="K185" s="107"/>
      <c r="L185" s="105">
        <f t="shared" si="7"/>
        <v>0</v>
      </c>
      <c r="N185" s="64"/>
    </row>
    <row r="186" spans="1:14" s="4" customFormat="1" ht="153" customHeight="1">
      <c r="A186" s="12" t="s">
        <v>343</v>
      </c>
      <c r="B186" s="90" t="s">
        <v>328</v>
      </c>
      <c r="C186" s="90" t="s">
        <v>5</v>
      </c>
      <c r="D186" s="13" t="s">
        <v>329</v>
      </c>
      <c r="E186" s="15" t="s">
        <v>389</v>
      </c>
      <c r="F186" s="54" t="s">
        <v>473</v>
      </c>
      <c r="G186" s="79">
        <f t="shared" si="9"/>
        <v>48390</v>
      </c>
      <c r="H186" s="79"/>
      <c r="I186" s="79">
        <f>35000+390+13000</f>
        <v>48390</v>
      </c>
      <c r="J186" s="79">
        <f>35000+390+13000</f>
        <v>48390</v>
      </c>
      <c r="K186" s="107"/>
      <c r="L186" s="105">
        <f t="shared" si="7"/>
        <v>0</v>
      </c>
      <c r="N186" s="64"/>
    </row>
    <row r="187" spans="1:14" s="4" customFormat="1" ht="189" customHeight="1">
      <c r="A187" s="12" t="s">
        <v>475</v>
      </c>
      <c r="B187" s="90">
        <v>7370</v>
      </c>
      <c r="C187" s="12" t="s">
        <v>5</v>
      </c>
      <c r="D187" s="13" t="s">
        <v>371</v>
      </c>
      <c r="E187" s="15" t="s">
        <v>428</v>
      </c>
      <c r="F187" s="54" t="s">
        <v>473</v>
      </c>
      <c r="G187" s="79">
        <f t="shared" si="9"/>
        <v>84344.6</v>
      </c>
      <c r="H187" s="79">
        <v>84344.6</v>
      </c>
      <c r="I187" s="79"/>
      <c r="J187" s="79"/>
      <c r="K187" s="107">
        <v>54</v>
      </c>
      <c r="L187" s="105">
        <f t="shared" si="7"/>
        <v>0</v>
      </c>
      <c r="N187" s="64"/>
    </row>
    <row r="188" spans="1:14" s="4" customFormat="1" ht="144" customHeight="1">
      <c r="A188" s="12" t="s">
        <v>336</v>
      </c>
      <c r="B188" s="90" t="s">
        <v>337</v>
      </c>
      <c r="C188" s="90" t="s">
        <v>294</v>
      </c>
      <c r="D188" s="13" t="s">
        <v>338</v>
      </c>
      <c r="E188" s="13" t="s">
        <v>235</v>
      </c>
      <c r="F188" s="13" t="s">
        <v>403</v>
      </c>
      <c r="G188" s="79">
        <f t="shared" si="9"/>
        <v>70472.47</v>
      </c>
      <c r="H188" s="79"/>
      <c r="I188" s="79">
        <v>70472.47</v>
      </c>
      <c r="J188" s="79"/>
      <c r="K188" s="107"/>
      <c r="L188" s="105">
        <f t="shared" si="7"/>
        <v>0</v>
      </c>
      <c r="N188" s="64"/>
    </row>
    <row r="189" spans="1:14" s="4" customFormat="1" ht="183" customHeight="1" hidden="1">
      <c r="A189" s="12" t="s">
        <v>352</v>
      </c>
      <c r="B189" s="90" t="s">
        <v>353</v>
      </c>
      <c r="C189" s="90" t="s">
        <v>294</v>
      </c>
      <c r="D189" s="100" t="s">
        <v>354</v>
      </c>
      <c r="E189" s="15" t="s">
        <v>389</v>
      </c>
      <c r="F189" s="32" t="s">
        <v>429</v>
      </c>
      <c r="G189" s="79">
        <f t="shared" si="9"/>
        <v>0</v>
      </c>
      <c r="H189" s="79"/>
      <c r="I189" s="79"/>
      <c r="J189" s="79"/>
      <c r="K189" s="107"/>
      <c r="L189" s="105">
        <f t="shared" si="7"/>
        <v>0</v>
      </c>
      <c r="N189" s="64"/>
    </row>
    <row r="190" spans="1:14" ht="121.5" customHeight="1">
      <c r="A190" s="12" t="s">
        <v>210</v>
      </c>
      <c r="B190" s="90" t="s">
        <v>96</v>
      </c>
      <c r="C190" s="90" t="s">
        <v>28</v>
      </c>
      <c r="D190" s="13" t="s">
        <v>57</v>
      </c>
      <c r="E190" s="13" t="s">
        <v>79</v>
      </c>
      <c r="F190" s="54" t="s">
        <v>404</v>
      </c>
      <c r="G190" s="79">
        <f t="shared" si="9"/>
        <v>107071680</v>
      </c>
      <c r="H190" s="79">
        <v>520000</v>
      </c>
      <c r="I190" s="79">
        <f>6550020+22810180+48093527+30943453-2000000+154500</f>
        <v>106551680</v>
      </c>
      <c r="J190" s="79">
        <f>6550020+22810180+48093527-2000000+154500</f>
        <v>75608227</v>
      </c>
      <c r="K190" s="107"/>
      <c r="L190" s="105">
        <f t="shared" si="7"/>
        <v>0</v>
      </c>
      <c r="N190" s="64"/>
    </row>
    <row r="191" spans="1:14" s="4" customFormat="1" ht="177" customHeight="1" hidden="1">
      <c r="A191" s="12" t="s">
        <v>372</v>
      </c>
      <c r="B191" s="90" t="s">
        <v>233</v>
      </c>
      <c r="C191" s="90" t="s">
        <v>5</v>
      </c>
      <c r="D191" s="13" t="s">
        <v>234</v>
      </c>
      <c r="E191" s="15" t="s">
        <v>389</v>
      </c>
      <c r="F191" s="32" t="s">
        <v>429</v>
      </c>
      <c r="G191" s="79">
        <f t="shared" si="9"/>
        <v>0</v>
      </c>
      <c r="H191" s="79"/>
      <c r="I191" s="79"/>
      <c r="J191" s="79"/>
      <c r="K191" s="107"/>
      <c r="L191" s="105">
        <f t="shared" si="7"/>
        <v>0</v>
      </c>
      <c r="N191" s="64"/>
    </row>
    <row r="192" spans="1:14" s="4" customFormat="1" ht="390" customHeight="1" hidden="1">
      <c r="A192" s="12" t="s">
        <v>466</v>
      </c>
      <c r="B192" s="90" t="s">
        <v>281</v>
      </c>
      <c r="C192" s="90" t="s">
        <v>5</v>
      </c>
      <c r="D192" s="13" t="s">
        <v>302</v>
      </c>
      <c r="E192" s="15"/>
      <c r="F192" s="32"/>
      <c r="G192" s="79">
        <f t="shared" si="9"/>
        <v>0</v>
      </c>
      <c r="H192" s="79"/>
      <c r="I192" s="79"/>
      <c r="J192" s="79"/>
      <c r="K192" s="107"/>
      <c r="L192" s="105">
        <f t="shared" si="7"/>
        <v>0</v>
      </c>
      <c r="N192" s="64"/>
    </row>
    <row r="193" spans="1:14" s="4" customFormat="1" ht="167.25" customHeight="1">
      <c r="A193" s="12" t="s">
        <v>341</v>
      </c>
      <c r="B193" s="90" t="s">
        <v>339</v>
      </c>
      <c r="C193" s="90" t="s">
        <v>4</v>
      </c>
      <c r="D193" s="13" t="s">
        <v>467</v>
      </c>
      <c r="E193" s="15" t="s">
        <v>246</v>
      </c>
      <c r="F193" s="15" t="s">
        <v>400</v>
      </c>
      <c r="G193" s="79">
        <f t="shared" si="9"/>
        <v>2259789.21</v>
      </c>
      <c r="H193" s="79">
        <v>1415094</v>
      </c>
      <c r="I193" s="79">
        <v>844695.21</v>
      </c>
      <c r="J193" s="79"/>
      <c r="K193" s="107"/>
      <c r="L193" s="105">
        <f t="shared" si="7"/>
        <v>0</v>
      </c>
      <c r="N193" s="64"/>
    </row>
    <row r="194" spans="1:14" s="4" customFormat="1" ht="209.25" customHeight="1">
      <c r="A194" s="12" t="s">
        <v>342</v>
      </c>
      <c r="B194" s="90" t="s">
        <v>340</v>
      </c>
      <c r="C194" s="90" t="s">
        <v>4</v>
      </c>
      <c r="D194" s="13" t="s">
        <v>468</v>
      </c>
      <c r="E194" s="15" t="s">
        <v>246</v>
      </c>
      <c r="F194" s="15" t="s">
        <v>400</v>
      </c>
      <c r="G194" s="79">
        <f t="shared" si="9"/>
        <v>-720000</v>
      </c>
      <c r="H194" s="79"/>
      <c r="I194" s="79">
        <v>-720000</v>
      </c>
      <c r="J194" s="79"/>
      <c r="K194" s="107"/>
      <c r="L194" s="105">
        <f t="shared" si="7"/>
        <v>0</v>
      </c>
      <c r="N194" s="64"/>
    </row>
    <row r="195" spans="1:14" s="3" customFormat="1" ht="108" customHeight="1">
      <c r="A195" s="20"/>
      <c r="B195" s="92"/>
      <c r="C195" s="92"/>
      <c r="D195" s="21" t="s">
        <v>211</v>
      </c>
      <c r="E195" s="58"/>
      <c r="F195" s="58"/>
      <c r="G195" s="78">
        <f>SUM(G196+G197+G198+G199+G200)</f>
        <v>2546114</v>
      </c>
      <c r="H195" s="78">
        <f>SUM(H196+H197+H198+H199+H200)</f>
        <v>1165200</v>
      </c>
      <c r="I195" s="78">
        <f>SUM(I196+I197+I198+I199+I200)</f>
        <v>1380914</v>
      </c>
      <c r="J195" s="78">
        <f>SUM(J196+J197+J198+J199+J200)</f>
        <v>0</v>
      </c>
      <c r="K195" s="107"/>
      <c r="L195" s="105">
        <f t="shared" si="7"/>
        <v>0</v>
      </c>
      <c r="N195" s="64"/>
    </row>
    <row r="196" spans="1:14" ht="144" customHeight="1">
      <c r="A196" s="12" t="s">
        <v>212</v>
      </c>
      <c r="B196" s="90" t="s">
        <v>80</v>
      </c>
      <c r="C196" s="90" t="s">
        <v>2</v>
      </c>
      <c r="D196" s="13" t="s">
        <v>81</v>
      </c>
      <c r="E196" s="13" t="s">
        <v>385</v>
      </c>
      <c r="F196" s="54" t="s">
        <v>470</v>
      </c>
      <c r="G196" s="79">
        <f>H196+I196</f>
        <v>50000</v>
      </c>
      <c r="H196" s="79">
        <v>50000</v>
      </c>
      <c r="I196" s="79"/>
      <c r="J196" s="79"/>
      <c r="K196" s="107"/>
      <c r="L196" s="105">
        <f t="shared" si="7"/>
        <v>0</v>
      </c>
      <c r="N196" s="64"/>
    </row>
    <row r="197" spans="1:14" ht="177" customHeight="1">
      <c r="A197" s="12" t="s">
        <v>295</v>
      </c>
      <c r="B197" s="90" t="s">
        <v>219</v>
      </c>
      <c r="C197" s="90" t="s">
        <v>240</v>
      </c>
      <c r="D197" s="36" t="s">
        <v>239</v>
      </c>
      <c r="E197" s="13" t="s">
        <v>235</v>
      </c>
      <c r="F197" s="13" t="s">
        <v>403</v>
      </c>
      <c r="G197" s="79">
        <f>H197+I197</f>
        <v>180000</v>
      </c>
      <c r="H197" s="79">
        <v>180000</v>
      </c>
      <c r="I197" s="79"/>
      <c r="J197" s="79"/>
      <c r="K197" s="107"/>
      <c r="L197" s="105">
        <f t="shared" si="7"/>
        <v>0</v>
      </c>
      <c r="N197" s="64"/>
    </row>
    <row r="198" spans="1:14" ht="139.5" customHeight="1">
      <c r="A198" s="31" t="s">
        <v>369</v>
      </c>
      <c r="B198" s="87" t="s">
        <v>370</v>
      </c>
      <c r="C198" s="87" t="s">
        <v>5</v>
      </c>
      <c r="D198" s="32" t="s">
        <v>371</v>
      </c>
      <c r="E198" s="13" t="s">
        <v>424</v>
      </c>
      <c r="F198" s="13" t="s">
        <v>403</v>
      </c>
      <c r="G198" s="79">
        <f>H198+I198</f>
        <v>935200</v>
      </c>
      <c r="H198" s="79">
        <v>935200</v>
      </c>
      <c r="I198" s="79"/>
      <c r="J198" s="79"/>
      <c r="K198" s="107"/>
      <c r="L198" s="105">
        <f t="shared" si="7"/>
        <v>0</v>
      </c>
      <c r="N198" s="64"/>
    </row>
    <row r="199" spans="1:14" s="4" customFormat="1" ht="237" customHeight="1">
      <c r="A199" s="133" t="s">
        <v>282</v>
      </c>
      <c r="B199" s="116" t="s">
        <v>281</v>
      </c>
      <c r="C199" s="116" t="s">
        <v>5</v>
      </c>
      <c r="D199" s="111" t="s">
        <v>302</v>
      </c>
      <c r="E199" s="13" t="s">
        <v>235</v>
      </c>
      <c r="F199" s="13" t="s">
        <v>403</v>
      </c>
      <c r="G199" s="79">
        <f>H199+I199</f>
        <v>150914</v>
      </c>
      <c r="H199" s="79"/>
      <c r="I199" s="79">
        <v>150914</v>
      </c>
      <c r="J199" s="79"/>
      <c r="K199" s="107"/>
      <c r="L199" s="105">
        <f t="shared" si="7"/>
        <v>0</v>
      </c>
      <c r="N199" s="64"/>
    </row>
    <row r="200" spans="1:14" s="4" customFormat="1" ht="180" customHeight="1">
      <c r="A200" s="134"/>
      <c r="B200" s="117"/>
      <c r="C200" s="117"/>
      <c r="D200" s="112"/>
      <c r="E200" s="13" t="s">
        <v>424</v>
      </c>
      <c r="F200" s="13" t="s">
        <v>478</v>
      </c>
      <c r="G200" s="79">
        <f>H200+I200</f>
        <v>1230000</v>
      </c>
      <c r="H200" s="79"/>
      <c r="I200" s="79">
        <v>1230000</v>
      </c>
      <c r="J200" s="79"/>
      <c r="K200" s="107"/>
      <c r="L200" s="105">
        <f t="shared" si="7"/>
        <v>0</v>
      </c>
      <c r="N200" s="64"/>
    </row>
    <row r="201" spans="1:14" s="3" customFormat="1" ht="97.5" customHeight="1">
      <c r="A201" s="20"/>
      <c r="B201" s="92"/>
      <c r="C201" s="92"/>
      <c r="D201" s="21" t="s">
        <v>203</v>
      </c>
      <c r="E201" s="21"/>
      <c r="F201" s="57"/>
      <c r="G201" s="78">
        <f>SUM(G202+G203+G204+G205+G206+G207)</f>
        <v>15280743.33</v>
      </c>
      <c r="H201" s="78">
        <f>SUM(H202+H203+H204+H205+H206+H207)</f>
        <v>2303000</v>
      </c>
      <c r="I201" s="78">
        <f>SUM(I202+I203+I204+I205+I206+I207)</f>
        <v>12977743.33</v>
      </c>
      <c r="J201" s="78">
        <f>SUM(J202+J203+J204+J205+J206+J207)</f>
        <v>12963400</v>
      </c>
      <c r="K201" s="107"/>
      <c r="L201" s="105">
        <f t="shared" si="7"/>
        <v>0</v>
      </c>
      <c r="N201" s="64"/>
    </row>
    <row r="202" spans="1:14" ht="235.5" customHeight="1">
      <c r="A202" s="12" t="s">
        <v>204</v>
      </c>
      <c r="B202" s="90" t="s">
        <v>118</v>
      </c>
      <c r="C202" s="90" t="s">
        <v>27</v>
      </c>
      <c r="D202" s="13" t="s">
        <v>119</v>
      </c>
      <c r="E202" s="15" t="s">
        <v>396</v>
      </c>
      <c r="F202" s="56" t="s">
        <v>433</v>
      </c>
      <c r="G202" s="79">
        <f aca="true" t="shared" si="10" ref="G202:G207">H202+I202</f>
        <v>1365343.33</v>
      </c>
      <c r="H202" s="79">
        <v>1351000</v>
      </c>
      <c r="I202" s="79">
        <v>14343.33</v>
      </c>
      <c r="J202" s="79"/>
      <c r="K202" s="107"/>
      <c r="L202" s="105">
        <f t="shared" si="7"/>
        <v>0</v>
      </c>
      <c r="N202" s="64"/>
    </row>
    <row r="203" spans="1:14" ht="151.5" customHeight="1">
      <c r="A203" s="12" t="s">
        <v>373</v>
      </c>
      <c r="B203" s="90" t="s">
        <v>370</v>
      </c>
      <c r="C203" s="90" t="s">
        <v>5</v>
      </c>
      <c r="D203" s="13" t="s">
        <v>371</v>
      </c>
      <c r="E203" s="15" t="s">
        <v>428</v>
      </c>
      <c r="F203" s="54" t="s">
        <v>473</v>
      </c>
      <c r="G203" s="79">
        <f t="shared" si="10"/>
        <v>12888400</v>
      </c>
      <c r="H203" s="79"/>
      <c r="I203" s="79">
        <v>12888400</v>
      </c>
      <c r="J203" s="79">
        <v>12888400</v>
      </c>
      <c r="K203" s="107"/>
      <c r="L203" s="105">
        <f t="shared" si="7"/>
        <v>0</v>
      </c>
      <c r="N203" s="64"/>
    </row>
    <row r="204" spans="1:14" ht="163.5" customHeight="1">
      <c r="A204" s="12" t="s">
        <v>205</v>
      </c>
      <c r="B204" s="90" t="s">
        <v>109</v>
      </c>
      <c r="C204" s="90" t="s">
        <v>6</v>
      </c>
      <c r="D204" s="13" t="s">
        <v>50</v>
      </c>
      <c r="E204" s="13" t="s">
        <v>65</v>
      </c>
      <c r="F204" s="54" t="s">
        <v>402</v>
      </c>
      <c r="G204" s="79">
        <f t="shared" si="10"/>
        <v>322000</v>
      </c>
      <c r="H204" s="79">
        <v>322000</v>
      </c>
      <c r="I204" s="79"/>
      <c r="J204" s="79"/>
      <c r="K204" s="107"/>
      <c r="L204" s="105">
        <f t="shared" si="7"/>
        <v>0</v>
      </c>
      <c r="N204" s="64"/>
    </row>
    <row r="205" spans="1:14" ht="205.5" customHeight="1">
      <c r="A205" s="12" t="s">
        <v>259</v>
      </c>
      <c r="B205" s="90" t="s">
        <v>258</v>
      </c>
      <c r="C205" s="90" t="s">
        <v>5</v>
      </c>
      <c r="D205" s="13" t="s">
        <v>260</v>
      </c>
      <c r="E205" s="15" t="s">
        <v>396</v>
      </c>
      <c r="F205" s="56" t="s">
        <v>433</v>
      </c>
      <c r="G205" s="79">
        <f t="shared" si="10"/>
        <v>50000</v>
      </c>
      <c r="H205" s="79"/>
      <c r="I205" s="79">
        <v>50000</v>
      </c>
      <c r="J205" s="79">
        <v>50000</v>
      </c>
      <c r="K205" s="108">
        <v>55</v>
      </c>
      <c r="L205" s="105">
        <f t="shared" si="7"/>
        <v>0</v>
      </c>
      <c r="N205" s="64"/>
    </row>
    <row r="206" spans="1:14" ht="247.5" customHeight="1">
      <c r="A206" s="12" t="s">
        <v>262</v>
      </c>
      <c r="B206" s="90" t="s">
        <v>263</v>
      </c>
      <c r="C206" s="90" t="s">
        <v>5</v>
      </c>
      <c r="D206" s="13" t="s">
        <v>264</v>
      </c>
      <c r="E206" s="15" t="s">
        <v>396</v>
      </c>
      <c r="F206" s="56" t="s">
        <v>433</v>
      </c>
      <c r="G206" s="79">
        <f t="shared" si="10"/>
        <v>25000</v>
      </c>
      <c r="H206" s="79"/>
      <c r="I206" s="79">
        <v>25000</v>
      </c>
      <c r="J206" s="79">
        <v>25000</v>
      </c>
      <c r="K206" s="108"/>
      <c r="L206" s="105">
        <f t="shared" si="7"/>
        <v>0</v>
      </c>
      <c r="N206" s="64"/>
    </row>
    <row r="207" spans="1:14" s="4" customFormat="1" ht="235.5" customHeight="1">
      <c r="A207" s="12" t="s">
        <v>261</v>
      </c>
      <c r="B207" s="90" t="s">
        <v>233</v>
      </c>
      <c r="C207" s="90" t="s">
        <v>5</v>
      </c>
      <c r="D207" s="13" t="s">
        <v>234</v>
      </c>
      <c r="E207" s="15" t="s">
        <v>396</v>
      </c>
      <c r="F207" s="56" t="s">
        <v>433</v>
      </c>
      <c r="G207" s="79">
        <f t="shared" si="10"/>
        <v>630000</v>
      </c>
      <c r="H207" s="79">
        <v>630000</v>
      </c>
      <c r="I207" s="79"/>
      <c r="J207" s="79"/>
      <c r="K207" s="108"/>
      <c r="L207" s="105">
        <f t="shared" si="7"/>
        <v>0</v>
      </c>
      <c r="N207" s="64"/>
    </row>
    <row r="208" spans="1:14" ht="160.5" customHeight="1" hidden="1">
      <c r="A208" s="12" t="s">
        <v>335</v>
      </c>
      <c r="B208" s="90" t="s">
        <v>324</v>
      </c>
      <c r="C208" s="90" t="s">
        <v>29</v>
      </c>
      <c r="D208" s="33" t="s">
        <v>325</v>
      </c>
      <c r="E208" s="13" t="s">
        <v>65</v>
      </c>
      <c r="F208" s="54" t="s">
        <v>402</v>
      </c>
      <c r="G208" s="79">
        <f t="shared" si="9"/>
        <v>0</v>
      </c>
      <c r="H208" s="79"/>
      <c r="I208" s="79"/>
      <c r="J208" s="79"/>
      <c r="K208" s="108"/>
      <c r="L208" s="105">
        <f t="shared" si="7"/>
        <v>0</v>
      </c>
      <c r="N208" s="64"/>
    </row>
    <row r="209" spans="1:14" s="3" customFormat="1" ht="105.75" customHeight="1">
      <c r="A209" s="20"/>
      <c r="B209" s="92"/>
      <c r="C209" s="92"/>
      <c r="D209" s="21" t="s">
        <v>213</v>
      </c>
      <c r="E209" s="58"/>
      <c r="F209" s="58"/>
      <c r="G209" s="78">
        <f>SUM(G210+G211+G212+G213+G214)</f>
        <v>966000</v>
      </c>
      <c r="H209" s="78">
        <f>SUM(H210+H211+H212+H213+H214)</f>
        <v>426000</v>
      </c>
      <c r="I209" s="78">
        <f>SUM(I210+I211+I212+I213+I214)</f>
        <v>540000</v>
      </c>
      <c r="J209" s="78">
        <f>SUM(J210+J211+J212+J213+J214)</f>
        <v>500000</v>
      </c>
      <c r="K209" s="108"/>
      <c r="L209" s="105">
        <f aca="true" t="shared" si="11" ref="L209:L215">H209+I209-G209</f>
        <v>0</v>
      </c>
      <c r="N209" s="64"/>
    </row>
    <row r="210" spans="1:14" s="3" customFormat="1" ht="177.75" customHeight="1">
      <c r="A210" s="12" t="s">
        <v>487</v>
      </c>
      <c r="B210" s="90">
        <v>7370</v>
      </c>
      <c r="C210" s="12" t="s">
        <v>5</v>
      </c>
      <c r="D210" s="13" t="s">
        <v>371</v>
      </c>
      <c r="E210" s="15" t="s">
        <v>428</v>
      </c>
      <c r="F210" s="54" t="s">
        <v>473</v>
      </c>
      <c r="G210" s="79">
        <f>H210+I210</f>
        <v>50000</v>
      </c>
      <c r="H210" s="79">
        <v>50000</v>
      </c>
      <c r="I210" s="78"/>
      <c r="J210" s="78"/>
      <c r="K210" s="108"/>
      <c r="L210" s="105">
        <f t="shared" si="11"/>
        <v>0</v>
      </c>
      <c r="N210" s="64"/>
    </row>
    <row r="211" spans="1:14" s="3" customFormat="1" ht="117.75" customHeight="1">
      <c r="A211" s="12" t="s">
        <v>265</v>
      </c>
      <c r="B211" s="90" t="s">
        <v>96</v>
      </c>
      <c r="C211" s="90" t="s">
        <v>28</v>
      </c>
      <c r="D211" s="13" t="s">
        <v>57</v>
      </c>
      <c r="E211" s="13" t="s">
        <v>79</v>
      </c>
      <c r="F211" s="54" t="s">
        <v>404</v>
      </c>
      <c r="G211" s="79">
        <f>H211+I211</f>
        <v>306000</v>
      </c>
      <c r="H211" s="79">
        <f>245000+40000+21000</f>
        <v>306000</v>
      </c>
      <c r="I211" s="79"/>
      <c r="J211" s="79"/>
      <c r="K211" s="108"/>
      <c r="L211" s="105">
        <f t="shared" si="11"/>
        <v>0</v>
      </c>
      <c r="N211" s="64"/>
    </row>
    <row r="212" spans="1:14" s="3" customFormat="1" ht="168" customHeight="1">
      <c r="A212" s="12" t="s">
        <v>408</v>
      </c>
      <c r="B212" s="90" t="s">
        <v>233</v>
      </c>
      <c r="C212" s="90" t="s">
        <v>5</v>
      </c>
      <c r="D212" s="13" t="s">
        <v>234</v>
      </c>
      <c r="E212" s="15" t="s">
        <v>428</v>
      </c>
      <c r="F212" s="54" t="s">
        <v>473</v>
      </c>
      <c r="G212" s="79">
        <f>H212+I212</f>
        <v>70000</v>
      </c>
      <c r="H212" s="79">
        <v>70000</v>
      </c>
      <c r="I212" s="79"/>
      <c r="J212" s="79"/>
      <c r="K212" s="108"/>
      <c r="L212" s="105">
        <f t="shared" si="11"/>
        <v>0</v>
      </c>
      <c r="N212" s="64"/>
    </row>
    <row r="213" spans="1:14" ht="129.75" customHeight="1">
      <c r="A213" s="12" t="s">
        <v>214</v>
      </c>
      <c r="B213" s="90" t="s">
        <v>89</v>
      </c>
      <c r="C213" s="90" t="s">
        <v>13</v>
      </c>
      <c r="D213" s="13" t="s">
        <v>90</v>
      </c>
      <c r="E213" s="15" t="s">
        <v>394</v>
      </c>
      <c r="F213" s="32" t="s">
        <v>471</v>
      </c>
      <c r="G213" s="79">
        <f>H213+I213</f>
        <v>40000</v>
      </c>
      <c r="H213" s="79"/>
      <c r="I213" s="79">
        <v>40000</v>
      </c>
      <c r="J213" s="79"/>
      <c r="K213" s="108"/>
      <c r="L213" s="105">
        <f t="shared" si="11"/>
        <v>0</v>
      </c>
      <c r="N213" s="64"/>
    </row>
    <row r="214" spans="1:14" ht="171.75" customHeight="1">
      <c r="A214" s="12" t="s">
        <v>307</v>
      </c>
      <c r="B214" s="90" t="s">
        <v>87</v>
      </c>
      <c r="C214" s="90" t="s">
        <v>29</v>
      </c>
      <c r="D214" s="13" t="s">
        <v>88</v>
      </c>
      <c r="E214" s="15" t="s">
        <v>428</v>
      </c>
      <c r="F214" s="54" t="s">
        <v>473</v>
      </c>
      <c r="G214" s="79">
        <f>H214+I214</f>
        <v>500000</v>
      </c>
      <c r="H214" s="79"/>
      <c r="I214" s="79">
        <v>500000</v>
      </c>
      <c r="J214" s="79">
        <v>500000</v>
      </c>
      <c r="K214" s="108"/>
      <c r="L214" s="105">
        <f t="shared" si="11"/>
        <v>0</v>
      </c>
      <c r="N214" s="64"/>
    </row>
    <row r="215" spans="1:14" s="47" customFormat="1" ht="54.75" customHeight="1">
      <c r="A215" s="46"/>
      <c r="B215" s="113" t="s">
        <v>3</v>
      </c>
      <c r="C215" s="114"/>
      <c r="D215" s="114"/>
      <c r="E215" s="115"/>
      <c r="F215" s="51"/>
      <c r="G215" s="83">
        <f>G16+G58+G85+G110+G134+G131+G142+G171+G195+G201+G209</f>
        <v>2178347778.48</v>
      </c>
      <c r="H215" s="83">
        <f>H16+H58+H85+H110+H134+H131+H142+H171+H195+H201+H209</f>
        <v>1553113404.6</v>
      </c>
      <c r="I215" s="83">
        <f>I16+I58+I85+I110+I134+I131+I142+I171+I195+I201+I209</f>
        <v>625234373.88</v>
      </c>
      <c r="J215" s="83">
        <f>J16+J58+J85+J110+J134+J131+J142+J171+J195+J201+J209</f>
        <v>533794195.57</v>
      </c>
      <c r="K215" s="108"/>
      <c r="L215" s="105">
        <f t="shared" si="11"/>
        <v>0</v>
      </c>
      <c r="N215" s="64"/>
    </row>
    <row r="216" spans="1:12" ht="50.25">
      <c r="A216" s="9"/>
      <c r="B216" s="8"/>
      <c r="C216" s="9"/>
      <c r="D216" s="26"/>
      <c r="E216" s="27"/>
      <c r="F216" s="27"/>
      <c r="G216" s="75"/>
      <c r="H216" s="28"/>
      <c r="I216" s="28"/>
      <c r="J216" s="28"/>
      <c r="K216" s="108"/>
      <c r="L216" s="105"/>
    </row>
    <row r="217" spans="1:12" ht="102.75" customHeight="1">
      <c r="A217" s="9"/>
      <c r="B217" s="8"/>
      <c r="C217" s="9"/>
      <c r="D217" s="26"/>
      <c r="E217" s="27"/>
      <c r="F217" s="27"/>
      <c r="G217" s="75"/>
      <c r="H217" s="28"/>
      <c r="I217" s="28"/>
      <c r="J217" s="28"/>
      <c r="K217" s="108"/>
      <c r="L217" s="105"/>
    </row>
    <row r="218" spans="1:12" ht="50.25">
      <c r="A218" s="9"/>
      <c r="B218" s="8"/>
      <c r="C218" s="9"/>
      <c r="D218" s="26"/>
      <c r="E218" s="27"/>
      <c r="F218" s="27"/>
      <c r="G218" s="75"/>
      <c r="H218" s="28"/>
      <c r="I218" s="1"/>
      <c r="J218" s="1"/>
      <c r="K218" s="108"/>
      <c r="L218" s="105"/>
    </row>
    <row r="219" spans="1:12" ht="66.75">
      <c r="A219" s="9"/>
      <c r="B219" s="146" t="s">
        <v>494</v>
      </c>
      <c r="C219" s="146"/>
      <c r="D219" s="146"/>
      <c r="E219" s="146"/>
      <c r="F219" s="27"/>
      <c r="G219" s="75"/>
      <c r="H219" s="28"/>
      <c r="I219" s="145" t="s">
        <v>495</v>
      </c>
      <c r="J219" s="145"/>
      <c r="K219" s="108"/>
      <c r="L219" s="105"/>
    </row>
    <row r="220" spans="1:12" ht="72.75" customHeight="1">
      <c r="A220" s="68"/>
      <c r="B220" s="146"/>
      <c r="C220" s="146"/>
      <c r="D220" s="146"/>
      <c r="E220" s="146"/>
      <c r="F220" s="68"/>
      <c r="G220" s="85"/>
      <c r="H220" s="85"/>
      <c r="I220" s="1"/>
      <c r="J220" s="1"/>
      <c r="K220" s="108"/>
      <c r="L220" s="105"/>
    </row>
    <row r="221" spans="1:12" ht="78.75" customHeight="1">
      <c r="A221" s="68"/>
      <c r="B221" s="68"/>
      <c r="C221" s="68"/>
      <c r="D221" s="68"/>
      <c r="E221" s="68"/>
      <c r="F221" s="68"/>
      <c r="G221" s="85"/>
      <c r="H221" s="85"/>
      <c r="I221" s="68"/>
      <c r="J221" s="68"/>
      <c r="K221" s="108"/>
      <c r="L221" s="105"/>
    </row>
    <row r="222" spans="1:12" ht="42.75" customHeight="1">
      <c r="A222" s="69"/>
      <c r="B222" s="70"/>
      <c r="C222" s="70"/>
      <c r="D222" s="27"/>
      <c r="E222" s="28"/>
      <c r="F222" s="28"/>
      <c r="G222" s="28">
        <f>G215-G17-G19-G20-G21-G22-G23-G24-G25-G26-G27-G28-G29-G30-G31-G32-G33-G34-G35-G36-G37-G38-G39-G42-G43-G45-G46-G47-G48-G49-G50-G51-G52-G56-G59-G60-G63-G67-G68-G69-G70-G71-G72-G73-G74-G75-G76-G77-G78-G79-G80-G81-G82-G83-G84-G86-G87-G91-G93-G96-G99-G100-G101-G103-G105-G106-G107-G111-G112-G113-G114-G116-G117-G118-G119-G120-G121-G122-G123-G124-G125-G126-G127-G128-G129-G130-G132-G133-G135-G136-G137-G138-G139-G141-G143-G144-G146-G147-G148-G149-G150-G151-G152-G154-G155-G156-G157-G158-G159-G160-G162-G163-G164-G165-G166-G168-G169-G170-G172-G173-G175-G176-G177-G178-G179-G181-G182-G183-G184-G185-G186-G187-G188-G190-G193-G194-G196-G198-G197-G199-G200-G202-G203-G204-G205-G206-G207-G210-G211-G212-G213-G214-G53</f>
        <v>1.0989606380462646E-07</v>
      </c>
      <c r="H222" s="28">
        <f>H215-H17-H19-H20-H21-H22-H23-H24-H25-H26-H27-H28-H29-H30-H31-H32-H33-H34-H35-H36-H37-H38-H39-H42-H43-H45-H46-H47-H48-H49-H50-H51-H52-H56-H59-H60-H63-H67-H68-H69-H70-H71-H72-H73-H74-H75-H76-H77-H78-H79-H80-H81-H82-H83-H84-H86-H87-H91-H93-H96-H99-H100-H101-H103-H105-H106-H107-H111-H112-H113-H114-H116-H117-H118-H119-H120-H121-H122-H123-H124-H125-H126-H127-H128-H129-H130-H132-H133-H135-H136-H137-H138-H139-H141-H143-H144-H146-H147-H148-H149-H150-H151-H152-H154-H155-H156-H157-H158-H159-H160-H162-H163-H164-H165-H166-H168-H169-H170-H172-H173-H175-H176-H177-H178-H179-H181-H182-H183-H184-H185-H186-H187-H188-H190-H193-H194-H196-H198-H197-H199-H200-H202-H203-H204-H205-H206-H207-H210-H211-H212-H213-H214-H53</f>
        <v>-1.1920928955078125E-07</v>
      </c>
      <c r="I222" s="28">
        <f>I215-I17-I19-I20-I21-I22-I23-I24-I25-I26-I27-I28-I29-I30-I31-I32-I33-I34-I35-I36-I37-I38-I39-I42-I43-I45-I46-I47-I48-I49-I50-I51-I52-I56-I59-I60-I63-I67-I68-I69-I70-I71-I72-I73-I74-I75-I76-I77-I78-I79-I80-I81-I82-I83-I84-I86-I87-I91-I93-I96-I99-I100-I101-I103-I105-I106-I107-I111-I112-I113-I114-I116-I117-I118-I119-I120-I121-I122-I123-I124-I125-I126-I127-I128-I129-I130-I132-I133-I135-I136-I137-I138-I139-I141-I143-I144-I146-I147-I148-I149-I150-I151-I152-I154-I155-I156-I157-I158-I159-I160-I162-I163-I164-I165-I166-I168-I169-I170-I172-I173-I175-I176-I177-I178-I179-I181-I182-I183-I184-I185-I186-I187-I188-I190-I193-I194-I196-I198-I197-I199-I200-I202-I203-I204-I205-I206-I207-I210-I211-I212-I213-I214-I53</f>
        <v>-6.891787052154541E-08</v>
      </c>
      <c r="J222" s="28">
        <f>J215-J17-J19-J20-J21-J22-J23-J24-J25-J26-J27-J28-J29-J30-J31-J32-J33-J34-J35-J36-J37-J38-J39-J42-J43-J45-J46-J47-J48-J49-J50-J51-J52-J56-J59-J60-J63-J67-J68-J69-J70-J71-J72-J73-J74-J75-J76-J77-J78-J79-J80-J81-J82-J83-J84-J86-J87-J91-J93-J96-J99-J100-J101-J103-J105-J106-J107-J111-J112-J113-J114-J116-J117-J118-J119-J120-J121-J122-J123-J124-J125-J126-J127-J128-J129-J130-J132-J133-J135-J136-J137-J138-J139-J141-J143-J144-J146-J147-J148-J149-J150-J151-J152-J154-J155-J156-J157-J158-J159-J160-J162-J163-J164-J165-J166-J168-J169-J170-J172-J173-J175-J176-J177-J178-J179-J181-J182-J183-J184-J185-J186-J187-J188-J190-J193-J194-J196-J198-J197-J199-J200-J202-J203-J204-J205-J206-J207-J210-J211-J212-J213-J214-J53</f>
        <v>-5.960464477539063E-08</v>
      </c>
      <c r="K222" s="84"/>
      <c r="L222" s="105"/>
    </row>
    <row r="223" spans="1:10" ht="75.75" customHeight="1">
      <c r="A223" s="147"/>
      <c r="B223" s="147"/>
      <c r="C223" s="147"/>
      <c r="D223" s="71"/>
      <c r="E223" s="27"/>
      <c r="F223" s="28"/>
      <c r="G223" s="28"/>
      <c r="H223" s="22"/>
      <c r="I223" s="28"/>
      <c r="J223" s="28"/>
    </row>
    <row r="224" spans="1:10" ht="45.75" customHeight="1">
      <c r="A224" s="29"/>
      <c r="B224" s="29"/>
      <c r="C224" s="29"/>
      <c r="D224" s="29"/>
      <c r="E224" s="27"/>
      <c r="F224" s="28"/>
      <c r="G224" s="28"/>
      <c r="H224" s="28"/>
      <c r="I224" s="24"/>
      <c r="J224" s="24"/>
    </row>
    <row r="225" spans="1:14" s="76" customFormat="1" ht="91.5" customHeight="1">
      <c r="A225" s="138"/>
      <c r="B225" s="138"/>
      <c r="C225" s="138"/>
      <c r="D225" s="29"/>
      <c r="E225" s="29"/>
      <c r="F225" s="29"/>
      <c r="G225" s="44"/>
      <c r="H225" s="44"/>
      <c r="I225" s="44"/>
      <c r="J225" s="44"/>
      <c r="K225" s="73"/>
      <c r="L225" s="106"/>
      <c r="N225" s="77"/>
    </row>
    <row r="227" ht="50.25">
      <c r="G227" s="23"/>
    </row>
    <row r="228" spans="7:10" ht="95.25" customHeight="1">
      <c r="G228" s="40"/>
      <c r="H228" s="40"/>
      <c r="I228" s="40"/>
      <c r="J228" s="40"/>
    </row>
  </sheetData>
  <sheetProtection/>
  <mergeCells count="142">
    <mergeCell ref="D129:D130"/>
    <mergeCell ref="D97:D98"/>
    <mergeCell ref="I219:J219"/>
    <mergeCell ref="B219:E220"/>
    <mergeCell ref="A223:C223"/>
    <mergeCell ref="C63:C66"/>
    <mergeCell ref="D63:D66"/>
    <mergeCell ref="D144:D145"/>
    <mergeCell ref="D126:D127"/>
    <mergeCell ref="B87:B89"/>
    <mergeCell ref="A87:A89"/>
    <mergeCell ref="B121:B122"/>
    <mergeCell ref="C97:C98"/>
    <mergeCell ref="D95:D96"/>
    <mergeCell ref="C119:C120"/>
    <mergeCell ref="D90:D92"/>
    <mergeCell ref="D87:D89"/>
    <mergeCell ref="B95:B96"/>
    <mergeCell ref="D162:D163"/>
    <mergeCell ref="D179:D180"/>
    <mergeCell ref="D154:D156"/>
    <mergeCell ref="D152:D153"/>
    <mergeCell ref="C157:C158"/>
    <mergeCell ref="D157:D158"/>
    <mergeCell ref="D121:D122"/>
    <mergeCell ref="B93:B94"/>
    <mergeCell ref="B119:B120"/>
    <mergeCell ref="B97:B98"/>
    <mergeCell ref="B152:B153"/>
    <mergeCell ref="D93:D94"/>
    <mergeCell ref="D119:D120"/>
    <mergeCell ref="C95:C96"/>
    <mergeCell ref="B126:B127"/>
    <mergeCell ref="D102:D104"/>
    <mergeCell ref="A90:A92"/>
    <mergeCell ref="C90:C92"/>
    <mergeCell ref="C102:C104"/>
    <mergeCell ref="A102:A104"/>
    <mergeCell ref="B102:B104"/>
    <mergeCell ref="A119:A120"/>
    <mergeCell ref="A93:A94"/>
    <mergeCell ref="B90:B92"/>
    <mergeCell ref="F14:F15"/>
    <mergeCell ref="D27:D28"/>
    <mergeCell ref="C55:C57"/>
    <mergeCell ref="A75:A77"/>
    <mergeCell ref="C80:C81"/>
    <mergeCell ref="D75:D77"/>
    <mergeCell ref="B63:B66"/>
    <mergeCell ref="B21:B22"/>
    <mergeCell ref="A46:A47"/>
    <mergeCell ref="D60:D62"/>
    <mergeCell ref="A63:A66"/>
    <mergeCell ref="B60:B62"/>
    <mergeCell ref="A60:A62"/>
    <mergeCell ref="C60:C62"/>
    <mergeCell ref="B144:B145"/>
    <mergeCell ref="B129:B130"/>
    <mergeCell ref="C126:C127"/>
    <mergeCell ref="C121:C122"/>
    <mergeCell ref="A144:A145"/>
    <mergeCell ref="A97:A98"/>
    <mergeCell ref="C87:C89"/>
    <mergeCell ref="A154:A156"/>
    <mergeCell ref="C152:C153"/>
    <mergeCell ref="C144:C145"/>
    <mergeCell ref="A121:A122"/>
    <mergeCell ref="C129:C130"/>
    <mergeCell ref="C154:C156"/>
    <mergeCell ref="A129:A130"/>
    <mergeCell ref="A126:A127"/>
    <mergeCell ref="A95:A96"/>
    <mergeCell ref="A199:A200"/>
    <mergeCell ref="B199:B200"/>
    <mergeCell ref="C199:C200"/>
    <mergeCell ref="A157:A158"/>
    <mergeCell ref="B157:B158"/>
    <mergeCell ref="A179:A180"/>
    <mergeCell ref="B179:B180"/>
    <mergeCell ref="A162:A163"/>
    <mergeCell ref="B162:B163"/>
    <mergeCell ref="C179:C180"/>
    <mergeCell ref="G14:G15"/>
    <mergeCell ref="B55:B57"/>
    <mergeCell ref="A225:C225"/>
    <mergeCell ref="C162:C163"/>
    <mergeCell ref="C93:C94"/>
    <mergeCell ref="B80:B81"/>
    <mergeCell ref="A80:A81"/>
    <mergeCell ref="B27:B28"/>
    <mergeCell ref="A152:A153"/>
    <mergeCell ref="B154:B156"/>
    <mergeCell ref="H6:J6"/>
    <mergeCell ref="H5:J5"/>
    <mergeCell ref="A53:A54"/>
    <mergeCell ref="B53:B54"/>
    <mergeCell ref="A21:A22"/>
    <mergeCell ref="D14:D15"/>
    <mergeCell ref="A27:A28"/>
    <mergeCell ref="B14:B15"/>
    <mergeCell ref="E14:E15"/>
    <mergeCell ref="C27:C28"/>
    <mergeCell ref="H1:J1"/>
    <mergeCell ref="B17:B18"/>
    <mergeCell ref="H3:J3"/>
    <mergeCell ref="H4:J4"/>
    <mergeCell ref="H2:J2"/>
    <mergeCell ref="H14:H15"/>
    <mergeCell ref="A12:J12"/>
    <mergeCell ref="H8:J8"/>
    <mergeCell ref="H9:J9"/>
    <mergeCell ref="A17:A18"/>
    <mergeCell ref="D55:D57"/>
    <mergeCell ref="D46:D47"/>
    <mergeCell ref="D17:D18"/>
    <mergeCell ref="C21:C22"/>
    <mergeCell ref="D21:D22"/>
    <mergeCell ref="I14:J14"/>
    <mergeCell ref="C53:C54"/>
    <mergeCell ref="C17:C18"/>
    <mergeCell ref="C46:C47"/>
    <mergeCell ref="C14:C15"/>
    <mergeCell ref="K118:K134"/>
    <mergeCell ref="A14:A15"/>
    <mergeCell ref="D199:D200"/>
    <mergeCell ref="B215:E215"/>
    <mergeCell ref="B46:B47"/>
    <mergeCell ref="D80:D81"/>
    <mergeCell ref="D53:D54"/>
    <mergeCell ref="A55:A57"/>
    <mergeCell ref="B75:B77"/>
    <mergeCell ref="C75:C77"/>
    <mergeCell ref="K135:K152"/>
    <mergeCell ref="K154:K169"/>
    <mergeCell ref="K170:K186"/>
    <mergeCell ref="K187:K204"/>
    <mergeCell ref="K205:K221"/>
    <mergeCell ref="K7:K31"/>
    <mergeCell ref="K32:K52"/>
    <mergeCell ref="K53:K72"/>
    <mergeCell ref="K73:K92"/>
    <mergeCell ref="K93:K117"/>
  </mergeCells>
  <printOptions horizontalCentered="1"/>
  <pageMargins left="0.3937007874015748" right="0.3937007874015748" top="0.7086614173228347" bottom="0.5905511811023623" header="0.4330708661417323" footer="0"/>
  <pageSetup firstPageNumber="1" useFirstPageNumber="1" fitToHeight="11" horizontalDpi="600" verticalDpi="600" orientation="landscape" paperSize="9" scale="17" r:id="rId1"/>
  <headerFooter differentFirst="1" scaleWithDoc="0" alignWithMargins="0">
    <oddHeader>&amp;R&amp;9Продовження додатку 7</oddHeader>
  </headerFooter>
  <rowBreaks count="2" manualBreakCount="2">
    <brk id="92" max="10" man="1"/>
    <brk id="1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2019-04-10T13:15:38Z</cp:lastPrinted>
  <dcterms:created xsi:type="dcterms:W3CDTF">2014-01-17T10:52:16Z</dcterms:created>
  <dcterms:modified xsi:type="dcterms:W3CDTF">2019-04-11T05:17:50Z</dcterms:modified>
  <cp:category/>
  <cp:version/>
  <cp:contentType/>
  <cp:contentStatus/>
</cp:coreProperties>
</file>