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Лютий\бюджет\МВК\Доопрацьовано\"/>
    </mc:Choice>
  </mc:AlternateContent>
  <bookViews>
    <workbookView xWindow="0" yWindow="405" windowWidth="15300" windowHeight="7125"/>
  </bookViews>
  <sheets>
    <sheet name="дод 5 (в)" sheetId="12" r:id="rId1"/>
  </sheets>
  <definedNames>
    <definedName name="_xlnm.Print_Titles" localSheetId="0">'дод 5 (в)'!$16:$16</definedName>
    <definedName name="_xlnm.Print_Area" localSheetId="0">'дод 5 (в)'!$A$1:$M$457</definedName>
  </definedNames>
  <calcPr calcId="162913"/>
</workbook>
</file>

<file path=xl/calcChain.xml><?xml version="1.0" encoding="utf-8"?>
<calcChain xmlns="http://schemas.openxmlformats.org/spreadsheetml/2006/main">
  <c r="J146" i="12" l="1"/>
  <c r="J306" i="12" l="1"/>
  <c r="J335" i="12"/>
  <c r="K335" i="12"/>
  <c r="I335" i="12"/>
  <c r="K401" i="12"/>
  <c r="K305" i="12"/>
  <c r="K307" i="12"/>
  <c r="K308" i="12"/>
  <c r="I309" i="12"/>
  <c r="K309" i="12"/>
  <c r="K310" i="12"/>
  <c r="J304" i="12"/>
  <c r="K304" i="12"/>
  <c r="I306" i="12"/>
  <c r="K306" i="12"/>
  <c r="K303" i="12"/>
  <c r="J303" i="12"/>
  <c r="K45" i="12"/>
  <c r="K43" i="12"/>
  <c r="K80" i="12"/>
  <c r="K41" i="12"/>
  <c r="K451" i="12"/>
  <c r="J43" i="12"/>
  <c r="J80" i="12"/>
  <c r="J41" i="12"/>
  <c r="J451" i="12"/>
  <c r="I43" i="12"/>
  <c r="I80" i="12"/>
  <c r="I41" i="12"/>
  <c r="I451" i="12"/>
  <c r="K38" i="12"/>
  <c r="K21" i="12"/>
  <c r="K22" i="12"/>
  <c r="K20" i="12"/>
  <c r="K19" i="12"/>
  <c r="K24" i="12"/>
  <c r="K23" i="12"/>
  <c r="K25" i="12"/>
  <c r="K27" i="12"/>
  <c r="K26" i="12"/>
  <c r="K29" i="12"/>
  <c r="K28" i="12"/>
  <c r="K31" i="12"/>
  <c r="K33" i="12"/>
  <c r="K32" i="12"/>
  <c r="K35" i="12"/>
  <c r="K36" i="12"/>
  <c r="K34" i="12"/>
  <c r="K30" i="12"/>
  <c r="K37" i="12"/>
  <c r="K18" i="12"/>
  <c r="K17" i="12"/>
  <c r="K44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46" i="12"/>
  <c r="K42" i="12"/>
  <c r="K81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83" i="12"/>
  <c r="K79" i="12"/>
  <c r="K125" i="12"/>
  <c r="K124" i="12"/>
  <c r="K128" i="12"/>
  <c r="K129" i="12"/>
  <c r="K130" i="12"/>
  <c r="K127" i="12"/>
  <c r="K126" i="12"/>
  <c r="K133" i="12"/>
  <c r="K132" i="12"/>
  <c r="K131" i="12"/>
  <c r="K134" i="12"/>
  <c r="K136" i="12"/>
  <c r="K138" i="12"/>
  <c r="K139" i="12"/>
  <c r="K140" i="12"/>
  <c r="K137" i="12"/>
  <c r="K135" i="12"/>
  <c r="K40" i="12"/>
  <c r="K39" i="12"/>
  <c r="K143" i="12"/>
  <c r="K144" i="12"/>
  <c r="K145" i="12"/>
  <c r="K146" i="12"/>
  <c r="K150" i="12"/>
  <c r="K152" i="12"/>
  <c r="K151" i="12"/>
  <c r="K149" i="12"/>
  <c r="K153" i="12"/>
  <c r="K148" i="12"/>
  <c r="K147" i="12"/>
  <c r="K156" i="12"/>
  <c r="K155" i="12"/>
  <c r="K154" i="12"/>
  <c r="K159" i="12"/>
  <c r="K160" i="12"/>
  <c r="K162" i="12"/>
  <c r="K161" i="12"/>
  <c r="K158" i="12"/>
  <c r="K157" i="12"/>
  <c r="I292" i="12"/>
  <c r="K292" i="12"/>
  <c r="K293" i="12"/>
  <c r="I294" i="12"/>
  <c r="K294" i="12"/>
  <c r="K295" i="12"/>
  <c r="K296" i="12"/>
  <c r="K297" i="12"/>
  <c r="K298" i="12"/>
  <c r="K299" i="12"/>
  <c r="K291" i="12"/>
  <c r="K301" i="12"/>
  <c r="K302" i="12"/>
  <c r="K300" i="12"/>
  <c r="K290" i="12"/>
  <c r="I313" i="12"/>
  <c r="K313" i="12"/>
  <c r="K314" i="12"/>
  <c r="J315" i="12"/>
  <c r="K315" i="12"/>
  <c r="K316" i="12"/>
  <c r="K312" i="12"/>
  <c r="I318" i="12"/>
  <c r="K318" i="12"/>
  <c r="I319" i="12"/>
  <c r="K319" i="12"/>
  <c r="K320" i="12"/>
  <c r="K317" i="12"/>
  <c r="K311" i="12"/>
  <c r="K322" i="12"/>
  <c r="K321" i="12"/>
  <c r="K167" i="12"/>
  <c r="K168" i="12"/>
  <c r="K169" i="12"/>
  <c r="K170" i="12"/>
  <c r="K171" i="12"/>
  <c r="K172" i="12"/>
  <c r="K173" i="12"/>
  <c r="K174" i="12"/>
  <c r="K175" i="12"/>
  <c r="K176" i="12"/>
  <c r="K177" i="12"/>
  <c r="K178" i="12"/>
  <c r="K179" i="12"/>
  <c r="K180" i="12"/>
  <c r="K181" i="12"/>
  <c r="K182" i="12"/>
  <c r="K183" i="12"/>
  <c r="K184" i="12"/>
  <c r="K185" i="12"/>
  <c r="K186" i="12"/>
  <c r="I187" i="12"/>
  <c r="K187" i="12"/>
  <c r="K188" i="12"/>
  <c r="K166" i="12"/>
  <c r="K190" i="12"/>
  <c r="K191" i="12"/>
  <c r="K192" i="12"/>
  <c r="K193" i="12"/>
  <c r="K194" i="12"/>
  <c r="K195" i="12"/>
  <c r="K196" i="12"/>
  <c r="K197" i="12"/>
  <c r="K189" i="12"/>
  <c r="K165" i="12"/>
  <c r="K200" i="12"/>
  <c r="K199" i="12"/>
  <c r="K201" i="12"/>
  <c r="K198" i="12"/>
  <c r="K204" i="12"/>
  <c r="K205" i="12"/>
  <c r="K206" i="12"/>
  <c r="K207" i="12"/>
  <c r="K208" i="12"/>
  <c r="K209" i="12"/>
  <c r="K210" i="12"/>
  <c r="K211" i="12"/>
  <c r="K212" i="12"/>
  <c r="K213" i="12"/>
  <c r="K214" i="12"/>
  <c r="J215" i="12"/>
  <c r="I215" i="12"/>
  <c r="K215" i="12"/>
  <c r="K203" i="12"/>
  <c r="I217" i="12"/>
  <c r="K217" i="12"/>
  <c r="K218" i="12"/>
  <c r="K219" i="12"/>
  <c r="K220" i="12"/>
  <c r="K221" i="12"/>
  <c r="K216" i="12"/>
  <c r="K202" i="12"/>
  <c r="K224" i="12"/>
  <c r="K223" i="12"/>
  <c r="J226" i="12"/>
  <c r="K226" i="12"/>
  <c r="J227" i="12"/>
  <c r="K227" i="12"/>
  <c r="K228" i="12"/>
  <c r="J229" i="12"/>
  <c r="K229" i="12"/>
  <c r="K230" i="12"/>
  <c r="J231" i="12"/>
  <c r="K231" i="12"/>
  <c r="J232" i="12"/>
  <c r="K232" i="12"/>
  <c r="K233" i="12"/>
  <c r="J234" i="12"/>
  <c r="K234" i="12"/>
  <c r="J235" i="12"/>
  <c r="K235" i="12"/>
  <c r="J236" i="12"/>
  <c r="K236" i="12"/>
  <c r="K237" i="12"/>
  <c r="K238" i="12"/>
  <c r="K239" i="12"/>
  <c r="K240" i="12"/>
  <c r="K241" i="12"/>
  <c r="K242" i="12"/>
  <c r="J244" i="12"/>
  <c r="K244" i="12"/>
  <c r="J245" i="12"/>
  <c r="K245" i="12"/>
  <c r="J246" i="12"/>
  <c r="K246" i="12"/>
  <c r="J247" i="12"/>
  <c r="K247" i="12"/>
  <c r="K248" i="12"/>
  <c r="K249" i="12"/>
  <c r="K250" i="12"/>
  <c r="K251" i="12"/>
  <c r="K243" i="12"/>
  <c r="J253" i="12"/>
  <c r="K253" i="12"/>
  <c r="J254" i="12"/>
  <c r="K254" i="12"/>
  <c r="J255" i="12"/>
  <c r="K255" i="12"/>
  <c r="J256" i="12"/>
  <c r="K256" i="12"/>
  <c r="J257" i="12"/>
  <c r="K257" i="12"/>
  <c r="J258" i="12"/>
  <c r="K258" i="12"/>
  <c r="J259" i="12"/>
  <c r="K259" i="12"/>
  <c r="K260" i="12"/>
  <c r="K261" i="12"/>
  <c r="I262" i="12"/>
  <c r="K262" i="12"/>
  <c r="K263" i="12"/>
  <c r="K264" i="12"/>
  <c r="I265" i="12"/>
  <c r="K265" i="12"/>
  <c r="K266" i="12"/>
  <c r="I267" i="12"/>
  <c r="K267" i="12"/>
  <c r="K252" i="12"/>
  <c r="I269" i="12"/>
  <c r="K269" i="12"/>
  <c r="K270" i="12"/>
  <c r="I271" i="12"/>
  <c r="K271" i="12"/>
  <c r="K272" i="12"/>
  <c r="I273" i="12"/>
  <c r="K273" i="12"/>
  <c r="K268" i="12"/>
  <c r="J275" i="12"/>
  <c r="K275" i="12"/>
  <c r="J276" i="12"/>
  <c r="K276" i="12"/>
  <c r="J277" i="12"/>
  <c r="K277" i="12"/>
  <c r="K278" i="12"/>
  <c r="K279" i="12"/>
  <c r="K280" i="12"/>
  <c r="K281" i="12"/>
  <c r="K282" i="12"/>
  <c r="K283" i="12"/>
  <c r="K284" i="12"/>
  <c r="K285" i="12"/>
  <c r="K286" i="12"/>
  <c r="K274" i="12"/>
  <c r="K225" i="12"/>
  <c r="K222" i="12"/>
  <c r="J288" i="12"/>
  <c r="I288" i="12"/>
  <c r="K288" i="12"/>
  <c r="K289" i="12"/>
  <c r="K287" i="12"/>
  <c r="K325" i="12"/>
  <c r="K324" i="12"/>
  <c r="K327" i="12"/>
  <c r="K326" i="12"/>
  <c r="K323" i="12"/>
  <c r="K328" i="12"/>
  <c r="K329" i="12"/>
  <c r="K164" i="12"/>
  <c r="K163" i="12"/>
  <c r="K332" i="12"/>
  <c r="K331" i="12"/>
  <c r="K330" i="12"/>
  <c r="K404" i="12"/>
  <c r="K405" i="12"/>
  <c r="K403" i="12"/>
  <c r="K407" i="12"/>
  <c r="K406" i="12"/>
  <c r="K402" i="12"/>
  <c r="K410" i="12"/>
  <c r="K409" i="12"/>
  <c r="K412" i="12"/>
  <c r="K411" i="12"/>
  <c r="K408" i="12"/>
  <c r="J415" i="12"/>
  <c r="K415" i="12"/>
  <c r="K416" i="12"/>
  <c r="K417" i="12"/>
  <c r="K414" i="12"/>
  <c r="K413" i="12"/>
  <c r="I420" i="12"/>
  <c r="K420" i="12"/>
  <c r="K421" i="12"/>
  <c r="I422" i="12"/>
  <c r="K422" i="12"/>
  <c r="I423" i="12"/>
  <c r="K423" i="12"/>
  <c r="K424" i="12"/>
  <c r="I425" i="12"/>
  <c r="K425" i="12"/>
  <c r="K419" i="12"/>
  <c r="K427" i="12"/>
  <c r="K428" i="12"/>
  <c r="I429" i="12"/>
  <c r="K429" i="12"/>
  <c r="K430" i="12"/>
  <c r="J431" i="12"/>
  <c r="K431" i="12"/>
  <c r="K426" i="12"/>
  <c r="K418" i="12"/>
  <c r="K436" i="12"/>
  <c r="K437" i="12"/>
  <c r="K438" i="12"/>
  <c r="K435" i="12"/>
  <c r="K440" i="12"/>
  <c r="I441" i="12"/>
  <c r="K441" i="12"/>
  <c r="K442" i="12"/>
  <c r="K443" i="12"/>
  <c r="K444" i="12"/>
  <c r="K439" i="12"/>
  <c r="K434" i="12"/>
  <c r="K336" i="12"/>
  <c r="K337" i="12"/>
  <c r="K338" i="12"/>
  <c r="K339" i="12"/>
  <c r="K340" i="12"/>
  <c r="K341" i="12"/>
  <c r="K342" i="12"/>
  <c r="K343" i="12"/>
  <c r="K344" i="12"/>
  <c r="K345" i="12"/>
  <c r="K346" i="12"/>
  <c r="K347" i="12"/>
  <c r="K348" i="12"/>
  <c r="K349" i="12"/>
  <c r="K350" i="12"/>
  <c r="K351" i="12"/>
  <c r="K352" i="12"/>
  <c r="K353" i="12"/>
  <c r="K354" i="12"/>
  <c r="K355" i="12"/>
  <c r="K356" i="12"/>
  <c r="K357" i="12"/>
  <c r="K358" i="12"/>
  <c r="K359" i="12"/>
  <c r="K360" i="12"/>
  <c r="K361" i="12"/>
  <c r="K362" i="12"/>
  <c r="K363" i="12"/>
  <c r="K364" i="12"/>
  <c r="K365" i="12"/>
  <c r="K366" i="12"/>
  <c r="K367" i="12"/>
  <c r="K368" i="12"/>
  <c r="K369" i="12"/>
  <c r="K370" i="12"/>
  <c r="K371" i="12"/>
  <c r="K372" i="12"/>
  <c r="K373" i="12"/>
  <c r="K374" i="12"/>
  <c r="K375" i="12"/>
  <c r="K376" i="12"/>
  <c r="K377" i="12"/>
  <c r="K378" i="12"/>
  <c r="K379" i="12"/>
  <c r="K380" i="12"/>
  <c r="K381" i="12"/>
  <c r="K382" i="12"/>
  <c r="K383" i="12"/>
  <c r="K384" i="12"/>
  <c r="K385" i="12"/>
  <c r="K386" i="12"/>
  <c r="K387" i="12"/>
  <c r="K388" i="12"/>
  <c r="K389" i="12"/>
  <c r="K390" i="12"/>
  <c r="K391" i="12"/>
  <c r="K392" i="12"/>
  <c r="K393" i="12"/>
  <c r="K394" i="12"/>
  <c r="K395" i="12"/>
  <c r="K396" i="12"/>
  <c r="K397" i="12"/>
  <c r="K398" i="12"/>
  <c r="K399" i="12"/>
  <c r="K400" i="12"/>
  <c r="K433" i="12"/>
  <c r="K432" i="12"/>
  <c r="K334" i="12"/>
  <c r="K333" i="12"/>
  <c r="K447" i="12"/>
  <c r="K448" i="12"/>
  <c r="K449" i="12"/>
  <c r="K446" i="12"/>
  <c r="K445" i="12"/>
  <c r="J20" i="12"/>
  <c r="J19" i="12"/>
  <c r="J23" i="12"/>
  <c r="J26" i="12"/>
  <c r="J28" i="12"/>
  <c r="J32" i="12"/>
  <c r="J34" i="12"/>
  <c r="J30" i="12"/>
  <c r="J18" i="12"/>
  <c r="J17" i="12"/>
  <c r="J46" i="12"/>
  <c r="J42" i="12"/>
  <c r="J83" i="12"/>
  <c r="J79" i="12"/>
  <c r="J124" i="12"/>
  <c r="J127" i="12"/>
  <c r="J126" i="12"/>
  <c r="J132" i="12"/>
  <c r="J131" i="12"/>
  <c r="J137" i="12"/>
  <c r="J135" i="12"/>
  <c r="J40" i="12"/>
  <c r="J39" i="12"/>
  <c r="J142" i="12"/>
  <c r="J141" i="12" s="1"/>
  <c r="J450" i="12" s="1"/>
  <c r="J151" i="12"/>
  <c r="J149" i="12"/>
  <c r="J148" i="12"/>
  <c r="J147" i="12"/>
  <c r="J155" i="12"/>
  <c r="J154" i="12"/>
  <c r="J161" i="12"/>
  <c r="J158" i="12"/>
  <c r="J157" i="12"/>
  <c r="J291" i="12"/>
  <c r="J300" i="12"/>
  <c r="J290" i="12"/>
  <c r="J312" i="12"/>
  <c r="J317" i="12"/>
  <c r="J311" i="12"/>
  <c r="J321" i="12"/>
  <c r="J166" i="12"/>
  <c r="J189" i="12"/>
  <c r="J165" i="12"/>
  <c r="J199" i="12"/>
  <c r="J198" i="12"/>
  <c r="J203" i="12"/>
  <c r="J216" i="12"/>
  <c r="J202" i="12"/>
  <c r="J223" i="12"/>
  <c r="J243" i="12"/>
  <c r="J252" i="12"/>
  <c r="J268" i="12"/>
  <c r="J274" i="12"/>
  <c r="J225" i="12"/>
  <c r="J222" i="12"/>
  <c r="J287" i="12"/>
  <c r="J324" i="12"/>
  <c r="J326" i="12"/>
  <c r="J323" i="12"/>
  <c r="J164" i="12"/>
  <c r="J163" i="12"/>
  <c r="J331" i="12"/>
  <c r="J330" i="12"/>
  <c r="J403" i="12"/>
  <c r="J406" i="12"/>
  <c r="J402" i="12"/>
  <c r="J409" i="12"/>
  <c r="J411" i="12"/>
  <c r="J408" i="12"/>
  <c r="J414" i="12"/>
  <c r="J413" i="12"/>
  <c r="J419" i="12"/>
  <c r="J426" i="12"/>
  <c r="J418" i="12"/>
  <c r="J435" i="12"/>
  <c r="J439" i="12"/>
  <c r="J434" i="12"/>
  <c r="J432" i="12"/>
  <c r="J334" i="12"/>
  <c r="J333" i="12"/>
  <c r="J446" i="12"/>
  <c r="J445" i="12"/>
  <c r="I20" i="12"/>
  <c r="I19" i="12"/>
  <c r="I23" i="12"/>
  <c r="I26" i="12"/>
  <c r="I28" i="12"/>
  <c r="I32" i="12"/>
  <c r="I34" i="12"/>
  <c r="I30" i="12"/>
  <c r="I18" i="12"/>
  <c r="I17" i="12"/>
  <c r="I46" i="12"/>
  <c r="I42" i="12"/>
  <c r="I83" i="12"/>
  <c r="I79" i="12"/>
  <c r="I124" i="12"/>
  <c r="I127" i="12"/>
  <c r="I126" i="12"/>
  <c r="I132" i="12"/>
  <c r="I131" i="12"/>
  <c r="I137" i="12"/>
  <c r="I135" i="12"/>
  <c r="I40" i="12"/>
  <c r="I39" i="12"/>
  <c r="I142" i="12"/>
  <c r="I141" i="12"/>
  <c r="I151" i="12"/>
  <c r="I149" i="12"/>
  <c r="I148" i="12"/>
  <c r="I147" i="12"/>
  <c r="I155" i="12"/>
  <c r="I154" i="12"/>
  <c r="I161" i="12"/>
  <c r="I158" i="12"/>
  <c r="I157" i="12"/>
  <c r="I291" i="12"/>
  <c r="I300" i="12"/>
  <c r="I303" i="12"/>
  <c r="I290" i="12"/>
  <c r="I312" i="12"/>
  <c r="I317" i="12"/>
  <c r="I311" i="12"/>
  <c r="I321" i="12"/>
  <c r="I166" i="12"/>
  <c r="I189" i="12"/>
  <c r="I165" i="12"/>
  <c r="I199" i="12"/>
  <c r="I198" i="12"/>
  <c r="I203" i="12"/>
  <c r="I216" i="12"/>
  <c r="I202" i="12"/>
  <c r="I223" i="12"/>
  <c r="I243" i="12"/>
  <c r="I252" i="12"/>
  <c r="I268" i="12"/>
  <c r="I274" i="12"/>
  <c r="I225" i="12"/>
  <c r="I222" i="12"/>
  <c r="I287" i="12"/>
  <c r="I324" i="12"/>
  <c r="I326" i="12"/>
  <c r="I323" i="12"/>
  <c r="I164" i="12"/>
  <c r="I163" i="12"/>
  <c r="I331" i="12"/>
  <c r="I330" i="12"/>
  <c r="I403" i="12"/>
  <c r="I406" i="12"/>
  <c r="I402" i="12"/>
  <c r="I409" i="12"/>
  <c r="I411" i="12"/>
  <c r="I408" i="12"/>
  <c r="I414" i="12"/>
  <c r="I413" i="12"/>
  <c r="I419" i="12"/>
  <c r="I426" i="12"/>
  <c r="I418" i="12"/>
  <c r="I435" i="12"/>
  <c r="I439" i="12"/>
  <c r="I434" i="12"/>
  <c r="I432" i="12"/>
  <c r="I334" i="12"/>
  <c r="I333" i="12"/>
  <c r="I446" i="12"/>
  <c r="I445" i="12"/>
  <c r="I450" i="12"/>
  <c r="G308" i="12"/>
  <c r="G307" i="12"/>
  <c r="K142" i="12" l="1"/>
  <c r="K141" i="12" s="1"/>
  <c r="K450" i="12" s="1"/>
</calcChain>
</file>

<file path=xl/sharedStrings.xml><?xml version="1.0" encoding="utf-8"?>
<sst xmlns="http://schemas.openxmlformats.org/spreadsheetml/2006/main" count="717" uniqueCount="502">
  <si>
    <t>Код Функціональної класифікації видатків та кредитування бюджету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</si>
  <si>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</si>
  <si>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</si>
  <si>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</si>
  <si>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освітніх установ та закладів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</si>
  <si>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</si>
  <si>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</si>
  <si>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</si>
  <si>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Всього видатків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</si>
  <si>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</si>
  <si>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</si>
  <si>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</si>
  <si>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</si>
  <si>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</si>
  <si>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</si>
  <si>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</si>
  <si>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</si>
  <si>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</si>
  <si>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</si>
  <si>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</si>
  <si>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</si>
  <si>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</si>
  <si>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</si>
  <si>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</si>
  <si>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</si>
  <si>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Реконструкція каналізаційної насосної станції за адресою  м. Суми вул. Привокзальна 4/13</t>
  </si>
  <si>
    <t>Влаштування пандусів до житлового будинку за адресою: просп. М. Лушпи, № 29 п.4 м. Суми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</si>
  <si>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</si>
  <si>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</si>
  <si>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</si>
  <si>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</si>
  <si>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</si>
  <si>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</si>
  <si>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>Будівництво інженерних мереж селища Ганнівка (2 черга)</t>
  </si>
  <si>
    <t xml:space="preserve">Нове будівництво дитячого садка у 12 мікрорайоні за адресою: м. Суми, вул. Інтернаціоналістів, 35 </t>
  </si>
  <si>
    <t>Реконструкція 1-го поверху КУ «ССШ № 3» по вул. 20 років Перемоги, 9</t>
  </si>
  <si>
    <t>Реконструкція неврологічного відділення КУ  «СМКЛ № 4» по вул. Металургів, 38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</si>
  <si>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</si>
  <si>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</si>
  <si>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підпірної стінки на території Сумської гімназії № 1</t>
  </si>
  <si>
    <t>Реконструкція Театральної площі</t>
  </si>
  <si>
    <t>Нове будівництво місцевої автоматизованої системи централізованого оповіщення м. Суми</t>
  </si>
  <si>
    <t>2018-2020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</si>
  <si>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</si>
  <si>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Реконструкція будівлі КУ СЗОШ І-ІІІ ступенів № 22 по вул. Ковпака, 57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</si>
  <si>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</si>
  <si>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</si>
  <si>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</si>
  <si>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 xml:space="preserve">Реконструкція парку ім. І.М. Кожедуба </t>
  </si>
  <si>
    <t xml:space="preserve">Реконструкція  підпірної гідроспоруди під Шевченківським мостом </t>
  </si>
  <si>
    <t>2018-2021</t>
  </si>
  <si>
    <t>2018-2025</t>
  </si>
  <si>
    <t>2018-2023</t>
  </si>
  <si>
    <t>2019-2025</t>
  </si>
  <si>
    <t>2019-2020</t>
  </si>
  <si>
    <t>2016-2020</t>
  </si>
  <si>
    <t>Нове будівництво зливової каналізації по вул. Косівщинській, вул. Кавалерідзе, вул. Нахімова, вул. Дарвіна, вул. Жуковського, вул. Макаренка в м.Суми</t>
  </si>
  <si>
    <t>2020-2022</t>
  </si>
  <si>
    <t>2019-2021</t>
  </si>
  <si>
    <t>Нове будівництво підземних контейнерних майданчиків</t>
  </si>
  <si>
    <t>Нове будівництво напірного каналізаційного колектору від КНС-6 до вул. Прокоф’єва в м. Суми з переврізкою в збудований напірний колектор (друга нитка)</t>
  </si>
  <si>
    <t>Нове будівництво пам'ятнику Героям Небесної Сотні</t>
  </si>
  <si>
    <t xml:space="preserve">Нове будівництво дитячих та спортивних майданчиків  </t>
  </si>
  <si>
    <t>Реконструкція каналізаційного самопливного колектору Д - 1000 мм по вул. 1-ша Набережна р. Стрілка м.Суми</t>
  </si>
  <si>
    <t>Влаштування пандусів до житлового будинку за адресою: вул. Ковпака, 17 м. Суми</t>
  </si>
  <si>
    <t>2017-2021</t>
  </si>
  <si>
    <r>
      <t>О</t>
    </r>
    <r>
      <rPr>
        <b/>
        <sz val="7.5"/>
        <rFont val="Times New Roman"/>
        <family val="1"/>
        <charset val="204"/>
      </rPr>
      <t>бсяг видатків бюджету розвитку</t>
    </r>
    <r>
      <rPr>
        <sz val="7.5"/>
        <rFont val="Times New Roman"/>
        <family val="1"/>
        <charset val="204"/>
      </rPr>
      <t>, які спрямовуються на будівництво об'єкта у бюджетному періоді,             гривень</t>
    </r>
  </si>
  <si>
    <t>Нове будівництво мереж зовнішнього освітлення  на сонячних батареях на території Піщанського старостинського округу</t>
  </si>
  <si>
    <t>Будівництво скверу по вул. Петропавлівська, 94</t>
  </si>
  <si>
    <t xml:space="preserve">  (код бюджету)</t>
  </si>
  <si>
    <t>(грн)</t>
  </si>
  <si>
    <t>Реконструкція приміщення по вул. Шишкіна, 12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</si>
  <si>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</si>
  <si>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</si>
  <si>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</si>
  <si>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</si>
  <si>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Реконструкція систем газопостачання м. Суми по вул. Г.Кондратьєва, 165</t>
  </si>
  <si>
    <t>2018-2022</t>
  </si>
  <si>
    <t>2020-2021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</si>
  <si>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</si>
  <si>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Нове будівництво дитячого майданчика на території дитячого парку «Казка»</t>
  </si>
  <si>
    <t>Реконструкція дитячого парку «Казка» в м. Суми</t>
  </si>
  <si>
    <t>Всього видатків з урахуванням змін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</si>
  <si>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</si>
  <si>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Реконструкція операційного блоку КУ  «СМКЛ № 5»</t>
  </si>
  <si>
    <t>Реконструкція другого поверху  адмінбудівлі по вул.Першотравнева, 21</t>
  </si>
  <si>
    <t>Будівництво зливової каналізації по вул.Криничній</t>
  </si>
  <si>
    <t>Будівництво спортивного майданчика «Атом-воркаут» по просп. Курський, 103</t>
  </si>
  <si>
    <t xml:space="preserve">Будівництво міського пляжу  в парку ім. І.М.Кожедуба </t>
  </si>
  <si>
    <t>0210160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</si>
  <si>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</si>
  <si>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</si>
  <si>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</si>
  <si>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0214060</t>
  </si>
  <si>
    <t>4060</t>
  </si>
  <si>
    <t>0828</t>
  </si>
  <si>
    <t>0214081</t>
  </si>
  <si>
    <t>4081</t>
  </si>
  <si>
    <t>0829</t>
  </si>
  <si>
    <t>Забезпечення діяльності інших закладів в галузі культури і мистецтва</t>
  </si>
  <si>
    <t>0215031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</si>
  <si>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</si>
  <si>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</si>
  <si>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</si>
  <si>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0215061</t>
  </si>
  <si>
    <t>5061</t>
  </si>
  <si>
    <t>0217530</t>
  </si>
  <si>
    <t>7530</t>
  </si>
  <si>
    <t>0460</t>
  </si>
  <si>
    <t>Інші заходи у сфері зв'язку, телекомунікації та інформатики</t>
  </si>
  <si>
    <t>0217670</t>
  </si>
  <si>
    <t>7670</t>
  </si>
  <si>
    <t>0490</t>
  </si>
  <si>
    <t>Внески до статутного капіталу суб’єктів господарювання</t>
  </si>
  <si>
    <t>0600000</t>
  </si>
  <si>
    <t>0610000</t>
  </si>
  <si>
    <t>Управління  освіти і науки Сумської міської ради</t>
  </si>
  <si>
    <t>у т.ч. за рахунок субвенцій з держбюджету</t>
  </si>
  <si>
    <t>0910</t>
  </si>
  <si>
    <t>Надання дошкільної освіти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</si>
  <si>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</si>
  <si>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</si>
  <si>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0922</t>
  </si>
  <si>
    <t>0611010</t>
  </si>
  <si>
    <t>0611020</t>
  </si>
  <si>
    <t>0611030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</si>
  <si>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</si>
  <si>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</si>
  <si>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</si>
  <si>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</si>
  <si>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0611161</t>
  </si>
  <si>
    <t>0990</t>
  </si>
  <si>
    <t>Забезпечення діяльності інших закладів у сфері освіти</t>
  </si>
  <si>
    <t>0615031</t>
  </si>
  <si>
    <t>0617640</t>
  </si>
  <si>
    <t>0470</t>
  </si>
  <si>
    <t>0700000</t>
  </si>
  <si>
    <t>0710000</t>
  </si>
  <si>
    <t xml:space="preserve">Відділ охорони здоров’я Сумської міської ради  </t>
  </si>
  <si>
    <t>0712010</t>
  </si>
  <si>
    <t>0731</t>
  </si>
  <si>
    <t>Багатопрофільна стаціонарна медична допомога населенню</t>
  </si>
  <si>
    <t>0712030</t>
  </si>
  <si>
    <t>0733</t>
  </si>
  <si>
    <t>Лікарсько-акушерська допомога вагітним, породіллям та новонародженим</t>
  </si>
  <si>
    <t>0712100</t>
  </si>
  <si>
    <t>0722</t>
  </si>
  <si>
    <t>Стоматологічна допомога населенню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</si>
  <si>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</si>
  <si>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</si>
  <si>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</si>
  <si>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</si>
  <si>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0813241</t>
  </si>
  <si>
    <t>1090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</si>
  <si>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</si>
  <si>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</si>
  <si>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</si>
  <si>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0900000</t>
  </si>
  <si>
    <t>Управління  «Служба у справах дітей» Сумської міської ради</t>
  </si>
  <si>
    <t>0910000</t>
  </si>
  <si>
    <t>0913111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</si>
  <si>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</si>
  <si>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</si>
  <si>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1000000</t>
  </si>
  <si>
    <t>Відділ культури Сумської міської ради</t>
  </si>
  <si>
    <t>1010000</t>
  </si>
  <si>
    <t>1011100</t>
  </si>
  <si>
    <t>Надання спеціальної освіти мистецькими школами</t>
  </si>
  <si>
    <t>1014030</t>
  </si>
  <si>
    <t>0824</t>
  </si>
  <si>
    <t>Забезпечення діяльності бібліотек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</si>
  <si>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</si>
  <si>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</si>
  <si>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</si>
  <si>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</si>
  <si>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</si>
  <si>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</si>
  <si>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</si>
  <si>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0640</t>
  </si>
  <si>
    <t>Інша діяльність у сфері житлово-комунального господарства</t>
  </si>
  <si>
    <t>Виконання інвестиційних проектів в рамках підтримки розвитку об'єднаних територіальних громад</t>
  </si>
  <si>
    <t>0180</t>
  </si>
  <si>
    <t>Інші субвенції з місцевого бюджету</t>
  </si>
  <si>
    <t>1400000</t>
  </si>
  <si>
    <t>Управління «Інспекція з благоустрою міста Суми» Сумської міської ради</t>
  </si>
  <si>
    <t>1410000</t>
  </si>
  <si>
    <t>3100000</t>
  </si>
  <si>
    <t>Департамент забезпечення ресурсних платежів Сумської міської ради</t>
  </si>
  <si>
    <t>3110000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</si>
  <si>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</si>
  <si>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</si>
  <si>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</si>
  <si>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Придбання обладнання і предметів довгострокового користування</t>
  </si>
  <si>
    <t>Капітальне будівництво (придбання) інших об'єктів</t>
  </si>
  <si>
    <t>Капітальні трансферти підприємствам (установам, організаціям)</t>
  </si>
  <si>
    <t>Капітальний ремонт житлового фонду (приміщень)</t>
  </si>
  <si>
    <t>Капітальний ремонт теплопункту (облаштування системи автоматичного регулювання споживання тепла) в дитячій музичній школі № 4</t>
  </si>
  <si>
    <t>Капітальні трансферти органам державного управління інших рівнів</t>
  </si>
  <si>
    <t>Дослідження і розробки, окремі заходи розвитку по реалізації державних (регіональних) програм</t>
  </si>
  <si>
    <t>41,7</t>
  </si>
  <si>
    <t>2020</t>
  </si>
  <si>
    <t>Модернізація комп’ютерної техніки виконавчих органів Сумської міської ради</t>
  </si>
  <si>
    <t>Встановлення сучасних систем відеоспостереження в місті</t>
  </si>
  <si>
    <t>Модернізація серверного обладнання виконавчих органів Сумської міської ради</t>
  </si>
  <si>
    <t>Капітальний ремонт житлового фонду: капремонт ліфта п. 2, капремонт ОДС ліфта житлового будинку № 129 по вул. Г. Кондратьєва м. Суми</t>
  </si>
  <si>
    <t>Капітальний ремонт житлового фонду: капремонт ліфта п.1, п.2, п.3, капремонт ОДС ліфта житлового будинку № 59 по вул. Ковпака м. Суми</t>
  </si>
  <si>
    <t>Капітальний ремонт житлового фонду: капремонт ліфта п. 2, та ОДС ліфта житлового будинку № 22 по вул. Героїв Крут  м. Суми</t>
  </si>
  <si>
    <t>Капітальний ремонт житлового фонду: капремонт ліфта п.1, п.2, п.3, капремонт ОДС ліфтів житлового будинку № 25 по вул. Інтернаціоналістів м. Суми</t>
  </si>
  <si>
    <t>Співфінансування капітального ремонту ліфтів ОСББ та ЖБК</t>
  </si>
  <si>
    <t>Капітальний ремонт житлового фонду</t>
  </si>
  <si>
    <t>Співфінансування капітального ремонту житлового фонду</t>
  </si>
  <si>
    <t xml:space="preserve">Капітальний ремонт житлового фонду: капремонт покрівлі житлового будинку №2/2 по вул. Котляревського м. Суми </t>
  </si>
  <si>
    <t xml:space="preserve">Капітальний ремонт житлового фонду: капремонт покрівлі та водостічної системи житлового будинку №13 по вул. Охтирська м. Суми </t>
  </si>
  <si>
    <t>2019-2022</t>
  </si>
  <si>
    <t xml:space="preserve">Капітальний ремонт житлового фонду: капремонт вимощення житлового будинку №1А по вул. Лермонтова м. Суми </t>
  </si>
  <si>
    <t>2019-2023</t>
  </si>
  <si>
    <t>2019-2024</t>
  </si>
  <si>
    <t>Капітальний ремонт  житлового фонду: капремонт електричних мереж житлового будинку №32 по вул.Харківська м. Суми</t>
  </si>
  <si>
    <t>2019-2026</t>
  </si>
  <si>
    <t>Співфінансування капітального ремонту житлового фонду ОСББ та ЖБК</t>
  </si>
  <si>
    <t xml:space="preserve">Капітальний ремонт скверу ім. Тараса Шевченка  </t>
  </si>
  <si>
    <t>Капітальний ремонт тротуару вздовж будинків №16,18 по вул. Інтернаціоналістів в м.Суми</t>
  </si>
  <si>
    <t>Капітальний ремонт електричних мереж вуличного освітлення на території міського пляжу в парку ім. І.М. Кожедуба</t>
  </si>
  <si>
    <t>Капітальний ремонт тротуарів по вул. Рибалко в м.Суми</t>
  </si>
  <si>
    <t>Капітальний ремонт тротуарів на підходах до пішохідного мосту через р. Сумка по вул. Лугова в м.Суми</t>
  </si>
  <si>
    <t>Капітальний ремонт тротуарів по вул. Засумська (від вул. Шевченка до вул. Ярослава Мудрого)</t>
  </si>
  <si>
    <t>Капітальний ремонт об'єктів благоустрою - відбудова підпірних стінок по вул. Прокоф'єва м.Суми  (коригування, додаткові роботи)</t>
  </si>
  <si>
    <t>Капітальний ремонт тротуарів по вул. Богдана Хмельницького (від вул. Петропавлівська до вул. Герасима Кондратьєва)</t>
  </si>
  <si>
    <t>Капітальний ремонт об'єктів благоустрою - улаштування пішохідної огорожі по вул. 1-ша Набережна р.Стрілки</t>
  </si>
  <si>
    <t xml:space="preserve">Капітальний ремонт об'єкту благоустрою - улаштування пішохідних огорож по вул. Героїв Сумщини </t>
  </si>
  <si>
    <t>Капітальний ремонт об'єкту благоустрою - дитячого майданчику «Щасливе та здорове майбутнє дітям та їх батькам» за адресою просп. Михайла Лушпи, 51</t>
  </si>
  <si>
    <t xml:space="preserve">Капітальний ремонт об'єкту благоустрою - дитячого майданчику «Цитадель» між будинками №18 по вул. І. Сірка та будинку №7 по проспекту ім. М. Лушпи </t>
  </si>
  <si>
    <t>Капітальний ремонт об'єкту благоустрою - дитячого майданчику «На радість дітям» у дворі будинків №14/1; №14/3; №14/5; №14/6 по вул. Прокоф'єва</t>
  </si>
  <si>
    <t>Капітальний ремонт об'єкту благоустрою - зупинки громадського транспорту №366 -«4-а лікарня» по вул. Реміснича (коригування)</t>
  </si>
  <si>
    <t>Капітальний ремонт об'єкту благоустрою - зупинки громадського транспорту №116 - «9-й мікрорайон» по просп. Михайла Лушпи м.Суми</t>
  </si>
  <si>
    <t>Капітальний ремонт об'єкту благоустрою - зупинки громадського транспорту №310 «Ліцей» по вул. Ковпака</t>
  </si>
  <si>
    <t>Капітальний ремонт об'єкту благоустрою - зупинка громадського транспорту №316 «Пансіонат для ветеранів» по вул.Ковпака</t>
  </si>
  <si>
    <t xml:space="preserve"> </t>
  </si>
  <si>
    <t>Капітальний ремонт тротуару вздовж будинків №№ 32-42 по просп. Михайла Лушпи в м.Суми</t>
  </si>
  <si>
    <t>Капітальний ремонт тротуару по вул. Металургів (від вул. Реміснича до вул. Степаненківська)</t>
  </si>
  <si>
    <t xml:space="preserve">Капітальний ремонт тротуару по вул. Горького (від Палацу культури ім. Фрунзе до будинку № 39 по вул. Горького) </t>
  </si>
  <si>
    <t>Капітальний ремонт тротуару вздовж будинків №№ 47-49 по просп. Михайла Лушпи</t>
  </si>
  <si>
    <t>Капітальний ремонт тротуарів по вул. Троїцька (вздовж будинків №№ 47-49)</t>
  </si>
  <si>
    <t>Капітальний ремонт тротуару вздовж будинку № 25 по просп. Михайла Лушпи</t>
  </si>
  <si>
    <t>Капітальний ремонт тротуару по просп. Михайла Лушпи (вздовж будівлі по вул. Харківська 35) в м. Суми</t>
  </si>
  <si>
    <t>Капітальний ремонт об'єктів благоустрою - улаштування тротуару вздовж КУ Піщанська ЗОШ І-ІІІ ступенів м. Суми, с. Піщане, вул. Шкільна, 26</t>
  </si>
  <si>
    <t>Капітальний ремонт тротуарів по вул. Олега Балацького (вздовж КУ Сумський ЗЗСО І-ІІІ ступенів №21) в м. Суми</t>
  </si>
  <si>
    <t>Розчищення річки Сумки (між Воскресенським та Шевченківським мостами)</t>
  </si>
  <si>
    <t>2019 - 2020</t>
  </si>
  <si>
    <t>Капітальний ремонт харчоблоку Комунальної установи Сумська загальноосвітня школа І-ІІІ ступенів № 4 імені Героя України Олександра Аніщенка Сумської міської ради</t>
  </si>
  <si>
    <t>Капітальний ремонт харчоблоку Комунальної установи Сумська спеціалізована школа І-ІІІ ступенів № 9, м.Суми, Сумської області</t>
  </si>
  <si>
    <t xml:space="preserve">Капітальний ремонт коридору II поверху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</si>
  <si>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покрівлі нового корпусу Комунальної установи Сумська загальноосвітня школа І-ІІІ ступенів № 15 ім. Д. Турбіна, м.Суми, Сумської області </t>
  </si>
  <si>
    <t>Капітальний ремонт стояків опалювальної системи старого корпусу Комунальної установи Сумська загальноосвітня школа І-ІІІ ступенів № 15 ім. Д. Турбіна, м.Суми, Сумської області</t>
  </si>
  <si>
    <t xml:space="preserve">Капітальний ремонт покрівлі Комунальної установи Сумська спеціалізована школа І-ІІІ ступенів № 17,  м. Суми, Сумської області </t>
  </si>
  <si>
    <t xml:space="preserve">Капітальний ремонт 2-х туалетів другого поверху Комунальної установи Сумська загальноосвітня школа І-ІІІ ступенів №18 Сумської міської ради </t>
  </si>
  <si>
    <t xml:space="preserve">Капітальний ремонт підлоги Комунальної установи Сумська загальноосвітня школа І-ІІІ ступенів № 24,  м.Суми, Сумської області </t>
  </si>
  <si>
    <t>2019- 2020</t>
  </si>
  <si>
    <t xml:space="preserve">Капітальний ремонт сходів I-III поверхів, ліве крило Сумського закладу загальної середньої освіти І-ІІІ ступенів №26 Сумської міської ради </t>
  </si>
  <si>
    <t>Капітальний ремонт харчоблоку Комунальної установи Сумська загальноосвітня школа І-ІІІ ступенів № 27, м.Суми, Сумської області</t>
  </si>
  <si>
    <t xml:space="preserve">Монтаж системи автоматичної пожежної сигналізації, оповіщення людей та передавання тривожних сповіщень Комунальної установи Сумська класична гімназія Сумської міської ради 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</si>
  <si>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</si>
  <si>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фойє  Комунальної установи Сумська спеціальна  загальноосвітня школа Сумської міської ради</t>
  </si>
  <si>
    <t>Капітальний ремонт санвузла  Комунального закладу Сумський Палац дітей та юнацтва</t>
  </si>
  <si>
    <t>Інженерні мережі 12 МР – будівництво (будівництво тепломережі)</t>
  </si>
  <si>
    <t xml:space="preserve">Реконструкція теплових мереж КНП «Міська клінічна лікарня № 4» СМР за адресою: м. Суми, вул. Металургів, 38  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</si>
  <si>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</si>
  <si>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Будинку ветеранів по вул. Г.Кондратьєва, 165, буд. 20</t>
  </si>
  <si>
    <t>Реконструкція сходів по пров. Чугуївський</t>
  </si>
  <si>
    <t>Капітальний ремонт приміщення Центру реінтеграції бездомних осіб за адресою: м. Суми, вул. Робітниче селище, 14</t>
  </si>
  <si>
    <t>На реалізацію проектів-переможців громадського (партиципаторного) бюджету</t>
  </si>
  <si>
    <t>Капітальний ремонт об’єкту благоустрою – встановлення спортивної зони відпочинку «Територія сильних» на річці Псел, район вул. Підгорної»</t>
  </si>
  <si>
    <t>Капітальний ремонт теплопункту (облаштування системи автоматичного регулювання споживання тепла) в Комунальній установі Сумська загальноосвітня школа І-ІІІ ступенів №18  Сумської міської ради</t>
  </si>
  <si>
    <t>Капітальний ремонт теплопунктів (облаштування системи автоматичного регулювання тепла) в Комунальній установі Сумська спеціалізована школа І-ІІІ ступенів №29, м.Суми, Сумської області</t>
  </si>
  <si>
    <t>Капітальний ремонт приміщення зали  спортивної гімнастики у спортивному комплексі «Авангард»</t>
  </si>
  <si>
    <t>КП СМР «Електроавтотранс»</t>
  </si>
  <si>
    <t xml:space="preserve">Капітальний ремонт огорожі Сумського дошкільного навчального закладу (ясла - садок) №1 «Ромашка» м.Суми, Сумської області  </t>
  </si>
  <si>
    <t xml:space="preserve">Капітальний ремонт пральні Сумського дошкільного навчального закладу (ясла - садок) №3 «Калинка» м.Суми, Сумської області  </t>
  </si>
  <si>
    <r>
      <t>Капітальний ремонт огорожі Сумського дошкільного навчального закладу (ясла - садок) №6 «Метелик</t>
    </r>
    <r>
      <rPr>
        <b/>
        <sz val="10"/>
        <rFont val="Times New Roman"/>
        <family val="1"/>
        <charset val="204"/>
      </rPr>
      <t>»</t>
    </r>
    <r>
      <rPr>
        <sz val="10"/>
        <rFont val="Times New Roman"/>
        <family val="1"/>
        <charset val="204"/>
      </rPr>
      <t xml:space="preserve"> м.Суми, Сумської області </t>
    </r>
  </si>
  <si>
    <t xml:space="preserve">Капітальний ремонт сходових клітин Сумського дошкільного навчального закладу (ясла - садок) №7 «Попелюшка» м.Суми, Сумської області </t>
  </si>
  <si>
    <t xml:space="preserve">Капітальний ремонт маршових сходів Сумського дошкільного навчального закладу (ясла - садок) №8 «Космічний»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</si>
  <si>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закладі  (ясла - садок) №10 «Малючок» м.Суми, Сумської області</t>
  </si>
  <si>
    <t>Капітальний ремонт вхідного ганку Сумського дошкільного навчального закладу (центр розвитку дитини) № 13 «Купава» Сумської міської ради</t>
  </si>
  <si>
    <t xml:space="preserve">Капітальний ремонт підлоги умивальної кімнати та коридору Сумського дошкільного навчального закладу (центр розвитку дитини) № 14 «Золотий півник» Сумської міської ради </t>
  </si>
  <si>
    <r>
      <t xml:space="preserve">Капітальний ремонт </t>
    </r>
    <r>
      <rPr>
        <b/>
        <sz val="10"/>
        <rFont val="Times New Roman"/>
        <family val="1"/>
        <charset val="204"/>
      </rPr>
      <t>«</t>
    </r>
    <r>
      <rPr>
        <sz val="10"/>
        <rFont val="Times New Roman"/>
        <family val="1"/>
        <charset val="204"/>
      </rPr>
      <t xml:space="preserve">Монтаж системи автоматичної пожежної сигналізації, оповіщення людей про пожежу та передавання тривожних сповіщень у Сумському  дошкільному навчальному закладі (центр розвитку дитини) № 14 «Золотий півник» Сумської міської ради </t>
    </r>
  </si>
  <si>
    <t>Капітальний ремонт підсобного приміщення харчоблоку Сумського дошкільного навчального закладу (ясла - садок) №15 «Перлинка» м.Суми, Сумської області</t>
  </si>
  <si>
    <t xml:space="preserve">Капітальний ремонт туалетної кімнати Сумського дошкільного навчального закладу (ясла - садок) №17 «Радість» м.Суми, Сумської області  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</si>
  <si>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№ 18 «Зірниця» Сумської міської ради  </t>
  </si>
  <si>
    <t xml:space="preserve">Капітальний ремонт павільйонів Сумського дошкільного навчального закладу (ясла - садок) №19 «Рум'янек» м.Суми, Сумської області   </t>
  </si>
  <si>
    <t xml:space="preserve">Капітальний ремонт харчоблоку Сумського спеціального дошкільного навчального закладу (ясла - садок) №20 «Посмішка» м.Суми, Сумської області </t>
  </si>
  <si>
    <t xml:space="preserve">Капітальний ремонт вхідної групи адміністративної будівлі по вул.Горького, 21 в м. Суми Сумської області </t>
  </si>
  <si>
    <t>Капітальний ремонт підвальних приміщень адмінбудівлі по вул. Горького, 21 м.Суми</t>
  </si>
  <si>
    <t>5,1</t>
  </si>
  <si>
    <t>Капітальний ремонт пішохідного переходу на перехресті вул. Харківська та Героїв Сумщини</t>
  </si>
  <si>
    <t xml:space="preserve">Капітальний ремонт маршових сходів Сумського дошкільного навчального закладу (ясла - садок) №21 «Волошка» м.Суми, Сумської області  </t>
  </si>
  <si>
    <t xml:space="preserve">Капітальний ремонт системи опалення Сумського дошкільного навчального закладу (ясла - садок) №22 «Джерельце» м.Суми, Сумської області </t>
  </si>
  <si>
    <t xml:space="preserve">Капітальний ремонт пральні Сумського дошкільного навчального закладу (ясла - садок) №23 «Золотий ключик» м.Суми, Сумської області </t>
  </si>
  <si>
    <t xml:space="preserve">Капітальний ремонт трубопроводу гарячого водопостачання та каналізації Сумського дошкільного навчального закладу (ясла - садок) №25 «Білосніжка» м.Суми, Сумської області  </t>
  </si>
  <si>
    <t xml:space="preserve">Капітальний ремонт медичного кабінету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</si>
  <si>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групи «Материнка»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</si>
  <si>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групових приміщень Сумського дошкільного навчального закладу (ясла - садок) №27 «Світанок» м.Суми, Сумської області </t>
  </si>
  <si>
    <t xml:space="preserve">Капітальний ремонт  приміщень Сумського дошкільного навчального закладу (ясла - садок) №29 «Росинка» м.Суми, Сумської області </t>
  </si>
  <si>
    <t xml:space="preserve">Капітальний ремонт  харчоблоку Сумського дошкільного навчального закладу (ясла - садок) №30 «Чебурашка» м.Суми, Сумської області  </t>
  </si>
  <si>
    <t xml:space="preserve">Капітальний ремонт музичної зали Сумського дошкільного навчального закладу (ясла - садок) №33 «Маринка» м.Суми, Сумської області </t>
  </si>
  <si>
    <t>Капітальний ремонт підсобного приміщення харчоблоку Сумського дошкільного навчального закладу (ясла-садок) №35 «Дюймовочка» м.Суми, Сумської області</t>
  </si>
  <si>
    <t>Капітальний ремонт  території господарського блоку Сумського дошкільного навчального закладу (ясла-садок) №38 «Яблунька» Сумської міської ради</t>
  </si>
  <si>
    <t xml:space="preserve">Капітальний ремонт  прального цеху  Сумського дошкільного навчального закладу (ясла - садок) №39 «Теремок» м.Суми, Сумської області  </t>
  </si>
  <si>
    <t xml:space="preserve">Капітальний ремонт  туалетних кімнат Сумського дошкільного навчального закладу (ясла - садок) №40 «Дельфін» м.Суми, Сумської області  </t>
  </si>
  <si>
    <t xml:space="preserve">Капітальний ремонт туалетних кімнат  Комунальної установи Сумська спеціалізована школа І-ІІІ ступенів № 1 ім. В.Стрельченка, м.Суми, Сумської області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</si>
  <si>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</si>
  <si>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I-III ступенів  №3 ім. генерал -лейтенанта А.Морозова, м.Суми, Сумської області</t>
  </si>
  <si>
    <t>Капітальний ремонт приміщення Комунальної установи Сумська загальноосвітня школа І-ІІІ ступенів № 5 м.Суми, Сумської області</t>
  </si>
  <si>
    <t>Капітальний ремонт  системи опалення Комунальної установи Сумська спеціалізована школа І-ІІІ ступенів № 7 імені Максима Савченка Сумської міської ради</t>
  </si>
  <si>
    <t xml:space="preserve"> Капітальний ремонт вентиляції харчоблоку Комунальної установи Сумська загальноосвітня школа I-III ступенів №8 Сумської міської ради </t>
  </si>
  <si>
    <t xml:space="preserve">Капітальний ремонт приміщення Комунальної установи Сумська спеціалізована школа І-ІІІ ступенів № 10 ім. Героя Радянського Союзу О.Бутка, м.Суми, Сумської області </t>
  </si>
  <si>
    <t>Капітальний ремонт «Монтаж системи пожежної сигналізації, оповіщення людей про пожежу та передавання тривожних сповіщень Комунальної установи Сумська загальноосвітня школа I-III ступенів №15 ім. Д.Турбіна, м. Суми, Сумської області»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</si>
  <si>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спеціалізована школа І-ІІІ ступенів № 17, м.Суми, Сумської області»</t>
  </si>
  <si>
    <t xml:space="preserve">Капітальний ремонт туалетних кімнат Сумського закладу загальної середньої освіти І-ІІІ ступенів №19 ім. М.С. Нестеровського Сумської міської ради </t>
  </si>
  <si>
    <t>Капітальний ремонт  харчоблоку  Комунальної установи Сумська загальноосвітня школа І-ІІІ ступенів № 20, м. Суми, Сумської області</t>
  </si>
  <si>
    <t>Обладнання пристроями захисту від прямих попадань блискавки і вторинних її проявів будівлі Комунальної установи Сумська класична гімназія Сумської міської ради</t>
  </si>
  <si>
    <t>Капітальний ремонт даху будівлі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</si>
  <si>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</si>
  <si>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>Капітальний ремонт фойє Комунальної установи Міський міжшкільний навчально-виробничий комбінат Сумської міської ради</t>
  </si>
  <si>
    <t xml:space="preserve">Капітальний ремонт житлового фонду: капремонт вимощення, приямків та входів до підвалів житлового будинку №77 по вул. 5-та Продольна м. Суми </t>
  </si>
  <si>
    <t xml:space="preserve">Капітальний ремонт житлового фонду: встановлення індивідуального теплового пункту житлового будинку №22 по вул. Супруна м. Суми </t>
  </si>
  <si>
    <t>Капітальний ремонт діючого каналізаційного колектору Д-500 мм по вул. Ремісничій в м.Суми</t>
  </si>
  <si>
    <t>Капітальний ремонт  житлового фонду: капремонт мереж опалення, за адресою: м. Суми, вул. Миру, 32</t>
  </si>
  <si>
    <t xml:space="preserve">Капітальний ремонт тротуарів по пр. Курському (від будинку №147 по  просп. Курському до зупинки громадського транспорту №298 «вул. Ковпака») </t>
  </si>
  <si>
    <t xml:space="preserve">Капітальний ремонт пішохідних доріжок в парку «Казка» м. Суми </t>
  </si>
  <si>
    <t>Капітальний ремонт декоративних огорож та сходів в ДП «Казка»</t>
  </si>
  <si>
    <t>Капітальний ремонт сходів біля фонтану «Садко»</t>
  </si>
  <si>
    <t>Капітальний ремонт туалетів у сквері «Дружба»</t>
  </si>
  <si>
    <t>Капітальний ремонт тротуару вздовж будинків №№ 7, 13, 17 по вул. Металургів</t>
  </si>
  <si>
    <t>Капітальний ремонт тротуару по вул. Лучанська (вздовж КУ Сумський спеціальний ДНЗ № 20 «Посмішка») в м. Суми</t>
  </si>
  <si>
    <t>Капітальний ремонт тротуарів по вул. Котляревського (вздовж КУ Сумський  ДНЗ № 33 «Маринка»)в м. Суми</t>
  </si>
  <si>
    <t>Капітальний ремонт об'єктів благоустрою - улаштування тротуару вздовж КУ Сумський  ДНЗ № 28 «Ювілейний», м. Суми, вул. Робітнича, 56</t>
  </si>
  <si>
    <t>Капітальний ремонт об’єкту благоустрою – створення зони відпочинку біля будинку по вул. Роменській, 88</t>
  </si>
  <si>
    <t>Капітальний ремонт об’єкту благоустрою – дитячого та спортивного майданчика в районі будинків по вул. Г. Кондратьєва, буд.160в, 158/1,158/2,158/3,158/4</t>
  </si>
  <si>
    <t>Капітальний ремонт об’єкту благоустрою – місце для дозвілля дітей та занять спортом «Щасливе дитинство» по вул. Металургів, 4</t>
  </si>
  <si>
    <t>Капітальний ремонт об’єкту благоустрою – майданчику для дітей та дорослих по вул. Реміснича, 25-31 та вул. Лермонтова, 1,3</t>
  </si>
  <si>
    <t>Капітальний ремонт об’єкту благоустрою – дитячого майданчика «Мрія Малюка» по просп. Михайла Лушпи, 39</t>
  </si>
  <si>
    <t>Капітальний ремонт об’єкту благоустрою – зони відпочинку «Єдність нації» по вул. Люблінській</t>
  </si>
  <si>
    <t>Капітальний ремонт об’єкту благоустрою – зони відпочинку «Єдність нації» по вул. Люблінській з встановленням модульної роздягальні</t>
  </si>
  <si>
    <t>Капітальний ремонт об’єкту благоустрою – зони відпочинку на річці Псел по пров. Дачний, 9</t>
  </si>
  <si>
    <t>Капітальний ремонт об’єктів благоустрою-встановлення зупинки біля провулку Шевченка в с. Верхнє Піщане (початок вул. Парнянська)</t>
  </si>
  <si>
    <t>Нове будівництво тротуару вздовж дороги в селі Верхнє Піщане по вул. Парнянській (з обох сторін проїзної частини)</t>
  </si>
  <si>
    <t>КП «Міськводоканал» СМР</t>
  </si>
  <si>
    <t xml:space="preserve">Капітальний ремонт музичної зали Сумського дошкільного навчального закладу (ясла - садок) №16 «Сонечко» м.Суми, Сумської області  </t>
  </si>
  <si>
    <t xml:space="preserve">Капітальний ремонт харчоблоку Сумського дошкільного навчального закладу (ясла - садок) №32 «Ластівка» м.Суми, Сумської області   </t>
  </si>
  <si>
    <t>Капітальний ремонт каналізаційної системи  Сумського дошкільного навчального закладу (центр розвитку дитини) № 36 «Червоненька квіточка» Сумської міської ради</t>
  </si>
  <si>
    <t xml:space="preserve">Капітальний ремонт внутрішніх приміщень Комунальної установи Сумська спеціалізована школа І-ІІІ ступенів № 2 ім. Д. Косаренка, м.Суми, Сумської області </t>
  </si>
  <si>
    <t>Капітальний ремонт стадіону Комунальної установи Сумська спеціалізована школа І-ІІІ ступенів №2 ім. Д.Косаренка, м.Суми, Сумської області</t>
  </si>
  <si>
    <t xml:space="preserve">Капітальний ремонт: монтаж системи пожежної автоматики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</si>
  <si>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системи протипожежного захисту у складі блискавкозахисту будівлі Комунальної установи Сумська загальноосвітня школа I-III ступенів №15 ім. Д. Турбіна, м. Суми, Сумської області </t>
  </si>
  <si>
    <t xml:space="preserve">Капітальний ремонт (облаштування) спортивного майданчика «Олімпієць»  на території Комунальної установи Сумська загальноосвітня школа І-ІІІ ступенів №18 Сумської міської ради за адресою: вул. Леваневського, 8 м.Суми </t>
  </si>
  <si>
    <t xml:space="preserve">Капітальний ремонт їдальні комунальної установи Сумська загальноосвітня школа І-ІІІ ступенів № 23, м.Суми, Сумської області </t>
  </si>
  <si>
    <t xml:space="preserve">Капітальний ремонт харчоблоку Комунальної установи Сумська спеціалізована школа І-ІІІ ступенів № 25, м.Суми, Сумської області </t>
  </si>
  <si>
    <t>Капітальний ремонт подвір'я «облаштування майданчику «креативний простір», на території комунальної установи № 25 за адресою вул. Декабристів, 80 в м. Суми</t>
  </si>
  <si>
    <t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№9 «Веснянка» м.Суми, Сумської області</t>
  </si>
  <si>
    <t xml:space="preserve"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№11 «Журавонька», м.Суми, Сумської області </t>
  </si>
  <si>
    <t xml:space="preserve">Капітальний ремонт водопроводу та каналізації Комунальної установи Сумський спеціальний реабілітаційний навчально-виховний комплекс  «Загальноосвітня школа І ступеня-дошкільний навчальний заклад №34» Сумської міської ради </t>
  </si>
  <si>
    <t xml:space="preserve"> Капітальний ремонт мережі опалення Комунальної установи Сумський навчально - виховний комплекс «дошкільний навчальний заклад - загальноосвітня школа І ступеня №41 «Райдуга», м.Суми, Сумської області </t>
  </si>
  <si>
    <t xml:space="preserve">Капітальний ремонт приміщення  Комунального закладу Сумської міської ради Сумський міський центр еколого-натуралістичної творчості учнівської молоді     </t>
  </si>
  <si>
    <t>Капітальний ремонт будівлі (утеплення цоколю) Сумського дошкільного навчального закладу (цент розвитку дитини) №14 «Золотий півник» Сумської міської ради</t>
  </si>
  <si>
    <t xml:space="preserve">Капітальний ремонт дитячо-юнацького клубу «Ритм» Сумського міського центру науково-технічної творчості молоді </t>
  </si>
  <si>
    <t>Капітальний ремонт житлового фонду: капремонт житлового будинку №69 по вул. Нижньосироватська м.Суми</t>
  </si>
  <si>
    <t xml:space="preserve">Капітальний ремонт житлового фонду: капремонт вимощення житлового будинку №3 по вул. Римського-Корсакова  в м.Суми </t>
  </si>
  <si>
    <t xml:space="preserve">Капітальний ремонт житлового фонду: капремонт житлового будинку №8 по вул. Богуна м. Суми </t>
  </si>
  <si>
    <t xml:space="preserve">Капітальний ремонт житлового фонду: капремонт житлового будинку №37 по вул. Нижньосироватська м. Суми </t>
  </si>
  <si>
    <t>Капітальний ремонт житлового фонду: капремонт системи централізованого опалення житлового будинку №81В по вул. Ковпака м.Суми</t>
  </si>
  <si>
    <t>Капітальний ремонт житлового фонду: капремонт опалення житлового будинку №7 по провулку Івана Дерев'янка м Суми</t>
  </si>
  <si>
    <t xml:space="preserve">Капітальний ремонт житлового фонду: капремонт системи централізованого опалення житлового будинку №81Б по вул. Ковпака м. Суми </t>
  </si>
  <si>
    <t>Капітальний ремонт житлового фонду: капремонт покрівлі з перемуруванням димових та вентиляційних труб на даху житлового будинку №1 по вул.Олександра Аніщенка в м.Суми</t>
  </si>
  <si>
    <t>Капітальний ремонт  житлового фонду: капремонт  житлового будинку №19 по вул.Гамалія в м.Суми</t>
  </si>
  <si>
    <t>Капітальний ремонт житлового фонду: капремонт покрівлі житлового будинку №55 по вул. Пушкіна м.Суми</t>
  </si>
  <si>
    <t xml:space="preserve">Капітальний ремонт житлового фонду: капремонт покрівлі з перемуруванням димових та вентиляційних труб на даху житлового будинку №165/13  по вул. Г.Кондратьєва м. Суми </t>
  </si>
  <si>
    <t>Капітальний ремонт житлового фонду: капремонт каналізаційної системи, капремонт відмостки житлового будинку №85 по вул. Ковпака м.Суми</t>
  </si>
  <si>
    <t>Капітальний ремонт житлового фонду: заміна вікон житлового будинку №16 по вул. Г. Кондратьєва м Суми</t>
  </si>
  <si>
    <t xml:space="preserve">Капітальний ремонт житлового фонду: капремонт вимощення житлового будинку №36/1 по  вул. Гамалія, м.Суми </t>
  </si>
  <si>
    <t>Капітальний ремонт житлового фонду: капремонт внутрішньобудинкових інженерних мереж житлового будинку №91 по вул. Ковпака м.Суми</t>
  </si>
  <si>
    <t>Капітальний ремонт житлового фонду: капремонт житлового будинку по вул. ім. Лікаря Івана Дерев'янка, 6 в м. Суми</t>
  </si>
  <si>
    <t>Капітальний ремонт житлового фонду: капремонт ліфта п.1 житлового будинку №18 по вул. Бельгійська в м.Суми</t>
  </si>
  <si>
    <t>Капітальний ремонт житлового фонду: капремонт ліфта п.1, капремонт ліфта п.2, капремонт ліфта п.3, капремонт ОДС ліфтів житлового будинку №57А по вул. Інтернаціоналістів в м.Суми</t>
  </si>
  <si>
    <t xml:space="preserve">Капітальний ремонт житлового фонду: капремонт ліфта п.2, капремонт ОДС ліфтів житлового будинку №63Б по вул. Інтернаціоналістів в м. Суми </t>
  </si>
  <si>
    <t>Капітальний ремонт житлового фонду: капремонт ліфта п.2, капремонт ОДС ліфтів житлового будинку №62А по вул. Героїв Крут в м.Суми</t>
  </si>
  <si>
    <t>Капітальний ремонт житлового фонду: капремонт ліфта п.1  житлового будинку №52А по вул. Сергія Табали (Севера ) м. Суми</t>
  </si>
  <si>
    <t>Капітальний ремонт житлового фонду: капремонт ліфта п.6, капремонт ліфта п.7, капремонт ОДС ліфтів житлового будинку №2 по вул.Шевченка м.Суми</t>
  </si>
  <si>
    <t>Капітальний ремонт житлового фонду: капремонт вантажопасажирського ліфта житлового будинку №2  по пл. Горького м. Суми</t>
  </si>
  <si>
    <t>Капітальний ремонт житлового фонду: капремонт вантажопасажирського ліфта бл. 1, капремонт вантажопасажирського ліфта бл. 2 житлового будинку  №55 по вул. Ковпака в м. Суми</t>
  </si>
  <si>
    <t>Капітальний ремонт житлового фонду: капремонт пасажирського ліфта п.3 житлового будинку №4 по вул. Харківська м. Суми</t>
  </si>
  <si>
    <t>Капітальний ремонт житлового фонду: капремонт ліфтів</t>
  </si>
  <si>
    <t xml:space="preserve">Капітальний ремонт харчоблоку Комунальної установи Сумська спеціалізована школа І ступеня № 30 «Унікум» Сумської міської ради </t>
  </si>
  <si>
    <t>Реконструкція та реставрація інших об'єктів</t>
  </si>
  <si>
    <t>Капітальний ремонт будівлі ДНЗ №30 «Чебурашка» за адресою: м. Суми вул. Р. Атаманюка, 13а</t>
  </si>
  <si>
    <t>Капітальний ремонт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</si>
  <si>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Нове 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</si>
  <si>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>Капітальний ремонти електричних мереж вуличного освітлення по проспекту Курському (коригування)</t>
  </si>
  <si>
    <t>Капітальний ремонт скверу  розташованого на перехресті пр-ту М.Лушпи та вул. Харківська (коригування)</t>
  </si>
  <si>
    <t xml:space="preserve">Капітальний ремонт житлового фонду: капремонт покрівлі  житлового будинку 165/78 по вул. Г.Кондратьєва в м Суми (коригування) </t>
  </si>
  <si>
    <t>Капітальний ремонт житлового фонду: капремонт покрівлі житлового будинку №43 по вул. Горького в м.Суми (коригування)</t>
  </si>
  <si>
    <t>Капітальний ремонт житлового фонду: капремонт покрівлі житлового будинку №5 по пров. З.Красовицького м.Суми (коригування)</t>
  </si>
  <si>
    <t>Капітальний ремонт системи освітлення КУ Сумська ЗОШ № 20 по вул. Металургів, 71 в м. Суми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</si>
  <si>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</si>
  <si>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 xml:space="preserve">Придбання тенісних столів </t>
  </si>
  <si>
    <t xml:space="preserve">Капітальний ремонт об'єктів благоустрою - улаштування пішохідної огорожі по вул. Котляревського біля ЗОШ І-ІІІ ступенів №25 в м. Суми </t>
  </si>
  <si>
    <t>Капітальний ремонт електричних мереж вуличного освітлення по вул. Роменській</t>
  </si>
  <si>
    <t xml:space="preserve">Капітальний ремонт об'єктів благоустрою - скверу МЦ «Романтика» у м.Суми </t>
  </si>
  <si>
    <t xml:space="preserve">Капітальний ремонт приміщень Сумського закладу загальної середньої освіти І-ІІІ ступенів №21 Сумської міської ради </t>
  </si>
  <si>
    <t>Капітальний ремонт даху спорткомплексу «Авангард» (праве крило зі встановленням відливів), вул. Праці, 5, м.Суми</t>
  </si>
  <si>
    <t xml:space="preserve">Внесено змін +, - </t>
  </si>
  <si>
    <t>РОЗПОДІЛ</t>
  </si>
  <si>
    <t xml:space="preserve"> коштів бюджету розвитку на здійснення заходів на будівництво, реконструкцію і реставрацію, капітальний ремонт об'єктів виробничої,                                                                                                                                                                                   комунікаційної та соціальної інфраструктури за об'єктами у 2020 році</t>
  </si>
  <si>
    <t>Улаштування нових та розширення існуючих тротуарів, пішохідних та велосипедних доріжок, в т.ч.:</t>
  </si>
  <si>
    <t>Капітальний ремонт тротуарів до шкіл та садочків, в т.ч.:</t>
  </si>
  <si>
    <t>На реалізацію проектів-переможців громадського (партиципаторного) бюджету, в т.ч.:</t>
  </si>
  <si>
    <t>Капітальний ремонт об'єктів благоустрою-встановлення та благоустрій зупинок громадського транспорту по місту Суми та розробка ПКД, в т.ч.:</t>
  </si>
  <si>
    <t>Капітальний ремонт пішохідних доріжок в парку «Казка»</t>
  </si>
  <si>
    <t>Забезпечення діяльності палаців i будинків культури, клубів, центрів дозвілля та інших клубних закладів</t>
  </si>
  <si>
    <t>Капітальний ремонт житлового фонду: капремонт  фасаду, капремонт  системи  опалення житлового будинку № 77 А по вул. Ковпака  м. Суми (коригування)</t>
  </si>
  <si>
    <t>Капітальний ремонт житлового фонду: капремонт ліфта п.2 житлового будинку № 1/1 по вул. Харківська м. Суми</t>
  </si>
  <si>
    <t>Капітальний ремонт житлового фонду: капремонт ліфта п.1, капремонт ліфта п. 2, капремонт ліфта п. 3, капремонт ОДС ліфтів житлового будинку № 57А  по вул. Інтернаціоналістів в м. Суми</t>
  </si>
  <si>
    <t>Капітальний ремонт об'єкту благоустрою - зупинки громадського транспорту №113 - «Дитяча поліклініка» по просп. Михайла Лушпи м.Суми</t>
  </si>
  <si>
    <t>Капітальний ремонт об'єкту благоустрою - зупинки громадського транспорту №146 - «Обласна універсальна наукова бібліотека» по вулиці Героїв Сумщини м.Суми</t>
  </si>
  <si>
    <t>Капітальний ремонт об'єкту благоустрою - зупинки громадського транспорту №130 - «вул. Заливна» по вулиці Героїв Крут м.Суми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</si>
  <si>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</si>
  <si>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 xml:space="preserve">Капітальний ремонт підсобних приміщень харчоблоку Сумського дошкільного навчального закладу (ясла - садок) №12 «Олімпійський» м.Суми, Сумської області </t>
  </si>
  <si>
    <t>Встановлення інформаційних табло на зупинках громадського транспорту</t>
  </si>
  <si>
    <t>Капітальний ремонт дорожнього покриття по вул. Кринична в м. Суми (від вул. Прокоф’єва до вул. Миколи Міхновського)</t>
  </si>
  <si>
    <t>Капітальний ремонт прибудинкової території в районі житлового будинку №13 по вул. Лермонтова</t>
  </si>
  <si>
    <t>Капітальний ремонт прибудинкової території в районі житлового будинку №6 по вул. Л. Українки</t>
  </si>
  <si>
    <t>Капітальний ремонт прибудинкової території в районі житлового будинку №100 по вул. Роменська</t>
  </si>
  <si>
    <t>Капітальний ремонт прибудинкової території в районі житлового будинку №81 по вул. Роменська</t>
  </si>
  <si>
    <t>Капітальний ремонт прибудинкової території в районі житлового будинку №35 по вул. Г.Кондратьєва</t>
  </si>
  <si>
    <t>Капітальний ремонт прибудинкової території в районі житлового будинку №37 по вул. Г.Кондратьєва</t>
  </si>
  <si>
    <t>Капітальний ремонт перехрестя просп. Т.Шевченка - вул. Новомістенська (встановлення світлофорного об'єкту)</t>
  </si>
  <si>
    <t>Капітальний ремонт прибудинкової території в районі житлового будинку №53 по вул. Білопільський шлях</t>
  </si>
  <si>
    <t>Капітальний ремонт прибудинкової території в районі житлового будинку №59 по вул. Білопільський шлях</t>
  </si>
  <si>
    <t>Капітальний ремонт прибудинкової території в районі житлового будинку №1/3 по вул. Заливна</t>
  </si>
  <si>
    <t>Капітальний ремонт прибудинкової території в районі житлового будинку №143 по вул. Г. Кондратьєва</t>
  </si>
  <si>
    <t>Капітальний ремонт прибудинкової території в районі житлового будинку №22 по вул. Супруна</t>
  </si>
  <si>
    <t>Капітальний ремонт прибудинкової території в районі житлового будинку №24 по вул. Супруна</t>
  </si>
  <si>
    <t>Капітальний ремонт прибудинкової території в районі житлового будинку №51 по вул. Петропавлівська</t>
  </si>
  <si>
    <t>Капітальний ремонт прибудинкової території в районі житлового будинку №53 по вул. Петропавлівська</t>
  </si>
  <si>
    <t>Капітальний ремонт прибудинкової території в районі житлового будинку №127 по вул. Петропавлівська</t>
  </si>
  <si>
    <t>Капітальний ремонт прибудинкової території в районі житлового будинку №48 по вул.СКД</t>
  </si>
  <si>
    <t>Капітальний ремонт прибудинкової території в районі житлового будинку №100 А по вул. Роменська</t>
  </si>
  <si>
    <t>Капітальний ремонт прибудинкової території в районі житлового будинку №92/1 по вул. Роменська</t>
  </si>
  <si>
    <t>Капітальний ремонт прибудинкової території в районі житлового будинку №78 по вул. Декабристів</t>
  </si>
  <si>
    <t>Капітальний ремонт прибудинкової території в районі житлового будинку №144/1 по вул. Г. Кондратьєва</t>
  </si>
  <si>
    <t>Капітальний ремонт прибудинкової території в районі житлового будинку №49 по вул. Холодногірська</t>
  </si>
  <si>
    <t>Капітальний ремонт прибудинкової території в районі житлового будинку №51 по вул. Холодногірська</t>
  </si>
  <si>
    <t>Капітальний ремонт прибудинкової території в районі житлового будинку №103/1 по просп. Курський</t>
  </si>
  <si>
    <t>Капітальний ремонт прибудинкової території в районі житлового будинку №103 по просп. Курський</t>
  </si>
  <si>
    <t>Капітальний ремонт прибудинкової території в районі житлового будинку №40 по вул. Героїв Крут</t>
  </si>
  <si>
    <t>Капітальний ремонт прибудинкової території в районі житлового будинку №38 по вул. Героїв Крут</t>
  </si>
  <si>
    <t>Капітальний ремонт прибудинкової території в районі житлового будинку №4/1 по вул. Л. Українки</t>
  </si>
  <si>
    <t>Капітальний ремонт прибудинкової території в районі житлового будинку №53 по вул. Д. Галицького</t>
  </si>
  <si>
    <t>Капітальний ремонт прибудинкової території в районі житлового будинку №35 по вул. Іллінська</t>
  </si>
  <si>
    <t>Капітальний ремонт прибудинкової території в районі житлового будинку №13 по вул.Металургів</t>
  </si>
  <si>
    <t>Капітальний ремонт дорожнього покриття перехрестя вул. Малинова - вул. Михайлівська - вул. Горобинова - пров. Абрикосовий</t>
  </si>
  <si>
    <t>Капітальний ремонт прибудинкової території в районі житлового будинку №39 по вул.Заливна</t>
  </si>
  <si>
    <t>Капітальний ремонт прибудинкової території в районі житлового будинку №40 по вул.Харківська</t>
  </si>
  <si>
    <t>Капітальний ремонт прибудинкової території в районі житлового будинку №55 по вул.Ковпака</t>
  </si>
  <si>
    <t>Капітальний ремонт прибудинкової території в районі житлового будинку №1 по вул.К. Зеленко</t>
  </si>
  <si>
    <t>Капітальний ремонт прибудинкової території в районі житлового будинку №3 по вул.К. Зеленко</t>
  </si>
  <si>
    <t>Капітальний ремонт прибудинкової території в районі житлового будинку №5 по вул.К. Зеленко</t>
  </si>
  <si>
    <t>Капітальний ремонт прибудинкової території в районі житлового будинку №7 по вул.К. Зеленко</t>
  </si>
  <si>
    <t>Капітальний ремонт прибудинкової території в районі житлового будинку №5 по вул.Заливна</t>
  </si>
  <si>
    <t>Капітальний ремонт прибудинкової території в районі житлового будинку №9 по вул.Харківська</t>
  </si>
  <si>
    <t>Капітальний ремонт прибудинкової території в районі житлового будинку №1 по вул.Харківська</t>
  </si>
  <si>
    <t>Капітальний ремонт прибудинкової території в районі житлового будинку №5 по вул.Харківська</t>
  </si>
  <si>
    <t>Капітальний ремонт прибудинкової території в районі житлового будинку №12/1 по вул.Реміснича</t>
  </si>
  <si>
    <t>Капітальний ремонт прибудинкової території в районі житлового будинку №12/2 по вул.Реміснича</t>
  </si>
  <si>
    <t>Капітальний ремонт прибудинкової території в районі житлового будинку №17 по вул. Лермонтова</t>
  </si>
  <si>
    <t>Капітальний ремонт прибудинкової території в районі житлового будинку №14 по вул. Леваневського</t>
  </si>
  <si>
    <t>Капітальний ремонт прибудинкової території в районі житлового будинку №12 по вул. Леваневського</t>
  </si>
  <si>
    <t>Капітальний ремонт прибудинкової території в районі житлового будинку №70 по вул. Я. Мудрого</t>
  </si>
  <si>
    <t>Капітальний ремонт прибудинкової території в районі житлового будинку №68 по вул. Я. Мудрого</t>
  </si>
  <si>
    <t>Капітальний ремонт прибудинкової території в районі житлового будинку №10 по вул. Іллінська</t>
  </si>
  <si>
    <t>Капітальний ремонт прибудинкової території в районі житлового будинку №36/1 по вул. Гамалія</t>
  </si>
  <si>
    <t>Капітальний ремонт прибудинкової території в районі житлового будинку №28 по вул. Праці</t>
  </si>
  <si>
    <t>Капітальний ремонт прибудинкової території в районі житлового будинку №32 по вул. Праці</t>
  </si>
  <si>
    <t>Капітальний ремонт прибудинкової території в районі житлового будинку №34 по вул. Праці</t>
  </si>
  <si>
    <t>Капітальний ремонт прибудинкової території в районі житлового будинку №4 по площі Горького</t>
  </si>
  <si>
    <t>Капітальний ремонт прибудинкової території в районі житлового будинку №3 по вул. Огарьова</t>
  </si>
  <si>
    <t>Капітальний ремонт прибудинкової території в районі житлового будинку №20 по вул. Першотравневій</t>
  </si>
  <si>
    <t>Капітальний ремонт прибудинкової території в районі житлового будинку №50 по вул. Прокоф'єва</t>
  </si>
  <si>
    <t>Капітальний ремонт прибудинкової території в районі житлового будинку №3/1 по вул.СКД</t>
  </si>
  <si>
    <t>Капітальний ремонт дороги по вул. Парнянська в с. В. Піщане</t>
  </si>
  <si>
    <t>Капітальний ремонт прибудинкової території в районі житлового будинку №2/8 по вул. Котляревського</t>
  </si>
  <si>
    <t>Капітальний ремонт прибудинкової території в районі житлового будинку №2/6 по вул. Котляревського</t>
  </si>
  <si>
    <t>Капітальний ремонт прибудинкової території в районі житлового будинку №3/1 по вул. Котляревського</t>
  </si>
  <si>
    <t>до    рішення   виконавчого комітету</t>
  </si>
  <si>
    <t>Капітальний ремонт об'єкту благоустрою - зупинки громадського транспорту №177 - «Школа №19» по вулиці Івана Харитоненка м.Суми</t>
  </si>
  <si>
    <t xml:space="preserve">Реконструкція аварійного самотічного колектора                      Д-400 мм по вул. Білопільський шлях від КНС-4 до району Тепличного </t>
  </si>
  <si>
    <t>Директор департаменту фінансів, економіки та інвестицій</t>
  </si>
  <si>
    <t>С.А. Липова</t>
  </si>
  <si>
    <t xml:space="preserve">                                          Додаток 5</t>
  </si>
  <si>
    <t>Капітальний ремонт доріг</t>
  </si>
  <si>
    <t>Реконструкція теплових мереж з підключенням навантаження від КППВ до ТЕЦ ТОВ «Сумитеплоенерго»</t>
  </si>
  <si>
    <t>Капітальний ремонт тротуарів по вул. Набережна річки Сумки в м.Суми</t>
  </si>
  <si>
    <t xml:space="preserve">                      від 11.02.2020 №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</si>
</sst>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#,##0.00\ _₽"/>
    <numFmt numFmtId="167" formatCode="#,##0.0\ _₽"/>
  </numFmts>
  <fonts count="43" x14ac:knownFonts="1"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7.5"/>
      <name val="Times New Roman"/>
      <family val="1"/>
      <charset val="204"/>
    </font>
    <font>
      <b/>
      <sz val="7.5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"/>
      <charset val="204"/>
    </font>
    <font>
      <b/>
      <sz val="10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9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10" fillId="0" borderId="0"/>
    <xf numFmtId="0" fontId="31" fillId="0" borderId="0"/>
    <xf numFmtId="0" fontId="4" fillId="0" borderId="0"/>
  </cellStyleXfs>
  <cellXfs count="167">
    <xf numFmtId="0" fontId="0" fillId="0" borderId="0" xfId="0"/>
    <xf numFmtId="0" fontId="2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6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Alignment="1" applyProtection="1"/>
    <xf numFmtId="4" fontId="6" fillId="2" borderId="0" xfId="0" applyNumberFormat="1" applyFont="1" applyFill="1" applyAlignment="1" applyProtection="1"/>
    <xf numFmtId="0" fontId="6" fillId="2" borderId="0" xfId="0" applyFont="1" applyFill="1" applyAlignment="1">
      <alignment vertical="top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1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textRotation="180"/>
    </xf>
    <xf numFmtId="0" fontId="6" fillId="2" borderId="0" xfId="0" applyFont="1" applyFill="1" applyAlignment="1">
      <alignment horizontal="center"/>
    </xf>
    <xf numFmtId="0" fontId="7" fillId="2" borderId="0" xfId="0" applyNumberFormat="1" applyFont="1" applyFill="1" applyAlignment="1" applyProtection="1">
      <alignment horizontal="left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4" fontId="1" fillId="2" borderId="1" xfId="0" applyNumberFormat="1" applyFont="1" applyFill="1" applyBorder="1" applyAlignment="1">
      <alignment horizontal="center" vertical="center" wrapText="1"/>
    </xf>
    <xf numFmtId="3" fontId="2" fillId="2" borderId="1" xfId="2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0" xfId="0" applyFont="1" applyFill="1"/>
    <xf numFmtId="3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6" fillId="2" borderId="1" xfId="0" applyFont="1" applyFill="1" applyBorder="1" applyAlignment="1">
      <alignment vertical="center"/>
    </xf>
    <xf numFmtId="4" fontId="16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3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9" fillId="2" borderId="0" xfId="0" applyFont="1" applyFill="1" applyBorder="1"/>
    <xf numFmtId="2" fontId="2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6" fillId="2" borderId="0" xfId="0" applyNumberFormat="1" applyFont="1" applyFill="1" applyAlignment="1" applyProtection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 applyProtection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4" fontId="26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 applyProtection="1">
      <alignment horizontal="center" vertical="center"/>
    </xf>
    <xf numFmtId="0" fontId="23" fillId="2" borderId="1" xfId="0" applyFont="1" applyFill="1" applyBorder="1" applyAlignment="1">
      <alignment horizontal="left" vertical="center" wrapText="1"/>
    </xf>
    <xf numFmtId="4" fontId="23" fillId="2" borderId="1" xfId="0" applyNumberFormat="1" applyFont="1" applyFill="1" applyBorder="1" applyAlignment="1">
      <alignment horizontal="center" vertical="center" wrapText="1"/>
    </xf>
    <xf numFmtId="4" fontId="27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8" fillId="2" borderId="0" xfId="0" applyFont="1" applyFill="1"/>
    <xf numFmtId="0" fontId="28" fillId="3" borderId="0" xfId="0" applyFont="1" applyFill="1"/>
    <xf numFmtId="0" fontId="22" fillId="2" borderId="1" xfId="0" applyFont="1" applyFill="1" applyBorder="1" applyAlignment="1">
      <alignment horizontal="left" vertical="center" wrapText="1"/>
    </xf>
    <xf numFmtId="4" fontId="22" fillId="2" borderId="1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28" fillId="3" borderId="0" xfId="0" applyFont="1" applyFill="1" applyAlignment="1">
      <alignment vertical="center"/>
    </xf>
    <xf numFmtId="0" fontId="23" fillId="2" borderId="1" xfId="0" applyFont="1" applyFill="1" applyBorder="1" applyAlignment="1">
      <alignment vertical="center" wrapText="1"/>
    </xf>
    <xf numFmtId="3" fontId="23" fillId="2" borderId="1" xfId="0" applyNumberFormat="1" applyFont="1" applyFill="1" applyBorder="1" applyAlignment="1">
      <alignment horizontal="center" vertical="center" wrapText="1"/>
    </xf>
    <xf numFmtId="164" fontId="23" fillId="2" borderId="1" xfId="0" applyNumberFormat="1" applyFont="1" applyFill="1" applyBorder="1" applyAlignment="1">
      <alignment horizontal="center" vertical="center" wrapText="1"/>
    </xf>
    <xf numFmtId="0" fontId="28" fillId="2" borderId="0" xfId="0" applyFont="1" applyFill="1" applyAlignment="1">
      <alignment vertical="center"/>
    </xf>
    <xf numFmtId="0" fontId="27" fillId="2" borderId="1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vertical="center"/>
    </xf>
    <xf numFmtId="3" fontId="23" fillId="2" borderId="1" xfId="2" applyNumberFormat="1" applyFont="1" applyFill="1" applyBorder="1" applyAlignment="1">
      <alignment horizontal="center" vertical="center" wrapText="1"/>
    </xf>
    <xf numFmtId="165" fontId="23" fillId="2" borderId="1" xfId="0" applyNumberFormat="1" applyFont="1" applyFill="1" applyBorder="1" applyAlignment="1">
      <alignment horizontal="center" vertical="center" wrapText="1"/>
    </xf>
    <xf numFmtId="0" fontId="29" fillId="2" borderId="0" xfId="0" applyFont="1" applyFill="1"/>
    <xf numFmtId="49" fontId="2" fillId="2" borderId="1" xfId="0" applyNumberFormat="1" applyFont="1" applyFill="1" applyBorder="1" applyAlignment="1">
      <alignment horizontal="left" vertical="center" wrapText="1"/>
    </xf>
    <xf numFmtId="167" fontId="30" fillId="2" borderId="1" xfId="0" applyNumberFormat="1" applyFont="1" applyFill="1" applyBorder="1" applyAlignment="1">
      <alignment horizontal="center" vertical="center"/>
    </xf>
    <xf numFmtId="0" fontId="32" fillId="2" borderId="0" xfId="0" applyFont="1" applyFill="1"/>
    <xf numFmtId="166" fontId="2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vertical="center"/>
    </xf>
    <xf numFmtId="0" fontId="26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vertical="center"/>
    </xf>
    <xf numFmtId="0" fontId="34" fillId="2" borderId="1" xfId="0" applyFont="1" applyFill="1" applyBorder="1" applyAlignment="1">
      <alignment vertical="center"/>
    </xf>
    <xf numFmtId="0" fontId="35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36" fillId="2" borderId="1" xfId="0" applyFont="1" applyFill="1" applyBorder="1" applyAlignment="1">
      <alignment vertical="center" wrapText="1"/>
    </xf>
    <xf numFmtId="0" fontId="32" fillId="2" borderId="1" xfId="0" applyFont="1" applyFill="1" applyBorder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 wrapText="1"/>
    </xf>
    <xf numFmtId="3" fontId="1" fillId="2" borderId="1" xfId="2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7" fillId="2" borderId="0" xfId="0" applyFont="1" applyFill="1"/>
    <xf numFmtId="3" fontId="15" fillId="2" borderId="1" xfId="0" applyNumberFormat="1" applyFont="1" applyFill="1" applyBorder="1" applyAlignment="1" applyProtection="1">
      <alignment horizontal="left" vertical="center" wrapText="1"/>
    </xf>
    <xf numFmtId="166" fontId="26" fillId="2" borderId="1" xfId="0" applyNumberFormat="1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7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justify" vertical="center" wrapText="1"/>
    </xf>
    <xf numFmtId="0" fontId="6" fillId="3" borderId="0" xfId="0" applyNumberFormat="1" applyFont="1" applyFill="1" applyAlignment="1" applyProtection="1"/>
    <xf numFmtId="49" fontId="26" fillId="2" borderId="1" xfId="0" applyNumberFormat="1" applyFont="1" applyFill="1" applyBorder="1" applyAlignment="1" applyProtection="1">
      <alignment horizontal="center" vertical="center"/>
    </xf>
    <xf numFmtId="0" fontId="40" fillId="2" borderId="0" xfId="0" applyFont="1" applyFill="1"/>
    <xf numFmtId="3" fontId="26" fillId="2" borderId="1" xfId="0" applyNumberFormat="1" applyFont="1" applyFill="1" applyBorder="1" applyAlignment="1">
      <alignment horizontal="center" vertical="center" wrapText="1"/>
    </xf>
    <xf numFmtId="167" fontId="33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>
      <alignment horizontal="left" vertical="distributed" wrapText="1"/>
    </xf>
    <xf numFmtId="0" fontId="38" fillId="2" borderId="0" xfId="0" applyNumberFormat="1" applyFont="1" applyFill="1" applyAlignment="1" applyProtection="1"/>
    <xf numFmtId="0" fontId="21" fillId="2" borderId="1" xfId="0" applyFont="1" applyFill="1" applyBorder="1" applyAlignment="1">
      <alignment horizontal="left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 applyProtection="1">
      <alignment horizontal="center" vertical="center" wrapText="1"/>
    </xf>
    <xf numFmtId="49" fontId="22" fillId="2" borderId="1" xfId="0" applyNumberFormat="1" applyFont="1" applyFill="1" applyBorder="1" applyAlignment="1" applyProtection="1">
      <alignment horizontal="center" vertical="center" wrapText="1"/>
    </xf>
    <xf numFmtId="3" fontId="21" fillId="2" borderId="1" xfId="0" applyNumberFormat="1" applyFont="1" applyFill="1" applyBorder="1" applyAlignment="1">
      <alignment horizontal="left" vertical="center" wrapText="1"/>
    </xf>
    <xf numFmtId="3" fontId="22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1" fontId="21" fillId="2" borderId="1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1" fontId="22" fillId="2" borderId="1" xfId="0" applyNumberFormat="1" applyFont="1" applyFill="1" applyBorder="1" applyAlignment="1">
      <alignment horizontal="center" vertical="center" wrapText="1"/>
    </xf>
    <xf numFmtId="1" fontId="21" fillId="2" borderId="1" xfId="0" applyNumberFormat="1" applyFont="1" applyFill="1" applyBorder="1" applyAlignment="1" applyProtection="1">
      <alignment horizontal="center" vertical="center" wrapText="1"/>
    </xf>
    <xf numFmtId="1" fontId="22" fillId="2" borderId="1" xfId="0" applyNumberFormat="1" applyFont="1" applyFill="1" applyBorder="1" applyAlignment="1" applyProtection="1">
      <alignment horizontal="center" vertical="center" wrapText="1"/>
    </xf>
    <xf numFmtId="3" fontId="1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3" fontId="23" fillId="2" borderId="1" xfId="0" applyNumberFormat="1" applyFont="1" applyFill="1" applyBorder="1" applyAlignment="1" applyProtection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left" vertical="center" wrapText="1"/>
    </xf>
    <xf numFmtId="167" fontId="26" fillId="2" borderId="1" xfId="0" applyNumberFormat="1" applyFont="1" applyFill="1" applyBorder="1" applyAlignment="1">
      <alignment horizontal="center" vertical="center"/>
    </xf>
    <xf numFmtId="164" fontId="26" fillId="2" borderId="1" xfId="0" applyNumberFormat="1" applyFont="1" applyFill="1" applyBorder="1" applyAlignment="1">
      <alignment horizontal="center" vertical="center" wrapText="1"/>
    </xf>
    <xf numFmtId="3" fontId="26" fillId="2" borderId="1" xfId="0" applyNumberFormat="1" applyFont="1" applyFill="1" applyBorder="1" applyAlignment="1" applyProtection="1">
      <alignment horizontal="left" vertical="center" wrapText="1"/>
    </xf>
    <xf numFmtId="3" fontId="21" fillId="2" borderId="1" xfId="0" applyNumberFormat="1" applyFont="1" applyFill="1" applyBorder="1" applyAlignment="1" applyProtection="1">
      <alignment horizontal="left" vertical="center" wrapText="1"/>
    </xf>
    <xf numFmtId="0" fontId="22" fillId="2" borderId="1" xfId="0" applyFont="1" applyFill="1" applyBorder="1" applyAlignment="1">
      <alignment vertical="center" wrapText="1"/>
    </xf>
    <xf numFmtId="0" fontId="2" fillId="2" borderId="1" xfId="3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38" fillId="2" borderId="0" xfId="0" applyNumberFormat="1" applyFont="1" applyFill="1" applyAlignment="1" applyProtection="1">
      <alignment horizontal="left"/>
    </xf>
    <xf numFmtId="0" fontId="6" fillId="2" borderId="0" xfId="0" applyNumberFormat="1" applyFont="1" applyFill="1" applyAlignment="1" applyProtection="1">
      <alignment horizontal="left"/>
    </xf>
    <xf numFmtId="0" fontId="2" fillId="2" borderId="0" xfId="0" applyFont="1" applyFill="1" applyAlignment="1">
      <alignment vertical="center" textRotation="180"/>
    </xf>
    <xf numFmtId="4" fontId="5" fillId="2" borderId="1" xfId="0" applyNumberFormat="1" applyFont="1" applyFill="1" applyBorder="1" applyAlignment="1" applyProtection="1">
      <alignment horizontal="left" vertical="center" wrapText="1"/>
    </xf>
    <xf numFmtId="4" fontId="15" fillId="2" borderId="1" xfId="0" applyNumberFormat="1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>
      <alignment horizontal="center" vertical="center" textRotation="180"/>
    </xf>
    <xf numFmtId="0" fontId="2" fillId="2" borderId="0" xfId="0" applyFont="1" applyFill="1" applyBorder="1" applyAlignment="1">
      <alignment horizontal="center" vertical="center" textRotation="180"/>
    </xf>
    <xf numFmtId="0" fontId="39" fillId="2" borderId="0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8" fillId="2" borderId="0" xfId="0" applyNumberFormat="1" applyFont="1" applyFill="1" applyAlignment="1" applyProtection="1">
      <alignment horizontal="left"/>
    </xf>
    <xf numFmtId="0" fontId="38" fillId="2" borderId="0" xfId="0" applyNumberFormat="1" applyFont="1" applyFill="1" applyAlignment="1" applyProtection="1">
      <alignment horizontal="center"/>
    </xf>
    <xf numFmtId="0" fontId="6" fillId="2" borderId="0" xfId="0" applyNumberFormat="1" applyFont="1" applyFill="1" applyAlignment="1" applyProtection="1">
      <alignment horizontal="left"/>
    </xf>
    <xf numFmtId="0" fontId="2" fillId="2" borderId="0" xfId="0" applyFont="1" applyFill="1" applyAlignment="1">
      <alignment horizontal="center" vertical="center" textRotation="180"/>
    </xf>
  </cellXfs>
  <cellStyles count="5">
    <cellStyle name="Обычный" xfId="0" builtinId="0"/>
    <cellStyle name="Обычный 2" xfId="1"/>
    <cellStyle name="Обычный 3" xfId="2"/>
    <cellStyle name="Обычный 5" xfId="4"/>
    <cellStyle name="Обычный_Пропозиції на фінансування." xfId="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9"/>
  <sheetViews>
    <sheetView tabSelected="1" view="pageBreakPreview" zoomScale="50" zoomScaleNormal="100" zoomScaleSheetLayoutView="50" workbookViewId="0">
      <selection activeCell="W15" sqref="W15"/>
    </sheetView>
  </sheetViews>
  <sheetFormatPr defaultColWidth="8.85546875" defaultRowHeight="12.75" x14ac:dyDescent="0.2"/>
  <cols>
    <col min="1" max="1" width="10.5703125" style="28" customWidth="1"/>
    <col min="2" max="2" width="10.7109375" style="28" customWidth="1"/>
    <col min="3" max="3" width="10.5703125" style="28" customWidth="1"/>
    <col min="4" max="4" width="43.140625" style="28" customWidth="1"/>
    <col min="5" max="5" width="47.5703125" style="28" customWidth="1"/>
    <col min="6" max="6" width="11.7109375" style="28" customWidth="1"/>
    <col min="7" max="8" width="12.5703125" style="28" customWidth="1"/>
    <col min="9" max="11" width="19.28515625" style="28" customWidth="1"/>
    <col min="12" max="12" width="14.42578125" style="28" customWidth="1"/>
    <col min="13" max="13" width="8.85546875" style="152"/>
    <col min="14" max="16384" width="8.85546875" style="28"/>
  </cols>
  <sheetData>
    <row r="1" spans="1:14" ht="20.25" x14ac:dyDescent="0.3">
      <c r="G1" s="14"/>
      <c r="H1" s="163" t="s">
        <v>497</v>
      </c>
      <c r="I1" s="163"/>
      <c r="J1" s="163"/>
      <c r="K1" s="163"/>
      <c r="L1" s="163"/>
      <c r="M1" s="166">
        <v>30</v>
      </c>
    </row>
    <row r="2" spans="1:14" ht="20.25" x14ac:dyDescent="0.3">
      <c r="G2" s="14"/>
      <c r="H2" s="164" t="s">
        <v>492</v>
      </c>
      <c r="I2" s="164"/>
      <c r="J2" s="164"/>
      <c r="K2" s="164"/>
      <c r="L2" s="164"/>
      <c r="M2" s="166"/>
    </row>
    <row r="3" spans="1:14" ht="20.25" x14ac:dyDescent="0.3">
      <c r="G3" s="14"/>
      <c r="H3" s="128" t="s">
        <v>501</v>
      </c>
      <c r="I3" s="128"/>
      <c r="J3" s="128"/>
      <c r="K3" s="128"/>
      <c r="L3" s="128"/>
      <c r="M3" s="166"/>
    </row>
    <row r="4" spans="1:14" ht="18.75" x14ac:dyDescent="0.3">
      <c r="G4" s="14"/>
      <c r="H4" s="165"/>
      <c r="I4" s="165"/>
      <c r="J4" s="165"/>
      <c r="K4" s="165"/>
      <c r="L4" s="165"/>
      <c r="M4" s="166"/>
    </row>
    <row r="5" spans="1:14" ht="18.75" x14ac:dyDescent="0.3">
      <c r="I5" s="14"/>
      <c r="J5" s="14"/>
      <c r="K5" s="14"/>
      <c r="L5" s="14"/>
      <c r="M5" s="166"/>
      <c r="N5" s="117"/>
    </row>
    <row r="6" spans="1:14" ht="20.25" x14ac:dyDescent="0.3">
      <c r="H6" s="163"/>
      <c r="I6" s="163"/>
      <c r="J6" s="163"/>
      <c r="K6" s="163"/>
      <c r="L6" s="163"/>
      <c r="M6" s="166"/>
      <c r="N6" s="117"/>
    </row>
    <row r="7" spans="1:14" ht="20.25" x14ac:dyDescent="0.3">
      <c r="H7" s="163"/>
      <c r="I7" s="163"/>
      <c r="J7" s="163"/>
      <c r="K7" s="163"/>
      <c r="L7" s="163"/>
      <c r="M7" s="166"/>
      <c r="N7" s="117"/>
    </row>
    <row r="8" spans="1:14" ht="20.25" x14ac:dyDescent="0.3">
      <c r="G8" s="22"/>
      <c r="H8" s="153"/>
      <c r="I8" s="153"/>
      <c r="J8" s="153"/>
      <c r="K8" s="153"/>
      <c r="L8" s="153"/>
      <c r="M8" s="166"/>
    </row>
    <row r="9" spans="1:14" ht="28.35" customHeight="1" x14ac:dyDescent="0.3">
      <c r="G9" s="14"/>
      <c r="H9" s="14"/>
      <c r="I9" s="14"/>
      <c r="J9" s="14"/>
      <c r="K9" s="14"/>
      <c r="L9" s="14"/>
      <c r="M9" s="166"/>
    </row>
    <row r="10" spans="1:14" ht="20.25" x14ac:dyDescent="0.2">
      <c r="A10" s="160" t="s">
        <v>410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6"/>
    </row>
    <row r="11" spans="1:14" ht="47.85" customHeight="1" x14ac:dyDescent="0.2">
      <c r="A11" s="160" t="s">
        <v>411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6"/>
    </row>
    <row r="12" spans="1:14" ht="18.75" x14ac:dyDescent="0.2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166"/>
    </row>
    <row r="13" spans="1:14" ht="18.75" x14ac:dyDescent="0.2">
      <c r="A13" s="161">
        <v>18531000000</v>
      </c>
      <c r="B13" s="161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166"/>
    </row>
    <row r="14" spans="1:14" ht="17.25" x14ac:dyDescent="0.25">
      <c r="A14" s="162" t="s">
        <v>69</v>
      </c>
      <c r="B14" s="162"/>
      <c r="C14" s="31"/>
      <c r="D14" s="31"/>
      <c r="E14" s="31"/>
      <c r="F14" s="31"/>
      <c r="G14" s="31"/>
      <c r="H14" s="31"/>
      <c r="I14" s="31"/>
      <c r="J14" s="31"/>
      <c r="K14" s="31"/>
      <c r="L14" s="32" t="s">
        <v>70</v>
      </c>
      <c r="M14" s="166"/>
    </row>
    <row r="15" spans="1:14" ht="92.85" customHeight="1" x14ac:dyDescent="0.2">
      <c r="A15" s="33" t="s">
        <v>17</v>
      </c>
      <c r="B15" s="33" t="s">
        <v>18</v>
      </c>
      <c r="C15" s="33" t="s">
        <v>0</v>
      </c>
      <c r="D15" s="33" t="s">
        <v>19</v>
      </c>
      <c r="E15" s="33" t="s">
        <v>20</v>
      </c>
      <c r="F15" s="33" t="s">
        <v>21</v>
      </c>
      <c r="G15" s="33" t="s">
        <v>22</v>
      </c>
      <c r="H15" s="33" t="s">
        <v>23</v>
      </c>
      <c r="I15" s="33" t="s">
        <v>66</v>
      </c>
      <c r="J15" s="52" t="s">
        <v>409</v>
      </c>
      <c r="K15" s="52" t="s">
        <v>82</v>
      </c>
      <c r="L15" s="33" t="s">
        <v>24</v>
      </c>
      <c r="M15" s="166"/>
    </row>
    <row r="16" spans="1:14" x14ac:dyDescent="0.2">
      <c r="A16" s="27">
        <v>1</v>
      </c>
      <c r="B16" s="27">
        <v>2</v>
      </c>
      <c r="C16" s="27">
        <v>3</v>
      </c>
      <c r="D16" s="27">
        <v>4</v>
      </c>
      <c r="E16" s="27">
        <v>5</v>
      </c>
      <c r="F16" s="27">
        <v>6</v>
      </c>
      <c r="G16" s="27">
        <v>7</v>
      </c>
      <c r="H16" s="27">
        <v>8</v>
      </c>
      <c r="I16" s="27">
        <v>9</v>
      </c>
      <c r="J16" s="27">
        <v>10</v>
      </c>
      <c r="K16" s="27">
        <v>11</v>
      </c>
      <c r="L16" s="27">
        <v>12</v>
      </c>
      <c r="M16" s="166"/>
    </row>
    <row r="17" spans="1:13" s="73" customFormat="1" ht="44.85" customHeight="1" x14ac:dyDescent="0.25">
      <c r="A17" s="71" t="s">
        <v>9</v>
      </c>
      <c r="B17" s="66"/>
      <c r="C17" s="66"/>
      <c r="D17" s="129" t="s">
        <v>10</v>
      </c>
      <c r="E17" s="66"/>
      <c r="F17" s="66"/>
      <c r="G17" s="66"/>
      <c r="H17" s="66"/>
      <c r="I17" s="130">
        <f>I18</f>
        <v>33661300</v>
      </c>
      <c r="J17" s="130">
        <f t="shared" ref="J17:K17" si="0">J18</f>
        <v>0</v>
      </c>
      <c r="K17" s="130">
        <f t="shared" si="0"/>
        <v>33661300</v>
      </c>
      <c r="L17" s="66"/>
      <c r="M17" s="166"/>
    </row>
    <row r="18" spans="1:13" s="72" customFormat="1" ht="35.1" customHeight="1" x14ac:dyDescent="0.25">
      <c r="A18" s="76" t="s">
        <v>11</v>
      </c>
      <c r="B18" s="76"/>
      <c r="C18" s="76"/>
      <c r="D18" s="150" t="s">
        <v>10</v>
      </c>
      <c r="E18" s="66"/>
      <c r="F18" s="66"/>
      <c r="G18" s="66"/>
      <c r="H18" s="66"/>
      <c r="I18" s="75">
        <f>SUM(I38:I38)+I19+I23+I25+I26+I28+I30+I37</f>
        <v>33661300</v>
      </c>
      <c r="J18" s="75">
        <f>SUM(J38:J38)+J19+J23+J25+J26+J28+J30+J37</f>
        <v>0</v>
      </c>
      <c r="K18" s="75">
        <f>SUM(K38:K38)+K19+K23+K25+K26+K28+K30+K37</f>
        <v>33661300</v>
      </c>
      <c r="L18" s="66"/>
      <c r="M18" s="166"/>
    </row>
    <row r="19" spans="1:13" s="90" customFormat="1" ht="60" customHeight="1" x14ac:dyDescent="0.2">
      <c r="A19" s="101" t="s">
        <v>89</v>
      </c>
      <c r="B19" s="102" t="s">
        <v>92</v>
      </c>
      <c r="C19" s="7" t="s">
        <v>90</v>
      </c>
      <c r="D19" s="6" t="s">
        <v>91</v>
      </c>
      <c r="E19" s="9"/>
      <c r="F19" s="9"/>
      <c r="G19" s="9"/>
      <c r="H19" s="9"/>
      <c r="I19" s="29">
        <f>I20</f>
        <v>1230200</v>
      </c>
      <c r="J19" s="29">
        <f>J20</f>
        <v>0</v>
      </c>
      <c r="K19" s="29">
        <f>K20</f>
        <v>1230200</v>
      </c>
      <c r="L19" s="9"/>
      <c r="M19" s="166"/>
    </row>
    <row r="20" spans="1:13" s="109" customFormat="1" ht="13.5" x14ac:dyDescent="0.2">
      <c r="A20" s="107"/>
      <c r="B20" s="108"/>
      <c r="C20" s="2"/>
      <c r="D20" s="3"/>
      <c r="E20" s="3" t="s">
        <v>191</v>
      </c>
      <c r="F20" s="24"/>
      <c r="G20" s="24"/>
      <c r="H20" s="24"/>
      <c r="I20" s="34">
        <f>I21+I22</f>
        <v>1230200</v>
      </c>
      <c r="J20" s="34">
        <f t="shared" ref="J20:K20" si="1">J21+J22</f>
        <v>0</v>
      </c>
      <c r="K20" s="34">
        <f t="shared" si="1"/>
        <v>1230200</v>
      </c>
      <c r="L20" s="9"/>
      <c r="M20" s="166"/>
    </row>
    <row r="21" spans="1:13" s="36" customFormat="1" ht="47.85" customHeight="1" x14ac:dyDescent="0.2">
      <c r="A21" s="60"/>
      <c r="B21" s="61"/>
      <c r="C21" s="62"/>
      <c r="D21" s="58"/>
      <c r="E21" s="88" t="s">
        <v>290</v>
      </c>
      <c r="F21" s="57" t="s">
        <v>54</v>
      </c>
      <c r="G21" s="37">
        <v>1492916</v>
      </c>
      <c r="H21" s="57" t="s">
        <v>199</v>
      </c>
      <c r="I21" s="5">
        <v>870889</v>
      </c>
      <c r="J21" s="5"/>
      <c r="K21" s="5">
        <f>J21+I21</f>
        <v>870889</v>
      </c>
      <c r="L21" s="27">
        <v>100</v>
      </c>
      <c r="M21" s="166"/>
    </row>
    <row r="22" spans="1:13" s="36" customFormat="1" ht="40.35" customHeight="1" x14ac:dyDescent="0.2">
      <c r="A22" s="60"/>
      <c r="B22" s="61"/>
      <c r="C22" s="62"/>
      <c r="D22" s="58"/>
      <c r="E22" s="88" t="s">
        <v>291</v>
      </c>
      <c r="F22" s="57" t="s">
        <v>54</v>
      </c>
      <c r="G22" s="37">
        <v>1493136</v>
      </c>
      <c r="H22" s="57" t="s">
        <v>292</v>
      </c>
      <c r="I22" s="5">
        <v>359311</v>
      </c>
      <c r="J22" s="5"/>
      <c r="K22" s="5">
        <f>J22+I22</f>
        <v>359311</v>
      </c>
      <c r="L22" s="27">
        <v>29.2</v>
      </c>
      <c r="M22" s="166"/>
    </row>
    <row r="23" spans="1:13" s="90" customFormat="1" ht="60" customHeight="1" x14ac:dyDescent="0.2">
      <c r="A23" s="101" t="s">
        <v>93</v>
      </c>
      <c r="B23" s="102" t="s">
        <v>94</v>
      </c>
      <c r="C23" s="7" t="s">
        <v>95</v>
      </c>
      <c r="D23" s="6" t="s">
        <v>417</v>
      </c>
      <c r="E23" s="9"/>
      <c r="F23" s="9"/>
      <c r="G23" s="9"/>
      <c r="H23" s="9"/>
      <c r="I23" s="29">
        <f>I24</f>
        <v>25500</v>
      </c>
      <c r="J23" s="29">
        <f>J24</f>
        <v>0</v>
      </c>
      <c r="K23" s="29">
        <f>K24</f>
        <v>25500</v>
      </c>
      <c r="L23" s="9"/>
      <c r="M23" s="158">
        <v>31</v>
      </c>
    </row>
    <row r="24" spans="1:13" s="109" customFormat="1" ht="37.5" customHeight="1" x14ac:dyDescent="0.2">
      <c r="A24" s="107"/>
      <c r="B24" s="108"/>
      <c r="C24" s="2"/>
      <c r="D24" s="3"/>
      <c r="E24" s="3" t="s">
        <v>192</v>
      </c>
      <c r="F24" s="24"/>
      <c r="G24" s="24"/>
      <c r="H24" s="24"/>
      <c r="I24" s="34">
        <v>25500</v>
      </c>
      <c r="J24" s="34"/>
      <c r="K24" s="34">
        <f>J24+I24</f>
        <v>25500</v>
      </c>
      <c r="L24" s="24"/>
      <c r="M24" s="158"/>
    </row>
    <row r="25" spans="1:13" s="90" customFormat="1" ht="60" customHeight="1" x14ac:dyDescent="0.2">
      <c r="A25" s="101" t="s">
        <v>96</v>
      </c>
      <c r="B25" s="102" t="s">
        <v>97</v>
      </c>
      <c r="C25" s="7" t="s">
        <v>98</v>
      </c>
      <c r="D25" s="6" t="s">
        <v>99</v>
      </c>
      <c r="E25" s="3" t="s">
        <v>192</v>
      </c>
      <c r="F25" s="9"/>
      <c r="G25" s="9"/>
      <c r="H25" s="9"/>
      <c r="I25" s="29">
        <v>224000</v>
      </c>
      <c r="J25" s="29"/>
      <c r="K25" s="29">
        <f>J25+I25</f>
        <v>224000</v>
      </c>
      <c r="L25" s="9"/>
      <c r="M25" s="158"/>
    </row>
    <row r="26" spans="1:13" s="90" customFormat="1" ht="47.45" customHeight="1" x14ac:dyDescent="0.2">
      <c r="A26" s="101" t="s">
        <v>100</v>
      </c>
      <c r="B26" s="102" t="s">
        <v>101</v>
      </c>
      <c r="C26" s="7" t="s">
        <v>102</v>
      </c>
      <c r="D26" s="6" t="s">
        <v>103</v>
      </c>
      <c r="E26" s="3" t="s">
        <v>191</v>
      </c>
      <c r="F26" s="9"/>
      <c r="G26" s="9"/>
      <c r="H26" s="9"/>
      <c r="I26" s="29">
        <f>I27</f>
        <v>500000</v>
      </c>
      <c r="J26" s="29">
        <f>J27</f>
        <v>0</v>
      </c>
      <c r="K26" s="29">
        <f>K27</f>
        <v>500000</v>
      </c>
      <c r="L26" s="9"/>
      <c r="M26" s="158"/>
    </row>
    <row r="27" spans="1:13" ht="34.5" customHeight="1" x14ac:dyDescent="0.2">
      <c r="A27" s="26"/>
      <c r="B27" s="57"/>
      <c r="C27" s="25"/>
      <c r="D27" s="4"/>
      <c r="E27" s="88" t="s">
        <v>274</v>
      </c>
      <c r="F27" s="57" t="s">
        <v>200</v>
      </c>
      <c r="G27" s="37"/>
      <c r="H27" s="27"/>
      <c r="I27" s="5">
        <v>500000</v>
      </c>
      <c r="J27" s="5"/>
      <c r="K27" s="5">
        <f>J27+I27</f>
        <v>500000</v>
      </c>
      <c r="L27" s="27"/>
      <c r="M27" s="158"/>
    </row>
    <row r="28" spans="1:13" s="90" customFormat="1" ht="59.1" customHeight="1" x14ac:dyDescent="0.2">
      <c r="A28" s="101" t="s">
        <v>104</v>
      </c>
      <c r="B28" s="102" t="s">
        <v>105</v>
      </c>
      <c r="C28" s="7" t="s">
        <v>102</v>
      </c>
      <c r="D28" s="6" t="s">
        <v>424</v>
      </c>
      <c r="E28" s="3" t="s">
        <v>191</v>
      </c>
      <c r="F28" s="9"/>
      <c r="G28" s="9"/>
      <c r="H28" s="9"/>
      <c r="I28" s="29">
        <f>I29</f>
        <v>900000</v>
      </c>
      <c r="J28" s="29">
        <f t="shared" ref="J28:K28" si="2">J29</f>
        <v>0</v>
      </c>
      <c r="K28" s="29">
        <f t="shared" si="2"/>
        <v>900000</v>
      </c>
      <c r="L28" s="9"/>
      <c r="M28" s="158"/>
    </row>
    <row r="29" spans="1:13" ht="47.1" customHeight="1" x14ac:dyDescent="0.2">
      <c r="A29" s="26"/>
      <c r="B29" s="57"/>
      <c r="C29" s="25"/>
      <c r="D29" s="4"/>
      <c r="E29" s="88" t="s">
        <v>408</v>
      </c>
      <c r="F29" s="57" t="s">
        <v>200</v>
      </c>
      <c r="G29" s="37"/>
      <c r="H29" s="57"/>
      <c r="I29" s="5">
        <v>900000</v>
      </c>
      <c r="J29" s="5"/>
      <c r="K29" s="5">
        <f>J29+I29</f>
        <v>900000</v>
      </c>
      <c r="L29" s="27"/>
      <c r="M29" s="158"/>
    </row>
    <row r="30" spans="1:13" s="90" customFormat="1" ht="34.5" customHeight="1" x14ac:dyDescent="0.2">
      <c r="A30" s="101" t="s">
        <v>106</v>
      </c>
      <c r="B30" s="102" t="s">
        <v>107</v>
      </c>
      <c r="C30" s="7" t="s">
        <v>108</v>
      </c>
      <c r="D30" s="6" t="s">
        <v>109</v>
      </c>
      <c r="E30" s="9"/>
      <c r="F30" s="9"/>
      <c r="G30" s="9"/>
      <c r="H30" s="9"/>
      <c r="I30" s="29">
        <f>I31+I32+I34</f>
        <v>6050000</v>
      </c>
      <c r="J30" s="29">
        <f>J31+J32+J34</f>
        <v>0</v>
      </c>
      <c r="K30" s="29">
        <f>K31+K32+K34</f>
        <v>6050000</v>
      </c>
      <c r="L30" s="9"/>
      <c r="M30" s="158"/>
    </row>
    <row r="31" spans="1:13" s="90" customFormat="1" ht="43.35" customHeight="1" x14ac:dyDescent="0.2">
      <c r="A31" s="101"/>
      <c r="B31" s="102"/>
      <c r="C31" s="7"/>
      <c r="D31" s="6"/>
      <c r="E31" s="3" t="s">
        <v>192</v>
      </c>
      <c r="F31" s="9"/>
      <c r="G31" s="9"/>
      <c r="H31" s="9"/>
      <c r="I31" s="34">
        <v>2800000</v>
      </c>
      <c r="J31" s="34"/>
      <c r="K31" s="34">
        <f>J31+I31</f>
        <v>2800000</v>
      </c>
      <c r="L31" s="9"/>
      <c r="M31" s="158"/>
    </row>
    <row r="32" spans="1:13" s="109" customFormat="1" ht="34.5" customHeight="1" x14ac:dyDescent="0.2">
      <c r="A32" s="107"/>
      <c r="B32" s="108"/>
      <c r="C32" s="2"/>
      <c r="D32" s="3"/>
      <c r="E32" s="3" t="s">
        <v>193</v>
      </c>
      <c r="F32" s="24"/>
      <c r="G32" s="24"/>
      <c r="H32" s="24"/>
      <c r="I32" s="34">
        <f>I33</f>
        <v>3000000</v>
      </c>
      <c r="J32" s="34">
        <f t="shared" ref="J32:K32" si="3">J33</f>
        <v>0</v>
      </c>
      <c r="K32" s="34">
        <f t="shared" si="3"/>
        <v>3000000</v>
      </c>
      <c r="L32" s="24"/>
      <c r="M32" s="158"/>
    </row>
    <row r="33" spans="1:13" ht="33" customHeight="1" x14ac:dyDescent="0.2">
      <c r="A33" s="26"/>
      <c r="B33" s="57"/>
      <c r="C33" s="25"/>
      <c r="D33" s="4"/>
      <c r="E33" s="88" t="s">
        <v>202</v>
      </c>
      <c r="F33" s="57" t="s">
        <v>200</v>
      </c>
      <c r="G33" s="37"/>
      <c r="H33" s="27"/>
      <c r="I33" s="5">
        <v>3000000</v>
      </c>
      <c r="J33" s="5"/>
      <c r="K33" s="5">
        <f>J33+I33</f>
        <v>3000000</v>
      </c>
      <c r="L33" s="27"/>
      <c r="M33" s="158"/>
    </row>
    <row r="34" spans="1:13" s="90" customFormat="1" ht="17.850000000000001" customHeight="1" x14ac:dyDescent="0.2">
      <c r="A34" s="101"/>
      <c r="B34" s="102"/>
      <c r="C34" s="7"/>
      <c r="D34" s="6"/>
      <c r="E34" s="3" t="s">
        <v>191</v>
      </c>
      <c r="F34" s="9"/>
      <c r="G34" s="9"/>
      <c r="H34" s="9"/>
      <c r="I34" s="34">
        <f>I35+I36</f>
        <v>250000</v>
      </c>
      <c r="J34" s="34">
        <f t="shared" ref="J34:K34" si="4">J35+J36</f>
        <v>0</v>
      </c>
      <c r="K34" s="34">
        <f t="shared" si="4"/>
        <v>250000</v>
      </c>
      <c r="L34" s="9"/>
      <c r="M34" s="158"/>
    </row>
    <row r="35" spans="1:13" ht="39.6" customHeight="1" x14ac:dyDescent="0.2">
      <c r="A35" s="26"/>
      <c r="B35" s="57"/>
      <c r="C35" s="25"/>
      <c r="D35" s="4"/>
      <c r="E35" s="88" t="s">
        <v>203</v>
      </c>
      <c r="F35" s="57" t="s">
        <v>200</v>
      </c>
      <c r="G35" s="37"/>
      <c r="H35" s="27"/>
      <c r="I35" s="5">
        <v>200000</v>
      </c>
      <c r="J35" s="5"/>
      <c r="K35" s="5">
        <f>J35+I35</f>
        <v>200000</v>
      </c>
      <c r="L35" s="27"/>
      <c r="M35" s="158"/>
    </row>
    <row r="36" spans="1:13" ht="38.85" customHeight="1" x14ac:dyDescent="0.2">
      <c r="A36" s="26"/>
      <c r="B36" s="57"/>
      <c r="C36" s="25"/>
      <c r="D36" s="4"/>
      <c r="E36" s="88" t="s">
        <v>201</v>
      </c>
      <c r="F36" s="57" t="s">
        <v>200</v>
      </c>
      <c r="G36" s="37"/>
      <c r="H36" s="27"/>
      <c r="I36" s="5">
        <v>50000</v>
      </c>
      <c r="J36" s="5"/>
      <c r="K36" s="5">
        <f>J36+I36</f>
        <v>50000</v>
      </c>
      <c r="L36" s="27"/>
      <c r="M36" s="158"/>
    </row>
    <row r="37" spans="1:13" s="90" customFormat="1" ht="34.5" customHeight="1" x14ac:dyDescent="0.2">
      <c r="A37" s="101" t="s">
        <v>110</v>
      </c>
      <c r="B37" s="102" t="s">
        <v>111</v>
      </c>
      <c r="C37" s="7" t="s">
        <v>112</v>
      </c>
      <c r="D37" s="6" t="s">
        <v>113</v>
      </c>
      <c r="E37" s="4" t="s">
        <v>275</v>
      </c>
      <c r="F37" s="9"/>
      <c r="G37" s="9"/>
      <c r="H37" s="9"/>
      <c r="I37" s="29">
        <v>22572000</v>
      </c>
      <c r="J37" s="29"/>
      <c r="K37" s="29">
        <f>J37+I37</f>
        <v>22572000</v>
      </c>
      <c r="L37" s="9"/>
      <c r="M37" s="158"/>
    </row>
    <row r="38" spans="1:13" s="90" customFormat="1" ht="60.6" customHeight="1" x14ac:dyDescent="0.2">
      <c r="A38" s="101" t="s">
        <v>12</v>
      </c>
      <c r="B38" s="9" t="s">
        <v>13</v>
      </c>
      <c r="C38" s="7" t="s">
        <v>15</v>
      </c>
      <c r="D38" s="6" t="s">
        <v>14</v>
      </c>
      <c r="E38" s="4" t="s">
        <v>41</v>
      </c>
      <c r="F38" s="9" t="s">
        <v>42</v>
      </c>
      <c r="G38" s="103">
        <v>4174146.72</v>
      </c>
      <c r="H38" s="9">
        <v>48.2</v>
      </c>
      <c r="I38" s="29">
        <v>2159600</v>
      </c>
      <c r="J38" s="29"/>
      <c r="K38" s="29">
        <f>J38+I38</f>
        <v>2159600</v>
      </c>
      <c r="L38" s="9">
        <v>100</v>
      </c>
      <c r="M38" s="158"/>
    </row>
    <row r="39" spans="1:13" s="73" customFormat="1" ht="36" customHeight="1" x14ac:dyDescent="0.25">
      <c r="A39" s="71" t="s">
        <v>114</v>
      </c>
      <c r="B39" s="66"/>
      <c r="C39" s="67"/>
      <c r="D39" s="129" t="s">
        <v>116</v>
      </c>
      <c r="E39" s="68"/>
      <c r="F39" s="66"/>
      <c r="G39" s="69"/>
      <c r="H39" s="66"/>
      <c r="I39" s="130">
        <f>I40</f>
        <v>26470505</v>
      </c>
      <c r="J39" s="130">
        <f>J40</f>
        <v>0</v>
      </c>
      <c r="K39" s="130">
        <f>K40</f>
        <v>26470505</v>
      </c>
      <c r="L39" s="71"/>
      <c r="M39" s="158">
        <v>32</v>
      </c>
    </row>
    <row r="40" spans="1:13" s="72" customFormat="1" ht="34.35" customHeight="1" x14ac:dyDescent="0.25">
      <c r="A40" s="65" t="s">
        <v>115</v>
      </c>
      <c r="B40" s="66"/>
      <c r="C40" s="67"/>
      <c r="D40" s="74" t="s">
        <v>116</v>
      </c>
      <c r="E40" s="68"/>
      <c r="F40" s="66"/>
      <c r="G40" s="69"/>
      <c r="H40" s="66"/>
      <c r="I40" s="75">
        <f>I42+I79+I124+I126+I131+I134+I135</f>
        <v>26470505</v>
      </c>
      <c r="J40" s="75">
        <f>J42+J79+J124+J126+J131+J134+J135</f>
        <v>0</v>
      </c>
      <c r="K40" s="75">
        <f>K42+K79+K124+K126+K131+K134+K135</f>
        <v>26470505</v>
      </c>
      <c r="L40" s="71"/>
      <c r="M40" s="158"/>
    </row>
    <row r="41" spans="1:13" ht="27.6" customHeight="1" x14ac:dyDescent="0.2">
      <c r="A41" s="24"/>
      <c r="B41" s="27"/>
      <c r="C41" s="25"/>
      <c r="D41" s="104" t="s">
        <v>117</v>
      </c>
      <c r="E41" s="4"/>
      <c r="F41" s="27"/>
      <c r="G41" s="5"/>
      <c r="H41" s="27"/>
      <c r="I41" s="34">
        <f>I43+I80</f>
        <v>828008</v>
      </c>
      <c r="J41" s="34">
        <f>J43+J80</f>
        <v>0</v>
      </c>
      <c r="K41" s="34">
        <f>K43+K80</f>
        <v>828008</v>
      </c>
      <c r="L41" s="9"/>
      <c r="M41" s="158"/>
    </row>
    <row r="42" spans="1:13" s="90" customFormat="1" ht="50.85" customHeight="1" x14ac:dyDescent="0.2">
      <c r="A42" s="101" t="s">
        <v>123</v>
      </c>
      <c r="B42" s="9">
        <v>1010</v>
      </c>
      <c r="C42" s="9" t="s">
        <v>118</v>
      </c>
      <c r="D42" s="6" t="s">
        <v>119</v>
      </c>
      <c r="E42" s="6"/>
      <c r="F42" s="9"/>
      <c r="G42" s="103"/>
      <c r="H42" s="9"/>
      <c r="I42" s="29">
        <f>I44+I46</f>
        <v>4788136</v>
      </c>
      <c r="J42" s="29">
        <f>J44+J46</f>
        <v>0</v>
      </c>
      <c r="K42" s="29">
        <f>K44+K46</f>
        <v>4788136</v>
      </c>
      <c r="L42" s="9"/>
      <c r="M42" s="158"/>
    </row>
    <row r="43" spans="1:13" ht="23.1" customHeight="1" x14ac:dyDescent="0.2">
      <c r="A43" s="24"/>
      <c r="B43" s="27"/>
      <c r="C43" s="25"/>
      <c r="D43" s="58" t="s">
        <v>117</v>
      </c>
      <c r="E43" s="4"/>
      <c r="F43" s="27"/>
      <c r="G43" s="5"/>
      <c r="H43" s="27"/>
      <c r="I43" s="39">
        <f>I45</f>
        <v>88136</v>
      </c>
      <c r="J43" s="39">
        <f t="shared" ref="J43:K43" si="5">J45</f>
        <v>0</v>
      </c>
      <c r="K43" s="39">
        <f t="shared" si="5"/>
        <v>88136</v>
      </c>
      <c r="L43" s="9"/>
      <c r="M43" s="158"/>
    </row>
    <row r="44" spans="1:13" s="90" customFormat="1" ht="27" x14ac:dyDescent="0.2">
      <c r="A44" s="24"/>
      <c r="B44" s="9"/>
      <c r="C44" s="7"/>
      <c r="D44" s="3"/>
      <c r="E44" s="3" t="s">
        <v>192</v>
      </c>
      <c r="F44" s="9"/>
      <c r="G44" s="29"/>
      <c r="H44" s="9"/>
      <c r="I44" s="34">
        <v>853136</v>
      </c>
      <c r="J44" s="34"/>
      <c r="K44" s="34">
        <f>J44+I44</f>
        <v>853136</v>
      </c>
      <c r="L44" s="9"/>
      <c r="M44" s="158"/>
    </row>
    <row r="45" spans="1:13" s="90" customFormat="1" ht="20.100000000000001" customHeight="1" x14ac:dyDescent="0.2">
      <c r="A45" s="24"/>
      <c r="B45" s="9"/>
      <c r="C45" s="7"/>
      <c r="D45" s="63"/>
      <c r="E45" s="58" t="s">
        <v>117</v>
      </c>
      <c r="F45" s="9"/>
      <c r="G45" s="29"/>
      <c r="H45" s="9"/>
      <c r="I45" s="64">
        <v>88136</v>
      </c>
      <c r="J45" s="64"/>
      <c r="K45" s="64">
        <f>J45+I45</f>
        <v>88136</v>
      </c>
      <c r="L45" s="9"/>
      <c r="M45" s="158"/>
    </row>
    <row r="46" spans="1:13" s="90" customFormat="1" ht="17.100000000000001" customHeight="1" x14ac:dyDescent="0.2">
      <c r="A46" s="24"/>
      <c r="B46" s="9"/>
      <c r="C46" s="7"/>
      <c r="D46" s="3"/>
      <c r="E46" s="3" t="s">
        <v>191</v>
      </c>
      <c r="F46" s="9"/>
      <c r="G46" s="29"/>
      <c r="H46" s="9"/>
      <c r="I46" s="34">
        <f>SUM(I47:I78)</f>
        <v>3935000</v>
      </c>
      <c r="J46" s="34">
        <f t="shared" ref="J46:K46" si="6">SUM(J47:J78)</f>
        <v>0</v>
      </c>
      <c r="K46" s="34">
        <f t="shared" si="6"/>
        <v>3935000</v>
      </c>
      <c r="L46" s="9"/>
      <c r="M46" s="158"/>
    </row>
    <row r="47" spans="1:13" ht="47.1" customHeight="1" x14ac:dyDescent="0.2">
      <c r="A47" s="24"/>
      <c r="B47" s="27"/>
      <c r="C47" s="25"/>
      <c r="D47" s="58"/>
      <c r="E47" s="88" t="s">
        <v>276</v>
      </c>
      <c r="F47" s="57">
        <v>2020</v>
      </c>
      <c r="G47" s="37"/>
      <c r="H47" s="27"/>
      <c r="I47" s="5">
        <v>100000</v>
      </c>
      <c r="J47" s="5"/>
      <c r="K47" s="5">
        <f t="shared" ref="K47:K78" si="7">J47+I47</f>
        <v>100000</v>
      </c>
      <c r="L47" s="27"/>
      <c r="M47" s="158"/>
    </row>
    <row r="48" spans="1:13" ht="50.1" customHeight="1" x14ac:dyDescent="0.2">
      <c r="A48" s="24"/>
      <c r="B48" s="27"/>
      <c r="C48" s="25"/>
      <c r="D48" s="58"/>
      <c r="E48" s="88" t="s">
        <v>277</v>
      </c>
      <c r="F48" s="57">
        <v>2020</v>
      </c>
      <c r="G48" s="37"/>
      <c r="H48" s="27"/>
      <c r="I48" s="5">
        <v>100000</v>
      </c>
      <c r="J48" s="5"/>
      <c r="K48" s="5">
        <f t="shared" si="7"/>
        <v>100000</v>
      </c>
      <c r="L48" s="27"/>
      <c r="M48" s="158"/>
    </row>
    <row r="49" spans="1:13" ht="52.5" customHeight="1" x14ac:dyDescent="0.2">
      <c r="A49" s="24"/>
      <c r="B49" s="27"/>
      <c r="C49" s="25"/>
      <c r="D49" s="58"/>
      <c r="E49" s="88" t="s">
        <v>278</v>
      </c>
      <c r="F49" s="57">
        <v>2020</v>
      </c>
      <c r="G49" s="37"/>
      <c r="H49" s="27"/>
      <c r="I49" s="5">
        <v>100000</v>
      </c>
      <c r="J49" s="5"/>
      <c r="K49" s="5">
        <f t="shared" si="7"/>
        <v>100000</v>
      </c>
      <c r="L49" s="27"/>
      <c r="M49" s="158"/>
    </row>
    <row r="50" spans="1:13" ht="56.1" customHeight="1" x14ac:dyDescent="0.2">
      <c r="A50" s="24"/>
      <c r="B50" s="27"/>
      <c r="C50" s="25"/>
      <c r="D50" s="58"/>
      <c r="E50" s="88" t="s">
        <v>279</v>
      </c>
      <c r="F50" s="57">
        <v>2020</v>
      </c>
      <c r="G50" s="37"/>
      <c r="H50" s="27"/>
      <c r="I50" s="5">
        <v>100000</v>
      </c>
      <c r="J50" s="5"/>
      <c r="K50" s="5">
        <f t="shared" si="7"/>
        <v>100000</v>
      </c>
      <c r="L50" s="27"/>
      <c r="M50" s="158"/>
    </row>
    <row r="51" spans="1:13" ht="50.85" customHeight="1" x14ac:dyDescent="0.2">
      <c r="A51" s="24"/>
      <c r="B51" s="27"/>
      <c r="C51" s="25"/>
      <c r="D51" s="58"/>
      <c r="E51" s="88" t="s">
        <v>280</v>
      </c>
      <c r="F51" s="57">
        <v>2020</v>
      </c>
      <c r="G51" s="37"/>
      <c r="H51" s="27"/>
      <c r="I51" s="5">
        <v>80000</v>
      </c>
      <c r="J51" s="5"/>
      <c r="K51" s="5">
        <f t="shared" si="7"/>
        <v>80000</v>
      </c>
      <c r="L51" s="27"/>
      <c r="M51" s="158"/>
    </row>
    <row r="52" spans="1:13" ht="74.849999999999994" customHeight="1" x14ac:dyDescent="0.2">
      <c r="A52" s="24"/>
      <c r="B52" s="27"/>
      <c r="C52" s="25"/>
      <c r="D52" s="124"/>
      <c r="E52" s="88" t="s">
        <v>281</v>
      </c>
      <c r="F52" s="57">
        <v>2020</v>
      </c>
      <c r="G52" s="37"/>
      <c r="H52" s="27"/>
      <c r="I52" s="5">
        <v>350000</v>
      </c>
      <c r="J52" s="5"/>
      <c r="K52" s="5">
        <f t="shared" si="7"/>
        <v>350000</v>
      </c>
      <c r="L52" s="27"/>
      <c r="M52" s="158"/>
    </row>
    <row r="53" spans="1:13" ht="61.5" customHeight="1" x14ac:dyDescent="0.2">
      <c r="A53" s="24"/>
      <c r="B53" s="27"/>
      <c r="C53" s="25"/>
      <c r="D53" s="58"/>
      <c r="E53" s="88" t="s">
        <v>425</v>
      </c>
      <c r="F53" s="57">
        <v>2020</v>
      </c>
      <c r="G53" s="37"/>
      <c r="H53" s="27"/>
      <c r="I53" s="5">
        <v>100000</v>
      </c>
      <c r="J53" s="5"/>
      <c r="K53" s="5">
        <f t="shared" si="7"/>
        <v>100000</v>
      </c>
      <c r="L53" s="27"/>
      <c r="M53" s="158"/>
    </row>
    <row r="54" spans="1:13" ht="49.35" customHeight="1" x14ac:dyDescent="0.2">
      <c r="A54" s="24"/>
      <c r="B54" s="27"/>
      <c r="C54" s="25"/>
      <c r="D54" s="58"/>
      <c r="E54" s="88" t="s">
        <v>282</v>
      </c>
      <c r="F54" s="57">
        <v>2020</v>
      </c>
      <c r="G54" s="37"/>
      <c r="H54" s="27"/>
      <c r="I54" s="5">
        <v>100000</v>
      </c>
      <c r="J54" s="5"/>
      <c r="K54" s="5">
        <f t="shared" si="7"/>
        <v>100000</v>
      </c>
      <c r="L54" s="27"/>
      <c r="M54" s="158"/>
    </row>
    <row r="55" spans="1:13" ht="58.35" customHeight="1" x14ac:dyDescent="0.2">
      <c r="A55" s="24"/>
      <c r="B55" s="27"/>
      <c r="C55" s="25"/>
      <c r="D55" s="58"/>
      <c r="E55" s="88" t="s">
        <v>283</v>
      </c>
      <c r="F55" s="57">
        <v>2020</v>
      </c>
      <c r="G55" s="37"/>
      <c r="H55" s="27"/>
      <c r="I55" s="5">
        <v>90000</v>
      </c>
      <c r="J55" s="5"/>
      <c r="K55" s="5">
        <f t="shared" si="7"/>
        <v>90000</v>
      </c>
      <c r="L55" s="27"/>
      <c r="M55" s="158">
        <v>33</v>
      </c>
    </row>
    <row r="56" spans="1:13" ht="85.5" customHeight="1" x14ac:dyDescent="0.2">
      <c r="A56" s="24"/>
      <c r="B56" s="27"/>
      <c r="C56" s="25"/>
      <c r="D56" s="124"/>
      <c r="E56" s="88" t="s">
        <v>284</v>
      </c>
      <c r="F56" s="57">
        <v>2020</v>
      </c>
      <c r="G56" s="37" t="s">
        <v>237</v>
      </c>
      <c r="H56" s="27"/>
      <c r="I56" s="5">
        <v>350000</v>
      </c>
      <c r="J56" s="5"/>
      <c r="K56" s="5">
        <f t="shared" si="7"/>
        <v>350000</v>
      </c>
      <c r="L56" s="27"/>
      <c r="M56" s="158"/>
    </row>
    <row r="57" spans="1:13" ht="60.6" customHeight="1" x14ac:dyDescent="0.2">
      <c r="A57" s="24"/>
      <c r="B57" s="27"/>
      <c r="C57" s="25"/>
      <c r="D57" s="58"/>
      <c r="E57" s="88" t="s">
        <v>285</v>
      </c>
      <c r="F57" s="57">
        <v>2020</v>
      </c>
      <c r="G57" s="37"/>
      <c r="H57" s="27"/>
      <c r="I57" s="5">
        <v>100000</v>
      </c>
      <c r="J57" s="5"/>
      <c r="K57" s="5">
        <f t="shared" si="7"/>
        <v>100000</v>
      </c>
      <c r="L57" s="27"/>
      <c r="M57" s="158"/>
    </row>
    <row r="58" spans="1:13" ht="45.6" customHeight="1" x14ac:dyDescent="0.2">
      <c r="A58" s="24"/>
      <c r="B58" s="27"/>
      <c r="C58" s="25"/>
      <c r="D58" s="58"/>
      <c r="E58" s="88" t="s">
        <v>347</v>
      </c>
      <c r="F58" s="57">
        <v>2020</v>
      </c>
      <c r="G58" s="37"/>
      <c r="H58" s="27"/>
      <c r="I58" s="5">
        <v>100000</v>
      </c>
      <c r="J58" s="5"/>
      <c r="K58" s="5">
        <f t="shared" si="7"/>
        <v>100000</v>
      </c>
      <c r="L58" s="27"/>
      <c r="M58" s="158"/>
    </row>
    <row r="59" spans="1:13" ht="47.85" customHeight="1" x14ac:dyDescent="0.2">
      <c r="A59" s="24"/>
      <c r="B59" s="27"/>
      <c r="C59" s="25"/>
      <c r="D59" s="58"/>
      <c r="E59" s="88" t="s">
        <v>286</v>
      </c>
      <c r="F59" s="57">
        <v>2020</v>
      </c>
      <c r="G59" s="37"/>
      <c r="H59" s="27"/>
      <c r="I59" s="5">
        <v>100000</v>
      </c>
      <c r="J59" s="5"/>
      <c r="K59" s="5">
        <f t="shared" si="7"/>
        <v>100000</v>
      </c>
      <c r="L59" s="27"/>
      <c r="M59" s="158"/>
    </row>
    <row r="60" spans="1:13" ht="62.1" customHeight="1" x14ac:dyDescent="0.2">
      <c r="A60" s="24"/>
      <c r="B60" s="27"/>
      <c r="C60" s="25"/>
      <c r="D60" s="58"/>
      <c r="E60" s="88" t="s">
        <v>287</v>
      </c>
      <c r="F60" s="57">
        <v>2020</v>
      </c>
      <c r="G60" s="37"/>
      <c r="H60" s="27"/>
      <c r="I60" s="5">
        <v>100000</v>
      </c>
      <c r="J60" s="5"/>
      <c r="K60" s="5">
        <f t="shared" si="7"/>
        <v>100000</v>
      </c>
      <c r="L60" s="27"/>
      <c r="M60" s="158"/>
    </row>
    <row r="61" spans="1:13" ht="51.6" customHeight="1" x14ac:dyDescent="0.2">
      <c r="A61" s="24"/>
      <c r="B61" s="27"/>
      <c r="C61" s="25"/>
      <c r="D61" s="58"/>
      <c r="E61" s="88" t="s">
        <v>288</v>
      </c>
      <c r="F61" s="57">
        <v>2020</v>
      </c>
      <c r="G61" s="37"/>
      <c r="H61" s="27"/>
      <c r="I61" s="5">
        <v>65000</v>
      </c>
      <c r="J61" s="5"/>
      <c r="K61" s="5">
        <f t="shared" si="7"/>
        <v>65000</v>
      </c>
      <c r="L61" s="27"/>
      <c r="M61" s="158"/>
    </row>
    <row r="62" spans="1:13" ht="38.25" x14ac:dyDescent="0.2">
      <c r="A62" s="24"/>
      <c r="B62" s="27"/>
      <c r="C62" s="25"/>
      <c r="D62" s="58"/>
      <c r="E62" s="88" t="s">
        <v>289</v>
      </c>
      <c r="F62" s="57">
        <v>2020</v>
      </c>
      <c r="G62" s="37"/>
      <c r="H62" s="27"/>
      <c r="I62" s="5">
        <v>500000</v>
      </c>
      <c r="J62" s="5"/>
      <c r="K62" s="5">
        <f t="shared" si="7"/>
        <v>500000</v>
      </c>
      <c r="L62" s="27"/>
      <c r="M62" s="158"/>
    </row>
    <row r="63" spans="1:13" ht="51.6" customHeight="1" x14ac:dyDescent="0.2">
      <c r="A63" s="24"/>
      <c r="B63" s="27"/>
      <c r="C63" s="25"/>
      <c r="D63" s="58"/>
      <c r="E63" s="88" t="s">
        <v>294</v>
      </c>
      <c r="F63" s="57">
        <v>2020</v>
      </c>
      <c r="G63" s="37"/>
      <c r="H63" s="27"/>
      <c r="I63" s="5">
        <v>100000</v>
      </c>
      <c r="J63" s="5"/>
      <c r="K63" s="5">
        <f t="shared" si="7"/>
        <v>100000</v>
      </c>
      <c r="L63" s="27"/>
      <c r="M63" s="158"/>
    </row>
    <row r="64" spans="1:13" ht="50.1" customHeight="1" x14ac:dyDescent="0.2">
      <c r="A64" s="24"/>
      <c r="B64" s="27"/>
      <c r="C64" s="25"/>
      <c r="D64" s="58"/>
      <c r="E64" s="88" t="s">
        <v>295</v>
      </c>
      <c r="F64" s="57">
        <v>2020</v>
      </c>
      <c r="G64" s="37"/>
      <c r="H64" s="27"/>
      <c r="I64" s="5">
        <v>100000</v>
      </c>
      <c r="J64" s="5"/>
      <c r="K64" s="5">
        <f t="shared" si="7"/>
        <v>100000</v>
      </c>
      <c r="L64" s="27"/>
      <c r="M64" s="158"/>
    </row>
    <row r="65" spans="1:13" ht="49.35" customHeight="1" x14ac:dyDescent="0.2">
      <c r="A65" s="24"/>
      <c r="B65" s="27"/>
      <c r="C65" s="25"/>
      <c r="D65" s="58"/>
      <c r="E65" s="88" t="s">
        <v>296</v>
      </c>
      <c r="F65" s="57">
        <v>2020</v>
      </c>
      <c r="G65" s="37"/>
      <c r="H65" s="27"/>
      <c r="I65" s="5">
        <v>100000</v>
      </c>
      <c r="J65" s="5"/>
      <c r="K65" s="5">
        <f t="shared" si="7"/>
        <v>100000</v>
      </c>
      <c r="L65" s="27"/>
      <c r="M65" s="158"/>
    </row>
    <row r="66" spans="1:13" ht="63.6" customHeight="1" x14ac:dyDescent="0.2">
      <c r="A66" s="24"/>
      <c r="B66" s="27"/>
      <c r="C66" s="25"/>
      <c r="D66" s="58"/>
      <c r="E66" s="88" t="s">
        <v>297</v>
      </c>
      <c r="F66" s="57">
        <v>2020</v>
      </c>
      <c r="G66" s="37"/>
      <c r="H66" s="27"/>
      <c r="I66" s="5">
        <v>100000</v>
      </c>
      <c r="J66" s="5"/>
      <c r="K66" s="5">
        <f t="shared" si="7"/>
        <v>100000</v>
      </c>
      <c r="L66" s="27"/>
      <c r="M66" s="158"/>
    </row>
    <row r="67" spans="1:13" ht="47.1" customHeight="1" x14ac:dyDescent="0.2">
      <c r="A67" s="24"/>
      <c r="B67" s="27"/>
      <c r="C67" s="25"/>
      <c r="D67" s="58"/>
      <c r="E67" s="88" t="s">
        <v>298</v>
      </c>
      <c r="F67" s="57">
        <v>2020</v>
      </c>
      <c r="G67" s="37"/>
      <c r="H67" s="27"/>
      <c r="I67" s="5">
        <v>35000</v>
      </c>
      <c r="J67" s="5"/>
      <c r="K67" s="5">
        <f t="shared" si="7"/>
        <v>35000</v>
      </c>
      <c r="L67" s="27"/>
      <c r="M67" s="158">
        <v>34</v>
      </c>
    </row>
    <row r="68" spans="1:13" ht="45" customHeight="1" x14ac:dyDescent="0.2">
      <c r="A68" s="24"/>
      <c r="B68" s="27"/>
      <c r="C68" s="25"/>
      <c r="D68" s="58"/>
      <c r="E68" s="88" t="s">
        <v>299</v>
      </c>
      <c r="F68" s="57">
        <v>2020</v>
      </c>
      <c r="G68" s="37"/>
      <c r="H68" s="27"/>
      <c r="I68" s="5">
        <v>65000</v>
      </c>
      <c r="J68" s="5"/>
      <c r="K68" s="5">
        <f t="shared" si="7"/>
        <v>65000</v>
      </c>
      <c r="L68" s="27"/>
      <c r="M68" s="158"/>
    </row>
    <row r="69" spans="1:13" ht="47.1" customHeight="1" x14ac:dyDescent="0.2">
      <c r="A69" s="24"/>
      <c r="B69" s="27"/>
      <c r="C69" s="25"/>
      <c r="D69" s="58"/>
      <c r="E69" s="88" t="s">
        <v>300</v>
      </c>
      <c r="F69" s="57">
        <v>2020</v>
      </c>
      <c r="G69" s="37"/>
      <c r="H69" s="27"/>
      <c r="I69" s="5">
        <v>100000</v>
      </c>
      <c r="J69" s="5"/>
      <c r="K69" s="5">
        <f t="shared" si="7"/>
        <v>100000</v>
      </c>
      <c r="L69" s="27"/>
      <c r="M69" s="158"/>
    </row>
    <row r="70" spans="1:13" ht="43.5" customHeight="1" x14ac:dyDescent="0.2">
      <c r="A70" s="24"/>
      <c r="B70" s="27"/>
      <c r="C70" s="25"/>
      <c r="D70" s="58"/>
      <c r="E70" s="88" t="s">
        <v>301</v>
      </c>
      <c r="F70" s="57">
        <v>2020</v>
      </c>
      <c r="G70" s="37"/>
      <c r="H70" s="27"/>
      <c r="I70" s="5">
        <v>100000</v>
      </c>
      <c r="J70" s="5"/>
      <c r="K70" s="5">
        <f t="shared" si="7"/>
        <v>100000</v>
      </c>
      <c r="L70" s="27"/>
      <c r="M70" s="158"/>
    </row>
    <row r="71" spans="1:13" ht="50.85" customHeight="1" x14ac:dyDescent="0.2">
      <c r="A71" s="24"/>
      <c r="B71" s="27"/>
      <c r="C71" s="25"/>
      <c r="D71" s="58"/>
      <c r="E71" s="88" t="s">
        <v>302</v>
      </c>
      <c r="F71" s="57">
        <v>2020</v>
      </c>
      <c r="G71" s="37"/>
      <c r="H71" s="27"/>
      <c r="I71" s="5">
        <v>100000</v>
      </c>
      <c r="J71" s="5"/>
      <c r="K71" s="5">
        <f t="shared" si="7"/>
        <v>100000</v>
      </c>
      <c r="L71" s="27"/>
      <c r="M71" s="158"/>
    </row>
    <row r="72" spans="1:13" ht="54.6" customHeight="1" x14ac:dyDescent="0.2">
      <c r="A72" s="24"/>
      <c r="B72" s="27"/>
      <c r="C72" s="25"/>
      <c r="D72" s="58"/>
      <c r="E72" s="88" t="s">
        <v>348</v>
      </c>
      <c r="F72" s="57">
        <v>2020</v>
      </c>
      <c r="G72" s="37"/>
      <c r="H72" s="27"/>
      <c r="I72" s="5">
        <v>100000</v>
      </c>
      <c r="J72" s="5"/>
      <c r="K72" s="5">
        <f t="shared" si="7"/>
        <v>100000</v>
      </c>
      <c r="L72" s="27"/>
      <c r="M72" s="158"/>
    </row>
    <row r="73" spans="1:13" ht="54.6" customHeight="1" x14ac:dyDescent="0.2">
      <c r="A73" s="24"/>
      <c r="B73" s="27"/>
      <c r="C73" s="25"/>
      <c r="D73" s="58"/>
      <c r="E73" s="88" t="s">
        <v>303</v>
      </c>
      <c r="F73" s="57">
        <v>2020</v>
      </c>
      <c r="G73" s="37"/>
      <c r="H73" s="27"/>
      <c r="I73" s="5">
        <v>100000</v>
      </c>
      <c r="J73" s="5"/>
      <c r="K73" s="5">
        <f t="shared" si="7"/>
        <v>100000</v>
      </c>
      <c r="L73" s="27"/>
      <c r="M73" s="158"/>
    </row>
    <row r="74" spans="1:13" ht="64.349999999999994" customHeight="1" x14ac:dyDescent="0.2">
      <c r="A74" s="24"/>
      <c r="B74" s="27"/>
      <c r="C74" s="25"/>
      <c r="D74" s="58"/>
      <c r="E74" s="88" t="s">
        <v>304</v>
      </c>
      <c r="F74" s="57">
        <v>2020</v>
      </c>
      <c r="G74" s="37"/>
      <c r="H74" s="27"/>
      <c r="I74" s="5">
        <v>100000</v>
      </c>
      <c r="J74" s="5"/>
      <c r="K74" s="5">
        <f t="shared" si="7"/>
        <v>100000</v>
      </c>
      <c r="L74" s="27"/>
      <c r="M74" s="158"/>
    </row>
    <row r="75" spans="1:13" ht="57.6" customHeight="1" x14ac:dyDescent="0.2">
      <c r="A75" s="24"/>
      <c r="B75" s="27"/>
      <c r="C75" s="25"/>
      <c r="D75" s="58"/>
      <c r="E75" s="88" t="s">
        <v>349</v>
      </c>
      <c r="F75" s="57">
        <v>2020</v>
      </c>
      <c r="G75" s="37"/>
      <c r="H75" s="27"/>
      <c r="I75" s="5">
        <v>100000</v>
      </c>
      <c r="J75" s="5"/>
      <c r="K75" s="5">
        <f t="shared" si="7"/>
        <v>100000</v>
      </c>
      <c r="L75" s="27"/>
      <c r="M75" s="158"/>
    </row>
    <row r="76" spans="1:13" ht="64.349999999999994" customHeight="1" x14ac:dyDescent="0.2">
      <c r="A76" s="24"/>
      <c r="B76" s="27"/>
      <c r="C76" s="25"/>
      <c r="D76" s="58"/>
      <c r="E76" s="88" t="s">
        <v>305</v>
      </c>
      <c r="F76" s="57">
        <v>2020</v>
      </c>
      <c r="G76" s="37"/>
      <c r="H76" s="27"/>
      <c r="I76" s="5">
        <v>100000</v>
      </c>
      <c r="J76" s="5"/>
      <c r="K76" s="5">
        <f t="shared" si="7"/>
        <v>100000</v>
      </c>
      <c r="L76" s="27"/>
      <c r="M76" s="158"/>
    </row>
    <row r="77" spans="1:13" ht="46.35" customHeight="1" x14ac:dyDescent="0.2">
      <c r="A77" s="24"/>
      <c r="B77" s="27"/>
      <c r="C77" s="25"/>
      <c r="D77" s="58"/>
      <c r="E77" s="88" t="s">
        <v>306</v>
      </c>
      <c r="F77" s="57">
        <v>2020</v>
      </c>
      <c r="G77" s="37"/>
      <c r="H77" s="27"/>
      <c r="I77" s="5">
        <v>100000</v>
      </c>
      <c r="J77" s="5"/>
      <c r="K77" s="5">
        <f t="shared" si="7"/>
        <v>100000</v>
      </c>
      <c r="L77" s="27"/>
      <c r="M77" s="158"/>
    </row>
    <row r="78" spans="1:13" ht="51.6" customHeight="1" x14ac:dyDescent="0.2">
      <c r="A78" s="24"/>
      <c r="B78" s="27"/>
      <c r="C78" s="25"/>
      <c r="D78" s="58"/>
      <c r="E78" s="88" t="s">
        <v>307</v>
      </c>
      <c r="F78" s="57">
        <v>2020</v>
      </c>
      <c r="G78" s="37"/>
      <c r="H78" s="27"/>
      <c r="I78" s="5">
        <v>100000</v>
      </c>
      <c r="J78" s="5"/>
      <c r="K78" s="5">
        <f t="shared" si="7"/>
        <v>100000</v>
      </c>
      <c r="L78" s="27"/>
      <c r="M78" s="158"/>
    </row>
    <row r="79" spans="1:13" s="90" customFormat="1" ht="56.85" customHeight="1" x14ac:dyDescent="0.2">
      <c r="A79" s="101" t="s">
        <v>124</v>
      </c>
      <c r="B79" s="9">
        <v>1020</v>
      </c>
      <c r="C79" s="7" t="s">
        <v>120</v>
      </c>
      <c r="D79" s="6" t="s">
        <v>121</v>
      </c>
      <c r="E79" s="6"/>
      <c r="F79" s="9"/>
      <c r="G79" s="29"/>
      <c r="H79" s="9"/>
      <c r="I79" s="29">
        <f>I81+I83</f>
        <v>17589169</v>
      </c>
      <c r="J79" s="29">
        <f>J81+J83</f>
        <v>0</v>
      </c>
      <c r="K79" s="29">
        <f>K81+K83</f>
        <v>17589169</v>
      </c>
      <c r="L79" s="9"/>
      <c r="M79" s="158"/>
    </row>
    <row r="80" spans="1:13" ht="18" customHeight="1" x14ac:dyDescent="0.2">
      <c r="A80" s="24"/>
      <c r="B80" s="27"/>
      <c r="C80" s="25"/>
      <c r="D80" s="58" t="s">
        <v>117</v>
      </c>
      <c r="E80" s="4"/>
      <c r="F80" s="27"/>
      <c r="G80" s="5"/>
      <c r="H80" s="27"/>
      <c r="I80" s="39">
        <f>I82</f>
        <v>739872</v>
      </c>
      <c r="J80" s="39">
        <f t="shared" ref="J80:K80" si="8">J82</f>
        <v>0</v>
      </c>
      <c r="K80" s="39">
        <f t="shared" si="8"/>
        <v>739872</v>
      </c>
      <c r="L80" s="9"/>
      <c r="M80" s="158">
        <v>35</v>
      </c>
    </row>
    <row r="81" spans="1:13" s="90" customFormat="1" ht="27" x14ac:dyDescent="0.2">
      <c r="A81" s="24"/>
      <c r="B81" s="9"/>
      <c r="C81" s="7"/>
      <c r="D81" s="3"/>
      <c r="E81" s="3" t="s">
        <v>192</v>
      </c>
      <c r="F81" s="9"/>
      <c r="G81" s="29"/>
      <c r="H81" s="9"/>
      <c r="I81" s="34">
        <v>2771872</v>
      </c>
      <c r="J81" s="34"/>
      <c r="K81" s="34">
        <f>J81+I81</f>
        <v>2771872</v>
      </c>
      <c r="L81" s="9"/>
      <c r="M81" s="158"/>
    </row>
    <row r="82" spans="1:13" s="90" customFormat="1" ht="13.5" x14ac:dyDescent="0.2">
      <c r="A82" s="24"/>
      <c r="B82" s="9"/>
      <c r="C82" s="7"/>
      <c r="D82" s="3"/>
      <c r="E82" s="58" t="s">
        <v>117</v>
      </c>
      <c r="F82" s="9"/>
      <c r="G82" s="29"/>
      <c r="H82" s="9"/>
      <c r="I82" s="64">
        <v>739872</v>
      </c>
      <c r="J82" s="64"/>
      <c r="K82" s="64">
        <v>739872</v>
      </c>
      <c r="L82" s="9"/>
      <c r="M82" s="158"/>
    </row>
    <row r="83" spans="1:13" s="90" customFormat="1" ht="18.600000000000001" customHeight="1" x14ac:dyDescent="0.2">
      <c r="A83" s="24"/>
      <c r="B83" s="9"/>
      <c r="C83" s="7"/>
      <c r="D83" s="3"/>
      <c r="E83" s="3" t="s">
        <v>191</v>
      </c>
      <c r="F83" s="9"/>
      <c r="G83" s="29"/>
      <c r="H83" s="9"/>
      <c r="I83" s="34">
        <f>SUM(I84:I123)</f>
        <v>14817297</v>
      </c>
      <c r="J83" s="34">
        <f t="shared" ref="J83:K83" si="9">SUM(J84:J123)</f>
        <v>0</v>
      </c>
      <c r="K83" s="34">
        <f t="shared" si="9"/>
        <v>14817297</v>
      </c>
      <c r="L83" s="9"/>
      <c r="M83" s="158"/>
    </row>
    <row r="84" spans="1:13" ht="52.5" customHeight="1" x14ac:dyDescent="0.2">
      <c r="A84" s="24"/>
      <c r="B84" s="27"/>
      <c r="C84" s="25"/>
      <c r="D84" s="58"/>
      <c r="E84" s="88" t="s">
        <v>308</v>
      </c>
      <c r="F84" s="27">
        <v>2020</v>
      </c>
      <c r="G84" s="37"/>
      <c r="H84" s="27"/>
      <c r="I84" s="5">
        <v>106000</v>
      </c>
      <c r="J84" s="5"/>
      <c r="K84" s="5">
        <f t="shared" ref="K84:K123" si="10">J84+I84</f>
        <v>106000</v>
      </c>
      <c r="L84" s="27"/>
      <c r="M84" s="158"/>
    </row>
    <row r="85" spans="1:13" ht="60.6" customHeight="1" x14ac:dyDescent="0.2">
      <c r="A85" s="24"/>
      <c r="B85" s="27"/>
      <c r="C85" s="25"/>
      <c r="D85" s="58"/>
      <c r="E85" s="88" t="s">
        <v>350</v>
      </c>
      <c r="F85" s="27">
        <v>2020</v>
      </c>
      <c r="G85" s="37"/>
      <c r="H85" s="27"/>
      <c r="I85" s="5">
        <v>200000</v>
      </c>
      <c r="J85" s="5"/>
      <c r="K85" s="5">
        <f t="shared" si="10"/>
        <v>200000</v>
      </c>
      <c r="L85" s="27"/>
      <c r="M85" s="158"/>
    </row>
    <row r="86" spans="1:13" ht="47.85" customHeight="1" x14ac:dyDescent="0.2">
      <c r="A86" s="24"/>
      <c r="B86" s="27"/>
      <c r="C86" s="25"/>
      <c r="D86" s="124"/>
      <c r="E86" s="88" t="s">
        <v>351</v>
      </c>
      <c r="F86" s="27" t="s">
        <v>248</v>
      </c>
      <c r="G86" s="37">
        <v>952286</v>
      </c>
      <c r="H86" s="27">
        <v>5.3</v>
      </c>
      <c r="I86" s="5">
        <v>901482</v>
      </c>
      <c r="J86" s="5"/>
      <c r="K86" s="5">
        <f t="shared" si="10"/>
        <v>901482</v>
      </c>
      <c r="L86" s="27">
        <v>100</v>
      </c>
      <c r="M86" s="158"/>
    </row>
    <row r="87" spans="1:13" ht="67.349999999999994" customHeight="1" x14ac:dyDescent="0.2">
      <c r="A87" s="24"/>
      <c r="B87" s="27"/>
      <c r="C87" s="25"/>
      <c r="D87" s="124"/>
      <c r="E87" s="88" t="s">
        <v>352</v>
      </c>
      <c r="F87" s="27">
        <v>2020</v>
      </c>
      <c r="G87" s="37"/>
      <c r="H87" s="27"/>
      <c r="I87" s="5">
        <v>1000000</v>
      </c>
      <c r="J87" s="5"/>
      <c r="K87" s="5">
        <f t="shared" si="10"/>
        <v>1000000</v>
      </c>
      <c r="L87" s="27"/>
      <c r="M87" s="158"/>
    </row>
    <row r="88" spans="1:13" ht="62.1" customHeight="1" x14ac:dyDescent="0.2">
      <c r="A88" s="24"/>
      <c r="B88" s="27"/>
      <c r="C88" s="25"/>
      <c r="D88" s="125"/>
      <c r="E88" s="88" t="s">
        <v>309</v>
      </c>
      <c r="F88" s="27">
        <v>2020</v>
      </c>
      <c r="G88" s="37"/>
      <c r="H88" s="27"/>
      <c r="I88" s="5">
        <v>150000</v>
      </c>
      <c r="J88" s="5"/>
      <c r="K88" s="5">
        <f t="shared" si="10"/>
        <v>150000</v>
      </c>
      <c r="L88" s="27"/>
      <c r="M88" s="158"/>
    </row>
    <row r="89" spans="1:13" ht="88.5" customHeight="1" x14ac:dyDescent="0.2">
      <c r="A89" s="24"/>
      <c r="B89" s="27"/>
      <c r="C89" s="25"/>
      <c r="D89" s="124"/>
      <c r="E89" s="88" t="s">
        <v>310</v>
      </c>
      <c r="F89" s="27">
        <v>2020</v>
      </c>
      <c r="G89" s="37"/>
      <c r="H89" s="27"/>
      <c r="I89" s="5">
        <v>700000</v>
      </c>
      <c r="J89" s="5"/>
      <c r="K89" s="5">
        <f t="shared" si="10"/>
        <v>700000</v>
      </c>
      <c r="L89" s="27"/>
      <c r="M89" s="158"/>
    </row>
    <row r="90" spans="1:13" ht="63.6" customHeight="1" x14ac:dyDescent="0.2">
      <c r="A90" s="24"/>
      <c r="B90" s="27"/>
      <c r="C90" s="25"/>
      <c r="D90" s="58"/>
      <c r="E90" s="88" t="s">
        <v>249</v>
      </c>
      <c r="F90" s="27">
        <v>2020</v>
      </c>
      <c r="G90" s="37"/>
      <c r="H90" s="27"/>
      <c r="I90" s="5">
        <v>200000</v>
      </c>
      <c r="J90" s="5"/>
      <c r="K90" s="5">
        <f t="shared" si="10"/>
        <v>200000</v>
      </c>
      <c r="L90" s="27"/>
      <c r="M90" s="158"/>
    </row>
    <row r="91" spans="1:13" ht="60" customHeight="1" x14ac:dyDescent="0.2">
      <c r="A91" s="24"/>
      <c r="B91" s="27"/>
      <c r="C91" s="25"/>
      <c r="D91" s="58"/>
      <c r="E91" s="88" t="s">
        <v>311</v>
      </c>
      <c r="F91" s="27">
        <v>2020</v>
      </c>
      <c r="G91" s="37"/>
      <c r="H91" s="27"/>
      <c r="I91" s="5">
        <v>200000</v>
      </c>
      <c r="J91" s="5"/>
      <c r="K91" s="5">
        <f t="shared" si="10"/>
        <v>200000</v>
      </c>
      <c r="L91" s="27"/>
      <c r="M91" s="158"/>
    </row>
    <row r="92" spans="1:13" ht="51" customHeight="1" x14ac:dyDescent="0.2">
      <c r="A92" s="24"/>
      <c r="B92" s="27"/>
      <c r="C92" s="25"/>
      <c r="D92" s="58"/>
      <c r="E92" s="88" t="s">
        <v>312</v>
      </c>
      <c r="F92" s="27">
        <v>2020</v>
      </c>
      <c r="G92" s="37"/>
      <c r="H92" s="27"/>
      <c r="I92" s="5">
        <v>200000</v>
      </c>
      <c r="J92" s="5"/>
      <c r="K92" s="5">
        <f t="shared" si="10"/>
        <v>200000</v>
      </c>
      <c r="L92" s="27"/>
      <c r="M92" s="158"/>
    </row>
    <row r="93" spans="1:13" ht="53.1" customHeight="1" x14ac:dyDescent="0.2">
      <c r="A93" s="24"/>
      <c r="B93" s="27"/>
      <c r="C93" s="25"/>
      <c r="D93" s="58"/>
      <c r="E93" s="88" t="s">
        <v>313</v>
      </c>
      <c r="F93" s="27">
        <v>2020</v>
      </c>
      <c r="G93" s="37"/>
      <c r="H93" s="27"/>
      <c r="I93" s="5">
        <v>137000</v>
      </c>
      <c r="J93" s="5"/>
      <c r="K93" s="5">
        <f t="shared" si="10"/>
        <v>137000</v>
      </c>
      <c r="L93" s="27"/>
      <c r="M93" s="158"/>
    </row>
    <row r="94" spans="1:13" ht="50.85" customHeight="1" x14ac:dyDescent="0.2">
      <c r="A94" s="24"/>
      <c r="B94" s="27"/>
      <c r="C94" s="25"/>
      <c r="D94" s="58"/>
      <c r="E94" s="88" t="s">
        <v>250</v>
      </c>
      <c r="F94" s="27">
        <v>2020</v>
      </c>
      <c r="G94" s="37"/>
      <c r="H94" s="27"/>
      <c r="I94" s="5">
        <v>200000</v>
      </c>
      <c r="J94" s="5"/>
      <c r="K94" s="5">
        <f t="shared" si="10"/>
        <v>200000</v>
      </c>
      <c r="L94" s="27"/>
      <c r="M94" s="158">
        <v>36</v>
      </c>
    </row>
    <row r="95" spans="1:13" ht="62.85" customHeight="1" x14ac:dyDescent="0.2">
      <c r="A95" s="24"/>
      <c r="B95" s="27"/>
      <c r="C95" s="25"/>
      <c r="D95" s="58"/>
      <c r="E95" s="88" t="s">
        <v>314</v>
      </c>
      <c r="F95" s="27">
        <v>2020</v>
      </c>
      <c r="G95" s="37"/>
      <c r="H95" s="27"/>
      <c r="I95" s="5">
        <v>200000</v>
      </c>
      <c r="J95" s="5"/>
      <c r="K95" s="5">
        <f t="shared" si="10"/>
        <v>200000</v>
      </c>
      <c r="L95" s="27"/>
      <c r="M95" s="158"/>
    </row>
    <row r="96" spans="1:13" ht="59.1" customHeight="1" x14ac:dyDescent="0.2">
      <c r="A96" s="24"/>
      <c r="B96" s="27"/>
      <c r="C96" s="25"/>
      <c r="D96" s="58"/>
      <c r="E96" s="88" t="s">
        <v>251</v>
      </c>
      <c r="F96" s="27">
        <v>2020</v>
      </c>
      <c r="G96" s="37"/>
      <c r="H96" s="27"/>
      <c r="I96" s="5">
        <v>150000</v>
      </c>
      <c r="J96" s="5"/>
      <c r="K96" s="5">
        <f t="shared" si="10"/>
        <v>150000</v>
      </c>
      <c r="L96" s="27"/>
      <c r="M96" s="158"/>
    </row>
    <row r="97" spans="1:13" ht="57" customHeight="1" x14ac:dyDescent="0.2">
      <c r="A97" s="24"/>
      <c r="B97" s="27"/>
      <c r="C97" s="25"/>
      <c r="D97" s="58"/>
      <c r="E97" s="88" t="s">
        <v>252</v>
      </c>
      <c r="F97" s="27">
        <v>2020</v>
      </c>
      <c r="G97" s="37"/>
      <c r="H97" s="27"/>
      <c r="I97" s="5">
        <v>70000</v>
      </c>
      <c r="J97" s="5"/>
      <c r="K97" s="5">
        <f t="shared" si="10"/>
        <v>70000</v>
      </c>
      <c r="L97" s="27"/>
      <c r="M97" s="158"/>
    </row>
    <row r="98" spans="1:13" ht="63.6" customHeight="1" x14ac:dyDescent="0.2">
      <c r="A98" s="24"/>
      <c r="B98" s="27"/>
      <c r="C98" s="25"/>
      <c r="D98" s="58"/>
      <c r="E98" s="88" t="s">
        <v>253</v>
      </c>
      <c r="F98" s="27">
        <v>2020</v>
      </c>
      <c r="G98" s="37"/>
      <c r="H98" s="27"/>
      <c r="I98" s="5">
        <v>130000</v>
      </c>
      <c r="J98" s="5"/>
      <c r="K98" s="5">
        <f t="shared" si="10"/>
        <v>130000</v>
      </c>
      <c r="L98" s="27"/>
      <c r="M98" s="158"/>
    </row>
    <row r="99" spans="1:13" ht="91.35" customHeight="1" x14ac:dyDescent="0.2">
      <c r="A99" s="24"/>
      <c r="B99" s="27"/>
      <c r="C99" s="25"/>
      <c r="D99" s="124"/>
      <c r="E99" s="88" t="s">
        <v>315</v>
      </c>
      <c r="F99" s="27">
        <v>2020</v>
      </c>
      <c r="G99" s="37"/>
      <c r="H99" s="27"/>
      <c r="I99" s="5">
        <v>1121482</v>
      </c>
      <c r="J99" s="5"/>
      <c r="K99" s="5">
        <f t="shared" si="10"/>
        <v>1121482</v>
      </c>
      <c r="L99" s="27"/>
      <c r="M99" s="158"/>
    </row>
    <row r="100" spans="1:13" ht="70.349999999999994" customHeight="1" x14ac:dyDescent="0.2">
      <c r="A100" s="24"/>
      <c r="B100" s="27"/>
      <c r="C100" s="25"/>
      <c r="D100" s="124"/>
      <c r="E100" s="88" t="s">
        <v>353</v>
      </c>
      <c r="F100" s="27">
        <v>2020</v>
      </c>
      <c r="G100" s="37"/>
      <c r="H100" s="27"/>
      <c r="I100" s="5">
        <v>478518</v>
      </c>
      <c r="J100" s="5"/>
      <c r="K100" s="5">
        <f t="shared" si="10"/>
        <v>478518</v>
      </c>
      <c r="L100" s="27"/>
      <c r="M100" s="158"/>
    </row>
    <row r="101" spans="1:13" ht="50.1" customHeight="1" x14ac:dyDescent="0.2">
      <c r="A101" s="24"/>
      <c r="B101" s="27"/>
      <c r="C101" s="25"/>
      <c r="D101" s="125"/>
      <c r="E101" s="88" t="s">
        <v>254</v>
      </c>
      <c r="F101" s="27">
        <v>2020</v>
      </c>
      <c r="G101" s="37"/>
      <c r="H101" s="27"/>
      <c r="I101" s="5">
        <v>200000</v>
      </c>
      <c r="J101" s="5"/>
      <c r="K101" s="5">
        <f t="shared" si="10"/>
        <v>200000</v>
      </c>
      <c r="L101" s="27"/>
      <c r="M101" s="158"/>
    </row>
    <row r="102" spans="1:13" ht="80.849999999999994" customHeight="1" x14ac:dyDescent="0.2">
      <c r="A102" s="24"/>
      <c r="B102" s="27"/>
      <c r="C102" s="25"/>
      <c r="D102" s="124"/>
      <c r="E102" s="88" t="s">
        <v>316</v>
      </c>
      <c r="F102" s="27">
        <v>2020</v>
      </c>
      <c r="G102" s="37"/>
      <c r="H102" s="27"/>
      <c r="I102" s="5">
        <v>915000</v>
      </c>
      <c r="J102" s="5"/>
      <c r="K102" s="5">
        <f t="shared" si="10"/>
        <v>915000</v>
      </c>
      <c r="L102" s="27"/>
      <c r="M102" s="158"/>
    </row>
    <row r="103" spans="1:13" ht="53.85" customHeight="1" x14ac:dyDescent="0.2">
      <c r="A103" s="24"/>
      <c r="B103" s="27"/>
      <c r="C103" s="25"/>
      <c r="D103" s="125"/>
      <c r="E103" s="88" t="s">
        <v>255</v>
      </c>
      <c r="F103" s="27">
        <v>2020</v>
      </c>
      <c r="G103" s="37"/>
      <c r="H103" s="27"/>
      <c r="I103" s="5">
        <v>200000</v>
      </c>
      <c r="J103" s="5"/>
      <c r="K103" s="5">
        <f t="shared" si="10"/>
        <v>200000</v>
      </c>
      <c r="L103" s="27"/>
      <c r="M103" s="158"/>
    </row>
    <row r="104" spans="1:13" ht="73.349999999999994" customHeight="1" x14ac:dyDescent="0.2">
      <c r="A104" s="24"/>
      <c r="B104" s="27"/>
      <c r="C104" s="25"/>
      <c r="D104" s="124"/>
      <c r="E104" s="88" t="s">
        <v>354</v>
      </c>
      <c r="F104" s="27" t="s">
        <v>248</v>
      </c>
      <c r="G104" s="37">
        <v>638165</v>
      </c>
      <c r="H104" s="27">
        <v>7.8</v>
      </c>
      <c r="I104" s="5">
        <v>588165</v>
      </c>
      <c r="J104" s="5"/>
      <c r="K104" s="5">
        <f t="shared" si="10"/>
        <v>588165</v>
      </c>
      <c r="L104" s="27">
        <v>100</v>
      </c>
      <c r="M104" s="158">
        <v>37</v>
      </c>
    </row>
    <row r="105" spans="1:13" ht="57" customHeight="1" x14ac:dyDescent="0.2">
      <c r="A105" s="24"/>
      <c r="B105" s="27"/>
      <c r="C105" s="25"/>
      <c r="D105" s="58"/>
      <c r="E105" s="88" t="s">
        <v>317</v>
      </c>
      <c r="F105" s="27">
        <v>2020</v>
      </c>
      <c r="G105" s="37"/>
      <c r="H105" s="27"/>
      <c r="I105" s="5">
        <v>200000</v>
      </c>
      <c r="J105" s="5"/>
      <c r="K105" s="5">
        <f t="shared" si="10"/>
        <v>200000</v>
      </c>
      <c r="L105" s="27"/>
      <c r="M105" s="158"/>
    </row>
    <row r="106" spans="1:13" ht="49.5" customHeight="1" x14ac:dyDescent="0.2">
      <c r="A106" s="24"/>
      <c r="B106" s="27"/>
      <c r="C106" s="25"/>
      <c r="D106" s="58"/>
      <c r="E106" s="88" t="s">
        <v>318</v>
      </c>
      <c r="F106" s="27">
        <v>2020</v>
      </c>
      <c r="G106" s="37"/>
      <c r="H106" s="27"/>
      <c r="I106" s="5">
        <v>200000</v>
      </c>
      <c r="J106" s="5"/>
      <c r="K106" s="5">
        <f t="shared" si="10"/>
        <v>200000</v>
      </c>
      <c r="L106" s="27"/>
      <c r="M106" s="158"/>
    </row>
    <row r="107" spans="1:13" ht="48.6" customHeight="1" x14ac:dyDescent="0.2">
      <c r="A107" s="24"/>
      <c r="B107" s="27"/>
      <c r="C107" s="25"/>
      <c r="D107" s="58"/>
      <c r="E107" s="88" t="s">
        <v>407</v>
      </c>
      <c r="F107" s="27">
        <v>2020</v>
      </c>
      <c r="G107" s="37"/>
      <c r="H107" s="27"/>
      <c r="I107" s="5">
        <v>166000</v>
      </c>
      <c r="J107" s="5"/>
      <c r="K107" s="5">
        <f t="shared" si="10"/>
        <v>166000</v>
      </c>
      <c r="L107" s="27"/>
      <c r="M107" s="158"/>
    </row>
    <row r="108" spans="1:13" ht="47.85" customHeight="1" x14ac:dyDescent="0.2">
      <c r="A108" s="24"/>
      <c r="B108" s="27"/>
      <c r="C108" s="25"/>
      <c r="D108" s="124"/>
      <c r="E108" s="88" t="s">
        <v>355</v>
      </c>
      <c r="F108" s="27" t="s">
        <v>54</v>
      </c>
      <c r="G108" s="37">
        <v>3799984</v>
      </c>
      <c r="H108" s="27">
        <v>50</v>
      </c>
      <c r="I108" s="5">
        <v>1899400</v>
      </c>
      <c r="J108" s="5"/>
      <c r="K108" s="5">
        <f t="shared" si="10"/>
        <v>1899400</v>
      </c>
      <c r="L108" s="27">
        <v>100</v>
      </c>
      <c r="M108" s="158"/>
    </row>
    <row r="109" spans="1:13" ht="48.6" customHeight="1" x14ac:dyDescent="0.2">
      <c r="A109" s="24"/>
      <c r="B109" s="27"/>
      <c r="C109" s="25"/>
      <c r="D109" s="125"/>
      <c r="E109" s="88" t="s">
        <v>256</v>
      </c>
      <c r="F109" s="27">
        <v>2020</v>
      </c>
      <c r="G109" s="37"/>
      <c r="H109" s="27"/>
      <c r="I109" s="5">
        <v>100000</v>
      </c>
      <c r="J109" s="5"/>
      <c r="K109" s="5">
        <f t="shared" si="10"/>
        <v>100000</v>
      </c>
      <c r="L109" s="27"/>
      <c r="M109" s="158"/>
    </row>
    <row r="110" spans="1:13" ht="47.1" customHeight="1" x14ac:dyDescent="0.2">
      <c r="A110" s="24"/>
      <c r="B110" s="27"/>
      <c r="C110" s="25"/>
      <c r="D110" s="125"/>
      <c r="E110" s="88" t="s">
        <v>356</v>
      </c>
      <c r="F110" s="27">
        <v>2020</v>
      </c>
      <c r="G110" s="37"/>
      <c r="H110" s="27"/>
      <c r="I110" s="5">
        <v>200000</v>
      </c>
      <c r="J110" s="5"/>
      <c r="K110" s="5">
        <f t="shared" si="10"/>
        <v>200000</v>
      </c>
      <c r="L110" s="27"/>
      <c r="M110" s="158"/>
    </row>
    <row r="111" spans="1:13" ht="59.85" customHeight="1" x14ac:dyDescent="0.2">
      <c r="A111" s="24"/>
      <c r="B111" s="27"/>
      <c r="C111" s="25"/>
      <c r="D111" s="124"/>
      <c r="E111" s="88" t="s">
        <v>357</v>
      </c>
      <c r="F111" s="27" t="s">
        <v>257</v>
      </c>
      <c r="G111" s="37">
        <v>749640</v>
      </c>
      <c r="H111" s="27">
        <v>5.3</v>
      </c>
      <c r="I111" s="5">
        <v>710250</v>
      </c>
      <c r="J111" s="5"/>
      <c r="K111" s="5">
        <f t="shared" si="10"/>
        <v>710250</v>
      </c>
      <c r="L111" s="27">
        <v>100</v>
      </c>
      <c r="M111" s="158"/>
    </row>
    <row r="112" spans="1:13" ht="46.35" customHeight="1" x14ac:dyDescent="0.2">
      <c r="A112" s="24"/>
      <c r="B112" s="27"/>
      <c r="C112" s="25"/>
      <c r="D112" s="125"/>
      <c r="E112" s="88" t="s">
        <v>258</v>
      </c>
      <c r="F112" s="27">
        <v>2020</v>
      </c>
      <c r="G112" s="37"/>
      <c r="H112" s="27"/>
      <c r="I112" s="5">
        <v>200000</v>
      </c>
      <c r="J112" s="5"/>
      <c r="K112" s="5">
        <f t="shared" si="10"/>
        <v>200000</v>
      </c>
      <c r="L112" s="27"/>
      <c r="M112" s="158"/>
    </row>
    <row r="113" spans="1:13" ht="83.85" customHeight="1" x14ac:dyDescent="0.2">
      <c r="A113" s="24"/>
      <c r="B113" s="27"/>
      <c r="C113" s="25"/>
      <c r="D113" s="124"/>
      <c r="E113" s="88" t="s">
        <v>259</v>
      </c>
      <c r="F113" s="27">
        <v>2020</v>
      </c>
      <c r="G113" s="37"/>
      <c r="H113" s="27"/>
      <c r="I113" s="5">
        <v>409000</v>
      </c>
      <c r="J113" s="5"/>
      <c r="K113" s="5">
        <f t="shared" si="10"/>
        <v>409000</v>
      </c>
      <c r="L113" s="27"/>
      <c r="M113" s="158"/>
    </row>
    <row r="114" spans="1:13" ht="50.1" customHeight="1" x14ac:dyDescent="0.2">
      <c r="A114" s="24"/>
      <c r="B114" s="27"/>
      <c r="C114" s="25"/>
      <c r="D114" s="125"/>
      <c r="E114" s="88" t="s">
        <v>391</v>
      </c>
      <c r="F114" s="27">
        <v>2020</v>
      </c>
      <c r="G114" s="37"/>
      <c r="H114" s="27"/>
      <c r="I114" s="5">
        <v>200000</v>
      </c>
      <c r="J114" s="5"/>
      <c r="K114" s="5">
        <f t="shared" si="10"/>
        <v>200000</v>
      </c>
      <c r="L114" s="27"/>
      <c r="M114" s="158"/>
    </row>
    <row r="115" spans="1:13" ht="65.099999999999994" customHeight="1" x14ac:dyDescent="0.2">
      <c r="A115" s="24"/>
      <c r="B115" s="27"/>
      <c r="C115" s="25"/>
      <c r="D115" s="124"/>
      <c r="E115" s="88" t="s">
        <v>260</v>
      </c>
      <c r="F115" s="27">
        <v>2020</v>
      </c>
      <c r="G115" s="37"/>
      <c r="H115" s="27"/>
      <c r="I115" s="5">
        <v>700000</v>
      </c>
      <c r="J115" s="5"/>
      <c r="K115" s="5">
        <f t="shared" si="10"/>
        <v>700000</v>
      </c>
      <c r="L115" s="27"/>
      <c r="M115" s="158"/>
    </row>
    <row r="116" spans="1:13" ht="60" customHeight="1" x14ac:dyDescent="0.2">
      <c r="A116" s="24"/>
      <c r="B116" s="27"/>
      <c r="C116" s="25"/>
      <c r="D116" s="124"/>
      <c r="E116" s="88" t="s">
        <v>319</v>
      </c>
      <c r="F116" s="27">
        <v>2020</v>
      </c>
      <c r="G116" s="37"/>
      <c r="H116" s="27"/>
      <c r="I116" s="5">
        <v>435000</v>
      </c>
      <c r="J116" s="5"/>
      <c r="K116" s="5">
        <f t="shared" si="10"/>
        <v>435000</v>
      </c>
      <c r="L116" s="27"/>
      <c r="M116" s="158">
        <v>38</v>
      </c>
    </row>
    <row r="117" spans="1:13" ht="53.85" customHeight="1" x14ac:dyDescent="0.2">
      <c r="A117" s="24"/>
      <c r="B117" s="27"/>
      <c r="C117" s="25"/>
      <c r="D117" s="125"/>
      <c r="E117" s="88" t="s">
        <v>261</v>
      </c>
      <c r="F117" s="27">
        <v>2020</v>
      </c>
      <c r="G117" s="37"/>
      <c r="H117" s="27"/>
      <c r="I117" s="5">
        <v>200000</v>
      </c>
      <c r="J117" s="5"/>
      <c r="K117" s="5">
        <f t="shared" si="10"/>
        <v>200000</v>
      </c>
      <c r="L117" s="27"/>
      <c r="M117" s="158"/>
    </row>
    <row r="118" spans="1:13" ht="67.349999999999994" customHeight="1" x14ac:dyDescent="0.2">
      <c r="A118" s="24"/>
      <c r="B118" s="27"/>
      <c r="C118" s="25"/>
      <c r="D118" s="125"/>
      <c r="E118" s="88" t="s">
        <v>358</v>
      </c>
      <c r="F118" s="27">
        <v>2020</v>
      </c>
      <c r="G118" s="37"/>
      <c r="H118" s="27"/>
      <c r="I118" s="5">
        <v>200000</v>
      </c>
      <c r="J118" s="5"/>
      <c r="K118" s="5">
        <f t="shared" si="10"/>
        <v>200000</v>
      </c>
      <c r="L118" s="27"/>
      <c r="M118" s="158"/>
    </row>
    <row r="119" spans="1:13" ht="76.349999999999994" customHeight="1" x14ac:dyDescent="0.2">
      <c r="A119" s="24"/>
      <c r="B119" s="27"/>
      <c r="C119" s="25"/>
      <c r="D119" s="58"/>
      <c r="E119" s="88" t="s">
        <v>359</v>
      </c>
      <c r="F119" s="27">
        <v>2020</v>
      </c>
      <c r="G119" s="37"/>
      <c r="H119" s="27"/>
      <c r="I119" s="5">
        <v>200000</v>
      </c>
      <c r="J119" s="5"/>
      <c r="K119" s="5">
        <f t="shared" si="10"/>
        <v>200000</v>
      </c>
      <c r="L119" s="27"/>
      <c r="M119" s="158"/>
    </row>
    <row r="120" spans="1:13" ht="76.5" customHeight="1" x14ac:dyDescent="0.2">
      <c r="A120" s="24"/>
      <c r="B120" s="27"/>
      <c r="C120" s="25"/>
      <c r="D120" s="58"/>
      <c r="E120" s="88" t="s">
        <v>320</v>
      </c>
      <c r="F120" s="27">
        <v>2020</v>
      </c>
      <c r="G120" s="37"/>
      <c r="H120" s="27"/>
      <c r="I120" s="5">
        <v>200000</v>
      </c>
      <c r="J120" s="5"/>
      <c r="K120" s="5">
        <f t="shared" si="10"/>
        <v>200000</v>
      </c>
      <c r="L120" s="27"/>
      <c r="M120" s="158"/>
    </row>
    <row r="121" spans="1:13" ht="74.849999999999994" customHeight="1" x14ac:dyDescent="0.2">
      <c r="A121" s="24"/>
      <c r="B121" s="27"/>
      <c r="C121" s="25"/>
      <c r="D121" s="58"/>
      <c r="E121" s="88" t="s">
        <v>360</v>
      </c>
      <c r="F121" s="27">
        <v>2020</v>
      </c>
      <c r="G121" s="37"/>
      <c r="H121" s="27"/>
      <c r="I121" s="5">
        <v>200000</v>
      </c>
      <c r="J121" s="5"/>
      <c r="K121" s="5">
        <f t="shared" si="10"/>
        <v>200000</v>
      </c>
      <c r="L121" s="27"/>
      <c r="M121" s="158"/>
    </row>
    <row r="122" spans="1:13" ht="70.349999999999994" customHeight="1" x14ac:dyDescent="0.2">
      <c r="A122" s="24"/>
      <c r="B122" s="27"/>
      <c r="C122" s="25"/>
      <c r="D122" s="58"/>
      <c r="E122" s="88" t="s">
        <v>361</v>
      </c>
      <c r="F122" s="27">
        <v>2020</v>
      </c>
      <c r="G122" s="37"/>
      <c r="H122" s="27"/>
      <c r="I122" s="5">
        <v>150000</v>
      </c>
      <c r="J122" s="5"/>
      <c r="K122" s="5">
        <f t="shared" si="10"/>
        <v>150000</v>
      </c>
      <c r="L122" s="27"/>
      <c r="M122" s="158"/>
    </row>
    <row r="123" spans="1:13" ht="65.099999999999994" customHeight="1" x14ac:dyDescent="0.2">
      <c r="A123" s="24"/>
      <c r="B123" s="27"/>
      <c r="C123" s="25"/>
      <c r="D123" s="58"/>
      <c r="E123" s="88" t="s">
        <v>321</v>
      </c>
      <c r="F123" s="27">
        <v>2020</v>
      </c>
      <c r="G123" s="37"/>
      <c r="H123" s="27"/>
      <c r="I123" s="5">
        <v>200000</v>
      </c>
      <c r="J123" s="5"/>
      <c r="K123" s="5">
        <f t="shared" si="10"/>
        <v>200000</v>
      </c>
      <c r="L123" s="27"/>
      <c r="M123" s="158"/>
    </row>
    <row r="124" spans="1:13" s="90" customFormat="1" ht="71.849999999999994" customHeight="1" x14ac:dyDescent="0.2">
      <c r="A124" s="101" t="s">
        <v>125</v>
      </c>
      <c r="B124" s="9">
        <v>1030</v>
      </c>
      <c r="C124" s="7" t="s">
        <v>122</v>
      </c>
      <c r="D124" s="6" t="s">
        <v>126</v>
      </c>
      <c r="E124" s="3" t="s">
        <v>191</v>
      </c>
      <c r="F124" s="9"/>
      <c r="G124" s="29"/>
      <c r="H124" s="9"/>
      <c r="I124" s="29">
        <f>I125</f>
        <v>150000</v>
      </c>
      <c r="J124" s="29">
        <f t="shared" ref="J124:K124" si="11">J125</f>
        <v>0</v>
      </c>
      <c r="K124" s="29">
        <f t="shared" si="11"/>
        <v>150000</v>
      </c>
      <c r="L124" s="9"/>
      <c r="M124" s="158"/>
    </row>
    <row r="125" spans="1:13" ht="52.5" customHeight="1" x14ac:dyDescent="0.2">
      <c r="A125" s="26"/>
      <c r="B125" s="27"/>
      <c r="C125" s="25"/>
      <c r="D125" s="4"/>
      <c r="E125" s="88" t="s">
        <v>262</v>
      </c>
      <c r="F125" s="97">
        <v>2020</v>
      </c>
      <c r="G125" s="97"/>
      <c r="H125" s="97"/>
      <c r="I125" s="5">
        <v>150000</v>
      </c>
      <c r="J125" s="39"/>
      <c r="K125" s="5">
        <f>J125+I125</f>
        <v>150000</v>
      </c>
      <c r="L125" s="9"/>
      <c r="M125" s="158"/>
    </row>
    <row r="126" spans="1:13" s="90" customFormat="1" ht="49.35" customHeight="1" x14ac:dyDescent="0.2">
      <c r="A126" s="101" t="s">
        <v>127</v>
      </c>
      <c r="B126" s="9">
        <v>1090</v>
      </c>
      <c r="C126" s="7" t="s">
        <v>128</v>
      </c>
      <c r="D126" s="6" t="s">
        <v>129</v>
      </c>
      <c r="E126" s="6"/>
      <c r="F126" s="9"/>
      <c r="G126" s="29"/>
      <c r="H126" s="9"/>
      <c r="I126" s="29">
        <f>I127</f>
        <v>300000</v>
      </c>
      <c r="J126" s="29">
        <f t="shared" ref="J126:K126" si="12">J127</f>
        <v>0</v>
      </c>
      <c r="K126" s="29">
        <f t="shared" si="12"/>
        <v>300000</v>
      </c>
      <c r="L126" s="9"/>
      <c r="M126" s="158">
        <v>39</v>
      </c>
    </row>
    <row r="127" spans="1:13" s="90" customFormat="1" ht="23.85" customHeight="1" x14ac:dyDescent="0.2">
      <c r="A127" s="101"/>
      <c r="B127" s="9"/>
      <c r="C127" s="7"/>
      <c r="D127" s="6"/>
      <c r="E127" s="3" t="s">
        <v>191</v>
      </c>
      <c r="F127" s="9"/>
      <c r="G127" s="29"/>
      <c r="H127" s="9"/>
      <c r="I127" s="34">
        <f>I128+I129+I130</f>
        <v>300000</v>
      </c>
      <c r="J127" s="34">
        <f t="shared" ref="J127:K127" si="13">J128+J129+J130</f>
        <v>0</v>
      </c>
      <c r="K127" s="34">
        <f t="shared" si="13"/>
        <v>300000</v>
      </c>
      <c r="L127" s="9"/>
      <c r="M127" s="158"/>
    </row>
    <row r="128" spans="1:13" ht="47.1" customHeight="1" x14ac:dyDescent="0.2">
      <c r="A128" s="26"/>
      <c r="B128" s="27"/>
      <c r="C128" s="25"/>
      <c r="D128" s="4"/>
      <c r="E128" s="4" t="s">
        <v>364</v>
      </c>
      <c r="F128" s="97">
        <v>2020</v>
      </c>
      <c r="G128" s="97"/>
      <c r="H128" s="97"/>
      <c r="I128" s="5">
        <v>100000</v>
      </c>
      <c r="J128" s="39"/>
      <c r="K128" s="5">
        <f>J128+I128</f>
        <v>100000</v>
      </c>
      <c r="L128" s="9"/>
      <c r="M128" s="158"/>
    </row>
    <row r="129" spans="1:13" ht="62.1" customHeight="1" x14ac:dyDescent="0.2">
      <c r="A129" s="26"/>
      <c r="B129" s="27"/>
      <c r="C129" s="25"/>
      <c r="D129" s="4"/>
      <c r="E129" s="98" t="s">
        <v>362</v>
      </c>
      <c r="F129" s="97">
        <v>2020</v>
      </c>
      <c r="G129" s="97"/>
      <c r="H129" s="97"/>
      <c r="I129" s="5">
        <v>100000</v>
      </c>
      <c r="J129" s="39"/>
      <c r="K129" s="5">
        <f>J129+I129</f>
        <v>100000</v>
      </c>
      <c r="L129" s="9"/>
      <c r="M129" s="158"/>
    </row>
    <row r="130" spans="1:13" ht="33" customHeight="1" x14ac:dyDescent="0.2">
      <c r="A130" s="26"/>
      <c r="B130" s="27"/>
      <c r="C130" s="25"/>
      <c r="D130" s="4"/>
      <c r="E130" s="99" t="s">
        <v>263</v>
      </c>
      <c r="F130" s="97">
        <v>2020</v>
      </c>
      <c r="G130" s="97"/>
      <c r="H130" s="97"/>
      <c r="I130" s="5">
        <v>100000</v>
      </c>
      <c r="J130" s="39"/>
      <c r="K130" s="5">
        <f>J130+I130</f>
        <v>100000</v>
      </c>
      <c r="L130" s="9"/>
      <c r="M130" s="158"/>
    </row>
    <row r="131" spans="1:13" s="90" customFormat="1" ht="25.5" x14ac:dyDescent="0.2">
      <c r="A131" s="101" t="s">
        <v>130</v>
      </c>
      <c r="B131" s="9">
        <v>1161</v>
      </c>
      <c r="C131" s="7" t="s">
        <v>131</v>
      </c>
      <c r="D131" s="6" t="s">
        <v>132</v>
      </c>
      <c r="E131" s="6"/>
      <c r="F131" s="9"/>
      <c r="G131" s="29"/>
      <c r="H131" s="9"/>
      <c r="I131" s="29">
        <f>I132</f>
        <v>100000</v>
      </c>
      <c r="J131" s="29">
        <f t="shared" ref="J131:K132" si="14">J132</f>
        <v>0</v>
      </c>
      <c r="K131" s="29">
        <f t="shared" si="14"/>
        <v>100000</v>
      </c>
      <c r="L131" s="9"/>
      <c r="M131" s="158"/>
    </row>
    <row r="132" spans="1:13" s="90" customFormat="1" ht="16.5" customHeight="1" x14ac:dyDescent="0.2">
      <c r="A132" s="101"/>
      <c r="B132" s="9"/>
      <c r="C132" s="7"/>
      <c r="D132" s="6"/>
      <c r="E132" s="3" t="s">
        <v>191</v>
      </c>
      <c r="F132" s="9"/>
      <c r="G132" s="29"/>
      <c r="H132" s="9"/>
      <c r="I132" s="34">
        <f>I133</f>
        <v>100000</v>
      </c>
      <c r="J132" s="34">
        <f t="shared" si="14"/>
        <v>0</v>
      </c>
      <c r="K132" s="34">
        <f t="shared" si="14"/>
        <v>100000</v>
      </c>
      <c r="L132" s="9"/>
      <c r="M132" s="158"/>
    </row>
    <row r="133" spans="1:13" s="36" customFormat="1" ht="43.5" customHeight="1" x14ac:dyDescent="0.2">
      <c r="A133" s="60"/>
      <c r="B133" s="35"/>
      <c r="C133" s="62"/>
      <c r="D133" s="58"/>
      <c r="E133" s="4" t="s">
        <v>322</v>
      </c>
      <c r="F133" s="27">
        <v>2020</v>
      </c>
      <c r="G133" s="39"/>
      <c r="H133" s="35"/>
      <c r="I133" s="5">
        <v>100000</v>
      </c>
      <c r="J133" s="5"/>
      <c r="K133" s="5">
        <f>J133+I133</f>
        <v>100000</v>
      </c>
      <c r="L133" s="24"/>
      <c r="M133" s="158"/>
    </row>
    <row r="134" spans="1:13" s="90" customFormat="1" ht="37.5" customHeight="1" x14ac:dyDescent="0.2">
      <c r="A134" s="101" t="s">
        <v>133</v>
      </c>
      <c r="B134" s="9">
        <v>5031</v>
      </c>
      <c r="C134" s="7" t="s">
        <v>102</v>
      </c>
      <c r="D134" s="6" t="s">
        <v>103</v>
      </c>
      <c r="E134" s="3" t="s">
        <v>192</v>
      </c>
      <c r="F134" s="9"/>
      <c r="G134" s="29"/>
      <c r="H134" s="9"/>
      <c r="I134" s="29">
        <v>550000</v>
      </c>
      <c r="J134" s="29"/>
      <c r="K134" s="29">
        <f>J134+I134</f>
        <v>550000</v>
      </c>
      <c r="L134" s="9"/>
      <c r="M134" s="158"/>
    </row>
    <row r="135" spans="1:13" s="90" customFormat="1" ht="34.35" customHeight="1" x14ac:dyDescent="0.2">
      <c r="A135" s="101" t="s">
        <v>134</v>
      </c>
      <c r="B135" s="9">
        <v>7640</v>
      </c>
      <c r="C135" s="7" t="s">
        <v>135</v>
      </c>
      <c r="D135" s="6" t="s">
        <v>7</v>
      </c>
      <c r="E135" s="6"/>
      <c r="F135" s="9"/>
      <c r="G135" s="29"/>
      <c r="H135" s="9"/>
      <c r="I135" s="29">
        <f>I136+I137</f>
        <v>2993200</v>
      </c>
      <c r="J135" s="29">
        <f t="shared" ref="J135:K135" si="15">J136+J137</f>
        <v>0</v>
      </c>
      <c r="K135" s="29">
        <f t="shared" si="15"/>
        <v>2993200</v>
      </c>
      <c r="L135" s="9"/>
      <c r="M135" s="158"/>
    </row>
    <row r="136" spans="1:13" s="90" customFormat="1" ht="27" x14ac:dyDescent="0.2">
      <c r="A136" s="24"/>
      <c r="B136" s="9"/>
      <c r="C136" s="7"/>
      <c r="D136" s="3"/>
      <c r="E136" s="3" t="s">
        <v>192</v>
      </c>
      <c r="F136" s="9"/>
      <c r="G136" s="29"/>
      <c r="H136" s="9"/>
      <c r="I136" s="34">
        <v>143200</v>
      </c>
      <c r="J136" s="34"/>
      <c r="K136" s="34">
        <f>J136+I136</f>
        <v>143200</v>
      </c>
      <c r="L136" s="9"/>
      <c r="M136" s="158"/>
    </row>
    <row r="137" spans="1:13" s="90" customFormat="1" ht="19.350000000000001" customHeight="1" x14ac:dyDescent="0.2">
      <c r="A137" s="101"/>
      <c r="B137" s="9"/>
      <c r="C137" s="7"/>
      <c r="D137" s="6"/>
      <c r="E137" s="3" t="s">
        <v>191</v>
      </c>
      <c r="F137" s="9"/>
      <c r="G137" s="29"/>
      <c r="H137" s="9"/>
      <c r="I137" s="34">
        <f>I138+I139+I140</f>
        <v>2850000</v>
      </c>
      <c r="J137" s="34">
        <f t="shared" ref="J137:K137" si="16">J138+J139+J140</f>
        <v>0</v>
      </c>
      <c r="K137" s="34">
        <f t="shared" si="16"/>
        <v>2850000</v>
      </c>
      <c r="L137" s="9"/>
      <c r="M137" s="158"/>
    </row>
    <row r="138" spans="1:13" ht="63" customHeight="1" x14ac:dyDescent="0.2">
      <c r="A138" s="26"/>
      <c r="B138" s="27"/>
      <c r="C138" s="25"/>
      <c r="D138" s="4"/>
      <c r="E138" s="99" t="s">
        <v>363</v>
      </c>
      <c r="F138" s="27">
        <v>2020</v>
      </c>
      <c r="G138" s="5"/>
      <c r="H138" s="27"/>
      <c r="I138" s="5">
        <v>1250000</v>
      </c>
      <c r="J138" s="5"/>
      <c r="K138" s="5">
        <f>J138+I138</f>
        <v>1250000</v>
      </c>
      <c r="L138" s="9"/>
      <c r="M138" s="158"/>
    </row>
    <row r="139" spans="1:13" ht="75" customHeight="1" x14ac:dyDescent="0.2">
      <c r="A139" s="26"/>
      <c r="B139" s="27"/>
      <c r="C139" s="25"/>
      <c r="D139" s="4"/>
      <c r="E139" s="4" t="s">
        <v>272</v>
      </c>
      <c r="F139" s="27">
        <v>2020</v>
      </c>
      <c r="G139" s="5"/>
      <c r="H139" s="27"/>
      <c r="I139" s="5">
        <v>800000</v>
      </c>
      <c r="J139" s="5"/>
      <c r="K139" s="5">
        <f>J139+I139</f>
        <v>800000</v>
      </c>
      <c r="L139" s="9"/>
      <c r="M139" s="158"/>
    </row>
    <row r="140" spans="1:13" ht="59.1" customHeight="1" x14ac:dyDescent="0.2">
      <c r="A140" s="26"/>
      <c r="B140" s="27"/>
      <c r="C140" s="25"/>
      <c r="D140" s="4"/>
      <c r="E140" s="4" t="s">
        <v>273</v>
      </c>
      <c r="F140" s="27">
        <v>2020</v>
      </c>
      <c r="G140" s="5"/>
      <c r="H140" s="27"/>
      <c r="I140" s="5">
        <v>800000</v>
      </c>
      <c r="J140" s="5"/>
      <c r="K140" s="5">
        <f>J140+I140</f>
        <v>800000</v>
      </c>
      <c r="L140" s="9"/>
      <c r="M140" s="158"/>
    </row>
    <row r="141" spans="1:13" s="73" customFormat="1" ht="41.85" customHeight="1" x14ac:dyDescent="0.25">
      <c r="A141" s="131" t="s">
        <v>136</v>
      </c>
      <c r="B141" s="66"/>
      <c r="C141" s="66"/>
      <c r="D141" s="129" t="s">
        <v>138</v>
      </c>
      <c r="E141" s="66"/>
      <c r="F141" s="66"/>
      <c r="G141" s="66"/>
      <c r="H141" s="66"/>
      <c r="I141" s="130">
        <f>I142</f>
        <v>69474904</v>
      </c>
      <c r="J141" s="130">
        <f>J142</f>
        <v>1200000</v>
      </c>
      <c r="K141" s="130">
        <f>K142</f>
        <v>70674904</v>
      </c>
      <c r="L141" s="66"/>
      <c r="M141" s="158"/>
    </row>
    <row r="142" spans="1:13" s="72" customFormat="1" ht="34.35" customHeight="1" x14ac:dyDescent="0.25">
      <c r="A142" s="132" t="s">
        <v>137</v>
      </c>
      <c r="B142" s="66"/>
      <c r="C142" s="67"/>
      <c r="D142" s="74" t="s">
        <v>138</v>
      </c>
      <c r="E142" s="68"/>
      <c r="F142" s="66"/>
      <c r="G142" s="69"/>
      <c r="H142" s="66"/>
      <c r="I142" s="75">
        <f>I143+I144+I145+I146</f>
        <v>69474904</v>
      </c>
      <c r="J142" s="75">
        <f>J143+J144+J145+J146</f>
        <v>1200000</v>
      </c>
      <c r="K142" s="75">
        <f>K143+K144+K145+K146</f>
        <v>70674904</v>
      </c>
      <c r="L142" s="71"/>
      <c r="M142" s="158"/>
    </row>
    <row r="143" spans="1:13" ht="34.35" customHeight="1" x14ac:dyDescent="0.2">
      <c r="A143" s="101" t="s">
        <v>139</v>
      </c>
      <c r="B143" s="9">
        <v>2010</v>
      </c>
      <c r="C143" s="7" t="s">
        <v>140</v>
      </c>
      <c r="D143" s="6" t="s">
        <v>141</v>
      </c>
      <c r="E143" s="3" t="s">
        <v>194</v>
      </c>
      <c r="F143" s="27"/>
      <c r="G143" s="5"/>
      <c r="H143" s="27"/>
      <c r="I143" s="29">
        <v>27530000</v>
      </c>
      <c r="J143" s="29">
        <v>1100000</v>
      </c>
      <c r="K143" s="29">
        <f>J143+I143</f>
        <v>28630000</v>
      </c>
      <c r="L143" s="9"/>
      <c r="M143" s="158">
        <v>40</v>
      </c>
    </row>
    <row r="144" spans="1:13" ht="34.35" customHeight="1" x14ac:dyDescent="0.2">
      <c r="A144" s="101" t="s">
        <v>142</v>
      </c>
      <c r="B144" s="9">
        <v>2030</v>
      </c>
      <c r="C144" s="7" t="s">
        <v>143</v>
      </c>
      <c r="D144" s="6" t="s">
        <v>144</v>
      </c>
      <c r="E144" s="3" t="s">
        <v>194</v>
      </c>
      <c r="F144" s="27"/>
      <c r="G144" s="5"/>
      <c r="H144" s="27"/>
      <c r="I144" s="29">
        <v>15040600</v>
      </c>
      <c r="J144" s="29"/>
      <c r="K144" s="29">
        <f>J144+I144</f>
        <v>15040600</v>
      </c>
      <c r="L144" s="9"/>
      <c r="M144" s="158"/>
    </row>
    <row r="145" spans="1:13" ht="34.35" customHeight="1" x14ac:dyDescent="0.2">
      <c r="A145" s="101" t="s">
        <v>145</v>
      </c>
      <c r="B145" s="9">
        <v>21000</v>
      </c>
      <c r="C145" s="7" t="s">
        <v>146</v>
      </c>
      <c r="D145" s="6" t="s">
        <v>147</v>
      </c>
      <c r="E145" s="3" t="s">
        <v>194</v>
      </c>
      <c r="F145" s="27"/>
      <c r="G145" s="5"/>
      <c r="H145" s="27"/>
      <c r="I145" s="29">
        <v>1130000</v>
      </c>
      <c r="J145" s="29"/>
      <c r="K145" s="29">
        <f>J145+I145</f>
        <v>1130000</v>
      </c>
      <c r="L145" s="9"/>
      <c r="M145" s="158"/>
    </row>
    <row r="146" spans="1:13" ht="34.35" customHeight="1" x14ac:dyDescent="0.2">
      <c r="A146" s="101" t="s">
        <v>148</v>
      </c>
      <c r="B146" s="9">
        <v>7640</v>
      </c>
      <c r="C146" s="7" t="s">
        <v>135</v>
      </c>
      <c r="D146" s="6" t="s">
        <v>7</v>
      </c>
      <c r="E146" s="3" t="s">
        <v>194</v>
      </c>
      <c r="F146" s="27"/>
      <c r="G146" s="5"/>
      <c r="H146" s="27"/>
      <c r="I146" s="29">
        <v>25774304</v>
      </c>
      <c r="J146" s="29">
        <f>1200000-1100000</f>
        <v>100000</v>
      </c>
      <c r="K146" s="29">
        <f>J146+I146</f>
        <v>25874304</v>
      </c>
      <c r="L146" s="9"/>
      <c r="M146" s="158"/>
    </row>
    <row r="147" spans="1:13" s="73" customFormat="1" ht="34.35" customHeight="1" x14ac:dyDescent="0.25">
      <c r="A147" s="131" t="s">
        <v>149</v>
      </c>
      <c r="B147" s="66"/>
      <c r="C147" s="67"/>
      <c r="D147" s="133" t="s">
        <v>151</v>
      </c>
      <c r="E147" s="68"/>
      <c r="F147" s="66"/>
      <c r="G147" s="69"/>
      <c r="H147" s="66"/>
      <c r="I147" s="130">
        <f>I148</f>
        <v>735640</v>
      </c>
      <c r="J147" s="130">
        <f>J148</f>
        <v>0</v>
      </c>
      <c r="K147" s="130">
        <f>K148</f>
        <v>735640</v>
      </c>
      <c r="L147" s="71"/>
      <c r="M147" s="158"/>
    </row>
    <row r="148" spans="1:13" s="72" customFormat="1" ht="37.5" customHeight="1" x14ac:dyDescent="0.25">
      <c r="A148" s="132" t="s">
        <v>150</v>
      </c>
      <c r="B148" s="66"/>
      <c r="C148" s="67"/>
      <c r="D148" s="134" t="s">
        <v>151</v>
      </c>
      <c r="E148" s="68"/>
      <c r="F148" s="66"/>
      <c r="G148" s="69"/>
      <c r="H148" s="66"/>
      <c r="I148" s="75">
        <f>I149+I153</f>
        <v>735640</v>
      </c>
      <c r="J148" s="75">
        <f>J149+J153</f>
        <v>0</v>
      </c>
      <c r="K148" s="75">
        <f>K149+K153</f>
        <v>735640</v>
      </c>
      <c r="L148" s="71"/>
      <c r="M148" s="158"/>
    </row>
    <row r="149" spans="1:13" s="90" customFormat="1" ht="44.1" customHeight="1" x14ac:dyDescent="0.2">
      <c r="A149" s="135" t="s">
        <v>152</v>
      </c>
      <c r="B149" s="9">
        <v>3241</v>
      </c>
      <c r="C149" s="7" t="s">
        <v>153</v>
      </c>
      <c r="D149" s="6" t="s">
        <v>154</v>
      </c>
      <c r="E149" s="6"/>
      <c r="F149" s="9"/>
      <c r="G149" s="29"/>
      <c r="H149" s="9"/>
      <c r="I149" s="29">
        <f>I150+I151</f>
        <v>700000</v>
      </c>
      <c r="J149" s="29">
        <f t="shared" ref="J149:K149" si="17">J150+J151</f>
        <v>0</v>
      </c>
      <c r="K149" s="29">
        <f t="shared" si="17"/>
        <v>700000</v>
      </c>
      <c r="L149" s="9"/>
      <c r="M149" s="158"/>
    </row>
    <row r="150" spans="1:13" s="90" customFormat="1" ht="27" x14ac:dyDescent="0.2">
      <c r="A150" s="24"/>
      <c r="B150" s="9"/>
      <c r="C150" s="7"/>
      <c r="D150" s="3"/>
      <c r="E150" s="3" t="s">
        <v>192</v>
      </c>
      <c r="F150" s="9"/>
      <c r="G150" s="29"/>
      <c r="H150" s="9"/>
      <c r="I150" s="34">
        <v>500000</v>
      </c>
      <c r="J150" s="34"/>
      <c r="K150" s="34">
        <f>J150+I150</f>
        <v>500000</v>
      </c>
      <c r="L150" s="9"/>
      <c r="M150" s="158"/>
    </row>
    <row r="151" spans="1:13" s="90" customFormat="1" ht="28.35" customHeight="1" x14ac:dyDescent="0.2">
      <c r="A151" s="101"/>
      <c r="B151" s="9"/>
      <c r="C151" s="7"/>
      <c r="D151" s="6"/>
      <c r="E151" s="3" t="s">
        <v>191</v>
      </c>
      <c r="F151" s="9"/>
      <c r="G151" s="29"/>
      <c r="H151" s="9"/>
      <c r="I151" s="34">
        <f>I152</f>
        <v>200000</v>
      </c>
      <c r="J151" s="34">
        <f t="shared" ref="J151:K151" si="18">J152</f>
        <v>0</v>
      </c>
      <c r="K151" s="34">
        <f t="shared" si="18"/>
        <v>200000</v>
      </c>
      <c r="L151" s="9"/>
      <c r="M151" s="158"/>
    </row>
    <row r="152" spans="1:13" ht="48.6" customHeight="1" x14ac:dyDescent="0.2">
      <c r="A152" s="26"/>
      <c r="B152" s="27"/>
      <c r="C152" s="25"/>
      <c r="D152" s="4"/>
      <c r="E152" s="4" t="s">
        <v>269</v>
      </c>
      <c r="F152" s="27">
        <v>2020</v>
      </c>
      <c r="G152" s="37"/>
      <c r="H152" s="27"/>
      <c r="I152" s="5">
        <v>200000</v>
      </c>
      <c r="J152" s="5"/>
      <c r="K152" s="5">
        <f>J152+I152</f>
        <v>200000</v>
      </c>
      <c r="L152" s="27"/>
      <c r="M152" s="158"/>
    </row>
    <row r="153" spans="1:13" s="90" customFormat="1" ht="34.35" customHeight="1" x14ac:dyDescent="0.2">
      <c r="A153" s="135" t="s">
        <v>155</v>
      </c>
      <c r="B153" s="9">
        <v>3242</v>
      </c>
      <c r="C153" s="7" t="s">
        <v>153</v>
      </c>
      <c r="D153" s="6" t="s">
        <v>156</v>
      </c>
      <c r="E153" s="3" t="s">
        <v>195</v>
      </c>
      <c r="F153" s="9"/>
      <c r="G153" s="29"/>
      <c r="H153" s="9"/>
      <c r="I153" s="29">
        <v>35640</v>
      </c>
      <c r="J153" s="29"/>
      <c r="K153" s="29">
        <f>J153+I153</f>
        <v>35640</v>
      </c>
      <c r="L153" s="9"/>
      <c r="M153" s="158"/>
    </row>
    <row r="154" spans="1:13" s="73" customFormat="1" ht="34.35" customHeight="1" x14ac:dyDescent="0.25">
      <c r="A154" s="136" t="s">
        <v>157</v>
      </c>
      <c r="B154" s="137"/>
      <c r="C154" s="137"/>
      <c r="D154" s="133" t="s">
        <v>158</v>
      </c>
      <c r="E154" s="68"/>
      <c r="F154" s="66"/>
      <c r="G154" s="69"/>
      <c r="H154" s="66"/>
      <c r="I154" s="130">
        <f t="shared" ref="I154:K155" si="19">I155</f>
        <v>20000</v>
      </c>
      <c r="J154" s="130">
        <f t="shared" si="19"/>
        <v>0</v>
      </c>
      <c r="K154" s="130">
        <f t="shared" si="19"/>
        <v>20000</v>
      </c>
      <c r="L154" s="66"/>
      <c r="M154" s="158"/>
    </row>
    <row r="155" spans="1:13" s="72" customFormat="1" ht="34.35" customHeight="1" x14ac:dyDescent="0.25">
      <c r="A155" s="138" t="s">
        <v>159</v>
      </c>
      <c r="B155" s="139"/>
      <c r="C155" s="139"/>
      <c r="D155" s="134" t="s">
        <v>158</v>
      </c>
      <c r="E155" s="68"/>
      <c r="F155" s="66"/>
      <c r="G155" s="69"/>
      <c r="H155" s="66"/>
      <c r="I155" s="75">
        <f t="shared" si="19"/>
        <v>20000</v>
      </c>
      <c r="J155" s="75">
        <f t="shared" si="19"/>
        <v>0</v>
      </c>
      <c r="K155" s="75">
        <f t="shared" si="19"/>
        <v>20000</v>
      </c>
      <c r="L155" s="66"/>
      <c r="M155" s="158"/>
    </row>
    <row r="156" spans="1:13" s="90" customFormat="1" ht="78" customHeight="1" x14ac:dyDescent="0.2">
      <c r="A156" s="135" t="s">
        <v>160</v>
      </c>
      <c r="B156" s="9">
        <v>3111</v>
      </c>
      <c r="C156" s="7" t="s">
        <v>161</v>
      </c>
      <c r="D156" s="6" t="s">
        <v>162</v>
      </c>
      <c r="E156" s="3" t="s">
        <v>192</v>
      </c>
      <c r="F156" s="9"/>
      <c r="G156" s="29"/>
      <c r="H156" s="9"/>
      <c r="I156" s="29">
        <v>20000</v>
      </c>
      <c r="J156" s="29"/>
      <c r="K156" s="29">
        <f>J156+I156</f>
        <v>20000</v>
      </c>
      <c r="L156" s="9"/>
      <c r="M156" s="158"/>
    </row>
    <row r="157" spans="1:13" s="73" customFormat="1" ht="34.35" customHeight="1" x14ac:dyDescent="0.25">
      <c r="A157" s="131" t="s">
        <v>163</v>
      </c>
      <c r="B157" s="140"/>
      <c r="C157" s="140"/>
      <c r="D157" s="133" t="s">
        <v>164</v>
      </c>
      <c r="E157" s="68"/>
      <c r="F157" s="66"/>
      <c r="G157" s="69"/>
      <c r="H157" s="66"/>
      <c r="I157" s="130">
        <f>I158</f>
        <v>996000</v>
      </c>
      <c r="J157" s="130">
        <f>J158</f>
        <v>0</v>
      </c>
      <c r="K157" s="130">
        <f>K158</f>
        <v>996000</v>
      </c>
      <c r="L157" s="66"/>
      <c r="M157" s="158"/>
    </row>
    <row r="158" spans="1:13" s="72" customFormat="1" ht="34.35" customHeight="1" x14ac:dyDescent="0.25">
      <c r="A158" s="132" t="s">
        <v>165</v>
      </c>
      <c r="B158" s="141"/>
      <c r="C158" s="141"/>
      <c r="D158" s="134" t="s">
        <v>164</v>
      </c>
      <c r="E158" s="68"/>
      <c r="F158" s="66"/>
      <c r="G158" s="69"/>
      <c r="H158" s="66"/>
      <c r="I158" s="75">
        <f>I159+I160+I161</f>
        <v>996000</v>
      </c>
      <c r="J158" s="75">
        <f>J159+J160+J161</f>
        <v>0</v>
      </c>
      <c r="K158" s="75">
        <f>K159+K160+K161</f>
        <v>996000</v>
      </c>
      <c r="L158" s="66"/>
      <c r="M158" s="158"/>
    </row>
    <row r="159" spans="1:13" s="90" customFormat="1" ht="34.35" customHeight="1" x14ac:dyDescent="0.2">
      <c r="A159" s="135" t="s">
        <v>166</v>
      </c>
      <c r="B159" s="9">
        <v>1100</v>
      </c>
      <c r="C159" s="7" t="s">
        <v>128</v>
      </c>
      <c r="D159" s="6" t="s">
        <v>167</v>
      </c>
      <c r="E159" s="3" t="s">
        <v>192</v>
      </c>
      <c r="F159" s="9"/>
      <c r="G159" s="29"/>
      <c r="H159" s="9"/>
      <c r="I159" s="29">
        <v>500000</v>
      </c>
      <c r="J159" s="29"/>
      <c r="K159" s="29">
        <f>J159+I159</f>
        <v>500000</v>
      </c>
      <c r="L159" s="9"/>
      <c r="M159" s="158"/>
    </row>
    <row r="160" spans="1:13" s="90" customFormat="1" ht="34.35" customHeight="1" x14ac:dyDescent="0.2">
      <c r="A160" s="135" t="s">
        <v>168</v>
      </c>
      <c r="B160" s="9">
        <v>4030</v>
      </c>
      <c r="C160" s="7" t="s">
        <v>169</v>
      </c>
      <c r="D160" s="6" t="s">
        <v>170</v>
      </c>
      <c r="E160" s="3" t="s">
        <v>192</v>
      </c>
      <c r="F160" s="9"/>
      <c r="G160" s="29"/>
      <c r="H160" s="9"/>
      <c r="I160" s="29">
        <v>100000</v>
      </c>
      <c r="J160" s="29"/>
      <c r="K160" s="29">
        <f>J160+I160</f>
        <v>100000</v>
      </c>
      <c r="L160" s="9"/>
      <c r="M160" s="158"/>
    </row>
    <row r="161" spans="1:13" s="90" customFormat="1" ht="34.35" customHeight="1" x14ac:dyDescent="0.2">
      <c r="A161" s="135" t="s">
        <v>171</v>
      </c>
      <c r="B161" s="9">
        <v>7640</v>
      </c>
      <c r="C161" s="7" t="s">
        <v>135</v>
      </c>
      <c r="D161" s="142" t="s">
        <v>7</v>
      </c>
      <c r="E161" s="3" t="s">
        <v>191</v>
      </c>
      <c r="F161" s="9"/>
      <c r="G161" s="29"/>
      <c r="H161" s="9"/>
      <c r="I161" s="34">
        <f>I162</f>
        <v>396000</v>
      </c>
      <c r="J161" s="34">
        <f t="shared" ref="J161:K161" si="20">J162</f>
        <v>0</v>
      </c>
      <c r="K161" s="34">
        <f t="shared" si="20"/>
        <v>396000</v>
      </c>
      <c r="L161" s="9"/>
      <c r="M161" s="158">
        <v>41</v>
      </c>
    </row>
    <row r="162" spans="1:13" ht="46.35" customHeight="1" x14ac:dyDescent="0.2">
      <c r="A162" s="143"/>
      <c r="B162" s="27"/>
      <c r="C162" s="25"/>
      <c r="D162" s="144"/>
      <c r="E162" s="4" t="s">
        <v>196</v>
      </c>
      <c r="F162" s="27">
        <v>2020</v>
      </c>
      <c r="G162" s="37">
        <v>396000</v>
      </c>
      <c r="H162" s="27"/>
      <c r="I162" s="5">
        <v>396000</v>
      </c>
      <c r="J162" s="5"/>
      <c r="K162" s="5">
        <f>J162+I162</f>
        <v>396000</v>
      </c>
      <c r="L162" s="27">
        <v>100</v>
      </c>
      <c r="M162" s="158"/>
    </row>
    <row r="163" spans="1:13" s="73" customFormat="1" ht="33" customHeight="1" x14ac:dyDescent="0.25">
      <c r="A163" s="71">
        <v>1200000</v>
      </c>
      <c r="B163" s="66"/>
      <c r="C163" s="66"/>
      <c r="D163" s="129" t="s">
        <v>16</v>
      </c>
      <c r="E163" s="66"/>
      <c r="F163" s="66"/>
      <c r="G163" s="66"/>
      <c r="H163" s="66"/>
      <c r="I163" s="130">
        <f>I164</f>
        <v>134017289</v>
      </c>
      <c r="J163" s="130">
        <f t="shared" ref="J163:K163" si="21">J164</f>
        <v>799999.99999999814</v>
      </c>
      <c r="K163" s="130">
        <f t="shared" si="21"/>
        <v>134817289</v>
      </c>
      <c r="L163" s="66"/>
      <c r="M163" s="158"/>
    </row>
    <row r="164" spans="1:13" s="87" customFormat="1" ht="32.85" customHeight="1" x14ac:dyDescent="0.25">
      <c r="A164" s="65">
        <v>1210000</v>
      </c>
      <c r="B164" s="83"/>
      <c r="C164" s="83"/>
      <c r="D164" s="74" t="s">
        <v>16</v>
      </c>
      <c r="E164" s="83"/>
      <c r="F164" s="83"/>
      <c r="G164" s="83"/>
      <c r="H164" s="83"/>
      <c r="I164" s="75">
        <f>I290+I311+I321+I165+I198+I202+I222+I287+I323+I328+I329</f>
        <v>134017289</v>
      </c>
      <c r="J164" s="75">
        <f>J290+J311+J321+J165+J198+J202+J222+J287+J323+J328+J329</f>
        <v>799999.99999999814</v>
      </c>
      <c r="K164" s="75">
        <f>K290+K311+K321+K165+K198+K202+K222+K287+K323+K328+K329</f>
        <v>134817289</v>
      </c>
      <c r="L164" s="83"/>
      <c r="M164" s="158"/>
    </row>
    <row r="165" spans="1:13" s="90" customFormat="1" ht="32.85" customHeight="1" x14ac:dyDescent="0.2">
      <c r="A165" s="9">
        <v>1216011</v>
      </c>
      <c r="B165" s="9">
        <v>6011</v>
      </c>
      <c r="C165" s="7" t="s">
        <v>172</v>
      </c>
      <c r="D165" s="142" t="s">
        <v>173</v>
      </c>
      <c r="E165" s="9"/>
      <c r="F165" s="9"/>
      <c r="G165" s="9"/>
      <c r="H165" s="9"/>
      <c r="I165" s="29">
        <f>I166+I189</f>
        <v>10500000</v>
      </c>
      <c r="J165" s="29">
        <f>J166+J189</f>
        <v>-1188215.76</v>
      </c>
      <c r="K165" s="29">
        <f>K166+K189</f>
        <v>9311784.2400000021</v>
      </c>
      <c r="L165" s="9"/>
      <c r="M165" s="158"/>
    </row>
    <row r="166" spans="1:13" s="90" customFormat="1" ht="32.85" customHeight="1" x14ac:dyDescent="0.2">
      <c r="A166" s="9"/>
      <c r="B166" s="9"/>
      <c r="C166" s="7"/>
      <c r="D166" s="142"/>
      <c r="E166" s="3" t="s">
        <v>195</v>
      </c>
      <c r="F166" s="9"/>
      <c r="G166" s="9"/>
      <c r="H166" s="9"/>
      <c r="I166" s="34">
        <f>SUM(I167:I188)</f>
        <v>7500000.0000000009</v>
      </c>
      <c r="J166" s="34">
        <f>SUM(J167:J188)</f>
        <v>-500000</v>
      </c>
      <c r="K166" s="34">
        <f>SUM(K167:K188)</f>
        <v>7000000.0000000009</v>
      </c>
      <c r="L166" s="9"/>
      <c r="M166" s="158"/>
    </row>
    <row r="167" spans="1:13" s="36" customFormat="1" ht="43.5" customHeight="1" x14ac:dyDescent="0.2">
      <c r="A167" s="35"/>
      <c r="B167" s="35"/>
      <c r="C167" s="62"/>
      <c r="D167" s="126"/>
      <c r="E167" s="4" t="s">
        <v>365</v>
      </c>
      <c r="F167" s="27" t="s">
        <v>54</v>
      </c>
      <c r="G167" s="37">
        <v>973582</v>
      </c>
      <c r="H167" s="38">
        <v>43.903441107169193</v>
      </c>
      <c r="I167" s="91">
        <v>546146</v>
      </c>
      <c r="J167" s="91"/>
      <c r="K167" s="5">
        <f t="shared" ref="K167:K188" si="22">J167+I167</f>
        <v>546146</v>
      </c>
      <c r="L167" s="37">
        <v>100</v>
      </c>
      <c r="M167" s="158"/>
    </row>
    <row r="168" spans="1:13" s="36" customFormat="1" ht="46.35" customHeight="1" x14ac:dyDescent="0.2">
      <c r="A168" s="35"/>
      <c r="B168" s="35"/>
      <c r="C168" s="62"/>
      <c r="D168" s="126"/>
      <c r="E168" s="4" t="s">
        <v>366</v>
      </c>
      <c r="F168" s="27" t="s">
        <v>54</v>
      </c>
      <c r="G168" s="37">
        <v>468732</v>
      </c>
      <c r="H168" s="38">
        <v>36.582667707773311</v>
      </c>
      <c r="I168" s="91">
        <v>297257.33</v>
      </c>
      <c r="J168" s="91"/>
      <c r="K168" s="5">
        <f t="shared" si="22"/>
        <v>297257.33</v>
      </c>
      <c r="L168" s="37">
        <v>100</v>
      </c>
      <c r="M168" s="158"/>
    </row>
    <row r="169" spans="1:13" s="36" customFormat="1" ht="38.1" customHeight="1" x14ac:dyDescent="0.2">
      <c r="A169" s="35"/>
      <c r="B169" s="35"/>
      <c r="C169" s="62"/>
      <c r="D169" s="126"/>
      <c r="E169" s="4" t="s">
        <v>367</v>
      </c>
      <c r="F169" s="27" t="s">
        <v>54</v>
      </c>
      <c r="G169" s="37">
        <v>59996</v>
      </c>
      <c r="H169" s="38">
        <v>7.1668611240749414</v>
      </c>
      <c r="I169" s="91">
        <v>55696.17</v>
      </c>
      <c r="J169" s="91"/>
      <c r="K169" s="5">
        <f t="shared" si="22"/>
        <v>55696.17</v>
      </c>
      <c r="L169" s="37">
        <v>100</v>
      </c>
      <c r="M169" s="158"/>
    </row>
    <row r="170" spans="1:13" s="36" customFormat="1" ht="52.35" customHeight="1" x14ac:dyDescent="0.2">
      <c r="A170" s="35"/>
      <c r="B170" s="35"/>
      <c r="C170" s="62"/>
      <c r="D170" s="126"/>
      <c r="E170" s="4" t="s">
        <v>368</v>
      </c>
      <c r="F170" s="27" t="s">
        <v>54</v>
      </c>
      <c r="G170" s="37">
        <v>40000</v>
      </c>
      <c r="H170" s="38">
        <v>6.8765250000000018</v>
      </c>
      <c r="I170" s="91">
        <v>37249.39</v>
      </c>
      <c r="J170" s="91"/>
      <c r="K170" s="5">
        <f t="shared" si="22"/>
        <v>37249.39</v>
      </c>
      <c r="L170" s="37">
        <v>100</v>
      </c>
      <c r="M170" s="158"/>
    </row>
    <row r="171" spans="1:13" s="36" customFormat="1" ht="44.1" customHeight="1" x14ac:dyDescent="0.2">
      <c r="A171" s="35"/>
      <c r="B171" s="35"/>
      <c r="C171" s="62"/>
      <c r="D171" s="126"/>
      <c r="E171" s="4" t="s">
        <v>369</v>
      </c>
      <c r="F171" s="27" t="s">
        <v>54</v>
      </c>
      <c r="G171" s="37">
        <v>210007</v>
      </c>
      <c r="H171" s="38">
        <v>1.8121205483626674</v>
      </c>
      <c r="I171" s="91">
        <v>206201.42</v>
      </c>
      <c r="J171" s="91"/>
      <c r="K171" s="5">
        <f t="shared" si="22"/>
        <v>206201.42</v>
      </c>
      <c r="L171" s="37">
        <v>100</v>
      </c>
      <c r="M171" s="158"/>
    </row>
    <row r="172" spans="1:13" s="36" customFormat="1" ht="52.35" customHeight="1" x14ac:dyDescent="0.2">
      <c r="A172" s="35"/>
      <c r="B172" s="35"/>
      <c r="C172" s="62"/>
      <c r="D172" s="126"/>
      <c r="E172" s="4" t="s">
        <v>370</v>
      </c>
      <c r="F172" s="27" t="s">
        <v>54</v>
      </c>
      <c r="G172" s="37">
        <v>21484</v>
      </c>
      <c r="H172" s="38">
        <v>4.0531558369018752</v>
      </c>
      <c r="I172" s="91">
        <v>20613.22</v>
      </c>
      <c r="J172" s="91"/>
      <c r="K172" s="5">
        <f t="shared" si="22"/>
        <v>20613.22</v>
      </c>
      <c r="L172" s="37">
        <v>100</v>
      </c>
      <c r="M172" s="158"/>
    </row>
    <row r="173" spans="1:13" s="36" customFormat="1" ht="48.6" customHeight="1" x14ac:dyDescent="0.2">
      <c r="A173" s="35"/>
      <c r="B173" s="35"/>
      <c r="C173" s="62"/>
      <c r="D173" s="126"/>
      <c r="E173" s="4" t="s">
        <v>371</v>
      </c>
      <c r="F173" s="27" t="s">
        <v>54</v>
      </c>
      <c r="G173" s="37">
        <v>155111</v>
      </c>
      <c r="H173" s="38">
        <v>6.749315006672636</v>
      </c>
      <c r="I173" s="91">
        <v>144642.07</v>
      </c>
      <c r="J173" s="91"/>
      <c r="K173" s="5">
        <f t="shared" si="22"/>
        <v>144642.07</v>
      </c>
      <c r="L173" s="37">
        <v>100</v>
      </c>
      <c r="M173" s="158"/>
    </row>
    <row r="174" spans="1:13" s="36" customFormat="1" ht="51" customHeight="1" x14ac:dyDescent="0.2">
      <c r="A174" s="35"/>
      <c r="B174" s="35"/>
      <c r="C174" s="62"/>
      <c r="D174" s="126"/>
      <c r="E174" s="4" t="s">
        <v>400</v>
      </c>
      <c r="F174" s="27" t="s">
        <v>54</v>
      </c>
      <c r="G174" s="37">
        <v>985049</v>
      </c>
      <c r="H174" s="38">
        <v>21.351477946782342</v>
      </c>
      <c r="I174" s="91">
        <v>774726.48</v>
      </c>
      <c r="J174" s="91"/>
      <c r="K174" s="5">
        <f t="shared" si="22"/>
        <v>774726.48</v>
      </c>
      <c r="L174" s="37">
        <v>100</v>
      </c>
      <c r="M174" s="158"/>
    </row>
    <row r="175" spans="1:13" s="36" customFormat="1" ht="66.599999999999994" customHeight="1" x14ac:dyDescent="0.2">
      <c r="A175" s="35"/>
      <c r="B175" s="35"/>
      <c r="C175" s="62"/>
      <c r="D175" s="126"/>
      <c r="E175" s="4" t="s">
        <v>372</v>
      </c>
      <c r="F175" s="27" t="s">
        <v>54</v>
      </c>
      <c r="G175" s="37">
        <v>1486792</v>
      </c>
      <c r="H175" s="38">
        <v>99.636801919838149</v>
      </c>
      <c r="I175" s="91">
        <v>5400</v>
      </c>
      <c r="J175" s="91"/>
      <c r="K175" s="5">
        <f t="shared" si="22"/>
        <v>5400</v>
      </c>
      <c r="L175" s="37">
        <v>100</v>
      </c>
      <c r="M175" s="158"/>
    </row>
    <row r="176" spans="1:13" s="36" customFormat="1" ht="41.1" customHeight="1" x14ac:dyDescent="0.2">
      <c r="A176" s="35"/>
      <c r="B176" s="35"/>
      <c r="C176" s="62"/>
      <c r="D176" s="126"/>
      <c r="E176" s="4" t="s">
        <v>373</v>
      </c>
      <c r="F176" s="27" t="s">
        <v>54</v>
      </c>
      <c r="G176" s="37">
        <v>510270</v>
      </c>
      <c r="H176" s="38">
        <v>83.422470456816981</v>
      </c>
      <c r="I176" s="91">
        <v>84590.16</v>
      </c>
      <c r="J176" s="91"/>
      <c r="K176" s="5">
        <f t="shared" si="22"/>
        <v>84590.16</v>
      </c>
      <c r="L176" s="37">
        <v>100</v>
      </c>
      <c r="M176" s="158"/>
    </row>
    <row r="177" spans="1:13" s="36" customFormat="1" ht="43.5" customHeight="1" x14ac:dyDescent="0.2">
      <c r="A177" s="35"/>
      <c r="B177" s="35"/>
      <c r="C177" s="62"/>
      <c r="D177" s="126"/>
      <c r="E177" s="4" t="s">
        <v>374</v>
      </c>
      <c r="F177" s="27" t="s">
        <v>54</v>
      </c>
      <c r="G177" s="37">
        <v>493558</v>
      </c>
      <c r="H177" s="38">
        <v>7.1030598227563875</v>
      </c>
      <c r="I177" s="91">
        <v>458500.28</v>
      </c>
      <c r="J177" s="91"/>
      <c r="K177" s="5">
        <f t="shared" si="22"/>
        <v>458500.28</v>
      </c>
      <c r="L177" s="37">
        <v>100</v>
      </c>
      <c r="M177" s="158">
        <v>42</v>
      </c>
    </row>
    <row r="178" spans="1:13" s="36" customFormat="1" ht="47.85" customHeight="1" x14ac:dyDescent="0.2">
      <c r="A178" s="35"/>
      <c r="B178" s="35"/>
      <c r="C178" s="62"/>
      <c r="D178" s="126"/>
      <c r="E178" s="4" t="s">
        <v>399</v>
      </c>
      <c r="F178" s="27" t="s">
        <v>54</v>
      </c>
      <c r="G178" s="37">
        <v>195169</v>
      </c>
      <c r="H178" s="38">
        <v>1.920489421988129</v>
      </c>
      <c r="I178" s="91">
        <v>191420.79999999999</v>
      </c>
      <c r="J178" s="91"/>
      <c r="K178" s="5">
        <f t="shared" si="22"/>
        <v>191420.79999999999</v>
      </c>
      <c r="L178" s="37">
        <v>100</v>
      </c>
      <c r="M178" s="158"/>
    </row>
    <row r="179" spans="1:13" s="36" customFormat="1" ht="60" customHeight="1" x14ac:dyDescent="0.2">
      <c r="A179" s="35"/>
      <c r="B179" s="35"/>
      <c r="C179" s="62"/>
      <c r="D179" s="126"/>
      <c r="E179" s="4" t="s">
        <v>375</v>
      </c>
      <c r="F179" s="27" t="s">
        <v>54</v>
      </c>
      <c r="G179" s="37">
        <v>1490932</v>
      </c>
      <c r="H179" s="38">
        <v>73.123795049002908</v>
      </c>
      <c r="I179" s="91">
        <v>400705.94</v>
      </c>
      <c r="J179" s="91"/>
      <c r="K179" s="5">
        <f t="shared" si="22"/>
        <v>400705.94</v>
      </c>
      <c r="L179" s="37">
        <v>100</v>
      </c>
      <c r="M179" s="158"/>
    </row>
    <row r="180" spans="1:13" s="36" customFormat="1" ht="44.85" customHeight="1" x14ac:dyDescent="0.2">
      <c r="A180" s="35"/>
      <c r="B180" s="35"/>
      <c r="C180" s="62"/>
      <c r="D180" s="126"/>
      <c r="E180" s="4" t="s">
        <v>376</v>
      </c>
      <c r="F180" s="27" t="s">
        <v>54</v>
      </c>
      <c r="G180" s="37">
        <v>182059</v>
      </c>
      <c r="H180" s="38">
        <v>11.734289433645131</v>
      </c>
      <c r="I180" s="91">
        <v>160695.67000000001</v>
      </c>
      <c r="J180" s="91"/>
      <c r="K180" s="5">
        <f t="shared" si="22"/>
        <v>160695.67000000001</v>
      </c>
      <c r="L180" s="37">
        <v>100</v>
      </c>
      <c r="M180" s="158"/>
    </row>
    <row r="181" spans="1:13" s="36" customFormat="1" ht="50.1" customHeight="1" x14ac:dyDescent="0.2">
      <c r="A181" s="35"/>
      <c r="B181" s="35"/>
      <c r="C181" s="62"/>
      <c r="D181" s="126"/>
      <c r="E181" s="4" t="s">
        <v>377</v>
      </c>
      <c r="F181" s="27" t="s">
        <v>54</v>
      </c>
      <c r="G181" s="37">
        <v>49933</v>
      </c>
      <c r="H181" s="38">
        <v>20.08491378447119</v>
      </c>
      <c r="I181" s="91">
        <v>39904</v>
      </c>
      <c r="J181" s="91"/>
      <c r="K181" s="5">
        <f t="shared" si="22"/>
        <v>39904</v>
      </c>
      <c r="L181" s="37">
        <v>100</v>
      </c>
      <c r="M181" s="158"/>
    </row>
    <row r="182" spans="1:13" s="36" customFormat="1" ht="52.5" customHeight="1" x14ac:dyDescent="0.2">
      <c r="A182" s="35"/>
      <c r="B182" s="35"/>
      <c r="C182" s="62"/>
      <c r="D182" s="126"/>
      <c r="E182" s="4" t="s">
        <v>378</v>
      </c>
      <c r="F182" s="27" t="s">
        <v>54</v>
      </c>
      <c r="G182" s="37">
        <v>635959</v>
      </c>
      <c r="H182" s="38">
        <v>75.080322788104269</v>
      </c>
      <c r="I182" s="91">
        <v>158478.93</v>
      </c>
      <c r="J182" s="91"/>
      <c r="K182" s="5">
        <f t="shared" si="22"/>
        <v>158478.93</v>
      </c>
      <c r="L182" s="37">
        <v>100</v>
      </c>
      <c r="M182" s="158"/>
    </row>
    <row r="183" spans="1:13" s="36" customFormat="1" ht="53.85" customHeight="1" x14ac:dyDescent="0.2">
      <c r="A183" s="35"/>
      <c r="B183" s="35"/>
      <c r="C183" s="62"/>
      <c r="D183" s="126"/>
      <c r="E183" s="4" t="s">
        <v>379</v>
      </c>
      <c r="F183" s="27" t="s">
        <v>54</v>
      </c>
      <c r="G183" s="37">
        <v>286442</v>
      </c>
      <c r="H183" s="38">
        <v>10.241846516921404</v>
      </c>
      <c r="I183" s="91">
        <v>257105.05</v>
      </c>
      <c r="J183" s="91"/>
      <c r="K183" s="5">
        <f t="shared" si="22"/>
        <v>257105.05</v>
      </c>
      <c r="L183" s="37">
        <v>100</v>
      </c>
      <c r="M183" s="158"/>
    </row>
    <row r="184" spans="1:13" s="36" customFormat="1" ht="48" customHeight="1" x14ac:dyDescent="0.2">
      <c r="A184" s="35"/>
      <c r="B184" s="35"/>
      <c r="C184" s="62"/>
      <c r="D184" s="126"/>
      <c r="E184" s="4" t="s">
        <v>398</v>
      </c>
      <c r="F184" s="27" t="s">
        <v>54</v>
      </c>
      <c r="G184" s="37">
        <v>1427095</v>
      </c>
      <c r="H184" s="38">
        <v>73.383500748023081</v>
      </c>
      <c r="I184" s="91">
        <v>379842.73</v>
      </c>
      <c r="J184" s="91"/>
      <c r="K184" s="5">
        <f t="shared" si="22"/>
        <v>379842.73</v>
      </c>
      <c r="L184" s="37">
        <v>100</v>
      </c>
      <c r="M184" s="158"/>
    </row>
    <row r="185" spans="1:13" s="36" customFormat="1" ht="49.35" customHeight="1" x14ac:dyDescent="0.2">
      <c r="A185" s="35"/>
      <c r="B185" s="35"/>
      <c r="C185" s="62"/>
      <c r="D185" s="126"/>
      <c r="E185" s="4" t="s">
        <v>380</v>
      </c>
      <c r="F185" s="27" t="s">
        <v>54</v>
      </c>
      <c r="G185" s="37">
        <v>129878</v>
      </c>
      <c r="H185" s="38">
        <v>0.90345555059363358</v>
      </c>
      <c r="I185" s="91">
        <v>128704.61</v>
      </c>
      <c r="J185" s="91"/>
      <c r="K185" s="5">
        <f t="shared" si="22"/>
        <v>128704.61</v>
      </c>
      <c r="L185" s="37">
        <v>100</v>
      </c>
      <c r="M185" s="158"/>
    </row>
    <row r="186" spans="1:13" s="36" customFormat="1" ht="62.1" customHeight="1" x14ac:dyDescent="0.2">
      <c r="A186" s="35"/>
      <c r="B186" s="35"/>
      <c r="C186" s="62"/>
      <c r="D186" s="126"/>
      <c r="E186" s="4" t="s">
        <v>418</v>
      </c>
      <c r="F186" s="27" t="s">
        <v>54</v>
      </c>
      <c r="G186" s="37">
        <v>406081</v>
      </c>
      <c r="H186" s="38">
        <v>65.5</v>
      </c>
      <c r="I186" s="91">
        <v>98000</v>
      </c>
      <c r="J186" s="91"/>
      <c r="K186" s="5">
        <f t="shared" si="22"/>
        <v>98000</v>
      </c>
      <c r="L186" s="48">
        <v>89.7</v>
      </c>
      <c r="M186" s="158"/>
    </row>
    <row r="187" spans="1:13" s="36" customFormat="1" ht="20.85" customHeight="1" x14ac:dyDescent="0.2">
      <c r="A187" s="35"/>
      <c r="B187" s="35"/>
      <c r="C187" s="62"/>
      <c r="D187" s="110"/>
      <c r="E187" s="4" t="s">
        <v>209</v>
      </c>
      <c r="F187" s="27">
        <v>2020</v>
      </c>
      <c r="G187" s="35"/>
      <c r="H187" s="35"/>
      <c r="I187" s="5">
        <f>2152119.75-98000</f>
        <v>2054119.75</v>
      </c>
      <c r="J187" s="5"/>
      <c r="K187" s="5">
        <f t="shared" si="22"/>
        <v>2054119.75</v>
      </c>
      <c r="L187" s="35"/>
      <c r="M187" s="158"/>
    </row>
    <row r="188" spans="1:13" s="36" customFormat="1" ht="34.35" customHeight="1" x14ac:dyDescent="0.2">
      <c r="A188" s="35"/>
      <c r="B188" s="35"/>
      <c r="C188" s="62"/>
      <c r="D188" s="110"/>
      <c r="E188" s="4" t="s">
        <v>210</v>
      </c>
      <c r="F188" s="27">
        <v>2020</v>
      </c>
      <c r="G188" s="35"/>
      <c r="H188" s="35"/>
      <c r="I188" s="5">
        <v>1000000</v>
      </c>
      <c r="J188" s="5">
        <v>-500000</v>
      </c>
      <c r="K188" s="5">
        <f t="shared" si="22"/>
        <v>500000</v>
      </c>
      <c r="L188" s="35"/>
      <c r="M188" s="158"/>
    </row>
    <row r="189" spans="1:13" s="90" customFormat="1" ht="32.85" customHeight="1" x14ac:dyDescent="0.2">
      <c r="A189" s="9"/>
      <c r="B189" s="9"/>
      <c r="C189" s="7"/>
      <c r="D189" s="142"/>
      <c r="E189" s="3" t="s">
        <v>194</v>
      </c>
      <c r="F189" s="9"/>
      <c r="G189" s="9"/>
      <c r="H189" s="9"/>
      <c r="I189" s="34">
        <f>SUM(I190:I197)</f>
        <v>3000000</v>
      </c>
      <c r="J189" s="34">
        <f>SUM(J190:J197)</f>
        <v>-688215.76</v>
      </c>
      <c r="K189" s="34">
        <f>SUM(K190:K197)</f>
        <v>2311784.2400000002</v>
      </c>
      <c r="L189" s="9"/>
      <c r="M189" s="158"/>
    </row>
    <row r="190" spans="1:13" s="36" customFormat="1" ht="48.6" customHeight="1" x14ac:dyDescent="0.2">
      <c r="A190" s="35"/>
      <c r="B190" s="35"/>
      <c r="C190" s="62"/>
      <c r="D190" s="126"/>
      <c r="E190" s="92" t="s">
        <v>211</v>
      </c>
      <c r="F190" s="27" t="s">
        <v>54</v>
      </c>
      <c r="G190" s="37">
        <v>580844</v>
      </c>
      <c r="H190" s="38">
        <v>32</v>
      </c>
      <c r="I190" s="5">
        <v>396522.45</v>
      </c>
      <c r="J190" s="5"/>
      <c r="K190" s="5">
        <f t="shared" ref="K190:K197" si="23">J190+I190</f>
        <v>396522.45</v>
      </c>
      <c r="L190" s="37">
        <v>100</v>
      </c>
      <c r="M190" s="158"/>
    </row>
    <row r="191" spans="1:13" s="36" customFormat="1" ht="38.25" x14ac:dyDescent="0.2">
      <c r="A191" s="35"/>
      <c r="B191" s="35"/>
      <c r="C191" s="62"/>
      <c r="D191" s="126"/>
      <c r="E191" s="92" t="s">
        <v>323</v>
      </c>
      <c r="F191" s="27" t="s">
        <v>58</v>
      </c>
      <c r="G191" s="37">
        <v>343000</v>
      </c>
      <c r="H191" s="38">
        <v>30</v>
      </c>
      <c r="I191" s="5">
        <v>239551.96</v>
      </c>
      <c r="J191" s="5"/>
      <c r="K191" s="5">
        <f t="shared" si="23"/>
        <v>239551.96</v>
      </c>
      <c r="L191" s="37">
        <v>100</v>
      </c>
      <c r="M191" s="158">
        <v>43</v>
      </c>
    </row>
    <row r="192" spans="1:13" s="36" customFormat="1" ht="52.35" customHeight="1" x14ac:dyDescent="0.2">
      <c r="A192" s="35"/>
      <c r="B192" s="35"/>
      <c r="C192" s="62"/>
      <c r="D192" s="126"/>
      <c r="E192" s="92" t="s">
        <v>212</v>
      </c>
      <c r="F192" s="27" t="s">
        <v>213</v>
      </c>
      <c r="G192" s="37">
        <v>317195</v>
      </c>
      <c r="H192" s="38">
        <v>30</v>
      </c>
      <c r="I192" s="5">
        <v>221518.7</v>
      </c>
      <c r="J192" s="5"/>
      <c r="K192" s="5">
        <f t="shared" si="23"/>
        <v>221518.7</v>
      </c>
      <c r="L192" s="37">
        <v>100</v>
      </c>
      <c r="M192" s="158"/>
    </row>
    <row r="193" spans="1:13" s="36" customFormat="1" ht="50.85" customHeight="1" x14ac:dyDescent="0.2">
      <c r="A193" s="35"/>
      <c r="B193" s="35"/>
      <c r="C193" s="62"/>
      <c r="D193" s="126"/>
      <c r="E193" s="151" t="s">
        <v>214</v>
      </c>
      <c r="F193" s="27" t="s">
        <v>215</v>
      </c>
      <c r="G193" s="37">
        <v>228840.65</v>
      </c>
      <c r="H193" s="38">
        <v>30</v>
      </c>
      <c r="I193" s="5">
        <v>159798.42000000001</v>
      </c>
      <c r="J193" s="5"/>
      <c r="K193" s="5">
        <f t="shared" si="23"/>
        <v>159798.42000000001</v>
      </c>
      <c r="L193" s="37">
        <v>100</v>
      </c>
      <c r="M193" s="158"/>
    </row>
    <row r="194" spans="1:13" s="36" customFormat="1" ht="48.6" customHeight="1" x14ac:dyDescent="0.2">
      <c r="A194" s="35"/>
      <c r="B194" s="35"/>
      <c r="C194" s="62"/>
      <c r="D194" s="126"/>
      <c r="E194" s="92" t="s">
        <v>324</v>
      </c>
      <c r="F194" s="27" t="s">
        <v>216</v>
      </c>
      <c r="G194" s="37">
        <v>398376</v>
      </c>
      <c r="H194" s="38">
        <v>32</v>
      </c>
      <c r="I194" s="5">
        <v>272802.8</v>
      </c>
      <c r="J194" s="5"/>
      <c r="K194" s="5">
        <f t="shared" si="23"/>
        <v>272802.8</v>
      </c>
      <c r="L194" s="37">
        <v>100</v>
      </c>
      <c r="M194" s="158"/>
    </row>
    <row r="195" spans="1:13" s="36" customFormat="1" ht="45.6" customHeight="1" x14ac:dyDescent="0.2">
      <c r="A195" s="35"/>
      <c r="B195" s="35"/>
      <c r="C195" s="62"/>
      <c r="D195" s="126"/>
      <c r="E195" s="92" t="s">
        <v>326</v>
      </c>
      <c r="F195" s="27" t="s">
        <v>53</v>
      </c>
      <c r="G195" s="37">
        <v>286976</v>
      </c>
      <c r="H195" s="38">
        <v>31</v>
      </c>
      <c r="I195" s="5">
        <v>197274</v>
      </c>
      <c r="J195" s="5"/>
      <c r="K195" s="5">
        <f t="shared" si="23"/>
        <v>197274</v>
      </c>
      <c r="L195" s="37">
        <v>100</v>
      </c>
      <c r="M195" s="158"/>
    </row>
    <row r="196" spans="1:13" s="36" customFormat="1" ht="47.1" customHeight="1" x14ac:dyDescent="0.2">
      <c r="A196" s="35"/>
      <c r="B196" s="35"/>
      <c r="C196" s="62"/>
      <c r="D196" s="156"/>
      <c r="E196" s="92" t="s">
        <v>217</v>
      </c>
      <c r="F196" s="27" t="s">
        <v>218</v>
      </c>
      <c r="G196" s="37">
        <v>580757</v>
      </c>
      <c r="H196" s="38">
        <v>59</v>
      </c>
      <c r="I196" s="5">
        <v>239144.92</v>
      </c>
      <c r="J196" s="5"/>
      <c r="K196" s="5">
        <f t="shared" si="23"/>
        <v>239144.92</v>
      </c>
      <c r="L196" s="37">
        <v>100</v>
      </c>
      <c r="M196" s="158"/>
    </row>
    <row r="197" spans="1:13" s="36" customFormat="1" ht="37.5" customHeight="1" x14ac:dyDescent="0.2">
      <c r="A197" s="35"/>
      <c r="B197" s="35"/>
      <c r="C197" s="62"/>
      <c r="D197" s="110"/>
      <c r="E197" s="4" t="s">
        <v>219</v>
      </c>
      <c r="F197" s="27">
        <v>2020</v>
      </c>
      <c r="G197" s="35"/>
      <c r="H197" s="35"/>
      <c r="I197" s="5">
        <v>1273386.75</v>
      </c>
      <c r="J197" s="5">
        <v>-688215.76</v>
      </c>
      <c r="K197" s="5">
        <f t="shared" si="23"/>
        <v>585170.99</v>
      </c>
      <c r="L197" s="35"/>
      <c r="M197" s="158"/>
    </row>
    <row r="198" spans="1:13" s="90" customFormat="1" ht="42.6" customHeight="1" x14ac:dyDescent="0.2">
      <c r="A198" s="9">
        <v>1216013</v>
      </c>
      <c r="B198" s="9">
        <v>6013</v>
      </c>
      <c r="C198" s="7" t="s">
        <v>174</v>
      </c>
      <c r="D198" s="6" t="s">
        <v>175</v>
      </c>
      <c r="E198" s="9"/>
      <c r="F198" s="9"/>
      <c r="G198" s="9"/>
      <c r="H198" s="9"/>
      <c r="I198" s="29">
        <f>I199+I201</f>
        <v>1720000</v>
      </c>
      <c r="J198" s="29">
        <f t="shared" ref="J198:K198" si="24">J199+J201</f>
        <v>1000</v>
      </c>
      <c r="K198" s="29">
        <f t="shared" si="24"/>
        <v>1721000</v>
      </c>
      <c r="L198" s="9"/>
      <c r="M198" s="158"/>
    </row>
    <row r="199" spans="1:13" s="90" customFormat="1" ht="19.350000000000001" customHeight="1" x14ac:dyDescent="0.2">
      <c r="A199" s="9"/>
      <c r="B199" s="9"/>
      <c r="C199" s="7"/>
      <c r="D199" s="142"/>
      <c r="E199" s="3" t="s">
        <v>191</v>
      </c>
      <c r="F199" s="9"/>
      <c r="G199" s="9"/>
      <c r="H199" s="9"/>
      <c r="I199" s="34">
        <f>I200</f>
        <v>20000</v>
      </c>
      <c r="J199" s="34">
        <f t="shared" ref="J199:K199" si="25">J200</f>
        <v>1000</v>
      </c>
      <c r="K199" s="34">
        <f t="shared" si="25"/>
        <v>21000</v>
      </c>
      <c r="L199" s="9"/>
      <c r="M199" s="158"/>
    </row>
    <row r="200" spans="1:13" ht="43.5" customHeight="1" x14ac:dyDescent="0.2">
      <c r="A200" s="27"/>
      <c r="B200" s="27"/>
      <c r="C200" s="25"/>
      <c r="D200" s="145"/>
      <c r="E200" s="4" t="s">
        <v>325</v>
      </c>
      <c r="F200" s="27" t="s">
        <v>54</v>
      </c>
      <c r="G200" s="37">
        <v>4203383</v>
      </c>
      <c r="H200" s="27">
        <v>3.1</v>
      </c>
      <c r="I200" s="5">
        <v>20000</v>
      </c>
      <c r="J200" s="5">
        <v>1000</v>
      </c>
      <c r="K200" s="5">
        <f>J200+I200</f>
        <v>21000</v>
      </c>
      <c r="L200" s="27">
        <v>3.5</v>
      </c>
      <c r="M200" s="158"/>
    </row>
    <row r="201" spans="1:13" s="90" customFormat="1" ht="32.85" customHeight="1" x14ac:dyDescent="0.2">
      <c r="A201" s="9"/>
      <c r="B201" s="9"/>
      <c r="C201" s="7"/>
      <c r="D201" s="142"/>
      <c r="E201" s="3" t="s">
        <v>194</v>
      </c>
      <c r="F201" s="9"/>
      <c r="G201" s="9"/>
      <c r="H201" s="9"/>
      <c r="I201" s="34">
        <v>1700000</v>
      </c>
      <c r="J201" s="34"/>
      <c r="K201" s="34">
        <f>J201+I201</f>
        <v>1700000</v>
      </c>
      <c r="L201" s="9"/>
      <c r="M201" s="158"/>
    </row>
    <row r="202" spans="1:13" s="90" customFormat="1" ht="32.85" customHeight="1" x14ac:dyDescent="0.2">
      <c r="A202" s="9">
        <v>1216015</v>
      </c>
      <c r="B202" s="9">
        <v>6015</v>
      </c>
      <c r="C202" s="7" t="s">
        <v>174</v>
      </c>
      <c r="D202" s="6" t="s">
        <v>176</v>
      </c>
      <c r="E202" s="9"/>
      <c r="F202" s="9"/>
      <c r="G202" s="9"/>
      <c r="H202" s="9"/>
      <c r="I202" s="29">
        <f>I203+I216</f>
        <v>13500009</v>
      </c>
      <c r="J202" s="29">
        <f>J203+J216</f>
        <v>-405560.17</v>
      </c>
      <c r="K202" s="29">
        <f>K203+K216</f>
        <v>13094448.829999998</v>
      </c>
      <c r="L202" s="9"/>
      <c r="M202" s="158"/>
    </row>
    <row r="203" spans="1:13" s="90" customFormat="1" ht="32.85" customHeight="1" x14ac:dyDescent="0.2">
      <c r="A203" s="9"/>
      <c r="B203" s="9"/>
      <c r="C203" s="7"/>
      <c r="D203" s="142"/>
      <c r="E203" s="3" t="s">
        <v>195</v>
      </c>
      <c r="F203" s="9"/>
      <c r="G203" s="9"/>
      <c r="H203" s="9"/>
      <c r="I203" s="34">
        <f>SUM(I204:I215)</f>
        <v>10500009</v>
      </c>
      <c r="J203" s="34">
        <f>SUM(J204:J215)</f>
        <v>-405560.17</v>
      </c>
      <c r="K203" s="34">
        <f>SUM(K204:K215)</f>
        <v>10094448.829999998</v>
      </c>
      <c r="L203" s="9"/>
      <c r="M203" s="158"/>
    </row>
    <row r="204" spans="1:13" s="36" customFormat="1" ht="44.85" customHeight="1" x14ac:dyDescent="0.2">
      <c r="A204" s="35"/>
      <c r="B204" s="35"/>
      <c r="C204" s="62"/>
      <c r="D204" s="126"/>
      <c r="E204" s="4" t="s">
        <v>381</v>
      </c>
      <c r="F204" s="27" t="s">
        <v>54</v>
      </c>
      <c r="G204" s="37">
        <v>30217</v>
      </c>
      <c r="H204" s="38">
        <v>11.807922692524075</v>
      </c>
      <c r="I204" s="91">
        <v>26649</v>
      </c>
      <c r="J204" s="91"/>
      <c r="K204" s="5">
        <f t="shared" ref="K204:K215" si="26">J204+I204</f>
        <v>26649</v>
      </c>
      <c r="L204" s="37">
        <v>100</v>
      </c>
      <c r="M204" s="158"/>
    </row>
    <row r="205" spans="1:13" s="36" customFormat="1" ht="58.5" customHeight="1" x14ac:dyDescent="0.2">
      <c r="A205" s="35"/>
      <c r="B205" s="35"/>
      <c r="C205" s="62"/>
      <c r="D205" s="126"/>
      <c r="E205" s="4" t="s">
        <v>382</v>
      </c>
      <c r="F205" s="27" t="s">
        <v>54</v>
      </c>
      <c r="G205" s="37">
        <v>976698</v>
      </c>
      <c r="H205" s="38">
        <v>34.902889122328496</v>
      </c>
      <c r="I205" s="91">
        <v>635802.18000000005</v>
      </c>
      <c r="J205" s="91"/>
      <c r="K205" s="5">
        <f t="shared" si="26"/>
        <v>635802.18000000005</v>
      </c>
      <c r="L205" s="37">
        <v>100</v>
      </c>
      <c r="M205" s="158"/>
    </row>
    <row r="206" spans="1:13" s="36" customFormat="1" ht="50.1" customHeight="1" x14ac:dyDescent="0.2">
      <c r="A206" s="35"/>
      <c r="B206" s="35"/>
      <c r="C206" s="62"/>
      <c r="D206" s="126"/>
      <c r="E206" s="4" t="s">
        <v>383</v>
      </c>
      <c r="F206" s="27" t="s">
        <v>54</v>
      </c>
      <c r="G206" s="37">
        <v>395435</v>
      </c>
      <c r="H206" s="38">
        <v>7.1684170596937529</v>
      </c>
      <c r="I206" s="91">
        <v>367088.57</v>
      </c>
      <c r="J206" s="91"/>
      <c r="K206" s="5">
        <f t="shared" si="26"/>
        <v>367088.57</v>
      </c>
      <c r="L206" s="37">
        <v>100</v>
      </c>
      <c r="M206" s="158"/>
    </row>
    <row r="207" spans="1:13" s="36" customFormat="1" ht="43.35" customHeight="1" x14ac:dyDescent="0.2">
      <c r="A207" s="35"/>
      <c r="B207" s="35"/>
      <c r="C207" s="62"/>
      <c r="D207" s="126"/>
      <c r="E207" s="4" t="s">
        <v>384</v>
      </c>
      <c r="F207" s="27" t="s">
        <v>54</v>
      </c>
      <c r="G207" s="37">
        <v>61087</v>
      </c>
      <c r="H207" s="89">
        <v>10.30901828539624</v>
      </c>
      <c r="I207" s="91">
        <v>54789.53</v>
      </c>
      <c r="J207" s="91"/>
      <c r="K207" s="5">
        <f t="shared" si="26"/>
        <v>54789.53</v>
      </c>
      <c r="L207" s="37">
        <v>100</v>
      </c>
      <c r="M207" s="158">
        <v>44</v>
      </c>
    </row>
    <row r="208" spans="1:13" s="36" customFormat="1" ht="44.1" customHeight="1" x14ac:dyDescent="0.2">
      <c r="A208" s="35"/>
      <c r="B208" s="35"/>
      <c r="C208" s="62"/>
      <c r="D208" s="126"/>
      <c r="E208" s="4" t="s">
        <v>385</v>
      </c>
      <c r="F208" s="27" t="s">
        <v>54</v>
      </c>
      <c r="G208" s="37">
        <v>389633</v>
      </c>
      <c r="H208" s="89">
        <v>14.594012827455586</v>
      </c>
      <c r="I208" s="91">
        <v>332769.90999999997</v>
      </c>
      <c r="J208" s="91"/>
      <c r="K208" s="5">
        <f t="shared" si="26"/>
        <v>332769.90999999997</v>
      </c>
      <c r="L208" s="37">
        <v>100</v>
      </c>
      <c r="M208" s="158"/>
    </row>
    <row r="209" spans="1:13" s="36" customFormat="1" ht="57" customHeight="1" x14ac:dyDescent="0.2">
      <c r="A209" s="35"/>
      <c r="B209" s="35"/>
      <c r="C209" s="62"/>
      <c r="D209" s="126"/>
      <c r="E209" s="4" t="s">
        <v>386</v>
      </c>
      <c r="F209" s="27" t="s">
        <v>54</v>
      </c>
      <c r="G209" s="37">
        <v>631355</v>
      </c>
      <c r="H209" s="89">
        <v>14.095611819024159</v>
      </c>
      <c r="I209" s="91">
        <v>542361.65</v>
      </c>
      <c r="J209" s="91"/>
      <c r="K209" s="5">
        <f t="shared" si="26"/>
        <v>542361.65</v>
      </c>
      <c r="L209" s="37">
        <v>100</v>
      </c>
      <c r="M209" s="158"/>
    </row>
    <row r="210" spans="1:13" s="36" customFormat="1" ht="46.35" customHeight="1" x14ac:dyDescent="0.2">
      <c r="A210" s="35"/>
      <c r="B210" s="35"/>
      <c r="C210" s="62"/>
      <c r="D210" s="126"/>
      <c r="E210" s="4" t="s">
        <v>387</v>
      </c>
      <c r="F210" s="27" t="s">
        <v>54</v>
      </c>
      <c r="G210" s="37">
        <v>471311</v>
      </c>
      <c r="H210" s="89">
        <v>4.1099443891612957</v>
      </c>
      <c r="I210" s="91">
        <v>451940.38</v>
      </c>
      <c r="J210" s="91"/>
      <c r="K210" s="5">
        <f t="shared" si="26"/>
        <v>451940.38</v>
      </c>
      <c r="L210" s="37">
        <v>100</v>
      </c>
      <c r="M210" s="158"/>
    </row>
    <row r="211" spans="1:13" s="36" customFormat="1" ht="58.5" customHeight="1" x14ac:dyDescent="0.2">
      <c r="A211" s="35"/>
      <c r="B211" s="35"/>
      <c r="C211" s="62"/>
      <c r="D211" s="126"/>
      <c r="E211" s="4" t="s">
        <v>388</v>
      </c>
      <c r="F211" s="27" t="s">
        <v>54</v>
      </c>
      <c r="G211" s="37">
        <v>1151915</v>
      </c>
      <c r="H211" s="89">
        <v>31.699154017440527</v>
      </c>
      <c r="I211" s="91">
        <v>786767.69</v>
      </c>
      <c r="J211" s="91"/>
      <c r="K211" s="5">
        <f t="shared" si="26"/>
        <v>786767.69</v>
      </c>
      <c r="L211" s="37">
        <v>100</v>
      </c>
      <c r="M211" s="158"/>
    </row>
    <row r="212" spans="1:13" s="36" customFormat="1" ht="53.1" customHeight="1" x14ac:dyDescent="0.2">
      <c r="A212" s="35"/>
      <c r="B212" s="35"/>
      <c r="C212" s="62"/>
      <c r="D212" s="126"/>
      <c r="E212" s="4" t="s">
        <v>389</v>
      </c>
      <c r="F212" s="27" t="s">
        <v>54</v>
      </c>
      <c r="G212" s="37">
        <v>32698</v>
      </c>
      <c r="H212" s="89">
        <v>13.496849960242219</v>
      </c>
      <c r="I212" s="91">
        <v>28284.799999999999</v>
      </c>
      <c r="J212" s="91"/>
      <c r="K212" s="5">
        <f t="shared" si="26"/>
        <v>28284.799999999999</v>
      </c>
      <c r="L212" s="37">
        <v>100</v>
      </c>
      <c r="M212" s="158"/>
    </row>
    <row r="213" spans="1:13" s="36" customFormat="1" ht="45.6" customHeight="1" x14ac:dyDescent="0.2">
      <c r="A213" s="35"/>
      <c r="B213" s="35"/>
      <c r="C213" s="62"/>
      <c r="D213" s="126"/>
      <c r="E213" s="4" t="s">
        <v>419</v>
      </c>
      <c r="F213" s="27" t="s">
        <v>54</v>
      </c>
      <c r="G213" s="37">
        <v>380000</v>
      </c>
      <c r="H213" s="89"/>
      <c r="I213" s="91">
        <v>380000</v>
      </c>
      <c r="J213" s="91"/>
      <c r="K213" s="5">
        <f t="shared" si="26"/>
        <v>380000</v>
      </c>
      <c r="L213" s="37">
        <v>100</v>
      </c>
      <c r="M213" s="158"/>
    </row>
    <row r="214" spans="1:13" s="36" customFormat="1" ht="58.5" customHeight="1" x14ac:dyDescent="0.2">
      <c r="A214" s="35"/>
      <c r="B214" s="35"/>
      <c r="C214" s="62"/>
      <c r="D214" s="126"/>
      <c r="E214" s="4" t="s">
        <v>420</v>
      </c>
      <c r="F214" s="27" t="s">
        <v>54</v>
      </c>
      <c r="G214" s="37">
        <v>976698</v>
      </c>
      <c r="H214" s="89">
        <v>65.099999999999994</v>
      </c>
      <c r="I214" s="91">
        <v>340895.82</v>
      </c>
      <c r="J214" s="91"/>
      <c r="K214" s="5">
        <f t="shared" si="26"/>
        <v>340895.82</v>
      </c>
      <c r="L214" s="37">
        <v>100</v>
      </c>
      <c r="M214" s="158"/>
    </row>
    <row r="215" spans="1:13" s="36" customFormat="1" ht="37.5" customHeight="1" x14ac:dyDescent="0.2">
      <c r="A215" s="35"/>
      <c r="B215" s="35"/>
      <c r="C215" s="62"/>
      <c r="D215" s="157"/>
      <c r="E215" s="4" t="s">
        <v>390</v>
      </c>
      <c r="F215" s="27">
        <v>2020</v>
      </c>
      <c r="G215" s="35"/>
      <c r="H215" s="35"/>
      <c r="I215" s="5">
        <f>7273555.29-720895.82</f>
        <v>6552659.4699999997</v>
      </c>
      <c r="J215" s="5">
        <f>-405560.17</f>
        <v>-405560.17</v>
      </c>
      <c r="K215" s="5">
        <f t="shared" si="26"/>
        <v>6147099.2999999998</v>
      </c>
      <c r="L215" s="46"/>
      <c r="M215" s="158"/>
    </row>
    <row r="216" spans="1:13" s="90" customFormat="1" ht="27" x14ac:dyDescent="0.2">
      <c r="A216" s="9"/>
      <c r="B216" s="9"/>
      <c r="C216" s="7"/>
      <c r="D216" s="142"/>
      <c r="E216" s="3" t="s">
        <v>194</v>
      </c>
      <c r="F216" s="9"/>
      <c r="G216" s="9"/>
      <c r="H216" s="9"/>
      <c r="I216" s="34">
        <f>SUM(I217:I221)</f>
        <v>3000000</v>
      </c>
      <c r="J216" s="34">
        <f>SUM(J217:J221)</f>
        <v>0</v>
      </c>
      <c r="K216" s="34">
        <f>SUM(K217:K221)</f>
        <v>3000000</v>
      </c>
      <c r="L216" s="9"/>
      <c r="M216" s="158"/>
    </row>
    <row r="217" spans="1:13" s="36" customFormat="1" ht="50.1" customHeight="1" x14ac:dyDescent="0.2">
      <c r="A217" s="35"/>
      <c r="B217" s="35"/>
      <c r="C217" s="62"/>
      <c r="D217" s="126"/>
      <c r="E217" s="4" t="s">
        <v>204</v>
      </c>
      <c r="F217" s="27" t="s">
        <v>54</v>
      </c>
      <c r="G217" s="37">
        <v>135116</v>
      </c>
      <c r="H217" s="89">
        <v>36</v>
      </c>
      <c r="I217" s="91">
        <f>26181.79+60317.81</f>
        <v>86499.6</v>
      </c>
      <c r="J217" s="91"/>
      <c r="K217" s="5">
        <f>J217+I217</f>
        <v>86499.6</v>
      </c>
      <c r="L217" s="37">
        <v>100</v>
      </c>
      <c r="M217" s="158"/>
    </row>
    <row r="218" spans="1:13" s="36" customFormat="1" ht="53.1" customHeight="1" x14ac:dyDescent="0.2">
      <c r="A218" s="35"/>
      <c r="B218" s="35"/>
      <c r="C218" s="62"/>
      <c r="D218" s="126"/>
      <c r="E218" s="4" t="s">
        <v>205</v>
      </c>
      <c r="F218" s="27" t="s">
        <v>54</v>
      </c>
      <c r="G218" s="37">
        <v>519721</v>
      </c>
      <c r="H218" s="89">
        <v>56</v>
      </c>
      <c r="I218" s="91">
        <v>229572.1</v>
      </c>
      <c r="J218" s="91"/>
      <c r="K218" s="5">
        <f>J218+I218</f>
        <v>229572.1</v>
      </c>
      <c r="L218" s="37">
        <v>100</v>
      </c>
      <c r="M218" s="158"/>
    </row>
    <row r="219" spans="1:13" s="36" customFormat="1" ht="51" customHeight="1" x14ac:dyDescent="0.2">
      <c r="A219" s="35"/>
      <c r="B219" s="35"/>
      <c r="C219" s="62"/>
      <c r="D219" s="126"/>
      <c r="E219" s="4" t="s">
        <v>206</v>
      </c>
      <c r="F219" s="27" t="s">
        <v>54</v>
      </c>
      <c r="G219" s="37">
        <v>312005</v>
      </c>
      <c r="H219" s="89">
        <v>54</v>
      </c>
      <c r="I219" s="91">
        <v>142746.97</v>
      </c>
      <c r="J219" s="91"/>
      <c r="K219" s="5">
        <f>J219+I219</f>
        <v>142746.97</v>
      </c>
      <c r="L219" s="37">
        <v>100</v>
      </c>
      <c r="M219" s="158"/>
    </row>
    <row r="220" spans="1:13" s="36" customFormat="1" ht="51" customHeight="1" x14ac:dyDescent="0.2">
      <c r="A220" s="35"/>
      <c r="B220" s="35"/>
      <c r="C220" s="62"/>
      <c r="D220" s="126"/>
      <c r="E220" s="4" t="s">
        <v>207</v>
      </c>
      <c r="F220" s="27" t="s">
        <v>58</v>
      </c>
      <c r="G220" s="37">
        <v>559396</v>
      </c>
      <c r="H220" s="89">
        <v>56</v>
      </c>
      <c r="I220" s="91">
        <v>246462.33</v>
      </c>
      <c r="J220" s="91"/>
      <c r="K220" s="5">
        <f>J220+I220</f>
        <v>246462.33</v>
      </c>
      <c r="L220" s="37">
        <v>100</v>
      </c>
      <c r="M220" s="158"/>
    </row>
    <row r="221" spans="1:13" s="36" customFormat="1" ht="34.35" customHeight="1" x14ac:dyDescent="0.2">
      <c r="A221" s="35"/>
      <c r="B221" s="35"/>
      <c r="C221" s="62"/>
      <c r="D221" s="110"/>
      <c r="E221" s="4" t="s">
        <v>208</v>
      </c>
      <c r="F221" s="27">
        <v>2020</v>
      </c>
      <c r="G221" s="35"/>
      <c r="H221" s="35"/>
      <c r="I221" s="5">
        <v>2294719</v>
      </c>
      <c r="J221" s="5"/>
      <c r="K221" s="5">
        <f>J221+I221</f>
        <v>2294719</v>
      </c>
      <c r="L221" s="35"/>
      <c r="M221" s="158">
        <v>45</v>
      </c>
    </row>
    <row r="222" spans="1:13" s="90" customFormat="1" ht="32.85" customHeight="1" x14ac:dyDescent="0.2">
      <c r="A222" s="9">
        <v>1216030</v>
      </c>
      <c r="B222" s="9">
        <v>6030</v>
      </c>
      <c r="C222" s="7" t="s">
        <v>174</v>
      </c>
      <c r="D222" s="6" t="s">
        <v>177</v>
      </c>
      <c r="E222" s="100"/>
      <c r="F222" s="100"/>
      <c r="G222" s="100"/>
      <c r="H222" s="100"/>
      <c r="I222" s="29">
        <f>I223+I225</f>
        <v>30600000</v>
      </c>
      <c r="J222" s="29">
        <f t="shared" ref="J222:K222" si="27">J223+J225</f>
        <v>18198935.109999999</v>
      </c>
      <c r="K222" s="29">
        <f t="shared" si="27"/>
        <v>48798935.109999999</v>
      </c>
      <c r="L222" s="9"/>
      <c r="M222" s="158"/>
    </row>
    <row r="223" spans="1:13" s="90" customFormat="1" ht="32.85" customHeight="1" x14ac:dyDescent="0.2">
      <c r="A223" s="9"/>
      <c r="B223" s="9"/>
      <c r="C223" s="7"/>
      <c r="D223" s="6"/>
      <c r="E223" s="3" t="s">
        <v>192</v>
      </c>
      <c r="F223" s="9"/>
      <c r="G223" s="9"/>
      <c r="H223" s="9"/>
      <c r="I223" s="34">
        <f>I224</f>
        <v>0</v>
      </c>
      <c r="J223" s="34">
        <f t="shared" ref="J223:K223" si="28">J224</f>
        <v>31500</v>
      </c>
      <c r="K223" s="34">
        <f t="shared" si="28"/>
        <v>31500</v>
      </c>
      <c r="L223" s="9"/>
      <c r="M223" s="158"/>
    </row>
    <row r="224" spans="1:13" ht="22.5" customHeight="1" x14ac:dyDescent="0.2">
      <c r="A224" s="27"/>
      <c r="B224" s="27"/>
      <c r="C224" s="25"/>
      <c r="D224" s="12"/>
      <c r="E224" s="4" t="s">
        <v>403</v>
      </c>
      <c r="F224" s="27">
        <v>2020</v>
      </c>
      <c r="G224" s="27"/>
      <c r="H224" s="27"/>
      <c r="I224" s="5"/>
      <c r="J224" s="5">
        <v>31500</v>
      </c>
      <c r="K224" s="5">
        <f>J224+I224</f>
        <v>31500</v>
      </c>
      <c r="L224" s="27"/>
      <c r="M224" s="158"/>
    </row>
    <row r="225" spans="1:13" s="90" customFormat="1" ht="32.85" customHeight="1" x14ac:dyDescent="0.2">
      <c r="A225" s="9"/>
      <c r="B225" s="9"/>
      <c r="C225" s="7"/>
      <c r="D225" s="6"/>
      <c r="E225" s="3" t="s">
        <v>191</v>
      </c>
      <c r="F225" s="9"/>
      <c r="G225" s="9"/>
      <c r="H225" s="9"/>
      <c r="I225" s="34">
        <f>SUM(I226:I243)+I252+I268+I274</f>
        <v>30600000</v>
      </c>
      <c r="J225" s="34">
        <f>SUM(J226:J243)+J252+J268+J274</f>
        <v>18167435.109999999</v>
      </c>
      <c r="K225" s="34">
        <f>SUM(K226:K243)+K252+K268+K274</f>
        <v>48767435.109999999</v>
      </c>
      <c r="L225" s="9"/>
      <c r="M225" s="158"/>
    </row>
    <row r="226" spans="1:13" s="36" customFormat="1" ht="49.5" customHeight="1" x14ac:dyDescent="0.2">
      <c r="A226" s="35"/>
      <c r="B226" s="35"/>
      <c r="C226" s="62"/>
      <c r="D226" s="126"/>
      <c r="E226" s="92" t="s">
        <v>222</v>
      </c>
      <c r="F226" s="27" t="s">
        <v>54</v>
      </c>
      <c r="G226" s="37">
        <v>1019404</v>
      </c>
      <c r="H226" s="89">
        <v>81</v>
      </c>
      <c r="I226" s="91"/>
      <c r="J226" s="91">
        <f>100542+1242.03</f>
        <v>101784.03</v>
      </c>
      <c r="K226" s="5">
        <f t="shared" ref="K226:K251" si="29">J226+I226</f>
        <v>101784.03</v>
      </c>
      <c r="L226" s="37">
        <v>100</v>
      </c>
      <c r="M226" s="158"/>
    </row>
    <row r="227" spans="1:13" s="36" customFormat="1" ht="47.85" customHeight="1" x14ac:dyDescent="0.2">
      <c r="A227" s="35"/>
      <c r="B227" s="35"/>
      <c r="C227" s="62"/>
      <c r="D227" s="126"/>
      <c r="E227" s="4" t="s">
        <v>396</v>
      </c>
      <c r="F227" s="27" t="s">
        <v>54</v>
      </c>
      <c r="G227" s="37">
        <v>3499657</v>
      </c>
      <c r="H227" s="89"/>
      <c r="I227" s="91"/>
      <c r="J227" s="91">
        <f>17504.16+1260093.49</f>
        <v>1277597.6499999999</v>
      </c>
      <c r="K227" s="5">
        <f t="shared" si="29"/>
        <v>1277597.6499999999</v>
      </c>
      <c r="L227" s="48">
        <v>36</v>
      </c>
      <c r="M227" s="158"/>
    </row>
    <row r="228" spans="1:13" s="36" customFormat="1" ht="38.85" customHeight="1" x14ac:dyDescent="0.2">
      <c r="A228" s="35"/>
      <c r="B228" s="35"/>
      <c r="C228" s="62"/>
      <c r="D228" s="110"/>
      <c r="E228" s="4" t="s">
        <v>405</v>
      </c>
      <c r="F228" s="27">
        <v>2020</v>
      </c>
      <c r="G228" s="27"/>
      <c r="H228" s="93"/>
      <c r="I228" s="91">
        <v>1500000</v>
      </c>
      <c r="J228" s="5"/>
      <c r="K228" s="5">
        <f>J228+I228</f>
        <v>1500000</v>
      </c>
      <c r="L228" s="48"/>
      <c r="M228" s="158"/>
    </row>
    <row r="229" spans="1:13" s="36" customFormat="1" ht="22.35" customHeight="1" x14ac:dyDescent="0.2">
      <c r="A229" s="35"/>
      <c r="B229" s="35"/>
      <c r="C229" s="62"/>
      <c r="D229" s="126"/>
      <c r="E229" s="4" t="s">
        <v>220</v>
      </c>
      <c r="F229" s="27" t="s">
        <v>54</v>
      </c>
      <c r="G229" s="37">
        <v>1494248</v>
      </c>
      <c r="H229" s="89">
        <v>54</v>
      </c>
      <c r="I229" s="91"/>
      <c r="J229" s="91">
        <f>599965.33+6298.28</f>
        <v>606263.61</v>
      </c>
      <c r="K229" s="5">
        <f t="shared" si="29"/>
        <v>606263.61</v>
      </c>
      <c r="L229" s="37">
        <v>100</v>
      </c>
      <c r="M229" s="158"/>
    </row>
    <row r="230" spans="1:13" s="36" customFormat="1" ht="41.1" customHeight="1" x14ac:dyDescent="0.2">
      <c r="A230" s="35"/>
      <c r="B230" s="35"/>
      <c r="C230" s="62"/>
      <c r="D230" s="126"/>
      <c r="E230" s="4" t="s">
        <v>406</v>
      </c>
      <c r="F230" s="27" t="s">
        <v>54</v>
      </c>
      <c r="G230" s="37"/>
      <c r="H230" s="89"/>
      <c r="I230" s="91">
        <v>4000000</v>
      </c>
      <c r="J230" s="91">
        <v>57444.57</v>
      </c>
      <c r="K230" s="5">
        <f t="shared" si="29"/>
        <v>4057444.57</v>
      </c>
      <c r="L230" s="37"/>
      <c r="M230" s="158"/>
    </row>
    <row r="231" spans="1:13" s="36" customFormat="1" ht="48" customHeight="1" x14ac:dyDescent="0.2">
      <c r="A231" s="35"/>
      <c r="B231" s="35"/>
      <c r="C231" s="62"/>
      <c r="D231" s="126"/>
      <c r="E231" s="4" t="s">
        <v>397</v>
      </c>
      <c r="F231" s="27" t="s">
        <v>42</v>
      </c>
      <c r="G231" s="37">
        <v>5604313</v>
      </c>
      <c r="H231" s="89">
        <v>33</v>
      </c>
      <c r="I231" s="91"/>
      <c r="J231" s="91">
        <f>869271.76+10671.98</f>
        <v>879943.74</v>
      </c>
      <c r="K231" s="5">
        <f t="shared" si="29"/>
        <v>879943.74</v>
      </c>
      <c r="L231" s="48">
        <v>49</v>
      </c>
      <c r="M231" s="158"/>
    </row>
    <row r="232" spans="1:13" s="36" customFormat="1" ht="32.85" customHeight="1" x14ac:dyDescent="0.2">
      <c r="A232" s="35"/>
      <c r="B232" s="35"/>
      <c r="C232" s="62"/>
      <c r="D232" s="126"/>
      <c r="E232" s="92" t="s">
        <v>328</v>
      </c>
      <c r="F232" s="27" t="s">
        <v>54</v>
      </c>
      <c r="G232" s="37">
        <v>488984</v>
      </c>
      <c r="H232" s="89">
        <v>3.9</v>
      </c>
      <c r="I232" s="91"/>
      <c r="J232" s="91">
        <f>463558+6450.51</f>
        <v>470008.51</v>
      </c>
      <c r="K232" s="5">
        <f t="shared" si="29"/>
        <v>470008.51</v>
      </c>
      <c r="L232" s="37">
        <v>100</v>
      </c>
      <c r="M232" s="158"/>
    </row>
    <row r="233" spans="1:13" s="36" customFormat="1" ht="58.5" customHeight="1" x14ac:dyDescent="0.2">
      <c r="A233" s="35"/>
      <c r="B233" s="35"/>
      <c r="C233" s="62"/>
      <c r="D233" s="126"/>
      <c r="E233" s="92" t="s">
        <v>404</v>
      </c>
      <c r="F233" s="27" t="s">
        <v>54</v>
      </c>
      <c r="G233" s="37">
        <v>287958</v>
      </c>
      <c r="H233" s="89"/>
      <c r="I233" s="91"/>
      <c r="J233" s="91">
        <v>20295</v>
      </c>
      <c r="K233" s="5">
        <f t="shared" si="29"/>
        <v>20295</v>
      </c>
      <c r="L233" s="48">
        <v>7</v>
      </c>
      <c r="M233" s="158"/>
    </row>
    <row r="234" spans="1:13" s="36" customFormat="1" ht="51" customHeight="1" x14ac:dyDescent="0.2">
      <c r="A234" s="35"/>
      <c r="B234" s="35"/>
      <c r="C234" s="62"/>
      <c r="D234" s="126"/>
      <c r="E234" s="92" t="s">
        <v>228</v>
      </c>
      <c r="F234" s="27" t="s">
        <v>54</v>
      </c>
      <c r="G234" s="37">
        <v>324741</v>
      </c>
      <c r="H234" s="89"/>
      <c r="I234" s="91"/>
      <c r="J234" s="91">
        <f>33948+456.35</f>
        <v>34404.35</v>
      </c>
      <c r="K234" s="5">
        <f t="shared" si="29"/>
        <v>34404.35</v>
      </c>
      <c r="L234" s="48">
        <v>10.6</v>
      </c>
      <c r="M234" s="158"/>
    </row>
    <row r="235" spans="1:13" s="36" customFormat="1" ht="52.5" customHeight="1" x14ac:dyDescent="0.2">
      <c r="A235" s="35"/>
      <c r="B235" s="35"/>
      <c r="C235" s="62"/>
      <c r="D235" s="126"/>
      <c r="E235" s="92" t="s">
        <v>229</v>
      </c>
      <c r="F235" s="27" t="s">
        <v>54</v>
      </c>
      <c r="G235" s="37">
        <v>297944</v>
      </c>
      <c r="H235" s="89">
        <v>5.6</v>
      </c>
      <c r="I235" s="91"/>
      <c r="J235" s="91">
        <f>277529+3881.11</f>
        <v>281410.11</v>
      </c>
      <c r="K235" s="5">
        <f t="shared" si="29"/>
        <v>281410.11</v>
      </c>
      <c r="L235" s="37">
        <v>100</v>
      </c>
      <c r="M235" s="158"/>
    </row>
    <row r="236" spans="1:13" s="36" customFormat="1" ht="53.85" customHeight="1" x14ac:dyDescent="0.2">
      <c r="A236" s="35"/>
      <c r="B236" s="35"/>
      <c r="C236" s="62"/>
      <c r="D236" s="126"/>
      <c r="E236" s="4" t="s">
        <v>226</v>
      </c>
      <c r="F236" s="27" t="s">
        <v>54</v>
      </c>
      <c r="G236" s="37">
        <v>1936055</v>
      </c>
      <c r="H236" s="89">
        <v>43</v>
      </c>
      <c r="I236" s="91"/>
      <c r="J236" s="91">
        <f>494857.2+6105.04+4989.4+5428.93+455046</f>
        <v>966426.57000000007</v>
      </c>
      <c r="K236" s="5">
        <f t="shared" si="29"/>
        <v>966426.57000000007</v>
      </c>
      <c r="L236" s="37">
        <v>100</v>
      </c>
      <c r="M236" s="158"/>
    </row>
    <row r="237" spans="1:13" s="36" customFormat="1" ht="42.6" customHeight="1" x14ac:dyDescent="0.2">
      <c r="A237" s="35"/>
      <c r="B237" s="35"/>
      <c r="C237" s="62"/>
      <c r="D237" s="110"/>
      <c r="E237" s="4" t="s">
        <v>329</v>
      </c>
      <c r="F237" s="27">
        <v>2020</v>
      </c>
      <c r="G237" s="27"/>
      <c r="H237" s="93"/>
      <c r="I237" s="91">
        <v>450000</v>
      </c>
      <c r="J237" s="5"/>
      <c r="K237" s="5">
        <f t="shared" si="29"/>
        <v>450000</v>
      </c>
      <c r="L237" s="48"/>
      <c r="M237" s="158"/>
    </row>
    <row r="238" spans="1:13" s="36" customFormat="1" ht="35.85" customHeight="1" x14ac:dyDescent="0.2">
      <c r="A238" s="35"/>
      <c r="B238" s="35"/>
      <c r="C238" s="62"/>
      <c r="D238" s="110"/>
      <c r="E238" s="4" t="s">
        <v>416</v>
      </c>
      <c r="F238" s="27">
        <v>2020</v>
      </c>
      <c r="G238" s="27"/>
      <c r="H238" s="93"/>
      <c r="I238" s="91">
        <v>200000</v>
      </c>
      <c r="J238" s="5"/>
      <c r="K238" s="5">
        <f t="shared" si="29"/>
        <v>200000</v>
      </c>
      <c r="L238" s="48"/>
      <c r="M238" s="158">
        <v>46</v>
      </c>
    </row>
    <row r="239" spans="1:13" s="36" customFormat="1" ht="26.85" customHeight="1" x14ac:dyDescent="0.2">
      <c r="A239" s="35"/>
      <c r="B239" s="35"/>
      <c r="C239" s="62"/>
      <c r="D239" s="110"/>
      <c r="E239" s="1" t="s">
        <v>330</v>
      </c>
      <c r="F239" s="27">
        <v>2020</v>
      </c>
      <c r="G239" s="27"/>
      <c r="H239" s="93"/>
      <c r="I239" s="91">
        <v>300000</v>
      </c>
      <c r="J239" s="5">
        <v>-300000</v>
      </c>
      <c r="K239" s="5">
        <f t="shared" si="29"/>
        <v>0</v>
      </c>
      <c r="L239" s="48"/>
      <c r="M239" s="158"/>
    </row>
    <row r="240" spans="1:13" s="36" customFormat="1" ht="24.6" customHeight="1" x14ac:dyDescent="0.2">
      <c r="A240" s="35"/>
      <c r="B240" s="35"/>
      <c r="C240" s="62"/>
      <c r="D240" s="110"/>
      <c r="E240" s="4" t="s">
        <v>331</v>
      </c>
      <c r="F240" s="27">
        <v>2020</v>
      </c>
      <c r="G240" s="27"/>
      <c r="H240" s="93"/>
      <c r="I240" s="91">
        <v>1600000</v>
      </c>
      <c r="J240" s="5"/>
      <c r="K240" s="5">
        <f t="shared" si="29"/>
        <v>1600000</v>
      </c>
      <c r="L240" s="48"/>
      <c r="M240" s="158"/>
    </row>
    <row r="241" spans="1:13" s="36" customFormat="1" ht="32.85" customHeight="1" x14ac:dyDescent="0.2">
      <c r="A241" s="35"/>
      <c r="B241" s="35"/>
      <c r="C241" s="62"/>
      <c r="D241" s="110"/>
      <c r="E241" s="4" t="s">
        <v>293</v>
      </c>
      <c r="F241" s="27">
        <v>2020</v>
      </c>
      <c r="G241" s="27"/>
      <c r="H241" s="93"/>
      <c r="I241" s="91">
        <v>3000000</v>
      </c>
      <c r="J241" s="5"/>
      <c r="K241" s="5">
        <f t="shared" si="29"/>
        <v>3000000</v>
      </c>
      <c r="L241" s="48"/>
      <c r="M241" s="158"/>
    </row>
    <row r="242" spans="1:13" s="36" customFormat="1" ht="42" customHeight="1" x14ac:dyDescent="0.2">
      <c r="A242" s="35"/>
      <c r="B242" s="35"/>
      <c r="C242" s="62"/>
      <c r="D242" s="110"/>
      <c r="E242" s="4" t="s">
        <v>247</v>
      </c>
      <c r="F242" s="27">
        <v>2020</v>
      </c>
      <c r="G242" s="27"/>
      <c r="H242" s="93"/>
      <c r="I242" s="91">
        <v>5550000</v>
      </c>
      <c r="J242" s="5"/>
      <c r="K242" s="5">
        <f t="shared" si="29"/>
        <v>5550000</v>
      </c>
      <c r="L242" s="48"/>
      <c r="M242" s="158"/>
    </row>
    <row r="243" spans="1:13" s="36" customFormat="1" ht="45.6" customHeight="1" x14ac:dyDescent="0.2">
      <c r="A243" s="35"/>
      <c r="B243" s="35"/>
      <c r="C243" s="62"/>
      <c r="D243" s="126"/>
      <c r="E243" s="4" t="s">
        <v>415</v>
      </c>
      <c r="F243" s="27">
        <v>2020</v>
      </c>
      <c r="G243" s="27"/>
      <c r="H243" s="93"/>
      <c r="I243" s="5">
        <f>SUM(I244:I251)</f>
        <v>1000000</v>
      </c>
      <c r="J243" s="5">
        <f t="shared" ref="J243:K243" si="30">SUM(J244:J251)</f>
        <v>2910320.83</v>
      </c>
      <c r="K243" s="5">
        <f t="shared" si="30"/>
        <v>3910320.83</v>
      </c>
      <c r="L243" s="48"/>
      <c r="M243" s="158"/>
    </row>
    <row r="244" spans="1:13" s="119" customFormat="1" ht="44.85" customHeight="1" x14ac:dyDescent="0.2">
      <c r="A244" s="94"/>
      <c r="B244" s="94"/>
      <c r="C244" s="118"/>
      <c r="D244" s="126"/>
      <c r="E244" s="63" t="s">
        <v>233</v>
      </c>
      <c r="F244" s="94" t="s">
        <v>54</v>
      </c>
      <c r="G244" s="120">
        <v>1347514</v>
      </c>
      <c r="H244" s="146">
        <v>2.5</v>
      </c>
      <c r="I244" s="111"/>
      <c r="J244" s="111">
        <f>529608+6319.42+776781.58</f>
        <v>1312709</v>
      </c>
      <c r="K244" s="64">
        <f t="shared" si="29"/>
        <v>1312709</v>
      </c>
      <c r="L244" s="147">
        <v>100</v>
      </c>
      <c r="M244" s="158"/>
    </row>
    <row r="245" spans="1:13" s="119" customFormat="1" ht="42" customHeight="1" x14ac:dyDescent="0.2">
      <c r="A245" s="94"/>
      <c r="B245" s="94"/>
      <c r="C245" s="118"/>
      <c r="D245" s="126"/>
      <c r="E245" s="122" t="s">
        <v>234</v>
      </c>
      <c r="F245" s="94" t="s">
        <v>54</v>
      </c>
      <c r="G245" s="120">
        <v>399635</v>
      </c>
      <c r="H245" s="121"/>
      <c r="I245" s="111"/>
      <c r="J245" s="111">
        <f>131749+1782.18+45136+220967.82</f>
        <v>399635</v>
      </c>
      <c r="K245" s="64">
        <f t="shared" si="29"/>
        <v>399635</v>
      </c>
      <c r="L245" s="120">
        <v>100</v>
      </c>
      <c r="M245" s="158"/>
    </row>
    <row r="246" spans="1:13" s="119" customFormat="1" ht="32.1" customHeight="1" x14ac:dyDescent="0.2">
      <c r="A246" s="94"/>
      <c r="B246" s="94"/>
      <c r="C246" s="118"/>
      <c r="D246" s="126"/>
      <c r="E246" s="122" t="s">
        <v>235</v>
      </c>
      <c r="F246" s="94" t="s">
        <v>54</v>
      </c>
      <c r="G246" s="120">
        <v>299612</v>
      </c>
      <c r="H246" s="121"/>
      <c r="I246" s="111"/>
      <c r="J246" s="111">
        <f>167195+2332.81+22652+107432.19</f>
        <v>299612</v>
      </c>
      <c r="K246" s="64">
        <f t="shared" si="29"/>
        <v>299612</v>
      </c>
      <c r="L246" s="120">
        <v>100</v>
      </c>
      <c r="M246" s="158"/>
    </row>
    <row r="247" spans="1:13" s="119" customFormat="1" ht="41.85" customHeight="1" x14ac:dyDescent="0.2">
      <c r="A247" s="94"/>
      <c r="B247" s="94"/>
      <c r="C247" s="118"/>
      <c r="D247" s="126"/>
      <c r="E247" s="122" t="s">
        <v>236</v>
      </c>
      <c r="F247" s="94" t="s">
        <v>54</v>
      </c>
      <c r="G247" s="120">
        <v>927760</v>
      </c>
      <c r="H247" s="121">
        <v>3.07</v>
      </c>
      <c r="I247" s="111"/>
      <c r="J247" s="111">
        <f>496582+6964.42+394818.41</f>
        <v>898364.83</v>
      </c>
      <c r="K247" s="64">
        <f t="shared" si="29"/>
        <v>898364.83</v>
      </c>
      <c r="L247" s="120">
        <v>100</v>
      </c>
      <c r="M247" s="158"/>
    </row>
    <row r="248" spans="1:13" s="119" customFormat="1" ht="39" customHeight="1" x14ac:dyDescent="0.2">
      <c r="A248" s="94"/>
      <c r="B248" s="94"/>
      <c r="C248" s="118"/>
      <c r="D248" s="126"/>
      <c r="E248" s="122" t="s">
        <v>421</v>
      </c>
      <c r="F248" s="94">
        <v>2020</v>
      </c>
      <c r="G248" s="120"/>
      <c r="H248" s="121"/>
      <c r="I248" s="111">
        <v>250000</v>
      </c>
      <c r="J248" s="111"/>
      <c r="K248" s="64">
        <f t="shared" si="29"/>
        <v>250000</v>
      </c>
      <c r="L248" s="120"/>
      <c r="M248" s="158"/>
    </row>
    <row r="249" spans="1:13" s="119" customFormat="1" ht="36" customHeight="1" x14ac:dyDescent="0.2">
      <c r="A249" s="94"/>
      <c r="B249" s="94"/>
      <c r="C249" s="118"/>
      <c r="D249" s="126"/>
      <c r="E249" s="122" t="s">
        <v>493</v>
      </c>
      <c r="F249" s="94">
        <v>2020</v>
      </c>
      <c r="G249" s="120"/>
      <c r="H249" s="121"/>
      <c r="I249" s="111">
        <v>250000</v>
      </c>
      <c r="J249" s="111"/>
      <c r="K249" s="64">
        <f t="shared" si="29"/>
        <v>250000</v>
      </c>
      <c r="L249" s="120"/>
      <c r="M249" s="158"/>
    </row>
    <row r="250" spans="1:13" s="119" customFormat="1" ht="37.5" customHeight="1" x14ac:dyDescent="0.2">
      <c r="A250" s="94"/>
      <c r="B250" s="94"/>
      <c r="C250" s="118"/>
      <c r="D250" s="126"/>
      <c r="E250" s="122" t="s">
        <v>422</v>
      </c>
      <c r="F250" s="94">
        <v>2020</v>
      </c>
      <c r="G250" s="120"/>
      <c r="H250" s="121"/>
      <c r="I250" s="111">
        <v>250000</v>
      </c>
      <c r="J250" s="111"/>
      <c r="K250" s="64">
        <f t="shared" si="29"/>
        <v>250000</v>
      </c>
      <c r="L250" s="120"/>
      <c r="M250" s="158"/>
    </row>
    <row r="251" spans="1:13" s="119" customFormat="1" ht="39" customHeight="1" x14ac:dyDescent="0.2">
      <c r="A251" s="94"/>
      <c r="B251" s="94"/>
      <c r="C251" s="118"/>
      <c r="D251" s="126"/>
      <c r="E251" s="122" t="s">
        <v>423</v>
      </c>
      <c r="F251" s="94">
        <v>2020</v>
      </c>
      <c r="G251" s="120"/>
      <c r="H251" s="121"/>
      <c r="I251" s="111">
        <v>250000</v>
      </c>
      <c r="J251" s="111"/>
      <c r="K251" s="64">
        <f t="shared" si="29"/>
        <v>250000</v>
      </c>
      <c r="L251" s="120"/>
      <c r="M251" s="158"/>
    </row>
    <row r="252" spans="1:13" s="36" customFormat="1" ht="47.85" customHeight="1" x14ac:dyDescent="0.2">
      <c r="A252" s="35"/>
      <c r="B252" s="35"/>
      <c r="C252" s="62"/>
      <c r="D252" s="126"/>
      <c r="E252" s="4" t="s">
        <v>412</v>
      </c>
      <c r="F252" s="27"/>
      <c r="G252" s="27"/>
      <c r="H252" s="93"/>
      <c r="I252" s="91">
        <f>SUM(I253:I267)</f>
        <v>9000000</v>
      </c>
      <c r="J252" s="91">
        <f t="shared" ref="J252:K252" si="31">SUM(J253:J267)</f>
        <v>1973627.62</v>
      </c>
      <c r="K252" s="91">
        <f t="shared" si="31"/>
        <v>10973627.620000001</v>
      </c>
      <c r="L252" s="48"/>
      <c r="M252" s="158"/>
    </row>
    <row r="253" spans="1:13" s="119" customFormat="1" ht="38.85" customHeight="1" x14ac:dyDescent="0.2">
      <c r="A253" s="94"/>
      <c r="B253" s="94"/>
      <c r="C253" s="118"/>
      <c r="D253" s="126"/>
      <c r="E253" s="122" t="s">
        <v>327</v>
      </c>
      <c r="F253" s="94" t="s">
        <v>54</v>
      </c>
      <c r="G253" s="120">
        <v>887309</v>
      </c>
      <c r="H253" s="121">
        <v>3.3</v>
      </c>
      <c r="I253" s="111"/>
      <c r="J253" s="111">
        <f>846502+11915.4</f>
        <v>858417.4</v>
      </c>
      <c r="K253" s="64">
        <f t="shared" ref="K253:K267" si="32">J253+I253</f>
        <v>858417.4</v>
      </c>
      <c r="L253" s="120">
        <v>100</v>
      </c>
      <c r="M253" s="158"/>
    </row>
    <row r="254" spans="1:13" s="119" customFormat="1" ht="27.6" customHeight="1" x14ac:dyDescent="0.2">
      <c r="A254" s="94"/>
      <c r="B254" s="94"/>
      <c r="C254" s="118"/>
      <c r="D254" s="126"/>
      <c r="E254" s="122" t="s">
        <v>221</v>
      </c>
      <c r="F254" s="94" t="s">
        <v>54</v>
      </c>
      <c r="G254" s="120">
        <v>767807</v>
      </c>
      <c r="H254" s="121">
        <v>3.4</v>
      </c>
      <c r="I254" s="111"/>
      <c r="J254" s="111">
        <f>731701+10287.72</f>
        <v>741988.72</v>
      </c>
      <c r="K254" s="64">
        <f t="shared" si="32"/>
        <v>741988.72</v>
      </c>
      <c r="L254" s="120">
        <v>100</v>
      </c>
      <c r="M254" s="158"/>
    </row>
    <row r="255" spans="1:13" s="119" customFormat="1" ht="43.35" customHeight="1" x14ac:dyDescent="0.2">
      <c r="A255" s="94"/>
      <c r="B255" s="94"/>
      <c r="C255" s="118"/>
      <c r="D255" s="126"/>
      <c r="E255" s="122" t="s">
        <v>227</v>
      </c>
      <c r="F255" s="94" t="s">
        <v>54</v>
      </c>
      <c r="G255" s="120">
        <v>1258475.95</v>
      </c>
      <c r="H255" s="121">
        <v>78.3</v>
      </c>
      <c r="I255" s="111"/>
      <c r="J255" s="111">
        <f>3787.86+269154</f>
        <v>272941.86</v>
      </c>
      <c r="K255" s="64">
        <f t="shared" si="32"/>
        <v>272941.86</v>
      </c>
      <c r="L255" s="120">
        <v>100</v>
      </c>
      <c r="M255" s="158"/>
    </row>
    <row r="256" spans="1:13" s="119" customFormat="1" ht="26.85" customHeight="1" x14ac:dyDescent="0.2">
      <c r="A256" s="94"/>
      <c r="B256" s="94"/>
      <c r="C256" s="118"/>
      <c r="D256" s="126"/>
      <c r="E256" s="122" t="s">
        <v>223</v>
      </c>
      <c r="F256" s="94" t="s">
        <v>54</v>
      </c>
      <c r="G256" s="120">
        <v>714778</v>
      </c>
      <c r="H256" s="121"/>
      <c r="I256" s="111"/>
      <c r="J256" s="111">
        <f>23143.79+682071+9563.1</f>
        <v>714777.89</v>
      </c>
      <c r="K256" s="64">
        <f t="shared" si="32"/>
        <v>714777.89</v>
      </c>
      <c r="L256" s="120">
        <v>100</v>
      </c>
      <c r="M256" s="158">
        <v>47</v>
      </c>
    </row>
    <row r="257" spans="1:13" s="119" customFormat="1" ht="24" x14ac:dyDescent="0.2">
      <c r="A257" s="94"/>
      <c r="B257" s="94"/>
      <c r="C257" s="118"/>
      <c r="D257" s="126"/>
      <c r="E257" s="122" t="s">
        <v>224</v>
      </c>
      <c r="F257" s="94" t="s">
        <v>54</v>
      </c>
      <c r="G257" s="120">
        <v>382967</v>
      </c>
      <c r="H257" s="121"/>
      <c r="I257" s="111"/>
      <c r="J257" s="111">
        <f>359478+18427.58+5061.63</f>
        <v>382967.21</v>
      </c>
      <c r="K257" s="64">
        <f t="shared" si="32"/>
        <v>382967.21</v>
      </c>
      <c r="L257" s="120">
        <v>100</v>
      </c>
      <c r="M257" s="158"/>
    </row>
    <row r="258" spans="1:13" s="119" customFormat="1" ht="26.1" customHeight="1" x14ac:dyDescent="0.2">
      <c r="A258" s="94"/>
      <c r="B258" s="94"/>
      <c r="C258" s="118"/>
      <c r="D258" s="126"/>
      <c r="E258" s="122" t="s">
        <v>500</v>
      </c>
      <c r="F258" s="94" t="s">
        <v>54</v>
      </c>
      <c r="G258" s="120">
        <v>354227.53</v>
      </c>
      <c r="H258" s="121"/>
      <c r="I258" s="111"/>
      <c r="J258" s="111">
        <f>327845+21775.18+4607.35</f>
        <v>354227.52999999997</v>
      </c>
      <c r="K258" s="64">
        <f t="shared" si="32"/>
        <v>354227.52999999997</v>
      </c>
      <c r="L258" s="120">
        <v>100</v>
      </c>
      <c r="M258" s="158"/>
    </row>
    <row r="259" spans="1:13" s="119" customFormat="1" ht="27" customHeight="1" x14ac:dyDescent="0.2">
      <c r="A259" s="94"/>
      <c r="B259" s="94"/>
      <c r="C259" s="118"/>
      <c r="D259" s="126"/>
      <c r="E259" s="122" t="s">
        <v>225</v>
      </c>
      <c r="F259" s="94" t="s">
        <v>54</v>
      </c>
      <c r="G259" s="120">
        <v>564564</v>
      </c>
      <c r="H259" s="121">
        <v>2.9</v>
      </c>
      <c r="I259" s="111"/>
      <c r="J259" s="111">
        <f>486495.28+6831.24+54213.37+767.12</f>
        <v>548307.01</v>
      </c>
      <c r="K259" s="64">
        <f t="shared" si="32"/>
        <v>548307.01</v>
      </c>
      <c r="L259" s="120">
        <v>100</v>
      </c>
      <c r="M259" s="158"/>
    </row>
    <row r="260" spans="1:13" s="36" customFormat="1" ht="29.85" customHeight="1" x14ac:dyDescent="0.2">
      <c r="A260" s="35"/>
      <c r="B260" s="35"/>
      <c r="C260" s="62"/>
      <c r="D260" s="110"/>
      <c r="E260" s="123" t="s">
        <v>332</v>
      </c>
      <c r="F260" s="94">
        <v>2020</v>
      </c>
      <c r="G260" s="94"/>
      <c r="H260" s="95"/>
      <c r="I260" s="111">
        <v>1500000</v>
      </c>
      <c r="J260" s="64"/>
      <c r="K260" s="64">
        <f t="shared" si="32"/>
        <v>1500000</v>
      </c>
      <c r="L260" s="48"/>
      <c r="M260" s="158"/>
    </row>
    <row r="261" spans="1:13" s="36" customFormat="1" ht="26.1" customHeight="1" x14ac:dyDescent="0.2">
      <c r="A261" s="35"/>
      <c r="B261" s="35"/>
      <c r="C261" s="62"/>
      <c r="D261" s="110"/>
      <c r="E261" s="123" t="s">
        <v>238</v>
      </c>
      <c r="F261" s="94">
        <v>2020</v>
      </c>
      <c r="G261" s="94"/>
      <c r="H261" s="95"/>
      <c r="I261" s="111">
        <v>900000</v>
      </c>
      <c r="J261" s="64"/>
      <c r="K261" s="64">
        <f t="shared" si="32"/>
        <v>900000</v>
      </c>
      <c r="L261" s="48"/>
      <c r="M261" s="158"/>
    </row>
    <row r="262" spans="1:13" s="36" customFormat="1" ht="27" customHeight="1" x14ac:dyDescent="0.2">
      <c r="A262" s="35"/>
      <c r="B262" s="35"/>
      <c r="C262" s="62"/>
      <c r="D262" s="110"/>
      <c r="E262" s="123" t="s">
        <v>239</v>
      </c>
      <c r="F262" s="94">
        <v>2020</v>
      </c>
      <c r="G262" s="94"/>
      <c r="H262" s="95"/>
      <c r="I262" s="111">
        <f>1500000-500000-250000</f>
        <v>750000</v>
      </c>
      <c r="J262" s="64">
        <v>-500000</v>
      </c>
      <c r="K262" s="64">
        <f t="shared" si="32"/>
        <v>250000</v>
      </c>
      <c r="L262" s="48"/>
      <c r="M262" s="158"/>
    </row>
    <row r="263" spans="1:13" s="36" customFormat="1" ht="48" customHeight="1" x14ac:dyDescent="0.2">
      <c r="A263" s="35"/>
      <c r="B263" s="35"/>
      <c r="C263" s="62"/>
      <c r="D263" s="110"/>
      <c r="E263" s="123" t="s">
        <v>240</v>
      </c>
      <c r="F263" s="94">
        <v>2020</v>
      </c>
      <c r="G263" s="94"/>
      <c r="H263" s="95"/>
      <c r="I263" s="111">
        <v>1900000</v>
      </c>
      <c r="J263" s="64"/>
      <c r="K263" s="64">
        <f t="shared" si="32"/>
        <v>1900000</v>
      </c>
      <c r="L263" s="48"/>
      <c r="M263" s="158"/>
    </row>
    <row r="264" spans="1:13" s="36" customFormat="1" ht="31.35" customHeight="1" x14ac:dyDescent="0.2">
      <c r="A264" s="35"/>
      <c r="B264" s="35"/>
      <c r="C264" s="62"/>
      <c r="D264" s="110"/>
      <c r="E264" s="123" t="s">
        <v>241</v>
      </c>
      <c r="F264" s="94">
        <v>2020</v>
      </c>
      <c r="G264" s="94"/>
      <c r="H264" s="95"/>
      <c r="I264" s="111">
        <v>1300000</v>
      </c>
      <c r="J264" s="64"/>
      <c r="K264" s="64">
        <f t="shared" si="32"/>
        <v>1300000</v>
      </c>
      <c r="L264" s="48"/>
      <c r="M264" s="158"/>
    </row>
    <row r="265" spans="1:13" s="36" customFormat="1" ht="33.6" customHeight="1" x14ac:dyDescent="0.2">
      <c r="A265" s="35"/>
      <c r="B265" s="35"/>
      <c r="C265" s="62"/>
      <c r="D265" s="110"/>
      <c r="E265" s="123" t="s">
        <v>242</v>
      </c>
      <c r="F265" s="94">
        <v>2020</v>
      </c>
      <c r="G265" s="94"/>
      <c r="H265" s="95"/>
      <c r="I265" s="111">
        <f>1500000-750000</f>
        <v>750000</v>
      </c>
      <c r="J265" s="64">
        <v>-750000</v>
      </c>
      <c r="K265" s="64">
        <f t="shared" si="32"/>
        <v>0</v>
      </c>
      <c r="L265" s="48"/>
      <c r="M265" s="158"/>
    </row>
    <row r="266" spans="1:13" s="36" customFormat="1" ht="24" x14ac:dyDescent="0.2">
      <c r="A266" s="35"/>
      <c r="B266" s="35"/>
      <c r="C266" s="62"/>
      <c r="D266" s="110"/>
      <c r="E266" s="123" t="s">
        <v>243</v>
      </c>
      <c r="F266" s="94">
        <v>2020</v>
      </c>
      <c r="G266" s="94"/>
      <c r="H266" s="95"/>
      <c r="I266" s="111">
        <v>1250000</v>
      </c>
      <c r="J266" s="64"/>
      <c r="K266" s="64">
        <f t="shared" si="32"/>
        <v>1250000</v>
      </c>
      <c r="L266" s="48"/>
      <c r="M266" s="158"/>
    </row>
    <row r="267" spans="1:13" s="36" customFormat="1" ht="33.6" customHeight="1" x14ac:dyDescent="0.2">
      <c r="A267" s="35"/>
      <c r="B267" s="35"/>
      <c r="C267" s="62"/>
      <c r="D267" s="110"/>
      <c r="E267" s="123" t="s">
        <v>244</v>
      </c>
      <c r="F267" s="94">
        <v>2020</v>
      </c>
      <c r="G267" s="94"/>
      <c r="H267" s="95"/>
      <c r="I267" s="111">
        <f>1500000-1000000+150000</f>
        <v>650000</v>
      </c>
      <c r="J267" s="64">
        <v>-650000</v>
      </c>
      <c r="K267" s="64">
        <f t="shared" si="32"/>
        <v>0</v>
      </c>
      <c r="L267" s="48"/>
      <c r="M267" s="158"/>
    </row>
    <row r="268" spans="1:13" s="36" customFormat="1" ht="41.85" customHeight="1" x14ac:dyDescent="0.2">
      <c r="A268" s="35"/>
      <c r="B268" s="35"/>
      <c r="C268" s="62"/>
      <c r="D268" s="110"/>
      <c r="E268" s="1" t="s">
        <v>413</v>
      </c>
      <c r="F268" s="27"/>
      <c r="G268" s="27"/>
      <c r="H268" s="93"/>
      <c r="I268" s="91">
        <f>I269+I270+I271+I272+I273</f>
        <v>4000000</v>
      </c>
      <c r="J268" s="91">
        <f t="shared" ref="J268:K268" si="33">J269+J270+J271+J272+J273</f>
        <v>-2429526.59</v>
      </c>
      <c r="K268" s="91">
        <f t="shared" si="33"/>
        <v>1570473.4100000001</v>
      </c>
      <c r="L268" s="48"/>
      <c r="M268" s="158"/>
    </row>
    <row r="269" spans="1:13" s="36" customFormat="1" ht="43.5" customHeight="1" x14ac:dyDescent="0.2">
      <c r="A269" s="35"/>
      <c r="B269" s="35"/>
      <c r="C269" s="62"/>
      <c r="D269" s="110"/>
      <c r="E269" s="123" t="s">
        <v>333</v>
      </c>
      <c r="F269" s="94">
        <v>2020</v>
      </c>
      <c r="G269" s="52"/>
      <c r="H269" s="96"/>
      <c r="I269" s="111">
        <f>1000000-200000</f>
        <v>800000</v>
      </c>
      <c r="J269" s="64">
        <v>-500000</v>
      </c>
      <c r="K269" s="64">
        <f>I269+J269</f>
        <v>300000</v>
      </c>
      <c r="L269" s="48"/>
      <c r="M269" s="158"/>
    </row>
    <row r="270" spans="1:13" s="36" customFormat="1" ht="40.35" customHeight="1" x14ac:dyDescent="0.2">
      <c r="A270" s="35"/>
      <c r="B270" s="35"/>
      <c r="C270" s="62"/>
      <c r="D270" s="110"/>
      <c r="E270" s="123" t="s">
        <v>245</v>
      </c>
      <c r="F270" s="94">
        <v>2020</v>
      </c>
      <c r="G270" s="52"/>
      <c r="H270" s="96"/>
      <c r="I270" s="111">
        <v>500000</v>
      </c>
      <c r="J270" s="64">
        <v>-200000</v>
      </c>
      <c r="K270" s="64">
        <f>I270+J270</f>
        <v>300000</v>
      </c>
      <c r="L270" s="48"/>
      <c r="M270" s="158"/>
    </row>
    <row r="271" spans="1:13" s="36" customFormat="1" ht="45.6" customHeight="1" x14ac:dyDescent="0.2">
      <c r="A271" s="35"/>
      <c r="B271" s="35"/>
      <c r="C271" s="62"/>
      <c r="D271" s="110"/>
      <c r="E271" s="123" t="s">
        <v>334</v>
      </c>
      <c r="F271" s="94">
        <v>2020</v>
      </c>
      <c r="G271" s="52"/>
      <c r="H271" s="96"/>
      <c r="I271" s="111">
        <f>1200000-200000</f>
        <v>1000000</v>
      </c>
      <c r="J271" s="64">
        <v>-700000</v>
      </c>
      <c r="K271" s="64">
        <f>I271+J271</f>
        <v>300000</v>
      </c>
      <c r="L271" s="48"/>
      <c r="M271" s="158"/>
    </row>
    <row r="272" spans="1:13" s="36" customFormat="1" ht="38.85" customHeight="1" x14ac:dyDescent="0.2">
      <c r="A272" s="35"/>
      <c r="B272" s="35"/>
      <c r="C272" s="62"/>
      <c r="D272" s="110"/>
      <c r="E272" s="123" t="s">
        <v>335</v>
      </c>
      <c r="F272" s="94">
        <v>2020</v>
      </c>
      <c r="G272" s="52"/>
      <c r="H272" s="96"/>
      <c r="I272" s="111">
        <v>800000</v>
      </c>
      <c r="J272" s="64">
        <v>-500000</v>
      </c>
      <c r="K272" s="64">
        <f>I272+J272</f>
        <v>300000</v>
      </c>
      <c r="L272" s="48"/>
      <c r="M272" s="158"/>
    </row>
    <row r="273" spans="1:13" s="36" customFormat="1" ht="35.85" customHeight="1" x14ac:dyDescent="0.2">
      <c r="A273" s="35"/>
      <c r="B273" s="35"/>
      <c r="C273" s="62"/>
      <c r="D273" s="110"/>
      <c r="E273" s="123" t="s">
        <v>246</v>
      </c>
      <c r="F273" s="94">
        <v>2020</v>
      </c>
      <c r="G273" s="52"/>
      <c r="H273" s="96"/>
      <c r="I273" s="111">
        <f>1500000-600000</f>
        <v>900000</v>
      </c>
      <c r="J273" s="64">
        <v>-529526.59</v>
      </c>
      <c r="K273" s="64">
        <f>I273+J273</f>
        <v>370473.41000000003</v>
      </c>
      <c r="L273" s="48"/>
      <c r="M273" s="158"/>
    </row>
    <row r="274" spans="1:13" s="36" customFormat="1" ht="42.6" customHeight="1" x14ac:dyDescent="0.2">
      <c r="A274" s="35"/>
      <c r="B274" s="35"/>
      <c r="C274" s="62"/>
      <c r="D274" s="126"/>
      <c r="E274" s="4" t="s">
        <v>414</v>
      </c>
      <c r="F274" s="94"/>
      <c r="G274" s="52"/>
      <c r="H274" s="96"/>
      <c r="I274" s="91">
        <f>SUM(I275:I286)</f>
        <v>0</v>
      </c>
      <c r="J274" s="91">
        <f t="shared" ref="J274:K274" si="34">SUM(J275:J286)</f>
        <v>11317435.109999999</v>
      </c>
      <c r="K274" s="91">
        <f t="shared" si="34"/>
        <v>11317435.109999999</v>
      </c>
      <c r="L274" s="48"/>
      <c r="M274" s="158"/>
    </row>
    <row r="275" spans="1:13" s="119" customFormat="1" ht="55.35" customHeight="1" x14ac:dyDescent="0.2">
      <c r="A275" s="94"/>
      <c r="B275" s="94"/>
      <c r="C275" s="118"/>
      <c r="D275" s="126"/>
      <c r="E275" s="122" t="s">
        <v>230</v>
      </c>
      <c r="F275" s="94" t="s">
        <v>54</v>
      </c>
      <c r="G275" s="120">
        <v>454914</v>
      </c>
      <c r="H275" s="121"/>
      <c r="I275" s="111"/>
      <c r="J275" s="111">
        <f>24072.79+430841.21</f>
        <v>454914</v>
      </c>
      <c r="K275" s="64">
        <f t="shared" ref="K275:K286" si="35">J275+I275</f>
        <v>454914</v>
      </c>
      <c r="L275" s="120">
        <v>100</v>
      </c>
      <c r="M275" s="158">
        <v>48</v>
      </c>
    </row>
    <row r="276" spans="1:13" s="119" customFormat="1" ht="41.85" customHeight="1" x14ac:dyDescent="0.2">
      <c r="A276" s="94"/>
      <c r="B276" s="94"/>
      <c r="C276" s="118"/>
      <c r="D276" s="126"/>
      <c r="E276" s="122" t="s">
        <v>231</v>
      </c>
      <c r="F276" s="94" t="s">
        <v>54</v>
      </c>
      <c r="G276" s="120">
        <v>750000</v>
      </c>
      <c r="H276" s="121">
        <v>6</v>
      </c>
      <c r="I276" s="111"/>
      <c r="J276" s="111">
        <f>532663.55+7550.83+164146.66</f>
        <v>704361.04</v>
      </c>
      <c r="K276" s="64">
        <f t="shared" si="35"/>
        <v>704361.04</v>
      </c>
      <c r="L276" s="120">
        <v>100</v>
      </c>
      <c r="M276" s="158"/>
    </row>
    <row r="277" spans="1:13" s="119" customFormat="1" ht="39" customHeight="1" x14ac:dyDescent="0.2">
      <c r="A277" s="94"/>
      <c r="B277" s="94"/>
      <c r="C277" s="118"/>
      <c r="D277" s="126"/>
      <c r="E277" s="122" t="s">
        <v>232</v>
      </c>
      <c r="F277" s="94" t="s">
        <v>54</v>
      </c>
      <c r="G277" s="120">
        <v>718008</v>
      </c>
      <c r="H277" s="121">
        <v>6.4</v>
      </c>
      <c r="I277" s="111"/>
      <c r="J277" s="111">
        <f>9381.26+662482.05+505.73</f>
        <v>672369.04</v>
      </c>
      <c r="K277" s="64">
        <f t="shared" si="35"/>
        <v>672369.04</v>
      </c>
      <c r="L277" s="120">
        <v>100</v>
      </c>
      <c r="M277" s="158"/>
    </row>
    <row r="278" spans="1:13" s="119" customFormat="1" ht="30.6" customHeight="1" x14ac:dyDescent="0.2">
      <c r="A278" s="94"/>
      <c r="B278" s="94"/>
      <c r="C278" s="118"/>
      <c r="D278" s="148"/>
      <c r="E278" s="63" t="s">
        <v>336</v>
      </c>
      <c r="F278" s="94" t="s">
        <v>54</v>
      </c>
      <c r="G278" s="120">
        <v>1495560</v>
      </c>
      <c r="H278" s="95"/>
      <c r="I278" s="111"/>
      <c r="J278" s="64">
        <v>1495560</v>
      </c>
      <c r="K278" s="64">
        <f t="shared" si="35"/>
        <v>1495560</v>
      </c>
      <c r="L278" s="120">
        <v>100</v>
      </c>
      <c r="M278" s="158"/>
    </row>
    <row r="279" spans="1:13" s="119" customFormat="1" ht="40.35" customHeight="1" x14ac:dyDescent="0.2">
      <c r="A279" s="94"/>
      <c r="B279" s="94"/>
      <c r="C279" s="118"/>
      <c r="D279" s="148"/>
      <c r="E279" s="63" t="s">
        <v>271</v>
      </c>
      <c r="F279" s="94" t="s">
        <v>54</v>
      </c>
      <c r="G279" s="120">
        <v>1477357</v>
      </c>
      <c r="H279" s="121">
        <v>4.3</v>
      </c>
      <c r="I279" s="111"/>
      <c r="J279" s="64">
        <v>1413797</v>
      </c>
      <c r="K279" s="64">
        <f t="shared" si="35"/>
        <v>1413797</v>
      </c>
      <c r="L279" s="120">
        <v>100</v>
      </c>
      <c r="M279" s="158"/>
    </row>
    <row r="280" spans="1:13" s="119" customFormat="1" ht="42.6" customHeight="1" x14ac:dyDescent="0.2">
      <c r="A280" s="94"/>
      <c r="B280" s="94"/>
      <c r="C280" s="118"/>
      <c r="D280" s="148"/>
      <c r="E280" s="63" t="s">
        <v>337</v>
      </c>
      <c r="F280" s="94" t="s">
        <v>54</v>
      </c>
      <c r="G280" s="120">
        <v>748253</v>
      </c>
      <c r="H280" s="95"/>
      <c r="I280" s="111"/>
      <c r="J280" s="64">
        <v>748253</v>
      </c>
      <c r="K280" s="64">
        <f t="shared" si="35"/>
        <v>748253</v>
      </c>
      <c r="L280" s="120">
        <v>100</v>
      </c>
      <c r="M280" s="158"/>
    </row>
    <row r="281" spans="1:13" s="119" customFormat="1" ht="49.35" customHeight="1" x14ac:dyDescent="0.2">
      <c r="A281" s="94"/>
      <c r="B281" s="94"/>
      <c r="C281" s="118"/>
      <c r="D281" s="148"/>
      <c r="E281" s="63" t="s">
        <v>338</v>
      </c>
      <c r="F281" s="94" t="s">
        <v>54</v>
      </c>
      <c r="G281" s="120">
        <v>749514</v>
      </c>
      <c r="H281" s="121">
        <v>5.3</v>
      </c>
      <c r="I281" s="111"/>
      <c r="J281" s="64">
        <v>709704.89</v>
      </c>
      <c r="K281" s="64">
        <f t="shared" si="35"/>
        <v>709704.89</v>
      </c>
      <c r="L281" s="120">
        <v>100</v>
      </c>
      <c r="M281" s="158"/>
    </row>
    <row r="282" spans="1:13" s="119" customFormat="1" ht="42.6" customHeight="1" x14ac:dyDescent="0.2">
      <c r="A282" s="94"/>
      <c r="B282" s="94"/>
      <c r="C282" s="118"/>
      <c r="D282" s="148"/>
      <c r="E282" s="63" t="s">
        <v>339</v>
      </c>
      <c r="F282" s="94" t="s">
        <v>54</v>
      </c>
      <c r="G282" s="120">
        <v>744580</v>
      </c>
      <c r="H282" s="95"/>
      <c r="I282" s="111"/>
      <c r="J282" s="64">
        <v>744580</v>
      </c>
      <c r="K282" s="64">
        <f t="shared" si="35"/>
        <v>744580</v>
      </c>
      <c r="L282" s="120">
        <v>100</v>
      </c>
      <c r="M282" s="158"/>
    </row>
    <row r="283" spans="1:13" s="119" customFormat="1" ht="47.85" customHeight="1" x14ac:dyDescent="0.2">
      <c r="A283" s="94"/>
      <c r="B283" s="94"/>
      <c r="C283" s="118"/>
      <c r="D283" s="148"/>
      <c r="E283" s="63" t="s">
        <v>340</v>
      </c>
      <c r="F283" s="94" t="s">
        <v>54</v>
      </c>
      <c r="G283" s="120">
        <v>721326</v>
      </c>
      <c r="H283" s="121">
        <v>6.9</v>
      </c>
      <c r="I283" s="111"/>
      <c r="J283" s="64">
        <v>671447.14</v>
      </c>
      <c r="K283" s="64">
        <f t="shared" si="35"/>
        <v>671447.14</v>
      </c>
      <c r="L283" s="120">
        <v>100</v>
      </c>
      <c r="M283" s="158"/>
    </row>
    <row r="284" spans="1:13" s="119" customFormat="1" ht="34.35" customHeight="1" x14ac:dyDescent="0.2">
      <c r="A284" s="94"/>
      <c r="B284" s="94"/>
      <c r="C284" s="118"/>
      <c r="D284" s="148"/>
      <c r="E284" s="63" t="s">
        <v>341</v>
      </c>
      <c r="F284" s="94" t="s">
        <v>54</v>
      </c>
      <c r="G284" s="120">
        <v>1499478</v>
      </c>
      <c r="H284" s="95"/>
      <c r="I284" s="111"/>
      <c r="J284" s="64">
        <v>1499478</v>
      </c>
      <c r="K284" s="64">
        <f t="shared" si="35"/>
        <v>1499478</v>
      </c>
      <c r="L284" s="120">
        <v>100</v>
      </c>
      <c r="M284" s="158"/>
    </row>
    <row r="285" spans="1:13" s="119" customFormat="1" ht="50.1" customHeight="1" x14ac:dyDescent="0.2">
      <c r="A285" s="94"/>
      <c r="B285" s="94"/>
      <c r="C285" s="118"/>
      <c r="D285" s="148"/>
      <c r="E285" s="63" t="s">
        <v>342</v>
      </c>
      <c r="F285" s="94" t="s">
        <v>54</v>
      </c>
      <c r="G285" s="120">
        <v>703082</v>
      </c>
      <c r="H285" s="95"/>
      <c r="I285" s="111"/>
      <c r="J285" s="64">
        <v>703082</v>
      </c>
      <c r="K285" s="64">
        <f t="shared" si="35"/>
        <v>703082</v>
      </c>
      <c r="L285" s="120">
        <v>100</v>
      </c>
      <c r="M285" s="158"/>
    </row>
    <row r="286" spans="1:13" s="119" customFormat="1" ht="38.1" customHeight="1" x14ac:dyDescent="0.2">
      <c r="A286" s="94"/>
      <c r="B286" s="94"/>
      <c r="C286" s="118"/>
      <c r="D286" s="148"/>
      <c r="E286" s="63" t="s">
        <v>343</v>
      </c>
      <c r="F286" s="94" t="s">
        <v>54</v>
      </c>
      <c r="G286" s="120">
        <v>1499889</v>
      </c>
      <c r="H286" s="95"/>
      <c r="I286" s="111"/>
      <c r="J286" s="64">
        <v>1499889</v>
      </c>
      <c r="K286" s="64">
        <f t="shared" si="35"/>
        <v>1499889</v>
      </c>
      <c r="L286" s="120">
        <v>100</v>
      </c>
      <c r="M286" s="158"/>
    </row>
    <row r="287" spans="1:13" s="90" customFormat="1" ht="32.85" customHeight="1" x14ac:dyDescent="0.2">
      <c r="A287" s="9">
        <v>1216090</v>
      </c>
      <c r="B287" s="9">
        <v>6090</v>
      </c>
      <c r="C287" s="7" t="s">
        <v>178</v>
      </c>
      <c r="D287" s="6" t="s">
        <v>179</v>
      </c>
      <c r="E287" s="3" t="s">
        <v>191</v>
      </c>
      <c r="F287" s="9"/>
      <c r="G287" s="9"/>
      <c r="H287" s="9"/>
      <c r="I287" s="29">
        <f>I288+I289</f>
        <v>21793738</v>
      </c>
      <c r="J287" s="29">
        <f t="shared" ref="J287:K287" si="36">J288+J289</f>
        <v>-11834373.710000001</v>
      </c>
      <c r="K287" s="29">
        <f t="shared" si="36"/>
        <v>9959364.2899999991</v>
      </c>
      <c r="L287" s="9"/>
      <c r="M287" s="158"/>
    </row>
    <row r="288" spans="1:13" ht="32.85" customHeight="1" x14ac:dyDescent="0.2">
      <c r="A288" s="27"/>
      <c r="B288" s="27"/>
      <c r="C288" s="25"/>
      <c r="D288" s="4"/>
      <c r="E288" s="4" t="s">
        <v>270</v>
      </c>
      <c r="F288" s="27"/>
      <c r="G288" s="27"/>
      <c r="H288" s="27"/>
      <c r="I288" s="5">
        <f>21793738-300000</f>
        <v>21493738</v>
      </c>
      <c r="J288" s="5">
        <f>-1288734.74-10545638.97</f>
        <v>-11834373.710000001</v>
      </c>
      <c r="K288" s="5">
        <f>J288+I288</f>
        <v>9659364.2899999991</v>
      </c>
      <c r="L288" s="27"/>
      <c r="M288" s="158"/>
    </row>
    <row r="289" spans="1:13" ht="32.85" customHeight="1" x14ac:dyDescent="0.2">
      <c r="A289" s="27"/>
      <c r="B289" s="27"/>
      <c r="C289" s="25"/>
      <c r="D289" s="4"/>
      <c r="E289" s="4" t="s">
        <v>426</v>
      </c>
      <c r="F289" s="27">
        <v>2020</v>
      </c>
      <c r="G289" s="27"/>
      <c r="H289" s="27"/>
      <c r="I289" s="5">
        <v>300000</v>
      </c>
      <c r="J289" s="5"/>
      <c r="K289" s="5">
        <f>J289+I289</f>
        <v>300000</v>
      </c>
      <c r="L289" s="27"/>
      <c r="M289" s="158"/>
    </row>
    <row r="290" spans="1:13" ht="34.5" customHeight="1" x14ac:dyDescent="0.2">
      <c r="A290" s="9">
        <v>1217310</v>
      </c>
      <c r="B290" s="9">
        <v>7310</v>
      </c>
      <c r="C290" s="7" t="s">
        <v>3</v>
      </c>
      <c r="D290" s="6" t="s">
        <v>2</v>
      </c>
      <c r="E290" s="27"/>
      <c r="F290" s="27"/>
      <c r="G290" s="27"/>
      <c r="H290" s="27"/>
      <c r="I290" s="29">
        <f>I291+I300+I303</f>
        <v>17473612</v>
      </c>
      <c r="J290" s="29">
        <f t="shared" ref="J290:K290" si="37">J291+J300+J303</f>
        <v>-7272784.2400000002</v>
      </c>
      <c r="K290" s="29">
        <f t="shared" si="37"/>
        <v>10200827.76</v>
      </c>
      <c r="L290" s="27"/>
      <c r="M290" s="158"/>
    </row>
    <row r="291" spans="1:13" s="36" customFormat="1" ht="35.85" customHeight="1" x14ac:dyDescent="0.2">
      <c r="A291" s="35"/>
      <c r="B291" s="35"/>
      <c r="C291" s="35"/>
      <c r="D291" s="35"/>
      <c r="E291" s="3" t="s">
        <v>28</v>
      </c>
      <c r="F291" s="35"/>
      <c r="G291" s="35"/>
      <c r="H291" s="35"/>
      <c r="I291" s="34">
        <f>SUM(I292:I299)</f>
        <v>2230000</v>
      </c>
      <c r="J291" s="34">
        <f t="shared" ref="J291" si="38">SUM(J292:J299)</f>
        <v>1628215.76</v>
      </c>
      <c r="K291" s="34">
        <f>SUM(K292:K299)</f>
        <v>3858215.76</v>
      </c>
      <c r="L291" s="35"/>
      <c r="M291" s="158"/>
    </row>
    <row r="292" spans="1:13" ht="36.6" customHeight="1" x14ac:dyDescent="0.2">
      <c r="A292" s="27"/>
      <c r="B292" s="27"/>
      <c r="C292" s="27"/>
      <c r="D292" s="27"/>
      <c r="E292" s="4" t="s">
        <v>59</v>
      </c>
      <c r="F292" s="27">
        <v>2020</v>
      </c>
      <c r="G292" s="37"/>
      <c r="H292" s="27"/>
      <c r="I292" s="5">
        <f>3000000-1800000-1140000</f>
        <v>60000</v>
      </c>
      <c r="J292" s="5">
        <v>-60000</v>
      </c>
      <c r="K292" s="5">
        <f t="shared" ref="K292:K299" si="39">J292+I292</f>
        <v>0</v>
      </c>
      <c r="L292" s="27"/>
      <c r="M292" s="158">
        <v>49</v>
      </c>
    </row>
    <row r="293" spans="1:13" ht="50.85" customHeight="1" x14ac:dyDescent="0.2">
      <c r="A293" s="27"/>
      <c r="B293" s="27"/>
      <c r="C293" s="27"/>
      <c r="D293" s="27"/>
      <c r="E293" s="4" t="s">
        <v>67</v>
      </c>
      <c r="F293" s="27">
        <v>2020</v>
      </c>
      <c r="G293" s="37"/>
      <c r="H293" s="27"/>
      <c r="I293" s="5">
        <v>240000</v>
      </c>
      <c r="J293" s="5"/>
      <c r="K293" s="5">
        <f t="shared" si="39"/>
        <v>240000</v>
      </c>
      <c r="L293" s="27"/>
      <c r="M293" s="158"/>
    </row>
    <row r="294" spans="1:13" ht="68.849999999999994" customHeight="1" x14ac:dyDescent="0.2">
      <c r="A294" s="27"/>
      <c r="B294" s="27"/>
      <c r="C294" s="27"/>
      <c r="D294" s="27"/>
      <c r="E294" s="4" t="s">
        <v>56</v>
      </c>
      <c r="F294" s="27" t="s">
        <v>57</v>
      </c>
      <c r="G294" s="37"/>
      <c r="H294" s="27"/>
      <c r="I294" s="5">
        <f>1000000-700000</f>
        <v>300000</v>
      </c>
      <c r="J294" s="5">
        <v>-300000</v>
      </c>
      <c r="K294" s="5">
        <f t="shared" si="39"/>
        <v>0</v>
      </c>
      <c r="L294" s="27"/>
      <c r="M294" s="158"/>
    </row>
    <row r="295" spans="1:13" ht="20.100000000000001" customHeight="1" x14ac:dyDescent="0.2">
      <c r="A295" s="27"/>
      <c r="B295" s="27"/>
      <c r="C295" s="27"/>
      <c r="D295" s="126"/>
      <c r="E295" s="4" t="s">
        <v>86</v>
      </c>
      <c r="F295" s="27" t="s">
        <v>54</v>
      </c>
      <c r="G295" s="37"/>
      <c r="H295" s="27"/>
      <c r="I295" s="5"/>
      <c r="J295" s="5">
        <v>798888.75</v>
      </c>
      <c r="K295" s="5">
        <f t="shared" si="39"/>
        <v>798888.75</v>
      </c>
      <c r="L295" s="27"/>
      <c r="M295" s="158"/>
    </row>
    <row r="296" spans="1:13" ht="78" customHeight="1" x14ac:dyDescent="0.2">
      <c r="A296" s="27"/>
      <c r="B296" s="27"/>
      <c r="C296" s="27"/>
      <c r="D296" s="126"/>
      <c r="E296" s="4" t="s">
        <v>395</v>
      </c>
      <c r="F296" s="27" t="s">
        <v>57</v>
      </c>
      <c r="G296" s="37">
        <v>26890141</v>
      </c>
      <c r="H296" s="27"/>
      <c r="I296" s="5"/>
      <c r="J296" s="5">
        <v>439327.01</v>
      </c>
      <c r="K296" s="5">
        <f t="shared" si="39"/>
        <v>439327.01</v>
      </c>
      <c r="L296" s="27">
        <v>1.6</v>
      </c>
      <c r="M296" s="158"/>
    </row>
    <row r="297" spans="1:13" ht="60" customHeight="1" x14ac:dyDescent="0.2">
      <c r="A297" s="27"/>
      <c r="B297" s="27"/>
      <c r="C297" s="27"/>
      <c r="D297" s="27"/>
      <c r="E297" s="4" t="s">
        <v>60</v>
      </c>
      <c r="F297" s="27" t="s">
        <v>57</v>
      </c>
      <c r="G297" s="37"/>
      <c r="H297" s="27"/>
      <c r="I297" s="5">
        <v>250000</v>
      </c>
      <c r="J297" s="5"/>
      <c r="K297" s="5">
        <f t="shared" si="39"/>
        <v>250000</v>
      </c>
      <c r="L297" s="27"/>
      <c r="M297" s="158"/>
    </row>
    <row r="298" spans="1:13" ht="60" customHeight="1" x14ac:dyDescent="0.2">
      <c r="A298" s="27"/>
      <c r="B298" s="27"/>
      <c r="C298" s="27"/>
      <c r="D298" s="27"/>
      <c r="E298" s="4" t="s">
        <v>79</v>
      </c>
      <c r="F298" s="27" t="s">
        <v>58</v>
      </c>
      <c r="G298" s="37">
        <v>14087743</v>
      </c>
      <c r="H298" s="27">
        <v>1.9</v>
      </c>
      <c r="I298" s="5">
        <v>1380000</v>
      </c>
      <c r="J298" s="5"/>
      <c r="K298" s="5">
        <f t="shared" si="39"/>
        <v>1380000</v>
      </c>
      <c r="L298" s="38">
        <v>11.7</v>
      </c>
      <c r="M298" s="158"/>
    </row>
    <row r="299" spans="1:13" ht="66.75" customHeight="1" x14ac:dyDescent="0.2">
      <c r="A299" s="27"/>
      <c r="B299" s="27"/>
      <c r="C299" s="27"/>
      <c r="D299" s="27"/>
      <c r="E299" s="4" t="s">
        <v>402</v>
      </c>
      <c r="F299" s="27">
        <v>2020</v>
      </c>
      <c r="G299" s="37"/>
      <c r="H299" s="27"/>
      <c r="I299" s="5"/>
      <c r="J299" s="5">
        <v>750000</v>
      </c>
      <c r="K299" s="5">
        <f t="shared" si="39"/>
        <v>750000</v>
      </c>
      <c r="L299" s="38"/>
      <c r="M299" s="158"/>
    </row>
    <row r="300" spans="1:13" s="36" customFormat="1" ht="28.5" customHeight="1" x14ac:dyDescent="0.2">
      <c r="A300" s="35"/>
      <c r="B300" s="35"/>
      <c r="C300" s="35"/>
      <c r="D300" s="35"/>
      <c r="E300" s="3" t="s">
        <v>30</v>
      </c>
      <c r="F300" s="35"/>
      <c r="G300" s="35"/>
      <c r="H300" s="35"/>
      <c r="I300" s="34">
        <f>I301+I302</f>
        <v>500000</v>
      </c>
      <c r="J300" s="34">
        <f t="shared" ref="J300:K300" si="40">J301+J302</f>
        <v>0</v>
      </c>
      <c r="K300" s="34">
        <f t="shared" si="40"/>
        <v>500000</v>
      </c>
      <c r="L300" s="39"/>
      <c r="M300" s="158"/>
    </row>
    <row r="301" spans="1:13" ht="50.1" customHeight="1" x14ac:dyDescent="0.2">
      <c r="A301" s="27"/>
      <c r="B301" s="27"/>
      <c r="C301" s="27"/>
      <c r="D301" s="27"/>
      <c r="E301" s="4" t="s">
        <v>26</v>
      </c>
      <c r="F301" s="27">
        <v>2020</v>
      </c>
      <c r="G301" s="37">
        <v>279601</v>
      </c>
      <c r="H301" s="27"/>
      <c r="I301" s="5">
        <v>279601</v>
      </c>
      <c r="J301" s="5"/>
      <c r="K301" s="5">
        <f>J301+I301</f>
        <v>279601</v>
      </c>
      <c r="L301" s="27">
        <v>100</v>
      </c>
      <c r="M301" s="158"/>
    </row>
    <row r="302" spans="1:13" ht="48.6" customHeight="1" x14ac:dyDescent="0.2">
      <c r="A302" s="27"/>
      <c r="B302" s="27"/>
      <c r="C302" s="27"/>
      <c r="D302" s="27"/>
      <c r="E302" s="4" t="s">
        <v>64</v>
      </c>
      <c r="F302" s="27">
        <v>2020</v>
      </c>
      <c r="G302" s="37">
        <v>220399</v>
      </c>
      <c r="H302" s="27"/>
      <c r="I302" s="5">
        <v>220399</v>
      </c>
      <c r="J302" s="5"/>
      <c r="K302" s="5">
        <f>J302+I302</f>
        <v>220399</v>
      </c>
      <c r="L302" s="27">
        <v>100</v>
      </c>
      <c r="M302" s="158"/>
    </row>
    <row r="303" spans="1:13" s="36" customFormat="1" ht="32.85" customHeight="1" x14ac:dyDescent="0.2">
      <c r="A303" s="35"/>
      <c r="B303" s="35"/>
      <c r="C303" s="35"/>
      <c r="D303" s="35"/>
      <c r="E303" s="3" t="s">
        <v>31</v>
      </c>
      <c r="F303" s="35"/>
      <c r="G303" s="35"/>
      <c r="H303" s="35"/>
      <c r="I303" s="34">
        <f>SUM(I304:I310)</f>
        <v>14743612</v>
      </c>
      <c r="J303" s="34">
        <f>SUM(J304:J310)</f>
        <v>-8901000</v>
      </c>
      <c r="K303" s="34">
        <f>SUM(K304:K310)</f>
        <v>5842612</v>
      </c>
      <c r="L303" s="35"/>
      <c r="M303" s="158"/>
    </row>
    <row r="304" spans="1:13" ht="58.5" customHeight="1" x14ac:dyDescent="0.2">
      <c r="A304" s="27"/>
      <c r="B304" s="27"/>
      <c r="C304" s="27"/>
      <c r="D304" s="126"/>
      <c r="E304" s="4" t="s">
        <v>76</v>
      </c>
      <c r="F304" s="27" t="s">
        <v>54</v>
      </c>
      <c r="G304" s="37">
        <v>2908994</v>
      </c>
      <c r="H304" s="27"/>
      <c r="I304" s="5">
        <v>1800000</v>
      </c>
      <c r="J304" s="5">
        <f>302407.57-302407.57+1100000</f>
        <v>1100000</v>
      </c>
      <c r="K304" s="5">
        <f>J304+I304</f>
        <v>2900000</v>
      </c>
      <c r="L304" s="27">
        <v>100</v>
      </c>
      <c r="M304" s="158"/>
    </row>
    <row r="305" spans="1:13" ht="58.5" customHeight="1" x14ac:dyDescent="0.2">
      <c r="A305" s="27"/>
      <c r="B305" s="27"/>
      <c r="C305" s="27"/>
      <c r="D305" s="126"/>
      <c r="E305" s="4" t="s">
        <v>499</v>
      </c>
      <c r="F305" s="27" t="s">
        <v>78</v>
      </c>
      <c r="G305" s="37"/>
      <c r="H305" s="27"/>
      <c r="I305" s="5"/>
      <c r="J305" s="5">
        <v>350000</v>
      </c>
      <c r="K305" s="5">
        <f>J305+I305</f>
        <v>350000</v>
      </c>
      <c r="L305" s="27"/>
      <c r="M305" s="158">
        <v>50</v>
      </c>
    </row>
    <row r="306" spans="1:13" ht="51.6" customHeight="1" x14ac:dyDescent="0.2">
      <c r="A306" s="27"/>
      <c r="B306" s="27"/>
      <c r="C306" s="27"/>
      <c r="D306" s="27"/>
      <c r="E306" s="4" t="s">
        <v>494</v>
      </c>
      <c r="F306" s="27" t="s">
        <v>50</v>
      </c>
      <c r="G306" s="37">
        <v>12333420</v>
      </c>
      <c r="H306" s="27">
        <v>2.8</v>
      </c>
      <c r="I306" s="5">
        <f>1200000+8953612</f>
        <v>10153612</v>
      </c>
      <c r="J306" s="5">
        <f>-3400000-4650000-350000-1200000</f>
        <v>-9600000</v>
      </c>
      <c r="K306" s="5">
        <f>J306+I306</f>
        <v>553612</v>
      </c>
      <c r="L306" s="38">
        <v>7.3</v>
      </c>
      <c r="M306" s="158"/>
    </row>
    <row r="307" spans="1:13" ht="51.6" customHeight="1" x14ac:dyDescent="0.2">
      <c r="A307" s="27"/>
      <c r="B307" s="27"/>
      <c r="C307" s="27"/>
      <c r="D307" s="27"/>
      <c r="E307" s="4" t="s">
        <v>72</v>
      </c>
      <c r="F307" s="27" t="s">
        <v>50</v>
      </c>
      <c r="G307" s="37">
        <f>12627116</f>
        <v>12627116</v>
      </c>
      <c r="H307" s="27">
        <v>1.6</v>
      </c>
      <c r="I307" s="5">
        <v>20000</v>
      </c>
      <c r="J307" s="5">
        <v>1000</v>
      </c>
      <c r="K307" s="5">
        <f t="shared" ref="K307:K310" si="41">J307+I307</f>
        <v>21000</v>
      </c>
      <c r="L307" s="38">
        <v>1.8</v>
      </c>
      <c r="M307" s="158"/>
    </row>
    <row r="308" spans="1:13" ht="51.6" customHeight="1" x14ac:dyDescent="0.2">
      <c r="A308" s="27"/>
      <c r="B308" s="27"/>
      <c r="C308" s="27"/>
      <c r="D308" s="27"/>
      <c r="E308" s="4" t="s">
        <v>73</v>
      </c>
      <c r="F308" s="27" t="s">
        <v>77</v>
      </c>
      <c r="G308" s="37">
        <f>15888386</f>
        <v>15888386</v>
      </c>
      <c r="H308" s="27">
        <v>1.4</v>
      </c>
      <c r="I308" s="5">
        <v>20000</v>
      </c>
      <c r="J308" s="5">
        <v>1000</v>
      </c>
      <c r="K308" s="5">
        <f t="shared" si="41"/>
        <v>21000</v>
      </c>
      <c r="L308" s="38">
        <v>1.6</v>
      </c>
      <c r="M308" s="158"/>
    </row>
    <row r="309" spans="1:13" ht="52.35" customHeight="1" x14ac:dyDescent="0.2">
      <c r="A309" s="27"/>
      <c r="B309" s="27"/>
      <c r="C309" s="27"/>
      <c r="D309" s="27"/>
      <c r="E309" s="4" t="s">
        <v>63</v>
      </c>
      <c r="F309" s="27" t="s">
        <v>42</v>
      </c>
      <c r="G309" s="37">
        <v>30447487</v>
      </c>
      <c r="H309" s="38">
        <v>88</v>
      </c>
      <c r="I309" s="5">
        <f>3000000-1000000</f>
        <v>2000000</v>
      </c>
      <c r="J309" s="5">
        <v>-3000</v>
      </c>
      <c r="K309" s="5">
        <f t="shared" si="41"/>
        <v>1997000</v>
      </c>
      <c r="L309" s="27">
        <v>95</v>
      </c>
      <c r="M309" s="158"/>
    </row>
    <row r="310" spans="1:13" ht="45.6" customHeight="1" x14ac:dyDescent="0.2">
      <c r="A310" s="27"/>
      <c r="B310" s="27"/>
      <c r="C310" s="27"/>
      <c r="D310" s="27"/>
      <c r="E310" s="4" t="s">
        <v>25</v>
      </c>
      <c r="F310" s="27">
        <v>2020</v>
      </c>
      <c r="G310" s="37"/>
      <c r="H310" s="27"/>
      <c r="I310" s="5">
        <v>750000</v>
      </c>
      <c r="J310" s="5">
        <v>-750000</v>
      </c>
      <c r="K310" s="5">
        <f t="shared" si="41"/>
        <v>0</v>
      </c>
      <c r="L310" s="27"/>
      <c r="M310" s="158"/>
    </row>
    <row r="311" spans="1:13" ht="59.85" customHeight="1" x14ac:dyDescent="0.2">
      <c r="A311" s="9">
        <v>1217330</v>
      </c>
      <c r="B311" s="9">
        <v>7330</v>
      </c>
      <c r="C311" s="7" t="s">
        <v>3</v>
      </c>
      <c r="D311" s="8" t="s">
        <v>27</v>
      </c>
      <c r="E311" s="4"/>
      <c r="F311" s="27"/>
      <c r="G311" s="27"/>
      <c r="H311" s="27"/>
      <c r="I311" s="29">
        <f>I312+I317</f>
        <v>10680000</v>
      </c>
      <c r="J311" s="29">
        <f t="shared" ref="J311:K311" si="42">J312+J317</f>
        <v>3300998.77</v>
      </c>
      <c r="K311" s="29">
        <f t="shared" si="42"/>
        <v>13980998.77</v>
      </c>
      <c r="L311" s="27"/>
      <c r="M311" s="158"/>
    </row>
    <row r="312" spans="1:13" s="36" customFormat="1" ht="31.35" customHeight="1" x14ac:dyDescent="0.2">
      <c r="A312" s="24"/>
      <c r="B312" s="24"/>
      <c r="C312" s="2"/>
      <c r="D312" s="23"/>
      <c r="E312" s="3" t="s">
        <v>28</v>
      </c>
      <c r="F312" s="35"/>
      <c r="G312" s="35"/>
      <c r="H312" s="35"/>
      <c r="I312" s="34">
        <f>SUM(I313:I316)</f>
        <v>2250000</v>
      </c>
      <c r="J312" s="34">
        <f t="shared" ref="J312:K312" si="43">SUM(J313:J316)</f>
        <v>-699001.22999999986</v>
      </c>
      <c r="K312" s="34">
        <f t="shared" si="43"/>
        <v>1550998.77</v>
      </c>
      <c r="L312" s="35"/>
      <c r="M312" s="158"/>
    </row>
    <row r="313" spans="1:13" ht="40.5" customHeight="1" x14ac:dyDescent="0.2">
      <c r="A313" s="27"/>
      <c r="B313" s="27"/>
      <c r="C313" s="27"/>
      <c r="D313" s="27"/>
      <c r="E313" s="4" t="s">
        <v>62</v>
      </c>
      <c r="F313" s="27">
        <v>2020</v>
      </c>
      <c r="G313" s="27"/>
      <c r="H313" s="27"/>
      <c r="I313" s="5">
        <f>1050000+1050000-50000-100000</f>
        <v>1950000</v>
      </c>
      <c r="J313" s="5">
        <v>-1950000</v>
      </c>
      <c r="K313" s="5">
        <f>J313+I313</f>
        <v>0</v>
      </c>
      <c r="L313" s="27"/>
      <c r="M313" s="158"/>
    </row>
    <row r="314" spans="1:13" ht="40.5" customHeight="1" x14ac:dyDescent="0.2">
      <c r="A314" s="27"/>
      <c r="B314" s="27"/>
      <c r="C314" s="27"/>
      <c r="D314" s="27"/>
      <c r="E314" s="4" t="s">
        <v>80</v>
      </c>
      <c r="F314" s="27">
        <v>2020</v>
      </c>
      <c r="G314" s="27"/>
      <c r="H314" s="27"/>
      <c r="I314" s="5">
        <v>300000</v>
      </c>
      <c r="J314" s="5"/>
      <c r="K314" s="5">
        <f>J314+I314</f>
        <v>300000</v>
      </c>
      <c r="L314" s="27"/>
      <c r="M314" s="158"/>
    </row>
    <row r="315" spans="1:13" ht="40.5" customHeight="1" x14ac:dyDescent="0.2">
      <c r="A315" s="27"/>
      <c r="B315" s="27"/>
      <c r="C315" s="27"/>
      <c r="D315" s="126"/>
      <c r="E315" s="4" t="s">
        <v>87</v>
      </c>
      <c r="F315" s="27" t="s">
        <v>54</v>
      </c>
      <c r="G315" s="37">
        <v>739777</v>
      </c>
      <c r="H315" s="27">
        <v>34.4</v>
      </c>
      <c r="I315" s="5"/>
      <c r="J315" s="5">
        <f>52584.26+432854.34</f>
        <v>485438.60000000003</v>
      </c>
      <c r="K315" s="5">
        <f>J315+I315</f>
        <v>485438.60000000003</v>
      </c>
      <c r="L315" s="27">
        <v>100</v>
      </c>
      <c r="M315" s="158"/>
    </row>
    <row r="316" spans="1:13" ht="40.5" customHeight="1" x14ac:dyDescent="0.2">
      <c r="A316" s="27"/>
      <c r="B316" s="27"/>
      <c r="C316" s="27"/>
      <c r="D316" s="126"/>
      <c r="E316" s="4" t="s">
        <v>88</v>
      </c>
      <c r="F316" s="27" t="s">
        <v>42</v>
      </c>
      <c r="G316" s="37">
        <v>6157417</v>
      </c>
      <c r="H316" s="38">
        <v>11</v>
      </c>
      <c r="I316" s="5"/>
      <c r="J316" s="5">
        <v>765560.17</v>
      </c>
      <c r="K316" s="5">
        <f>J316+I316</f>
        <v>765560.17</v>
      </c>
      <c r="L316" s="27">
        <v>22</v>
      </c>
      <c r="M316" s="158"/>
    </row>
    <row r="317" spans="1:13" s="36" customFormat="1" ht="35.1" customHeight="1" x14ac:dyDescent="0.2">
      <c r="A317" s="35"/>
      <c r="B317" s="35"/>
      <c r="C317" s="35"/>
      <c r="D317" s="35"/>
      <c r="E317" s="3" t="s">
        <v>29</v>
      </c>
      <c r="F317" s="35"/>
      <c r="G317" s="35"/>
      <c r="H317" s="35"/>
      <c r="I317" s="34">
        <f>SUM(I318:I320)</f>
        <v>8430000</v>
      </c>
      <c r="J317" s="34">
        <f t="shared" ref="J317:K317" si="44">SUM(J318:J320)</f>
        <v>4000000</v>
      </c>
      <c r="K317" s="34">
        <f t="shared" si="44"/>
        <v>12430000</v>
      </c>
      <c r="L317" s="35"/>
      <c r="M317" s="158"/>
    </row>
    <row r="318" spans="1:13" ht="36.6" customHeight="1" x14ac:dyDescent="0.2">
      <c r="A318" s="27"/>
      <c r="B318" s="27"/>
      <c r="C318" s="27"/>
      <c r="D318" s="27"/>
      <c r="E318" s="4" t="s">
        <v>49</v>
      </c>
      <c r="F318" s="27">
        <v>2020</v>
      </c>
      <c r="G318" s="27"/>
      <c r="H318" s="27"/>
      <c r="I318" s="5">
        <f>3177000+3000</f>
        <v>3180000</v>
      </c>
      <c r="J318" s="5"/>
      <c r="K318" s="5">
        <f>J318+I318</f>
        <v>3180000</v>
      </c>
      <c r="L318" s="27"/>
      <c r="M318" s="158"/>
    </row>
    <row r="319" spans="1:13" ht="31.35" customHeight="1" x14ac:dyDescent="0.2">
      <c r="A319" s="27"/>
      <c r="B319" s="27"/>
      <c r="C319" s="27"/>
      <c r="D319" s="27"/>
      <c r="E319" s="4" t="s">
        <v>48</v>
      </c>
      <c r="F319" s="27">
        <v>2020</v>
      </c>
      <c r="G319" s="27"/>
      <c r="H319" s="27"/>
      <c r="I319" s="5">
        <f>5000000+4000000+700000-700000-4000000</f>
        <v>5000000</v>
      </c>
      <c r="J319" s="5">
        <v>4000000</v>
      </c>
      <c r="K319" s="5">
        <f>J319+I319</f>
        <v>9000000</v>
      </c>
      <c r="L319" s="27"/>
      <c r="M319" s="158"/>
    </row>
    <row r="320" spans="1:13" ht="40.5" customHeight="1" x14ac:dyDescent="0.2">
      <c r="A320" s="27"/>
      <c r="B320" s="27"/>
      <c r="C320" s="27"/>
      <c r="D320" s="27"/>
      <c r="E320" s="4" t="s">
        <v>81</v>
      </c>
      <c r="F320" s="27" t="s">
        <v>78</v>
      </c>
      <c r="G320" s="27"/>
      <c r="H320" s="27"/>
      <c r="I320" s="5">
        <v>250000</v>
      </c>
      <c r="J320" s="5"/>
      <c r="K320" s="5">
        <f>J320+I320</f>
        <v>250000</v>
      </c>
      <c r="L320" s="27"/>
      <c r="M320" s="158">
        <v>51</v>
      </c>
    </row>
    <row r="321" spans="1:13" ht="51.6" customHeight="1" x14ac:dyDescent="0.2">
      <c r="A321" s="9">
        <v>1217340</v>
      </c>
      <c r="B321" s="9">
        <v>7340</v>
      </c>
      <c r="C321" s="7" t="s">
        <v>3</v>
      </c>
      <c r="D321" s="6" t="s">
        <v>6</v>
      </c>
      <c r="E321" s="4"/>
      <c r="F321" s="27"/>
      <c r="G321" s="27"/>
      <c r="H321" s="27"/>
      <c r="I321" s="29">
        <f>SUM(I322:I322)</f>
        <v>3000000</v>
      </c>
      <c r="J321" s="29">
        <f t="shared" ref="J321:K321" si="45">SUM(J322:J322)</f>
        <v>0</v>
      </c>
      <c r="K321" s="29">
        <f t="shared" si="45"/>
        <v>3000000</v>
      </c>
      <c r="L321" s="27"/>
      <c r="M321" s="158"/>
    </row>
    <row r="322" spans="1:13" ht="40.5" customHeight="1" x14ac:dyDescent="0.2">
      <c r="A322" s="27"/>
      <c r="B322" s="27"/>
      <c r="C322" s="27"/>
      <c r="D322" s="27"/>
      <c r="E322" s="4" t="s">
        <v>32</v>
      </c>
      <c r="F322" s="27" t="s">
        <v>50</v>
      </c>
      <c r="G322" s="30">
        <v>13234370</v>
      </c>
      <c r="H322" s="38">
        <v>3</v>
      </c>
      <c r="I322" s="5">
        <v>3000000</v>
      </c>
      <c r="J322" s="5"/>
      <c r="K322" s="5">
        <f>J322+I322</f>
        <v>3000000</v>
      </c>
      <c r="L322" s="38">
        <v>26</v>
      </c>
      <c r="M322" s="158"/>
    </row>
    <row r="323" spans="1:13" s="90" customFormat="1" ht="40.5" customHeight="1" x14ac:dyDescent="0.2">
      <c r="A323" s="9">
        <v>1217362</v>
      </c>
      <c r="B323" s="9">
        <v>7362</v>
      </c>
      <c r="C323" s="7" t="s">
        <v>112</v>
      </c>
      <c r="D323" s="6" t="s">
        <v>180</v>
      </c>
      <c r="E323" s="3"/>
      <c r="F323" s="9"/>
      <c r="G323" s="105"/>
      <c r="H323" s="106"/>
      <c r="I323" s="29">
        <f>I324+I326</f>
        <v>75600</v>
      </c>
      <c r="J323" s="29">
        <f t="shared" ref="J323:K323" si="46">J324+J326</f>
        <v>0</v>
      </c>
      <c r="K323" s="29">
        <f t="shared" si="46"/>
        <v>75600</v>
      </c>
      <c r="L323" s="106"/>
      <c r="M323" s="158"/>
    </row>
    <row r="324" spans="1:13" ht="40.5" customHeight="1" x14ac:dyDescent="0.2">
      <c r="A324" s="27"/>
      <c r="B324" s="27"/>
      <c r="C324" s="25"/>
      <c r="D324" s="4"/>
      <c r="E324" s="3" t="s">
        <v>28</v>
      </c>
      <c r="F324" s="27"/>
      <c r="G324" s="30"/>
      <c r="H324" s="38"/>
      <c r="I324" s="34">
        <f>I325</f>
        <v>72000</v>
      </c>
      <c r="J324" s="34">
        <f t="shared" ref="J324:K324" si="47">J325</f>
        <v>0</v>
      </c>
      <c r="K324" s="34">
        <f t="shared" si="47"/>
        <v>72000</v>
      </c>
      <c r="L324" s="38"/>
      <c r="M324" s="158"/>
    </row>
    <row r="325" spans="1:13" ht="54" customHeight="1" x14ac:dyDescent="0.2">
      <c r="A325" s="27"/>
      <c r="B325" s="27"/>
      <c r="C325" s="25"/>
      <c r="D325" s="4"/>
      <c r="E325" s="4" t="s">
        <v>345</v>
      </c>
      <c r="F325" s="27" t="s">
        <v>78</v>
      </c>
      <c r="G325" s="30">
        <v>1800000</v>
      </c>
      <c r="H325" s="38"/>
      <c r="I325" s="5">
        <v>72000</v>
      </c>
      <c r="J325" s="5"/>
      <c r="K325" s="5">
        <f>J325+I325</f>
        <v>72000</v>
      </c>
      <c r="L325" s="38">
        <v>4</v>
      </c>
      <c r="M325" s="158"/>
    </row>
    <row r="326" spans="1:13" s="90" customFormat="1" ht="19.350000000000001" customHeight="1" x14ac:dyDescent="0.2">
      <c r="A326" s="9"/>
      <c r="B326" s="9"/>
      <c r="C326" s="7"/>
      <c r="D326" s="6"/>
      <c r="E326" s="3" t="s">
        <v>191</v>
      </c>
      <c r="F326" s="9"/>
      <c r="G326" s="105"/>
      <c r="H326" s="106"/>
      <c r="I326" s="34">
        <f>I327</f>
        <v>3600</v>
      </c>
      <c r="J326" s="34">
        <f t="shared" ref="J326:K326" si="48">J327</f>
        <v>0</v>
      </c>
      <c r="K326" s="34">
        <f t="shared" si="48"/>
        <v>3600</v>
      </c>
      <c r="L326" s="106"/>
      <c r="M326" s="158"/>
    </row>
    <row r="327" spans="1:13" ht="49.35" customHeight="1" x14ac:dyDescent="0.2">
      <c r="A327" s="27"/>
      <c r="B327" s="27"/>
      <c r="C327" s="25"/>
      <c r="D327" s="4"/>
      <c r="E327" s="4" t="s">
        <v>344</v>
      </c>
      <c r="F327" s="27" t="s">
        <v>78</v>
      </c>
      <c r="G327" s="30">
        <v>150000</v>
      </c>
      <c r="H327" s="38"/>
      <c r="I327" s="5">
        <v>3600</v>
      </c>
      <c r="J327" s="5"/>
      <c r="K327" s="5">
        <f>J327+I327</f>
        <v>3600</v>
      </c>
      <c r="L327" s="38">
        <v>2.4</v>
      </c>
      <c r="M327" s="158"/>
    </row>
    <row r="328" spans="1:13" s="90" customFormat="1" ht="25.5" x14ac:dyDescent="0.2">
      <c r="A328" s="9">
        <v>1217670</v>
      </c>
      <c r="B328" s="9">
        <v>7670</v>
      </c>
      <c r="C328" s="7" t="s">
        <v>112</v>
      </c>
      <c r="D328" s="6" t="s">
        <v>113</v>
      </c>
      <c r="E328" s="6" t="s">
        <v>346</v>
      </c>
      <c r="F328" s="9"/>
      <c r="G328" s="105"/>
      <c r="H328" s="106"/>
      <c r="I328" s="29">
        <v>17042330</v>
      </c>
      <c r="J328" s="29"/>
      <c r="K328" s="29">
        <f>J328+I328</f>
        <v>17042330</v>
      </c>
      <c r="L328" s="106"/>
      <c r="M328" s="158"/>
    </row>
    <row r="329" spans="1:13" s="90" customFormat="1" ht="40.5" customHeight="1" x14ac:dyDescent="0.2">
      <c r="A329" s="9">
        <v>1219770</v>
      </c>
      <c r="B329" s="9">
        <v>9770</v>
      </c>
      <c r="C329" s="7" t="s">
        <v>181</v>
      </c>
      <c r="D329" s="6" t="s">
        <v>182</v>
      </c>
      <c r="E329" s="3" t="s">
        <v>197</v>
      </c>
      <c r="F329" s="9"/>
      <c r="G329" s="105"/>
      <c r="H329" s="106"/>
      <c r="I329" s="29">
        <v>7632000</v>
      </c>
      <c r="J329" s="29"/>
      <c r="K329" s="29">
        <f>J329+I329</f>
        <v>7632000</v>
      </c>
      <c r="L329" s="106"/>
      <c r="M329" s="158"/>
    </row>
    <row r="330" spans="1:13" s="73" customFormat="1" ht="40.5" customHeight="1" x14ac:dyDescent="0.25">
      <c r="A330" s="131" t="s">
        <v>183</v>
      </c>
      <c r="B330" s="140"/>
      <c r="C330" s="140"/>
      <c r="D330" s="133" t="s">
        <v>184</v>
      </c>
      <c r="E330" s="68"/>
      <c r="F330" s="66"/>
      <c r="G330" s="85"/>
      <c r="H330" s="86"/>
      <c r="I330" s="130">
        <f t="shared" ref="I330:K331" si="49">I331</f>
        <v>160000</v>
      </c>
      <c r="J330" s="130">
        <f t="shared" si="49"/>
        <v>0</v>
      </c>
      <c r="K330" s="130">
        <f t="shared" si="49"/>
        <v>160000</v>
      </c>
      <c r="L330" s="86"/>
      <c r="M330" s="158"/>
    </row>
    <row r="331" spans="1:13" s="72" customFormat="1" ht="40.5" customHeight="1" x14ac:dyDescent="0.25">
      <c r="A331" s="132" t="s">
        <v>185</v>
      </c>
      <c r="B331" s="141"/>
      <c r="C331" s="141"/>
      <c r="D331" s="134" t="s">
        <v>184</v>
      </c>
      <c r="E331" s="68"/>
      <c r="F331" s="66"/>
      <c r="G331" s="85"/>
      <c r="H331" s="86"/>
      <c r="I331" s="75">
        <f t="shared" si="49"/>
        <v>160000</v>
      </c>
      <c r="J331" s="75">
        <f t="shared" si="49"/>
        <v>0</v>
      </c>
      <c r="K331" s="75">
        <f t="shared" si="49"/>
        <v>160000</v>
      </c>
      <c r="L331" s="86"/>
      <c r="M331" s="158"/>
    </row>
    <row r="332" spans="1:13" s="90" customFormat="1" ht="40.5" customHeight="1" x14ac:dyDescent="0.2">
      <c r="A332" s="9">
        <v>1410160</v>
      </c>
      <c r="B332" s="7" t="s">
        <v>92</v>
      </c>
      <c r="C332" s="7" t="s">
        <v>90</v>
      </c>
      <c r="D332" s="6" t="s">
        <v>91</v>
      </c>
      <c r="E332" s="3" t="s">
        <v>192</v>
      </c>
      <c r="F332" s="9"/>
      <c r="G332" s="105"/>
      <c r="H332" s="106"/>
      <c r="I332" s="29">
        <v>160000</v>
      </c>
      <c r="J332" s="29"/>
      <c r="K332" s="29">
        <f>J332+I332</f>
        <v>160000</v>
      </c>
      <c r="L332" s="106"/>
      <c r="M332" s="158"/>
    </row>
    <row r="333" spans="1:13" s="78" customFormat="1" ht="72" customHeight="1" x14ac:dyDescent="0.2">
      <c r="A333" s="71">
        <v>1500000</v>
      </c>
      <c r="B333" s="66"/>
      <c r="C333" s="66"/>
      <c r="D333" s="129" t="s">
        <v>1</v>
      </c>
      <c r="E333" s="66"/>
      <c r="F333" s="69"/>
      <c r="G333" s="69"/>
      <c r="H333" s="69"/>
      <c r="I333" s="130">
        <f>I334</f>
        <v>185402548</v>
      </c>
      <c r="J333" s="130">
        <f t="shared" ref="J333:K333" si="50">J334</f>
        <v>0</v>
      </c>
      <c r="K333" s="130">
        <f t="shared" si="50"/>
        <v>185402548</v>
      </c>
      <c r="L333" s="66"/>
      <c r="M333" s="158"/>
    </row>
    <row r="334" spans="1:13" s="84" customFormat="1" ht="45" x14ac:dyDescent="0.2">
      <c r="A334" s="65">
        <v>1510000</v>
      </c>
      <c r="B334" s="83"/>
      <c r="C334" s="83"/>
      <c r="D334" s="74" t="s">
        <v>1</v>
      </c>
      <c r="E334" s="83"/>
      <c r="F334" s="70"/>
      <c r="G334" s="70"/>
      <c r="H334" s="70"/>
      <c r="I334" s="75">
        <f>I402+I408+I413+I418+I434+I335+I432</f>
        <v>185402548</v>
      </c>
      <c r="J334" s="75">
        <f>J402+J408+J413+J418+J434+J335+J432</f>
        <v>0</v>
      </c>
      <c r="K334" s="75">
        <f>K402+K408+K413+K418+K434+K335+K432</f>
        <v>185402548</v>
      </c>
      <c r="L334" s="75"/>
      <c r="M334" s="158"/>
    </row>
    <row r="335" spans="1:13" s="90" customFormat="1" ht="38.1" customHeight="1" x14ac:dyDescent="0.2">
      <c r="A335" s="9">
        <v>1516030</v>
      </c>
      <c r="B335" s="9">
        <v>6030</v>
      </c>
      <c r="C335" s="7" t="s">
        <v>174</v>
      </c>
      <c r="D335" s="149" t="s">
        <v>177</v>
      </c>
      <c r="E335" s="3" t="s">
        <v>191</v>
      </c>
      <c r="F335" s="9"/>
      <c r="G335" s="103"/>
      <c r="H335" s="9"/>
      <c r="I335" s="29">
        <f>SUM(I336:I401)</f>
        <v>51250000</v>
      </c>
      <c r="J335" s="29">
        <f t="shared" ref="J335:K335" si="51">SUM(J336:J401)</f>
        <v>0</v>
      </c>
      <c r="K335" s="29">
        <f t="shared" si="51"/>
        <v>51250000</v>
      </c>
      <c r="L335" s="9"/>
      <c r="M335" s="158"/>
    </row>
    <row r="336" spans="1:13" ht="49.35" customHeight="1" x14ac:dyDescent="0.2">
      <c r="A336" s="27"/>
      <c r="B336" s="27"/>
      <c r="C336" s="25"/>
      <c r="D336" s="126"/>
      <c r="E336" s="4" t="s">
        <v>427</v>
      </c>
      <c r="F336" s="27" t="s">
        <v>54</v>
      </c>
      <c r="G336" s="30">
        <v>5580973</v>
      </c>
      <c r="H336" s="38">
        <v>74.7</v>
      </c>
      <c r="I336" s="5">
        <v>1412160</v>
      </c>
      <c r="J336" s="5"/>
      <c r="K336" s="5">
        <f>J336+I336</f>
        <v>1412160</v>
      </c>
      <c r="L336" s="38">
        <v>100</v>
      </c>
      <c r="M336" s="158">
        <v>52</v>
      </c>
    </row>
    <row r="337" spans="1:13" ht="49.35" customHeight="1" x14ac:dyDescent="0.2">
      <c r="A337" s="27"/>
      <c r="B337" s="27"/>
      <c r="C337" s="25"/>
      <c r="D337" s="4"/>
      <c r="E337" s="4" t="s">
        <v>428</v>
      </c>
      <c r="F337" s="27" t="s">
        <v>54</v>
      </c>
      <c r="G337" s="30">
        <v>1372150</v>
      </c>
      <c r="H337" s="38">
        <v>2.2999999999999998</v>
      </c>
      <c r="I337" s="5">
        <v>1269036</v>
      </c>
      <c r="J337" s="5"/>
      <c r="K337" s="5">
        <f t="shared" ref="K337:K401" si="52">J337+I337</f>
        <v>1269036</v>
      </c>
      <c r="L337" s="38">
        <v>94.8</v>
      </c>
      <c r="M337" s="158"/>
    </row>
    <row r="338" spans="1:13" ht="49.35" customHeight="1" x14ac:dyDescent="0.2">
      <c r="A338" s="27"/>
      <c r="B338" s="27"/>
      <c r="C338" s="25"/>
      <c r="D338" s="4"/>
      <c r="E338" s="4" t="s">
        <v>429</v>
      </c>
      <c r="F338" s="27" t="s">
        <v>54</v>
      </c>
      <c r="G338" s="30">
        <v>1280072</v>
      </c>
      <c r="H338" s="38">
        <v>22.9</v>
      </c>
      <c r="I338" s="5">
        <v>972240</v>
      </c>
      <c r="J338" s="5"/>
      <c r="K338" s="5">
        <f t="shared" si="52"/>
        <v>972240</v>
      </c>
      <c r="L338" s="38">
        <v>98.8</v>
      </c>
      <c r="M338" s="158"/>
    </row>
    <row r="339" spans="1:13" ht="49.35" customHeight="1" x14ac:dyDescent="0.2">
      <c r="A339" s="27"/>
      <c r="B339" s="27"/>
      <c r="C339" s="25"/>
      <c r="D339" s="4"/>
      <c r="E339" s="4" t="s">
        <v>430</v>
      </c>
      <c r="F339" s="27" t="s">
        <v>54</v>
      </c>
      <c r="G339" s="30">
        <v>1015687</v>
      </c>
      <c r="H339" s="38">
        <v>2.5</v>
      </c>
      <c r="I339" s="5">
        <v>928166</v>
      </c>
      <c r="J339" s="5"/>
      <c r="K339" s="5">
        <f t="shared" si="52"/>
        <v>928166</v>
      </c>
      <c r="L339" s="38">
        <v>93.8</v>
      </c>
      <c r="M339" s="158"/>
    </row>
    <row r="340" spans="1:13" ht="49.35" customHeight="1" x14ac:dyDescent="0.2">
      <c r="A340" s="27"/>
      <c r="B340" s="27"/>
      <c r="C340" s="25"/>
      <c r="D340" s="4"/>
      <c r="E340" s="4" t="s">
        <v>431</v>
      </c>
      <c r="F340" s="27" t="s">
        <v>54</v>
      </c>
      <c r="G340" s="30">
        <v>1339018</v>
      </c>
      <c r="H340" s="38">
        <v>2.2999999999999998</v>
      </c>
      <c r="I340" s="5">
        <v>1230641</v>
      </c>
      <c r="J340" s="5"/>
      <c r="K340" s="5">
        <f t="shared" si="52"/>
        <v>1230641</v>
      </c>
      <c r="L340" s="38">
        <v>94.2</v>
      </c>
      <c r="M340" s="158"/>
    </row>
    <row r="341" spans="1:13" ht="49.35" customHeight="1" x14ac:dyDescent="0.2">
      <c r="A341" s="27"/>
      <c r="B341" s="27"/>
      <c r="C341" s="25"/>
      <c r="D341" s="4"/>
      <c r="E341" s="4" t="s">
        <v>432</v>
      </c>
      <c r="F341" s="27" t="s">
        <v>54</v>
      </c>
      <c r="G341" s="30">
        <v>923552</v>
      </c>
      <c r="H341" s="38">
        <v>57.3</v>
      </c>
      <c r="I341" s="5">
        <v>308955</v>
      </c>
      <c r="J341" s="5"/>
      <c r="K341" s="5">
        <f t="shared" si="52"/>
        <v>308955</v>
      </c>
      <c r="L341" s="38">
        <v>90.8</v>
      </c>
      <c r="M341" s="158"/>
    </row>
    <row r="342" spans="1:13" ht="49.35" customHeight="1" x14ac:dyDescent="0.2">
      <c r="A342" s="27"/>
      <c r="B342" s="27"/>
      <c r="C342" s="25"/>
      <c r="D342" s="4"/>
      <c r="E342" s="4" t="s">
        <v>433</v>
      </c>
      <c r="F342" s="27" t="s">
        <v>54</v>
      </c>
      <c r="G342" s="30">
        <v>905530</v>
      </c>
      <c r="H342" s="38">
        <v>5.8</v>
      </c>
      <c r="I342" s="5">
        <v>695613</v>
      </c>
      <c r="J342" s="5"/>
      <c r="K342" s="5">
        <f t="shared" si="52"/>
        <v>695613</v>
      </c>
      <c r="L342" s="38">
        <v>82.6</v>
      </c>
      <c r="M342" s="158"/>
    </row>
    <row r="343" spans="1:13" ht="49.35" customHeight="1" x14ac:dyDescent="0.2">
      <c r="A343" s="27"/>
      <c r="B343" s="27"/>
      <c r="C343" s="25"/>
      <c r="D343" s="4"/>
      <c r="E343" s="4" t="s">
        <v>434</v>
      </c>
      <c r="F343" s="27" t="s">
        <v>54</v>
      </c>
      <c r="G343" s="30">
        <v>1107684</v>
      </c>
      <c r="H343" s="38">
        <v>7.3</v>
      </c>
      <c r="I343" s="5">
        <v>1000000</v>
      </c>
      <c r="J343" s="5"/>
      <c r="K343" s="5">
        <f t="shared" si="52"/>
        <v>1000000</v>
      </c>
      <c r="L343" s="38">
        <v>97.6</v>
      </c>
      <c r="M343" s="158"/>
    </row>
    <row r="344" spans="1:13" ht="49.35" customHeight="1" x14ac:dyDescent="0.2">
      <c r="A344" s="27"/>
      <c r="B344" s="27"/>
      <c r="C344" s="25"/>
      <c r="D344" s="4"/>
      <c r="E344" s="4" t="s">
        <v>435</v>
      </c>
      <c r="F344" s="27">
        <v>2020</v>
      </c>
      <c r="G344" s="30"/>
      <c r="H344" s="38"/>
      <c r="I344" s="5">
        <v>40000</v>
      </c>
      <c r="J344" s="5"/>
      <c r="K344" s="5">
        <f t="shared" si="52"/>
        <v>40000</v>
      </c>
      <c r="L344" s="38"/>
      <c r="M344" s="158"/>
    </row>
    <row r="345" spans="1:13" ht="49.35" customHeight="1" x14ac:dyDescent="0.2">
      <c r="A345" s="27"/>
      <c r="B345" s="27"/>
      <c r="C345" s="25"/>
      <c r="D345" s="4"/>
      <c r="E345" s="4" t="s">
        <v>436</v>
      </c>
      <c r="F345" s="27">
        <v>2020</v>
      </c>
      <c r="G345" s="30"/>
      <c r="H345" s="38"/>
      <c r="I345" s="5">
        <v>40000</v>
      </c>
      <c r="J345" s="5"/>
      <c r="K345" s="5">
        <f t="shared" si="52"/>
        <v>40000</v>
      </c>
      <c r="L345" s="38"/>
      <c r="M345" s="158"/>
    </row>
    <row r="346" spans="1:13" ht="49.35" customHeight="1" x14ac:dyDescent="0.2">
      <c r="A346" s="27"/>
      <c r="B346" s="27"/>
      <c r="C346" s="25"/>
      <c r="D346" s="4"/>
      <c r="E346" s="4" t="s">
        <v>437</v>
      </c>
      <c r="F346" s="27">
        <v>2020</v>
      </c>
      <c r="G346" s="30"/>
      <c r="H346" s="38"/>
      <c r="I346" s="5">
        <v>40000</v>
      </c>
      <c r="J346" s="5"/>
      <c r="K346" s="5">
        <f t="shared" si="52"/>
        <v>40000</v>
      </c>
      <c r="L346" s="38"/>
      <c r="M346" s="158"/>
    </row>
    <row r="347" spans="1:13" ht="49.35" customHeight="1" x14ac:dyDescent="0.2">
      <c r="A347" s="27"/>
      <c r="B347" s="27"/>
      <c r="C347" s="25"/>
      <c r="D347" s="4"/>
      <c r="E347" s="4" t="s">
        <v>438</v>
      </c>
      <c r="F347" s="27">
        <v>2020</v>
      </c>
      <c r="G347" s="30"/>
      <c r="H347" s="38"/>
      <c r="I347" s="5">
        <v>40000</v>
      </c>
      <c r="J347" s="5"/>
      <c r="K347" s="5">
        <f t="shared" si="52"/>
        <v>40000</v>
      </c>
      <c r="L347" s="38"/>
      <c r="M347" s="158"/>
    </row>
    <row r="348" spans="1:13" ht="49.35" customHeight="1" x14ac:dyDescent="0.2">
      <c r="A348" s="27"/>
      <c r="B348" s="27"/>
      <c r="C348" s="25"/>
      <c r="D348" s="4"/>
      <c r="E348" s="4" t="s">
        <v>439</v>
      </c>
      <c r="F348" s="27">
        <v>2020</v>
      </c>
      <c r="G348" s="30"/>
      <c r="H348" s="38"/>
      <c r="I348" s="5">
        <v>40000</v>
      </c>
      <c r="J348" s="5"/>
      <c r="K348" s="5">
        <f t="shared" si="52"/>
        <v>40000</v>
      </c>
      <c r="L348" s="38"/>
      <c r="M348" s="158"/>
    </row>
    <row r="349" spans="1:13" ht="49.35" customHeight="1" x14ac:dyDescent="0.2">
      <c r="A349" s="27"/>
      <c r="B349" s="27"/>
      <c r="C349" s="25"/>
      <c r="D349" s="4"/>
      <c r="E349" s="4" t="s">
        <v>440</v>
      </c>
      <c r="F349" s="27">
        <v>2020</v>
      </c>
      <c r="G349" s="30"/>
      <c r="H349" s="38"/>
      <c r="I349" s="5">
        <v>40000</v>
      </c>
      <c r="J349" s="5"/>
      <c r="K349" s="5">
        <f t="shared" si="52"/>
        <v>40000</v>
      </c>
      <c r="L349" s="38"/>
      <c r="M349" s="158"/>
    </row>
    <row r="350" spans="1:13" ht="49.35" customHeight="1" x14ac:dyDescent="0.2">
      <c r="A350" s="27"/>
      <c r="B350" s="27"/>
      <c r="C350" s="25"/>
      <c r="D350" s="4"/>
      <c r="E350" s="4" t="s">
        <v>441</v>
      </c>
      <c r="F350" s="27">
        <v>2020</v>
      </c>
      <c r="G350" s="30"/>
      <c r="H350" s="38"/>
      <c r="I350" s="5">
        <v>40000</v>
      </c>
      <c r="J350" s="5"/>
      <c r="K350" s="5">
        <f t="shared" si="52"/>
        <v>40000</v>
      </c>
      <c r="L350" s="38"/>
      <c r="M350" s="158">
        <v>53</v>
      </c>
    </row>
    <row r="351" spans="1:13" ht="49.35" customHeight="1" x14ac:dyDescent="0.2">
      <c r="A351" s="27"/>
      <c r="B351" s="27"/>
      <c r="C351" s="25"/>
      <c r="D351" s="4"/>
      <c r="E351" s="4" t="s">
        <v>442</v>
      </c>
      <c r="F351" s="27">
        <v>2020</v>
      </c>
      <c r="G351" s="30"/>
      <c r="H351" s="38"/>
      <c r="I351" s="5">
        <v>40000</v>
      </c>
      <c r="J351" s="5"/>
      <c r="K351" s="5">
        <f t="shared" si="52"/>
        <v>40000</v>
      </c>
      <c r="L351" s="38"/>
      <c r="M351" s="158"/>
    </row>
    <row r="352" spans="1:13" ht="49.35" customHeight="1" x14ac:dyDescent="0.2">
      <c r="A352" s="27"/>
      <c r="B352" s="27"/>
      <c r="C352" s="25"/>
      <c r="D352" s="4"/>
      <c r="E352" s="4" t="s">
        <v>443</v>
      </c>
      <c r="F352" s="27">
        <v>2020</v>
      </c>
      <c r="G352" s="30"/>
      <c r="H352" s="38"/>
      <c r="I352" s="5">
        <v>40000</v>
      </c>
      <c r="J352" s="5"/>
      <c r="K352" s="5">
        <f t="shared" si="52"/>
        <v>40000</v>
      </c>
      <c r="L352" s="38"/>
      <c r="M352" s="158"/>
    </row>
    <row r="353" spans="1:13" ht="49.35" customHeight="1" x14ac:dyDescent="0.2">
      <c r="A353" s="27"/>
      <c r="B353" s="27"/>
      <c r="C353" s="25"/>
      <c r="D353" s="4"/>
      <c r="E353" s="92" t="s">
        <v>487</v>
      </c>
      <c r="F353" s="27">
        <v>2020</v>
      </c>
      <c r="G353" s="30"/>
      <c r="H353" s="38"/>
      <c r="I353" s="5">
        <v>40000</v>
      </c>
      <c r="J353" s="5"/>
      <c r="K353" s="5">
        <f t="shared" si="52"/>
        <v>40000</v>
      </c>
      <c r="L353" s="38"/>
      <c r="M353" s="158"/>
    </row>
    <row r="354" spans="1:13" ht="49.35" customHeight="1" x14ac:dyDescent="0.2">
      <c r="A354" s="27"/>
      <c r="B354" s="27"/>
      <c r="C354" s="25"/>
      <c r="D354" s="4"/>
      <c r="E354" s="4" t="s">
        <v>444</v>
      </c>
      <c r="F354" s="27">
        <v>2020</v>
      </c>
      <c r="G354" s="30"/>
      <c r="H354" s="38"/>
      <c r="I354" s="5">
        <v>40000</v>
      </c>
      <c r="J354" s="5"/>
      <c r="K354" s="5">
        <f t="shared" si="52"/>
        <v>40000</v>
      </c>
      <c r="L354" s="38"/>
      <c r="M354" s="158"/>
    </row>
    <row r="355" spans="1:13" ht="49.35" customHeight="1" x14ac:dyDescent="0.2">
      <c r="A355" s="27"/>
      <c r="B355" s="27"/>
      <c r="C355" s="25"/>
      <c r="D355" s="4"/>
      <c r="E355" s="4" t="s">
        <v>491</v>
      </c>
      <c r="F355" s="27">
        <v>2020</v>
      </c>
      <c r="G355" s="30"/>
      <c r="H355" s="38"/>
      <c r="I355" s="5">
        <v>40000</v>
      </c>
      <c r="J355" s="5"/>
      <c r="K355" s="5">
        <f t="shared" si="52"/>
        <v>40000</v>
      </c>
      <c r="L355" s="38"/>
      <c r="M355" s="158"/>
    </row>
    <row r="356" spans="1:13" ht="49.35" customHeight="1" x14ac:dyDescent="0.2">
      <c r="A356" s="27"/>
      <c r="B356" s="27"/>
      <c r="C356" s="25"/>
      <c r="D356" s="4"/>
      <c r="E356" s="4" t="s">
        <v>490</v>
      </c>
      <c r="F356" s="27">
        <v>2020</v>
      </c>
      <c r="G356" s="30"/>
      <c r="H356" s="38"/>
      <c r="I356" s="5">
        <v>40000</v>
      </c>
      <c r="J356" s="5"/>
      <c r="K356" s="5">
        <f t="shared" si="52"/>
        <v>40000</v>
      </c>
      <c r="L356" s="38"/>
      <c r="M356" s="158"/>
    </row>
    <row r="357" spans="1:13" ht="49.35" customHeight="1" x14ac:dyDescent="0.2">
      <c r="A357" s="27"/>
      <c r="B357" s="27"/>
      <c r="C357" s="25"/>
      <c r="D357" s="4"/>
      <c r="E357" s="4" t="s">
        <v>489</v>
      </c>
      <c r="F357" s="27">
        <v>2020</v>
      </c>
      <c r="G357" s="30"/>
      <c r="H357" s="38"/>
      <c r="I357" s="5">
        <v>40000</v>
      </c>
      <c r="J357" s="5"/>
      <c r="K357" s="5">
        <f t="shared" si="52"/>
        <v>40000</v>
      </c>
      <c r="L357" s="38"/>
      <c r="M357" s="158"/>
    </row>
    <row r="358" spans="1:13" ht="49.35" customHeight="1" x14ac:dyDescent="0.2">
      <c r="A358" s="27"/>
      <c r="B358" s="27"/>
      <c r="C358" s="25"/>
      <c r="D358" s="4"/>
      <c r="E358" s="4" t="s">
        <v>445</v>
      </c>
      <c r="F358" s="27">
        <v>2020</v>
      </c>
      <c r="G358" s="30"/>
      <c r="H358" s="38"/>
      <c r="I358" s="5">
        <v>40000</v>
      </c>
      <c r="J358" s="5"/>
      <c r="K358" s="5">
        <f t="shared" si="52"/>
        <v>40000</v>
      </c>
      <c r="L358" s="38"/>
      <c r="M358" s="158"/>
    </row>
    <row r="359" spans="1:13" ht="49.35" customHeight="1" x14ac:dyDescent="0.2">
      <c r="A359" s="27"/>
      <c r="B359" s="27"/>
      <c r="C359" s="25"/>
      <c r="D359" s="4"/>
      <c r="E359" s="4" t="s">
        <v>446</v>
      </c>
      <c r="F359" s="27">
        <v>2020</v>
      </c>
      <c r="G359" s="30"/>
      <c r="H359" s="38"/>
      <c r="I359" s="5">
        <v>40000</v>
      </c>
      <c r="J359" s="5"/>
      <c r="K359" s="5">
        <f t="shared" si="52"/>
        <v>40000</v>
      </c>
      <c r="L359" s="38"/>
      <c r="M359" s="158"/>
    </row>
    <row r="360" spans="1:13" ht="49.35" customHeight="1" x14ac:dyDescent="0.2">
      <c r="A360" s="27"/>
      <c r="B360" s="27"/>
      <c r="C360" s="25"/>
      <c r="D360" s="4"/>
      <c r="E360" s="4" t="s">
        <v>447</v>
      </c>
      <c r="F360" s="27">
        <v>2020</v>
      </c>
      <c r="G360" s="30"/>
      <c r="H360" s="38"/>
      <c r="I360" s="5">
        <v>40000</v>
      </c>
      <c r="J360" s="5"/>
      <c r="K360" s="5">
        <f t="shared" si="52"/>
        <v>40000</v>
      </c>
      <c r="L360" s="38"/>
      <c r="M360" s="158"/>
    </row>
    <row r="361" spans="1:13" ht="49.35" customHeight="1" x14ac:dyDescent="0.2">
      <c r="A361" s="27"/>
      <c r="B361" s="27"/>
      <c r="C361" s="25"/>
      <c r="D361" s="4"/>
      <c r="E361" s="4" t="s">
        <v>448</v>
      </c>
      <c r="F361" s="27">
        <v>2020</v>
      </c>
      <c r="G361" s="30"/>
      <c r="H361" s="38"/>
      <c r="I361" s="5">
        <v>40000</v>
      </c>
      <c r="J361" s="5"/>
      <c r="K361" s="5">
        <f t="shared" si="52"/>
        <v>40000</v>
      </c>
      <c r="L361" s="38"/>
      <c r="M361" s="158"/>
    </row>
    <row r="362" spans="1:13" ht="49.35" customHeight="1" x14ac:dyDescent="0.2">
      <c r="A362" s="27"/>
      <c r="B362" s="27"/>
      <c r="C362" s="25"/>
      <c r="D362" s="4"/>
      <c r="E362" s="4" t="s">
        <v>449</v>
      </c>
      <c r="F362" s="27">
        <v>2020</v>
      </c>
      <c r="G362" s="30"/>
      <c r="H362" s="38"/>
      <c r="I362" s="5">
        <v>40000</v>
      </c>
      <c r="J362" s="5"/>
      <c r="K362" s="5">
        <f t="shared" si="52"/>
        <v>40000</v>
      </c>
      <c r="L362" s="38"/>
      <c r="M362" s="158"/>
    </row>
    <row r="363" spans="1:13" ht="49.35" customHeight="1" x14ac:dyDescent="0.2">
      <c r="A363" s="27"/>
      <c r="B363" s="27"/>
      <c r="C363" s="25"/>
      <c r="D363" s="4"/>
      <c r="E363" s="4" t="s">
        <v>450</v>
      </c>
      <c r="F363" s="27">
        <v>2020</v>
      </c>
      <c r="G363" s="30"/>
      <c r="H363" s="38"/>
      <c r="I363" s="5">
        <v>40000</v>
      </c>
      <c r="J363" s="5"/>
      <c r="K363" s="5">
        <f t="shared" si="52"/>
        <v>40000</v>
      </c>
      <c r="L363" s="38"/>
      <c r="M363" s="158"/>
    </row>
    <row r="364" spans="1:13" ht="49.35" customHeight="1" x14ac:dyDescent="0.2">
      <c r="A364" s="27"/>
      <c r="B364" s="27"/>
      <c r="C364" s="25"/>
      <c r="D364" s="4"/>
      <c r="E364" s="4" t="s">
        <v>451</v>
      </c>
      <c r="F364" s="27">
        <v>2020</v>
      </c>
      <c r="G364" s="30"/>
      <c r="H364" s="38"/>
      <c r="I364" s="5">
        <v>40000</v>
      </c>
      <c r="J364" s="5"/>
      <c r="K364" s="5">
        <f t="shared" si="52"/>
        <v>40000</v>
      </c>
      <c r="L364" s="38"/>
      <c r="M364" s="158">
        <v>54</v>
      </c>
    </row>
    <row r="365" spans="1:13" ht="49.35" customHeight="1" x14ac:dyDescent="0.2">
      <c r="A365" s="27"/>
      <c r="B365" s="27"/>
      <c r="C365" s="25"/>
      <c r="D365" s="4"/>
      <c r="E365" s="4" t="s">
        <v>452</v>
      </c>
      <c r="F365" s="27">
        <v>2020</v>
      </c>
      <c r="G365" s="30"/>
      <c r="H365" s="38"/>
      <c r="I365" s="5">
        <v>40000</v>
      </c>
      <c r="J365" s="5"/>
      <c r="K365" s="5">
        <f t="shared" si="52"/>
        <v>40000</v>
      </c>
      <c r="L365" s="38"/>
      <c r="M365" s="158"/>
    </row>
    <row r="366" spans="1:13" ht="49.35" customHeight="1" x14ac:dyDescent="0.2">
      <c r="A366" s="27"/>
      <c r="B366" s="27"/>
      <c r="C366" s="25"/>
      <c r="D366" s="4"/>
      <c r="E366" s="4" t="s">
        <v>453</v>
      </c>
      <c r="F366" s="27">
        <v>2020</v>
      </c>
      <c r="G366" s="30"/>
      <c r="H366" s="38"/>
      <c r="I366" s="5">
        <v>40000</v>
      </c>
      <c r="J366" s="5"/>
      <c r="K366" s="5">
        <f t="shared" si="52"/>
        <v>40000</v>
      </c>
      <c r="L366" s="38"/>
      <c r="M366" s="158"/>
    </row>
    <row r="367" spans="1:13" ht="49.35" customHeight="1" x14ac:dyDescent="0.2">
      <c r="A367" s="27"/>
      <c r="B367" s="27"/>
      <c r="C367" s="25"/>
      <c r="D367" s="4"/>
      <c r="E367" s="4" t="s">
        <v>454</v>
      </c>
      <c r="F367" s="27">
        <v>2020</v>
      </c>
      <c r="G367" s="30"/>
      <c r="H367" s="38"/>
      <c r="I367" s="5">
        <v>40000</v>
      </c>
      <c r="J367" s="5"/>
      <c r="K367" s="5">
        <f t="shared" si="52"/>
        <v>40000</v>
      </c>
      <c r="L367" s="38"/>
      <c r="M367" s="158"/>
    </row>
    <row r="368" spans="1:13" ht="49.35" customHeight="1" x14ac:dyDescent="0.2">
      <c r="A368" s="27"/>
      <c r="B368" s="27"/>
      <c r="C368" s="25"/>
      <c r="D368" s="4"/>
      <c r="E368" s="4" t="s">
        <v>455</v>
      </c>
      <c r="F368" s="27">
        <v>2020</v>
      </c>
      <c r="G368" s="30"/>
      <c r="H368" s="38"/>
      <c r="I368" s="5">
        <v>40000</v>
      </c>
      <c r="J368" s="5"/>
      <c r="K368" s="5">
        <f t="shared" si="52"/>
        <v>40000</v>
      </c>
      <c r="L368" s="38"/>
      <c r="M368" s="158"/>
    </row>
    <row r="369" spans="1:13" ht="49.35" customHeight="1" x14ac:dyDescent="0.2">
      <c r="A369" s="27"/>
      <c r="B369" s="27"/>
      <c r="C369" s="25"/>
      <c r="D369" s="4"/>
      <c r="E369" s="4" t="s">
        <v>486</v>
      </c>
      <c r="F369" s="27">
        <v>2020</v>
      </c>
      <c r="G369" s="30"/>
      <c r="H369" s="38"/>
      <c r="I369" s="5">
        <v>40000</v>
      </c>
      <c r="J369" s="5"/>
      <c r="K369" s="5">
        <f t="shared" si="52"/>
        <v>40000</v>
      </c>
      <c r="L369" s="38"/>
      <c r="M369" s="158"/>
    </row>
    <row r="370" spans="1:13" ht="49.35" customHeight="1" x14ac:dyDescent="0.2">
      <c r="A370" s="27"/>
      <c r="B370" s="27"/>
      <c r="C370" s="25"/>
      <c r="D370" s="4"/>
      <c r="E370" s="4" t="s">
        <v>456</v>
      </c>
      <c r="F370" s="27">
        <v>2020</v>
      </c>
      <c r="G370" s="30"/>
      <c r="H370" s="38"/>
      <c r="I370" s="5">
        <v>40000</v>
      </c>
      <c r="J370" s="5"/>
      <c r="K370" s="5">
        <f t="shared" si="52"/>
        <v>40000</v>
      </c>
      <c r="L370" s="38"/>
      <c r="M370" s="158"/>
    </row>
    <row r="371" spans="1:13" ht="49.35" customHeight="1" x14ac:dyDescent="0.2">
      <c r="A371" s="27"/>
      <c r="B371" s="27"/>
      <c r="C371" s="25"/>
      <c r="D371" s="4"/>
      <c r="E371" s="4" t="s">
        <v>457</v>
      </c>
      <c r="F371" s="27">
        <v>2020</v>
      </c>
      <c r="G371" s="30"/>
      <c r="H371" s="38"/>
      <c r="I371" s="5">
        <v>40000</v>
      </c>
      <c r="J371" s="5"/>
      <c r="K371" s="5">
        <f t="shared" si="52"/>
        <v>40000</v>
      </c>
      <c r="L371" s="38"/>
      <c r="M371" s="158"/>
    </row>
    <row r="372" spans="1:13" ht="49.35" customHeight="1" x14ac:dyDescent="0.2">
      <c r="A372" s="27"/>
      <c r="B372" s="27"/>
      <c r="C372" s="25"/>
      <c r="D372" s="4"/>
      <c r="E372" s="4" t="s">
        <v>458</v>
      </c>
      <c r="F372" s="27">
        <v>2020</v>
      </c>
      <c r="G372" s="30"/>
      <c r="H372" s="38"/>
      <c r="I372" s="5">
        <v>40000</v>
      </c>
      <c r="J372" s="5"/>
      <c r="K372" s="5">
        <f t="shared" si="52"/>
        <v>40000</v>
      </c>
      <c r="L372" s="38"/>
      <c r="M372" s="158"/>
    </row>
    <row r="373" spans="1:13" ht="49.35" customHeight="1" x14ac:dyDescent="0.2">
      <c r="A373" s="27"/>
      <c r="B373" s="27"/>
      <c r="C373" s="25"/>
      <c r="D373" s="4"/>
      <c r="E373" s="4" t="s">
        <v>459</v>
      </c>
      <c r="F373" s="27">
        <v>2020</v>
      </c>
      <c r="G373" s="30"/>
      <c r="H373" s="38"/>
      <c r="I373" s="5">
        <v>40000</v>
      </c>
      <c r="J373" s="5"/>
      <c r="K373" s="5">
        <f t="shared" si="52"/>
        <v>40000</v>
      </c>
      <c r="L373" s="38"/>
      <c r="M373" s="158"/>
    </row>
    <row r="374" spans="1:13" ht="49.35" customHeight="1" x14ac:dyDescent="0.2">
      <c r="A374" s="27"/>
      <c r="B374" s="27"/>
      <c r="C374" s="25"/>
      <c r="D374" s="4"/>
      <c r="E374" s="4" t="s">
        <v>460</v>
      </c>
      <c r="F374" s="27">
        <v>2020</v>
      </c>
      <c r="G374" s="30"/>
      <c r="H374" s="38"/>
      <c r="I374" s="5">
        <v>40000</v>
      </c>
      <c r="J374" s="5"/>
      <c r="K374" s="5">
        <f t="shared" si="52"/>
        <v>40000</v>
      </c>
      <c r="L374" s="38"/>
      <c r="M374" s="158"/>
    </row>
    <row r="375" spans="1:13" ht="49.35" customHeight="1" x14ac:dyDescent="0.2">
      <c r="A375" s="27"/>
      <c r="B375" s="27"/>
      <c r="C375" s="25"/>
      <c r="D375" s="4"/>
      <c r="E375" s="4" t="s">
        <v>461</v>
      </c>
      <c r="F375" s="27" t="s">
        <v>58</v>
      </c>
      <c r="G375" s="30">
        <v>3009367</v>
      </c>
      <c r="H375" s="38">
        <v>1.9</v>
      </c>
      <c r="I375" s="5">
        <v>40000</v>
      </c>
      <c r="J375" s="5"/>
      <c r="K375" s="5">
        <f t="shared" si="52"/>
        <v>40000</v>
      </c>
      <c r="L375" s="38">
        <v>3.2</v>
      </c>
      <c r="M375" s="158"/>
    </row>
    <row r="376" spans="1:13" ht="49.35" customHeight="1" x14ac:dyDescent="0.2">
      <c r="A376" s="27"/>
      <c r="B376" s="27"/>
      <c r="C376" s="25"/>
      <c r="D376" s="4"/>
      <c r="E376" s="4" t="s">
        <v>462</v>
      </c>
      <c r="F376" s="27">
        <v>2020</v>
      </c>
      <c r="G376" s="30"/>
      <c r="H376" s="38"/>
      <c r="I376" s="5">
        <v>40000</v>
      </c>
      <c r="J376" s="5"/>
      <c r="K376" s="5">
        <f t="shared" si="52"/>
        <v>40000</v>
      </c>
      <c r="L376" s="38"/>
      <c r="M376" s="158"/>
    </row>
    <row r="377" spans="1:13" ht="49.35" customHeight="1" x14ac:dyDescent="0.2">
      <c r="A377" s="27"/>
      <c r="B377" s="27"/>
      <c r="C377" s="25"/>
      <c r="D377" s="4"/>
      <c r="E377" s="4" t="s">
        <v>463</v>
      </c>
      <c r="F377" s="27">
        <v>2020</v>
      </c>
      <c r="G377" s="30"/>
      <c r="H377" s="38"/>
      <c r="I377" s="5">
        <v>40000</v>
      </c>
      <c r="J377" s="5"/>
      <c r="K377" s="5">
        <f t="shared" si="52"/>
        <v>40000</v>
      </c>
      <c r="L377" s="38"/>
      <c r="M377" s="158"/>
    </row>
    <row r="378" spans="1:13" ht="49.35" customHeight="1" x14ac:dyDescent="0.2">
      <c r="A378" s="27"/>
      <c r="B378" s="27"/>
      <c r="C378" s="25"/>
      <c r="D378" s="4"/>
      <c r="E378" s="4" t="s">
        <v>464</v>
      </c>
      <c r="F378" s="27">
        <v>2020</v>
      </c>
      <c r="G378" s="30"/>
      <c r="H378" s="38"/>
      <c r="I378" s="5">
        <v>40000</v>
      </c>
      <c r="J378" s="5"/>
      <c r="K378" s="5">
        <f t="shared" si="52"/>
        <v>40000</v>
      </c>
      <c r="L378" s="38"/>
      <c r="M378" s="158">
        <v>55</v>
      </c>
    </row>
    <row r="379" spans="1:13" ht="49.35" customHeight="1" x14ac:dyDescent="0.2">
      <c r="A379" s="27"/>
      <c r="B379" s="27"/>
      <c r="C379" s="25"/>
      <c r="D379" s="4"/>
      <c r="E379" s="4" t="s">
        <v>465</v>
      </c>
      <c r="F379" s="27">
        <v>2020</v>
      </c>
      <c r="G379" s="30"/>
      <c r="H379" s="38"/>
      <c r="I379" s="5">
        <v>40000</v>
      </c>
      <c r="J379" s="5"/>
      <c r="K379" s="5">
        <f t="shared" si="52"/>
        <v>40000</v>
      </c>
      <c r="L379" s="38"/>
      <c r="M379" s="158"/>
    </row>
    <row r="380" spans="1:13" ht="49.35" customHeight="1" x14ac:dyDescent="0.2">
      <c r="A380" s="27"/>
      <c r="B380" s="27"/>
      <c r="C380" s="25"/>
      <c r="D380" s="4"/>
      <c r="E380" s="4" t="s">
        <v>466</v>
      </c>
      <c r="F380" s="27">
        <v>2020</v>
      </c>
      <c r="G380" s="30"/>
      <c r="H380" s="38"/>
      <c r="I380" s="5">
        <v>40000</v>
      </c>
      <c r="J380" s="5"/>
      <c r="K380" s="5">
        <f t="shared" si="52"/>
        <v>40000</v>
      </c>
      <c r="L380" s="38"/>
      <c r="M380" s="158"/>
    </row>
    <row r="381" spans="1:13" ht="49.35" customHeight="1" x14ac:dyDescent="0.2">
      <c r="A381" s="27"/>
      <c r="B381" s="27"/>
      <c r="C381" s="25"/>
      <c r="D381" s="4"/>
      <c r="E381" s="4" t="s">
        <v>467</v>
      </c>
      <c r="F381" s="27">
        <v>2020</v>
      </c>
      <c r="G381" s="30"/>
      <c r="H381" s="38"/>
      <c r="I381" s="5">
        <v>40000</v>
      </c>
      <c r="J381" s="5"/>
      <c r="K381" s="5">
        <f t="shared" si="52"/>
        <v>40000</v>
      </c>
      <c r="L381" s="38"/>
      <c r="M381" s="158"/>
    </row>
    <row r="382" spans="1:13" ht="49.35" customHeight="1" x14ac:dyDescent="0.2">
      <c r="A382" s="27"/>
      <c r="B382" s="27"/>
      <c r="C382" s="25"/>
      <c r="D382" s="4"/>
      <c r="E382" s="4" t="s">
        <v>488</v>
      </c>
      <c r="F382" s="27">
        <v>2020</v>
      </c>
      <c r="G382" s="30"/>
      <c r="H382" s="38"/>
      <c r="I382" s="5">
        <v>40000</v>
      </c>
      <c r="J382" s="5"/>
      <c r="K382" s="5">
        <f t="shared" si="52"/>
        <v>40000</v>
      </c>
      <c r="L382" s="38"/>
      <c r="M382" s="158"/>
    </row>
    <row r="383" spans="1:13" ht="49.35" customHeight="1" x14ac:dyDescent="0.2">
      <c r="A383" s="27"/>
      <c r="B383" s="27"/>
      <c r="C383" s="25"/>
      <c r="D383" s="4"/>
      <c r="E383" s="4" t="s">
        <v>468</v>
      </c>
      <c r="F383" s="27">
        <v>2020</v>
      </c>
      <c r="G383" s="30"/>
      <c r="H383" s="38"/>
      <c r="I383" s="5">
        <v>40000</v>
      </c>
      <c r="J383" s="5"/>
      <c r="K383" s="5">
        <f t="shared" si="52"/>
        <v>40000</v>
      </c>
      <c r="L383" s="38"/>
      <c r="M383" s="158"/>
    </row>
    <row r="384" spans="1:13" ht="49.35" customHeight="1" x14ac:dyDescent="0.2">
      <c r="A384" s="27"/>
      <c r="B384" s="27"/>
      <c r="C384" s="25"/>
      <c r="D384" s="4"/>
      <c r="E384" s="4" t="s">
        <v>469</v>
      </c>
      <c r="F384" s="27">
        <v>2020</v>
      </c>
      <c r="G384" s="30"/>
      <c r="H384" s="38"/>
      <c r="I384" s="5">
        <v>40000</v>
      </c>
      <c r="J384" s="5"/>
      <c r="K384" s="5">
        <f t="shared" si="52"/>
        <v>40000</v>
      </c>
      <c r="L384" s="38"/>
      <c r="M384" s="158"/>
    </row>
    <row r="385" spans="1:13" ht="49.35" customHeight="1" x14ac:dyDescent="0.2">
      <c r="A385" s="27"/>
      <c r="B385" s="27"/>
      <c r="C385" s="25"/>
      <c r="D385" s="4"/>
      <c r="E385" s="4" t="s">
        <v>470</v>
      </c>
      <c r="F385" s="27">
        <v>2020</v>
      </c>
      <c r="G385" s="30"/>
      <c r="H385" s="38"/>
      <c r="I385" s="5">
        <v>40000</v>
      </c>
      <c r="J385" s="5"/>
      <c r="K385" s="5">
        <f t="shared" si="52"/>
        <v>40000</v>
      </c>
      <c r="L385" s="38"/>
      <c r="M385" s="158"/>
    </row>
    <row r="386" spans="1:13" ht="49.35" customHeight="1" x14ac:dyDescent="0.2">
      <c r="A386" s="27"/>
      <c r="B386" s="27"/>
      <c r="C386" s="25"/>
      <c r="D386" s="4"/>
      <c r="E386" s="4" t="s">
        <v>471</v>
      </c>
      <c r="F386" s="27">
        <v>2020</v>
      </c>
      <c r="G386" s="30"/>
      <c r="H386" s="38"/>
      <c r="I386" s="5">
        <v>40000</v>
      </c>
      <c r="J386" s="5"/>
      <c r="K386" s="5">
        <f t="shared" si="52"/>
        <v>40000</v>
      </c>
      <c r="L386" s="38"/>
      <c r="M386" s="158"/>
    </row>
    <row r="387" spans="1:13" ht="49.35" customHeight="1" x14ac:dyDescent="0.2">
      <c r="A387" s="27"/>
      <c r="B387" s="27"/>
      <c r="C387" s="25"/>
      <c r="D387" s="4"/>
      <c r="E387" s="4" t="s">
        <v>472</v>
      </c>
      <c r="F387" s="27">
        <v>2020</v>
      </c>
      <c r="G387" s="30"/>
      <c r="H387" s="38"/>
      <c r="I387" s="5">
        <v>40000</v>
      </c>
      <c r="J387" s="5"/>
      <c r="K387" s="5">
        <f t="shared" si="52"/>
        <v>40000</v>
      </c>
      <c r="L387" s="38"/>
      <c r="M387" s="158"/>
    </row>
    <row r="388" spans="1:13" ht="49.35" customHeight="1" x14ac:dyDescent="0.2">
      <c r="A388" s="27"/>
      <c r="B388" s="27"/>
      <c r="C388" s="25"/>
      <c r="D388" s="4"/>
      <c r="E388" s="4" t="s">
        <v>473</v>
      </c>
      <c r="F388" s="27">
        <v>2020</v>
      </c>
      <c r="G388" s="30"/>
      <c r="H388" s="38"/>
      <c r="I388" s="5">
        <v>40000</v>
      </c>
      <c r="J388" s="5"/>
      <c r="K388" s="5">
        <f t="shared" si="52"/>
        <v>40000</v>
      </c>
      <c r="L388" s="38"/>
      <c r="M388" s="158"/>
    </row>
    <row r="389" spans="1:13" ht="49.35" customHeight="1" x14ac:dyDescent="0.2">
      <c r="A389" s="27"/>
      <c r="B389" s="27"/>
      <c r="C389" s="25"/>
      <c r="D389" s="4"/>
      <c r="E389" s="4" t="s">
        <v>474</v>
      </c>
      <c r="F389" s="27">
        <v>2020</v>
      </c>
      <c r="G389" s="30"/>
      <c r="H389" s="38"/>
      <c r="I389" s="5">
        <v>40000</v>
      </c>
      <c r="J389" s="5"/>
      <c r="K389" s="5">
        <f t="shared" si="52"/>
        <v>40000</v>
      </c>
      <c r="L389" s="38"/>
      <c r="M389" s="158"/>
    </row>
    <row r="390" spans="1:13" ht="49.35" customHeight="1" x14ac:dyDescent="0.2">
      <c r="A390" s="27"/>
      <c r="B390" s="27"/>
      <c r="C390" s="25"/>
      <c r="D390" s="4"/>
      <c r="E390" s="4" t="s">
        <v>475</v>
      </c>
      <c r="F390" s="27">
        <v>2020</v>
      </c>
      <c r="G390" s="30"/>
      <c r="H390" s="38"/>
      <c r="I390" s="5">
        <v>40000</v>
      </c>
      <c r="J390" s="5"/>
      <c r="K390" s="5">
        <f t="shared" si="52"/>
        <v>40000</v>
      </c>
      <c r="L390" s="38"/>
      <c r="M390" s="158"/>
    </row>
    <row r="391" spans="1:13" ht="49.35" customHeight="1" x14ac:dyDescent="0.2">
      <c r="A391" s="27"/>
      <c r="B391" s="27"/>
      <c r="C391" s="25"/>
      <c r="D391" s="4"/>
      <c r="E391" s="4" t="s">
        <v>476</v>
      </c>
      <c r="F391" s="27">
        <v>2020</v>
      </c>
      <c r="G391" s="30"/>
      <c r="H391" s="38"/>
      <c r="I391" s="5">
        <v>40000</v>
      </c>
      <c r="J391" s="5"/>
      <c r="K391" s="5">
        <f t="shared" si="52"/>
        <v>40000</v>
      </c>
      <c r="L391" s="38"/>
      <c r="M391" s="158"/>
    </row>
    <row r="392" spans="1:13" ht="49.35" customHeight="1" x14ac:dyDescent="0.2">
      <c r="A392" s="27"/>
      <c r="B392" s="27"/>
      <c r="C392" s="25"/>
      <c r="D392" s="4"/>
      <c r="E392" s="4" t="s">
        <v>477</v>
      </c>
      <c r="F392" s="27">
        <v>2020</v>
      </c>
      <c r="G392" s="30"/>
      <c r="H392" s="38"/>
      <c r="I392" s="5">
        <v>40000</v>
      </c>
      <c r="J392" s="5"/>
      <c r="K392" s="5">
        <f t="shared" si="52"/>
        <v>40000</v>
      </c>
      <c r="L392" s="38"/>
      <c r="M392" s="158">
        <v>56</v>
      </c>
    </row>
    <row r="393" spans="1:13" ht="49.35" customHeight="1" x14ac:dyDescent="0.2">
      <c r="A393" s="27"/>
      <c r="B393" s="27"/>
      <c r="C393" s="25"/>
      <c r="D393" s="4"/>
      <c r="E393" s="4" t="s">
        <v>478</v>
      </c>
      <c r="F393" s="27">
        <v>2020</v>
      </c>
      <c r="G393" s="30"/>
      <c r="H393" s="38"/>
      <c r="I393" s="5">
        <v>40000</v>
      </c>
      <c r="J393" s="5"/>
      <c r="K393" s="5">
        <f t="shared" si="52"/>
        <v>40000</v>
      </c>
      <c r="L393" s="38"/>
      <c r="M393" s="158"/>
    </row>
    <row r="394" spans="1:13" ht="49.35" customHeight="1" x14ac:dyDescent="0.2">
      <c r="A394" s="27"/>
      <c r="B394" s="27"/>
      <c r="C394" s="25"/>
      <c r="D394" s="4"/>
      <c r="E394" s="4" t="s">
        <v>479</v>
      </c>
      <c r="F394" s="27">
        <v>2020</v>
      </c>
      <c r="G394" s="30"/>
      <c r="H394" s="38"/>
      <c r="I394" s="5">
        <v>40000</v>
      </c>
      <c r="J394" s="5"/>
      <c r="K394" s="5">
        <f t="shared" si="52"/>
        <v>40000</v>
      </c>
      <c r="L394" s="38"/>
      <c r="M394" s="158"/>
    </row>
    <row r="395" spans="1:13" ht="49.35" customHeight="1" x14ac:dyDescent="0.2">
      <c r="A395" s="27"/>
      <c r="B395" s="27"/>
      <c r="C395" s="25"/>
      <c r="D395" s="4"/>
      <c r="E395" s="4" t="s">
        <v>480</v>
      </c>
      <c r="F395" s="27">
        <v>2020</v>
      </c>
      <c r="G395" s="30"/>
      <c r="H395" s="38"/>
      <c r="I395" s="5">
        <v>40000</v>
      </c>
      <c r="J395" s="5"/>
      <c r="K395" s="5">
        <f t="shared" si="52"/>
        <v>40000</v>
      </c>
      <c r="L395" s="38"/>
      <c r="M395" s="158"/>
    </row>
    <row r="396" spans="1:13" ht="49.35" customHeight="1" x14ac:dyDescent="0.2">
      <c r="A396" s="27"/>
      <c r="B396" s="27"/>
      <c r="C396" s="25"/>
      <c r="D396" s="4"/>
      <c r="E396" s="4" t="s">
        <v>481</v>
      </c>
      <c r="F396" s="27">
        <v>2020</v>
      </c>
      <c r="G396" s="30"/>
      <c r="H396" s="38"/>
      <c r="I396" s="5">
        <v>40000</v>
      </c>
      <c r="J396" s="5"/>
      <c r="K396" s="5">
        <f t="shared" si="52"/>
        <v>40000</v>
      </c>
      <c r="L396" s="38"/>
      <c r="M396" s="158"/>
    </row>
    <row r="397" spans="1:13" ht="49.35" customHeight="1" x14ac:dyDescent="0.2">
      <c r="A397" s="27"/>
      <c r="B397" s="27"/>
      <c r="C397" s="25"/>
      <c r="D397" s="4"/>
      <c r="E397" s="4" t="s">
        <v>482</v>
      </c>
      <c r="F397" s="27">
        <v>2020</v>
      </c>
      <c r="G397" s="30"/>
      <c r="H397" s="38"/>
      <c r="I397" s="5">
        <v>40000</v>
      </c>
      <c r="J397" s="5"/>
      <c r="K397" s="5">
        <f t="shared" si="52"/>
        <v>40000</v>
      </c>
      <c r="L397" s="38"/>
      <c r="M397" s="158"/>
    </row>
    <row r="398" spans="1:13" ht="49.35" customHeight="1" x14ac:dyDescent="0.2">
      <c r="A398" s="27"/>
      <c r="B398" s="27"/>
      <c r="C398" s="25"/>
      <c r="D398" s="4"/>
      <c r="E398" s="4" t="s">
        <v>483</v>
      </c>
      <c r="F398" s="27">
        <v>2020</v>
      </c>
      <c r="G398" s="30"/>
      <c r="H398" s="38"/>
      <c r="I398" s="5">
        <v>40000</v>
      </c>
      <c r="J398" s="5"/>
      <c r="K398" s="5">
        <f t="shared" si="52"/>
        <v>40000</v>
      </c>
      <c r="L398" s="38"/>
      <c r="M398" s="158"/>
    </row>
    <row r="399" spans="1:13" ht="49.35" customHeight="1" x14ac:dyDescent="0.2">
      <c r="A399" s="27"/>
      <c r="B399" s="27"/>
      <c r="C399" s="25"/>
      <c r="D399" s="4"/>
      <c r="E399" s="4" t="s">
        <v>484</v>
      </c>
      <c r="F399" s="27">
        <v>2020</v>
      </c>
      <c r="G399" s="30"/>
      <c r="H399" s="38"/>
      <c r="I399" s="5">
        <v>40000</v>
      </c>
      <c r="J399" s="5"/>
      <c r="K399" s="5">
        <f t="shared" si="52"/>
        <v>40000</v>
      </c>
      <c r="L399" s="38"/>
      <c r="M399" s="158"/>
    </row>
    <row r="400" spans="1:13" ht="49.35" customHeight="1" x14ac:dyDescent="0.2">
      <c r="A400" s="27"/>
      <c r="B400" s="27"/>
      <c r="C400" s="25"/>
      <c r="D400" s="4"/>
      <c r="E400" s="4" t="s">
        <v>485</v>
      </c>
      <c r="F400" s="27">
        <v>2020</v>
      </c>
      <c r="G400" s="30"/>
      <c r="H400" s="38"/>
      <c r="I400" s="5">
        <v>40000</v>
      </c>
      <c r="J400" s="5"/>
      <c r="K400" s="5">
        <f t="shared" si="52"/>
        <v>40000</v>
      </c>
      <c r="L400" s="38"/>
      <c r="M400" s="158"/>
    </row>
    <row r="401" spans="1:13" ht="49.35" customHeight="1" x14ac:dyDescent="0.2">
      <c r="A401" s="27"/>
      <c r="B401" s="27"/>
      <c r="C401" s="25"/>
      <c r="D401" s="4"/>
      <c r="E401" s="4" t="s">
        <v>498</v>
      </c>
      <c r="F401" s="27">
        <v>2020</v>
      </c>
      <c r="G401" s="30"/>
      <c r="H401" s="38"/>
      <c r="I401" s="5">
        <v>41153189</v>
      </c>
      <c r="J401" s="5"/>
      <c r="K401" s="5">
        <f t="shared" si="52"/>
        <v>41153189</v>
      </c>
      <c r="L401" s="38"/>
      <c r="M401" s="158"/>
    </row>
    <row r="402" spans="1:13" s="41" customFormat="1" ht="57" customHeight="1" x14ac:dyDescent="0.2">
      <c r="A402" s="9">
        <v>1517310</v>
      </c>
      <c r="B402" s="9">
        <v>7310</v>
      </c>
      <c r="C402" s="7" t="s">
        <v>3</v>
      </c>
      <c r="D402" s="6" t="s">
        <v>2</v>
      </c>
      <c r="E402" s="27"/>
      <c r="F402" s="5"/>
      <c r="G402" s="5"/>
      <c r="H402" s="5"/>
      <c r="I402" s="29">
        <f>I403+I406</f>
        <v>3000000</v>
      </c>
      <c r="J402" s="29">
        <f t="shared" ref="J402:K402" si="53">J403+J406</f>
        <v>1590000</v>
      </c>
      <c r="K402" s="29">
        <f t="shared" si="53"/>
        <v>4590000</v>
      </c>
      <c r="L402" s="29"/>
      <c r="M402" s="158"/>
    </row>
    <row r="403" spans="1:13" s="40" customFormat="1" ht="36" customHeight="1" x14ac:dyDescent="0.2">
      <c r="A403" s="35"/>
      <c r="B403" s="35"/>
      <c r="C403" s="35"/>
      <c r="D403" s="24"/>
      <c r="E403" s="3" t="s">
        <v>28</v>
      </c>
      <c r="F403" s="39"/>
      <c r="G403" s="39"/>
      <c r="H403" s="39"/>
      <c r="I403" s="34">
        <f>SUM(I404:I404)+I405</f>
        <v>3000000</v>
      </c>
      <c r="J403" s="34">
        <f t="shared" ref="J403:K403" si="54">SUM(J404:J404)+J405</f>
        <v>160000</v>
      </c>
      <c r="K403" s="34">
        <f t="shared" si="54"/>
        <v>3160000</v>
      </c>
      <c r="L403" s="39"/>
      <c r="M403" s="158"/>
    </row>
    <row r="404" spans="1:13" ht="49.35" customHeight="1" x14ac:dyDescent="0.2">
      <c r="A404" s="27"/>
      <c r="B404" s="27"/>
      <c r="C404" s="27"/>
      <c r="D404" s="27"/>
      <c r="E404" s="4" t="s">
        <v>33</v>
      </c>
      <c r="F404" s="27" t="s">
        <v>50</v>
      </c>
      <c r="G404" s="37">
        <v>15922519</v>
      </c>
      <c r="H404" s="27">
        <v>53</v>
      </c>
      <c r="I404" s="5">
        <v>3000000</v>
      </c>
      <c r="J404" s="5"/>
      <c r="K404" s="5">
        <f>J404+I404</f>
        <v>3000000</v>
      </c>
      <c r="L404" s="27">
        <v>70.3</v>
      </c>
      <c r="M404" s="158"/>
    </row>
    <row r="405" spans="1:13" ht="49.35" customHeight="1" x14ac:dyDescent="0.2">
      <c r="A405" s="27"/>
      <c r="B405" s="27"/>
      <c r="C405" s="27"/>
      <c r="D405" s="126"/>
      <c r="E405" s="1" t="s">
        <v>264</v>
      </c>
      <c r="F405" s="27" t="s">
        <v>53</v>
      </c>
      <c r="G405" s="37"/>
      <c r="H405" s="27"/>
      <c r="I405" s="5"/>
      <c r="J405" s="5">
        <v>160000</v>
      </c>
      <c r="K405" s="5">
        <f>J405+I405</f>
        <v>160000</v>
      </c>
      <c r="L405" s="27"/>
      <c r="M405" s="158"/>
    </row>
    <row r="406" spans="1:13" ht="49.35" customHeight="1" x14ac:dyDescent="0.2">
      <c r="A406" s="27"/>
      <c r="B406" s="27"/>
      <c r="C406" s="27"/>
      <c r="D406" s="27"/>
      <c r="E406" s="3" t="s">
        <v>29</v>
      </c>
      <c r="F406" s="27"/>
      <c r="G406" s="37"/>
      <c r="H406" s="27"/>
      <c r="I406" s="34">
        <f>I407</f>
        <v>0</v>
      </c>
      <c r="J406" s="34">
        <f t="shared" ref="J406:K406" si="55">J407</f>
        <v>1430000</v>
      </c>
      <c r="K406" s="34">
        <f t="shared" si="55"/>
        <v>1430000</v>
      </c>
      <c r="L406" s="27"/>
      <c r="M406" s="158">
        <v>57</v>
      </c>
    </row>
    <row r="407" spans="1:13" ht="49.35" customHeight="1" x14ac:dyDescent="0.2">
      <c r="A407" s="27"/>
      <c r="B407" s="27"/>
      <c r="C407" s="27"/>
      <c r="D407" s="126"/>
      <c r="E407" s="116" t="s">
        <v>265</v>
      </c>
      <c r="F407" s="27" t="s">
        <v>54</v>
      </c>
      <c r="G407" s="37"/>
      <c r="H407" s="27"/>
      <c r="I407" s="5"/>
      <c r="J407" s="5">
        <v>1430000</v>
      </c>
      <c r="K407" s="5">
        <f>J407+I407</f>
        <v>1430000</v>
      </c>
      <c r="L407" s="27"/>
      <c r="M407" s="158"/>
    </row>
    <row r="408" spans="1:13" s="41" customFormat="1" ht="38.85" customHeight="1" x14ac:dyDescent="0.2">
      <c r="A408" s="9">
        <v>1517321</v>
      </c>
      <c r="B408" s="9">
        <v>7321</v>
      </c>
      <c r="C408" s="7" t="s">
        <v>3</v>
      </c>
      <c r="D408" s="8" t="s">
        <v>4</v>
      </c>
      <c r="E408" s="10"/>
      <c r="F408" s="5"/>
      <c r="G408" s="5"/>
      <c r="H408" s="5"/>
      <c r="I408" s="29">
        <f>I409+I411</f>
        <v>9000000</v>
      </c>
      <c r="J408" s="29">
        <f t="shared" ref="J408:K408" si="56">J409+J411</f>
        <v>0</v>
      </c>
      <c r="K408" s="29">
        <f t="shared" si="56"/>
        <v>9000000</v>
      </c>
      <c r="L408" s="27"/>
      <c r="M408" s="158"/>
    </row>
    <row r="409" spans="1:13" s="40" customFormat="1" ht="37.35" customHeight="1" x14ac:dyDescent="0.2">
      <c r="A409" s="35"/>
      <c r="B409" s="35"/>
      <c r="C409" s="35"/>
      <c r="D409" s="24"/>
      <c r="E409" s="3" t="s">
        <v>28</v>
      </c>
      <c r="F409" s="39"/>
      <c r="G409" s="39"/>
      <c r="H409" s="39"/>
      <c r="I409" s="34">
        <f>SUM(I410:I410)</f>
        <v>5000000</v>
      </c>
      <c r="J409" s="34">
        <f t="shared" ref="J409:K409" si="57">SUM(J410:J410)</f>
        <v>0</v>
      </c>
      <c r="K409" s="34">
        <f t="shared" si="57"/>
        <v>5000000</v>
      </c>
      <c r="L409" s="35"/>
      <c r="M409" s="158"/>
    </row>
    <row r="410" spans="1:13" ht="53.85" customHeight="1" x14ac:dyDescent="0.2">
      <c r="A410" s="27"/>
      <c r="B410" s="27"/>
      <c r="C410" s="27"/>
      <c r="D410" s="27"/>
      <c r="E410" s="4" t="s">
        <v>34</v>
      </c>
      <c r="F410" s="27" t="s">
        <v>51</v>
      </c>
      <c r="G410" s="37">
        <v>77987328</v>
      </c>
      <c r="H410" s="27">
        <v>0.9</v>
      </c>
      <c r="I410" s="5">
        <v>5000000</v>
      </c>
      <c r="J410" s="5"/>
      <c r="K410" s="5">
        <f>J410+I410</f>
        <v>5000000</v>
      </c>
      <c r="L410" s="27">
        <v>7.3</v>
      </c>
      <c r="M410" s="158"/>
    </row>
    <row r="411" spans="1:13" s="40" customFormat="1" ht="33.6" customHeight="1" x14ac:dyDescent="0.2">
      <c r="A411" s="35"/>
      <c r="B411" s="35"/>
      <c r="C411" s="35"/>
      <c r="D411" s="24"/>
      <c r="E411" s="3" t="s">
        <v>29</v>
      </c>
      <c r="F411" s="39"/>
      <c r="G411" s="39"/>
      <c r="H411" s="39"/>
      <c r="I411" s="34">
        <f>SUM(I412:I412)</f>
        <v>4000000</v>
      </c>
      <c r="J411" s="34">
        <f t="shared" ref="J411:K411" si="58">SUM(J412:J412)</f>
        <v>0</v>
      </c>
      <c r="K411" s="34">
        <f t="shared" si="58"/>
        <v>4000000</v>
      </c>
      <c r="L411" s="35"/>
      <c r="M411" s="158"/>
    </row>
    <row r="412" spans="1:13" ht="45" customHeight="1" x14ac:dyDescent="0.2">
      <c r="A412" s="27"/>
      <c r="B412" s="27"/>
      <c r="C412" s="27"/>
      <c r="D412" s="27"/>
      <c r="E412" s="4" t="s">
        <v>35</v>
      </c>
      <c r="F412" s="27" t="s">
        <v>50</v>
      </c>
      <c r="G412" s="37">
        <v>7491775</v>
      </c>
      <c r="H412" s="27">
        <v>32</v>
      </c>
      <c r="I412" s="5">
        <v>4000000</v>
      </c>
      <c r="J412" s="5"/>
      <c r="K412" s="5">
        <f>J412+I412</f>
        <v>4000000</v>
      </c>
      <c r="L412" s="27">
        <v>81.2</v>
      </c>
      <c r="M412" s="158"/>
    </row>
    <row r="413" spans="1:13" s="41" customFormat="1" ht="21.6" customHeight="1" x14ac:dyDescent="0.2">
      <c r="A413" s="9">
        <v>1517322</v>
      </c>
      <c r="B413" s="9">
        <v>7322</v>
      </c>
      <c r="C413" s="7" t="s">
        <v>3</v>
      </c>
      <c r="D413" s="8" t="s">
        <v>5</v>
      </c>
      <c r="E413" s="10"/>
      <c r="F413" s="5"/>
      <c r="G413" s="5"/>
      <c r="H413" s="5"/>
      <c r="I413" s="29">
        <f>I414</f>
        <v>7000000</v>
      </c>
      <c r="J413" s="29">
        <f t="shared" ref="J413:K413" si="59">J414</f>
        <v>-2545151</v>
      </c>
      <c r="K413" s="29">
        <f t="shared" si="59"/>
        <v>4454849</v>
      </c>
      <c r="L413" s="27"/>
      <c r="M413" s="158"/>
    </row>
    <row r="414" spans="1:13" s="40" customFormat="1" ht="35.1" customHeight="1" x14ac:dyDescent="0.2">
      <c r="A414" s="35"/>
      <c r="B414" s="35"/>
      <c r="C414" s="35"/>
      <c r="D414" s="24"/>
      <c r="E414" s="3" t="s">
        <v>29</v>
      </c>
      <c r="F414" s="39"/>
      <c r="G414" s="39"/>
      <c r="H414" s="39"/>
      <c r="I414" s="34">
        <f>SUM(I415:I417)</f>
        <v>7000000</v>
      </c>
      <c r="J414" s="34">
        <f t="shared" ref="J414:K414" si="60">SUM(J415:J417)</f>
        <v>-2545151</v>
      </c>
      <c r="K414" s="34">
        <f t="shared" si="60"/>
        <v>4454849</v>
      </c>
      <c r="L414" s="35"/>
      <c r="M414" s="158"/>
    </row>
    <row r="415" spans="1:13" ht="45" customHeight="1" x14ac:dyDescent="0.2">
      <c r="A415" s="27"/>
      <c r="B415" s="27"/>
      <c r="C415" s="27"/>
      <c r="D415" s="27"/>
      <c r="E415" s="4" t="s">
        <v>36</v>
      </c>
      <c r="F415" s="27" t="s">
        <v>52</v>
      </c>
      <c r="G415" s="37">
        <v>32104361</v>
      </c>
      <c r="H415" s="27">
        <v>7.8</v>
      </c>
      <c r="I415" s="5">
        <v>7000000</v>
      </c>
      <c r="J415" s="5">
        <f>-967219-2319500</f>
        <v>-3286719</v>
      </c>
      <c r="K415" s="5">
        <f>J415+I415</f>
        <v>3713281</v>
      </c>
      <c r="L415" s="27">
        <v>23.7</v>
      </c>
      <c r="M415" s="158"/>
    </row>
    <row r="416" spans="1:13" ht="61.5" customHeight="1" x14ac:dyDescent="0.2">
      <c r="A416" s="27"/>
      <c r="B416" s="27"/>
      <c r="C416" s="27"/>
      <c r="D416" s="126"/>
      <c r="E416" s="116" t="s">
        <v>83</v>
      </c>
      <c r="F416" s="27" t="s">
        <v>54</v>
      </c>
      <c r="G416" s="37"/>
      <c r="H416" s="27"/>
      <c r="I416" s="5"/>
      <c r="J416" s="5">
        <v>537335</v>
      </c>
      <c r="K416" s="5">
        <f>J416+I416</f>
        <v>537335</v>
      </c>
      <c r="L416" s="27"/>
      <c r="M416" s="158"/>
    </row>
    <row r="417" spans="1:13" ht="45" customHeight="1" x14ac:dyDescent="0.2">
      <c r="A417" s="27"/>
      <c r="B417" s="27"/>
      <c r="C417" s="27"/>
      <c r="D417" s="126"/>
      <c r="E417" s="116" t="s">
        <v>84</v>
      </c>
      <c r="F417" s="27" t="s">
        <v>51</v>
      </c>
      <c r="G417" s="37"/>
      <c r="H417" s="27"/>
      <c r="I417" s="5"/>
      <c r="J417" s="5">
        <v>204233</v>
      </c>
      <c r="K417" s="5">
        <f>J417+I417</f>
        <v>204233</v>
      </c>
      <c r="L417" s="27"/>
      <c r="M417" s="158"/>
    </row>
    <row r="418" spans="1:13" s="42" customFormat="1" ht="68.099999999999994" customHeight="1" x14ac:dyDescent="0.2">
      <c r="A418" s="9">
        <v>1517330</v>
      </c>
      <c r="B418" s="9">
        <v>7330</v>
      </c>
      <c r="C418" s="7" t="s">
        <v>3</v>
      </c>
      <c r="D418" s="8" t="s">
        <v>27</v>
      </c>
      <c r="E418" s="8"/>
      <c r="F418" s="5"/>
      <c r="G418" s="5"/>
      <c r="H418" s="5"/>
      <c r="I418" s="29">
        <f>I419+I426</f>
        <v>40800000</v>
      </c>
      <c r="J418" s="29">
        <f t="shared" ref="J418:K418" si="61">J419+J426</f>
        <v>860151</v>
      </c>
      <c r="K418" s="29">
        <f t="shared" si="61"/>
        <v>41660151</v>
      </c>
      <c r="L418" s="27"/>
      <c r="M418" s="158"/>
    </row>
    <row r="419" spans="1:13" s="40" customFormat="1" ht="34.5" customHeight="1" x14ac:dyDescent="0.2">
      <c r="A419" s="43"/>
      <c r="B419" s="43"/>
      <c r="C419" s="43"/>
      <c r="D419" s="24"/>
      <c r="E419" s="3" t="s">
        <v>28</v>
      </c>
      <c r="F419" s="44"/>
      <c r="G419" s="44"/>
      <c r="H419" s="44"/>
      <c r="I419" s="34">
        <f>SUM(I420:I425)</f>
        <v>28000000</v>
      </c>
      <c r="J419" s="34">
        <f t="shared" ref="J419:K419" si="62">SUM(J420:J425)</f>
        <v>0</v>
      </c>
      <c r="K419" s="34">
        <f t="shared" si="62"/>
        <v>28000000</v>
      </c>
      <c r="L419" s="43"/>
      <c r="M419" s="158"/>
    </row>
    <row r="420" spans="1:13" s="41" customFormat="1" ht="41.85" customHeight="1" x14ac:dyDescent="0.2">
      <c r="A420" s="45"/>
      <c r="B420" s="45"/>
      <c r="C420" s="45"/>
      <c r="D420" s="9"/>
      <c r="E420" s="4" t="s">
        <v>37</v>
      </c>
      <c r="F420" s="27" t="s">
        <v>65</v>
      </c>
      <c r="G420" s="37">
        <v>28556946</v>
      </c>
      <c r="H420" s="38">
        <v>58</v>
      </c>
      <c r="I420" s="5">
        <f>5000000-1000000</f>
        <v>4000000</v>
      </c>
      <c r="J420" s="5"/>
      <c r="K420" s="5">
        <f t="shared" ref="K420:K425" si="63">J420+I420</f>
        <v>4000000</v>
      </c>
      <c r="L420" s="51">
        <v>72</v>
      </c>
      <c r="M420" s="158"/>
    </row>
    <row r="421" spans="1:13" s="41" customFormat="1" ht="41.85" customHeight="1" x14ac:dyDescent="0.2">
      <c r="A421" s="45"/>
      <c r="B421" s="45"/>
      <c r="C421" s="45"/>
      <c r="D421" s="9"/>
      <c r="E421" s="4" t="s">
        <v>74</v>
      </c>
      <c r="F421" s="27" t="s">
        <v>75</v>
      </c>
      <c r="G421" s="37"/>
      <c r="H421" s="27"/>
      <c r="I421" s="5">
        <v>1000000</v>
      </c>
      <c r="J421" s="5"/>
      <c r="K421" s="5">
        <f t="shared" si="63"/>
        <v>1000000</v>
      </c>
      <c r="L421" s="27"/>
      <c r="M421" s="158">
        <v>58</v>
      </c>
    </row>
    <row r="422" spans="1:13" ht="68.849999999999994" customHeight="1" x14ac:dyDescent="0.2">
      <c r="A422" s="27"/>
      <c r="B422" s="27"/>
      <c r="C422" s="27"/>
      <c r="D422" s="27"/>
      <c r="E422" s="4" t="s">
        <v>38</v>
      </c>
      <c r="F422" s="27" t="s">
        <v>53</v>
      </c>
      <c r="G422" s="37"/>
      <c r="H422" s="27"/>
      <c r="I422" s="5">
        <f>20200000-500000</f>
        <v>19700000</v>
      </c>
      <c r="J422" s="5"/>
      <c r="K422" s="5">
        <f t="shared" si="63"/>
        <v>19700000</v>
      </c>
      <c r="L422" s="27"/>
      <c r="M422" s="158"/>
    </row>
    <row r="423" spans="1:13" s="41" customFormat="1" ht="41.85" customHeight="1" x14ac:dyDescent="0.2">
      <c r="A423" s="45"/>
      <c r="B423" s="45"/>
      <c r="C423" s="45"/>
      <c r="D423" s="9"/>
      <c r="E423" s="4" t="s">
        <v>61</v>
      </c>
      <c r="F423" s="27">
        <v>2020</v>
      </c>
      <c r="G423" s="37"/>
      <c r="H423" s="27"/>
      <c r="I423" s="5">
        <f>1450000+200000+1000000</f>
        <v>2650000</v>
      </c>
      <c r="J423" s="5"/>
      <c r="K423" s="5">
        <f t="shared" si="63"/>
        <v>2650000</v>
      </c>
      <c r="L423" s="27"/>
      <c r="M423" s="158"/>
    </row>
    <row r="424" spans="1:13" s="41" customFormat="1" ht="41.85" customHeight="1" x14ac:dyDescent="0.2">
      <c r="A424" s="45"/>
      <c r="B424" s="45"/>
      <c r="C424" s="45"/>
      <c r="D424" s="9"/>
      <c r="E424" s="4" t="s">
        <v>68</v>
      </c>
      <c r="F424" s="27" t="s">
        <v>42</v>
      </c>
      <c r="G424" s="37">
        <v>1609069</v>
      </c>
      <c r="H424" s="27">
        <v>2.8</v>
      </c>
      <c r="I424" s="5">
        <v>500000</v>
      </c>
      <c r="J424" s="5"/>
      <c r="K424" s="5">
        <f t="shared" si="63"/>
        <v>500000</v>
      </c>
      <c r="L424" s="27">
        <v>33.799999999999997</v>
      </c>
      <c r="M424" s="158"/>
    </row>
    <row r="425" spans="1:13" s="41" customFormat="1" ht="41.85" customHeight="1" x14ac:dyDescent="0.2">
      <c r="A425" s="45"/>
      <c r="B425" s="45"/>
      <c r="C425" s="45"/>
      <c r="D425" s="9"/>
      <c r="E425" s="4" t="s">
        <v>62</v>
      </c>
      <c r="F425" s="27">
        <v>2020</v>
      </c>
      <c r="G425" s="37"/>
      <c r="H425" s="27"/>
      <c r="I425" s="5">
        <f>50000+100000</f>
        <v>150000</v>
      </c>
      <c r="J425" s="5"/>
      <c r="K425" s="5">
        <f t="shared" si="63"/>
        <v>150000</v>
      </c>
      <c r="L425" s="27"/>
      <c r="M425" s="158"/>
    </row>
    <row r="426" spans="1:13" s="40" customFormat="1" ht="27.6" customHeight="1" x14ac:dyDescent="0.2">
      <c r="A426" s="43"/>
      <c r="B426" s="43"/>
      <c r="C426" s="43"/>
      <c r="D426" s="24"/>
      <c r="E426" s="3" t="s">
        <v>29</v>
      </c>
      <c r="F426" s="39"/>
      <c r="G426" s="46"/>
      <c r="H426" s="46"/>
      <c r="I426" s="34">
        <f>SUM(I427:I431)</f>
        <v>12800000</v>
      </c>
      <c r="J426" s="34">
        <f>SUM(J427:J431)</f>
        <v>860151</v>
      </c>
      <c r="K426" s="34">
        <f>SUM(K427:K431)</f>
        <v>13660151</v>
      </c>
      <c r="L426" s="47"/>
      <c r="M426" s="158"/>
    </row>
    <row r="427" spans="1:13" s="41" customFormat="1" ht="35.1" customHeight="1" x14ac:dyDescent="0.2">
      <c r="A427" s="45"/>
      <c r="B427" s="45"/>
      <c r="C427" s="45"/>
      <c r="D427" s="9"/>
      <c r="E427" s="4" t="s">
        <v>39</v>
      </c>
      <c r="F427" s="5" t="s">
        <v>54</v>
      </c>
      <c r="G427" s="37">
        <v>1478560</v>
      </c>
      <c r="H427" s="48">
        <v>46.8</v>
      </c>
      <c r="I427" s="5">
        <v>800000</v>
      </c>
      <c r="J427" s="5"/>
      <c r="K427" s="5">
        <f>J427+I427</f>
        <v>800000</v>
      </c>
      <c r="L427" s="37">
        <v>100.1</v>
      </c>
      <c r="M427" s="158"/>
    </row>
    <row r="428" spans="1:13" s="41" customFormat="1" ht="35.1" customHeight="1" x14ac:dyDescent="0.2">
      <c r="A428" s="45"/>
      <c r="B428" s="45"/>
      <c r="C428" s="45"/>
      <c r="D428" s="9"/>
      <c r="E428" s="4" t="s">
        <v>71</v>
      </c>
      <c r="F428" s="27">
        <v>2020</v>
      </c>
      <c r="G428" s="37"/>
      <c r="H428" s="48"/>
      <c r="I428" s="5">
        <v>300000</v>
      </c>
      <c r="J428" s="5"/>
      <c r="K428" s="5">
        <f>J428+I428</f>
        <v>300000</v>
      </c>
      <c r="L428" s="37"/>
      <c r="M428" s="158"/>
    </row>
    <row r="429" spans="1:13" s="41" customFormat="1" ht="25.35" customHeight="1" x14ac:dyDescent="0.2">
      <c r="A429" s="45"/>
      <c r="B429" s="45"/>
      <c r="C429" s="45"/>
      <c r="D429" s="9"/>
      <c r="E429" s="4" t="s">
        <v>40</v>
      </c>
      <c r="F429" s="5" t="s">
        <v>55</v>
      </c>
      <c r="G429" s="37"/>
      <c r="H429" s="37"/>
      <c r="I429" s="5">
        <f>13500000-1800000</f>
        <v>11700000</v>
      </c>
      <c r="J429" s="5"/>
      <c r="K429" s="5">
        <f>J429+I429</f>
        <v>11700000</v>
      </c>
      <c r="L429" s="48"/>
      <c r="M429" s="158"/>
    </row>
    <row r="430" spans="1:13" s="41" customFormat="1" ht="29.85" customHeight="1" x14ac:dyDescent="0.2">
      <c r="A430" s="45"/>
      <c r="B430" s="45"/>
      <c r="C430" s="45"/>
      <c r="D430" s="126"/>
      <c r="E430" s="4" t="s">
        <v>268</v>
      </c>
      <c r="F430" s="27">
        <v>2020</v>
      </c>
      <c r="G430" s="37"/>
      <c r="H430" s="37"/>
      <c r="I430" s="5"/>
      <c r="J430" s="5">
        <v>300000</v>
      </c>
      <c r="K430" s="5">
        <f>J430+I430</f>
        <v>300000</v>
      </c>
      <c r="L430" s="48"/>
      <c r="M430" s="158"/>
    </row>
    <row r="431" spans="1:13" s="41" customFormat="1" ht="42.6" customHeight="1" x14ac:dyDescent="0.2">
      <c r="A431" s="45"/>
      <c r="B431" s="45"/>
      <c r="C431" s="45"/>
      <c r="D431" s="126"/>
      <c r="E431" s="4" t="s">
        <v>85</v>
      </c>
      <c r="F431" s="5" t="s">
        <v>42</v>
      </c>
      <c r="G431" s="37"/>
      <c r="H431" s="37"/>
      <c r="I431" s="5"/>
      <c r="J431" s="5">
        <f>225651+334500</f>
        <v>560151</v>
      </c>
      <c r="K431" s="5">
        <f>J431+I431</f>
        <v>560151</v>
      </c>
      <c r="L431" s="48"/>
      <c r="M431" s="158"/>
    </row>
    <row r="432" spans="1:13" s="41" customFormat="1" ht="48" customHeight="1" x14ac:dyDescent="0.2">
      <c r="A432" s="9">
        <v>1517363</v>
      </c>
      <c r="B432" s="9">
        <v>7363</v>
      </c>
      <c r="C432" s="7" t="s">
        <v>112</v>
      </c>
      <c r="D432" s="8" t="s">
        <v>266</v>
      </c>
      <c r="E432" s="58" t="s">
        <v>191</v>
      </c>
      <c r="F432" s="5"/>
      <c r="G432" s="37"/>
      <c r="H432" s="37"/>
      <c r="I432" s="29">
        <f>I433</f>
        <v>0</v>
      </c>
      <c r="J432" s="29">
        <f t="shared" ref="J432:K432" si="64">J433</f>
        <v>95000</v>
      </c>
      <c r="K432" s="29">
        <f t="shared" si="64"/>
        <v>95000</v>
      </c>
      <c r="L432" s="48"/>
      <c r="M432" s="158"/>
    </row>
    <row r="433" spans="1:13" s="54" customFormat="1" ht="44.85" customHeight="1" x14ac:dyDescent="0.2">
      <c r="A433" s="53"/>
      <c r="B433" s="53"/>
      <c r="C433" s="53"/>
      <c r="D433" s="126"/>
      <c r="E433" s="1" t="s">
        <v>267</v>
      </c>
      <c r="F433" s="5" t="s">
        <v>54</v>
      </c>
      <c r="G433" s="37"/>
      <c r="H433" s="48"/>
      <c r="I433" s="5"/>
      <c r="J433" s="5">
        <v>95000</v>
      </c>
      <c r="K433" s="5">
        <f>J433+I433</f>
        <v>95000</v>
      </c>
      <c r="L433" s="48"/>
      <c r="M433" s="158"/>
    </row>
    <row r="434" spans="1:13" s="41" customFormat="1" ht="41.1" customHeight="1" x14ac:dyDescent="0.2">
      <c r="A434" s="9">
        <v>1517640</v>
      </c>
      <c r="B434" s="9">
        <v>7640</v>
      </c>
      <c r="C434" s="45"/>
      <c r="D434" s="8" t="s">
        <v>7</v>
      </c>
      <c r="E434" s="45"/>
      <c r="F434" s="5"/>
      <c r="G434" s="37"/>
      <c r="H434" s="37"/>
      <c r="I434" s="29">
        <f>I435+I439</f>
        <v>74352548</v>
      </c>
      <c r="J434" s="29">
        <f t="shared" ref="J434:K434" si="65">J435+J439</f>
        <v>0</v>
      </c>
      <c r="K434" s="29">
        <f t="shared" si="65"/>
        <v>74352548</v>
      </c>
      <c r="L434" s="48"/>
      <c r="M434" s="158"/>
    </row>
    <row r="435" spans="1:13" s="115" customFormat="1" ht="20.85" customHeight="1" x14ac:dyDescent="0.2">
      <c r="A435" s="24"/>
      <c r="B435" s="24"/>
      <c r="C435" s="112"/>
      <c r="D435" s="23"/>
      <c r="E435" s="3" t="s">
        <v>191</v>
      </c>
      <c r="F435" s="34"/>
      <c r="G435" s="113"/>
      <c r="H435" s="113"/>
      <c r="I435" s="34">
        <f>I436+I437+I438</f>
        <v>0</v>
      </c>
      <c r="J435" s="34">
        <f t="shared" ref="J435:K435" si="66">J436+J437+J438</f>
        <v>53264206</v>
      </c>
      <c r="K435" s="34">
        <f t="shared" si="66"/>
        <v>53264206</v>
      </c>
      <c r="L435" s="114"/>
      <c r="M435" s="158"/>
    </row>
    <row r="436" spans="1:13" s="41" customFormat="1" ht="36" customHeight="1" x14ac:dyDescent="0.2">
      <c r="A436" s="9"/>
      <c r="B436" s="9"/>
      <c r="C436" s="45"/>
      <c r="D436" s="8"/>
      <c r="E436" s="1" t="s">
        <v>393</v>
      </c>
      <c r="F436" s="5" t="s">
        <v>78</v>
      </c>
      <c r="G436" s="37"/>
      <c r="H436" s="37"/>
      <c r="I436" s="29"/>
      <c r="J436" s="5">
        <v>500000</v>
      </c>
      <c r="K436" s="5">
        <f>J436+I436</f>
        <v>500000</v>
      </c>
      <c r="L436" s="48"/>
      <c r="M436" s="158"/>
    </row>
    <row r="437" spans="1:13" s="41" customFormat="1" ht="57.6" customHeight="1" x14ac:dyDescent="0.2">
      <c r="A437" s="9"/>
      <c r="B437" s="9"/>
      <c r="C437" s="45"/>
      <c r="D437" s="8"/>
      <c r="E437" s="1" t="s">
        <v>394</v>
      </c>
      <c r="F437" s="27">
        <v>2020</v>
      </c>
      <c r="G437" s="37"/>
      <c r="H437" s="37"/>
      <c r="I437" s="29"/>
      <c r="J437" s="5">
        <v>52374648</v>
      </c>
      <c r="K437" s="5">
        <f t="shared" ref="K437:K438" si="67">J437+I437</f>
        <v>52374648</v>
      </c>
      <c r="L437" s="48"/>
      <c r="M437" s="158"/>
    </row>
    <row r="438" spans="1:13" s="41" customFormat="1" ht="34.5" customHeight="1" x14ac:dyDescent="0.2">
      <c r="A438" s="9"/>
      <c r="B438" s="9"/>
      <c r="C438" s="45"/>
      <c r="D438" s="8"/>
      <c r="E438" s="1" t="s">
        <v>401</v>
      </c>
      <c r="F438" s="27">
        <v>2020</v>
      </c>
      <c r="G438" s="37"/>
      <c r="H438" s="37"/>
      <c r="I438" s="29"/>
      <c r="J438" s="5">
        <v>389558</v>
      </c>
      <c r="K438" s="5">
        <f t="shared" si="67"/>
        <v>389558</v>
      </c>
      <c r="L438" s="48"/>
      <c r="M438" s="159">
        <v>59</v>
      </c>
    </row>
    <row r="439" spans="1:13" s="41" customFormat="1" ht="22.35" customHeight="1" x14ac:dyDescent="0.2">
      <c r="A439" s="9"/>
      <c r="B439" s="9"/>
      <c r="C439" s="45"/>
      <c r="D439" s="8"/>
      <c r="E439" s="3" t="s">
        <v>392</v>
      </c>
      <c r="F439" s="5"/>
      <c r="G439" s="37"/>
      <c r="H439" s="37"/>
      <c r="I439" s="34">
        <f>SUM(I440:I444)</f>
        <v>74352548</v>
      </c>
      <c r="J439" s="34">
        <f t="shared" ref="J439:K439" si="68">SUM(J440:J444)</f>
        <v>-53264206</v>
      </c>
      <c r="K439" s="34">
        <f t="shared" si="68"/>
        <v>21088342</v>
      </c>
      <c r="L439" s="48"/>
      <c r="M439" s="159"/>
    </row>
    <row r="440" spans="1:13" s="41" customFormat="1" ht="41.1" customHeight="1" x14ac:dyDescent="0.2">
      <c r="A440" s="9"/>
      <c r="B440" s="9"/>
      <c r="C440" s="45"/>
      <c r="D440" s="8"/>
      <c r="E440" s="1" t="s">
        <v>44</v>
      </c>
      <c r="F440" s="5" t="s">
        <v>65</v>
      </c>
      <c r="G440" s="37">
        <v>25179181</v>
      </c>
      <c r="H440" s="48">
        <v>73.8</v>
      </c>
      <c r="I440" s="5">
        <v>2000000</v>
      </c>
      <c r="J440" s="5"/>
      <c r="K440" s="5">
        <f>J440+I440</f>
        <v>2000000</v>
      </c>
      <c r="L440" s="48">
        <v>81.7</v>
      </c>
      <c r="M440" s="159"/>
    </row>
    <row r="441" spans="1:13" s="41" customFormat="1" ht="72" customHeight="1" x14ac:dyDescent="0.2">
      <c r="A441" s="9"/>
      <c r="B441" s="9"/>
      <c r="C441" s="7"/>
      <c r="D441" s="8"/>
      <c r="E441" s="1" t="s">
        <v>43</v>
      </c>
      <c r="F441" s="37" t="s">
        <v>54</v>
      </c>
      <c r="G441" s="37"/>
      <c r="H441" s="37"/>
      <c r="I441" s="5">
        <f>8812441+44062207</f>
        <v>52874648</v>
      </c>
      <c r="J441" s="5">
        <v>-52874648</v>
      </c>
      <c r="K441" s="5">
        <f>J441+I441</f>
        <v>0</v>
      </c>
      <c r="L441" s="48"/>
      <c r="M441" s="159"/>
    </row>
    <row r="442" spans="1:13" s="41" customFormat="1" ht="48.6" customHeight="1" x14ac:dyDescent="0.2">
      <c r="A442" s="9"/>
      <c r="B442" s="9"/>
      <c r="C442" s="7"/>
      <c r="D442" s="8"/>
      <c r="E442" s="1" t="s">
        <v>45</v>
      </c>
      <c r="F442" s="37" t="s">
        <v>42</v>
      </c>
      <c r="G442" s="37"/>
      <c r="H442" s="37"/>
      <c r="I442" s="5">
        <v>6232928</v>
      </c>
      <c r="J442" s="5"/>
      <c r="K442" s="5">
        <f>J442+I442</f>
        <v>6232928</v>
      </c>
      <c r="L442" s="48"/>
      <c r="M442" s="159"/>
    </row>
    <row r="443" spans="1:13" s="41" customFormat="1" ht="50.1" customHeight="1" x14ac:dyDescent="0.2">
      <c r="A443" s="9"/>
      <c r="B443" s="9"/>
      <c r="C443" s="7"/>
      <c r="D443" s="8"/>
      <c r="E443" s="1" t="s">
        <v>46</v>
      </c>
      <c r="F443" s="37" t="s">
        <v>42</v>
      </c>
      <c r="G443" s="37"/>
      <c r="H443" s="37"/>
      <c r="I443" s="5">
        <v>12855414</v>
      </c>
      <c r="J443" s="5"/>
      <c r="K443" s="5">
        <f>J443+I443</f>
        <v>12855414</v>
      </c>
      <c r="L443" s="48"/>
      <c r="M443" s="159"/>
    </row>
    <row r="444" spans="1:13" s="41" customFormat="1" ht="53.1" customHeight="1" x14ac:dyDescent="0.2">
      <c r="A444" s="9"/>
      <c r="B444" s="9"/>
      <c r="C444" s="7"/>
      <c r="D444" s="8"/>
      <c r="E444" s="1" t="s">
        <v>47</v>
      </c>
      <c r="F444" s="37" t="s">
        <v>42</v>
      </c>
      <c r="G444" s="37"/>
      <c r="H444" s="37"/>
      <c r="I444" s="5">
        <v>389558</v>
      </c>
      <c r="J444" s="5">
        <v>-389558</v>
      </c>
      <c r="K444" s="5">
        <f>J444+I444</f>
        <v>0</v>
      </c>
      <c r="L444" s="48"/>
      <c r="M444" s="159"/>
    </row>
    <row r="445" spans="1:13" s="78" customFormat="1" ht="39" customHeight="1" x14ac:dyDescent="0.2">
      <c r="A445" s="131" t="s">
        <v>186</v>
      </c>
      <c r="B445" s="140"/>
      <c r="C445" s="140"/>
      <c r="D445" s="133" t="s">
        <v>187</v>
      </c>
      <c r="E445" s="79"/>
      <c r="F445" s="80"/>
      <c r="G445" s="80"/>
      <c r="H445" s="80"/>
      <c r="I445" s="130">
        <f>I446</f>
        <v>100000</v>
      </c>
      <c r="J445" s="130">
        <f t="shared" ref="J445:K445" si="69">J446</f>
        <v>0</v>
      </c>
      <c r="K445" s="130">
        <f t="shared" si="69"/>
        <v>100000</v>
      </c>
      <c r="L445" s="81"/>
      <c r="M445" s="159"/>
    </row>
    <row r="446" spans="1:13" s="82" customFormat="1" ht="32.1" customHeight="1" x14ac:dyDescent="0.2">
      <c r="A446" s="132" t="s">
        <v>188</v>
      </c>
      <c r="B446" s="141"/>
      <c r="C446" s="141"/>
      <c r="D446" s="134" t="s">
        <v>187</v>
      </c>
      <c r="E446" s="79"/>
      <c r="F446" s="80"/>
      <c r="G446" s="80"/>
      <c r="H446" s="80"/>
      <c r="I446" s="75">
        <f>I447+I448+I449</f>
        <v>100000</v>
      </c>
      <c r="J446" s="75">
        <f t="shared" ref="J446:K446" si="70">J447+J448+J449</f>
        <v>0</v>
      </c>
      <c r="K446" s="75">
        <f t="shared" si="70"/>
        <v>100000</v>
      </c>
      <c r="L446" s="81"/>
      <c r="M446" s="159"/>
    </row>
    <row r="447" spans="1:13" s="41" customFormat="1" ht="42.6" customHeight="1" x14ac:dyDescent="0.2">
      <c r="A447" s="27">
        <v>3110160</v>
      </c>
      <c r="B447" s="25" t="s">
        <v>92</v>
      </c>
      <c r="C447" s="25" t="s">
        <v>90</v>
      </c>
      <c r="D447" s="4" t="s">
        <v>91</v>
      </c>
      <c r="E447" s="77" t="s">
        <v>192</v>
      </c>
      <c r="F447" s="37"/>
      <c r="G447" s="37"/>
      <c r="H447" s="37"/>
      <c r="I447" s="5">
        <v>25000</v>
      </c>
      <c r="J447" s="5"/>
      <c r="K447" s="5">
        <f>J447+I447</f>
        <v>25000</v>
      </c>
      <c r="L447" s="48"/>
      <c r="M447" s="159"/>
    </row>
    <row r="448" spans="1:13" s="41" customFormat="1" ht="44.1" customHeight="1" x14ac:dyDescent="0.2">
      <c r="A448" s="27">
        <v>3117650</v>
      </c>
      <c r="B448" s="27">
        <v>7650</v>
      </c>
      <c r="C448" s="25" t="s">
        <v>112</v>
      </c>
      <c r="D448" s="1" t="s">
        <v>189</v>
      </c>
      <c r="E448" s="77" t="s">
        <v>198</v>
      </c>
      <c r="F448" s="37"/>
      <c r="G448" s="37"/>
      <c r="H448" s="37"/>
      <c r="I448" s="5">
        <v>30000</v>
      </c>
      <c r="J448" s="5"/>
      <c r="K448" s="5">
        <f t="shared" ref="K448:K449" si="71">J448+I448</f>
        <v>30000</v>
      </c>
      <c r="L448" s="48"/>
      <c r="M448" s="159"/>
    </row>
    <row r="449" spans="1:13" s="41" customFormat="1" ht="62.1" customHeight="1" x14ac:dyDescent="0.2">
      <c r="A449" s="27">
        <v>3117660</v>
      </c>
      <c r="B449" s="27">
        <v>7660</v>
      </c>
      <c r="C449" s="25" t="s">
        <v>112</v>
      </c>
      <c r="D449" s="1" t="s">
        <v>190</v>
      </c>
      <c r="E449" s="77" t="s">
        <v>198</v>
      </c>
      <c r="F449" s="37"/>
      <c r="G449" s="37"/>
      <c r="H449" s="37"/>
      <c r="I449" s="5">
        <v>45000</v>
      </c>
      <c r="J449" s="5"/>
      <c r="K449" s="5">
        <f t="shared" si="71"/>
        <v>45000</v>
      </c>
      <c r="L449" s="48"/>
      <c r="M449" s="159"/>
    </row>
    <row r="450" spans="1:13" ht="26.1" customHeight="1" x14ac:dyDescent="0.2">
      <c r="A450" s="49"/>
      <c r="B450" s="49"/>
      <c r="C450" s="49"/>
      <c r="D450" s="12" t="s">
        <v>8</v>
      </c>
      <c r="E450" s="49"/>
      <c r="F450" s="49"/>
      <c r="G450" s="49"/>
      <c r="H450" s="49"/>
      <c r="I450" s="13">
        <f>I17+I39+I141+I147+I154+I157+I163+I330+I333+I445</f>
        <v>451038186</v>
      </c>
      <c r="J450" s="13">
        <f>J17+J39+J141+J147+J154+J157+J163+J330+J333+J445</f>
        <v>1999999.9999999981</v>
      </c>
      <c r="K450" s="13">
        <f>K17+K39+K141+K147+K154+K157+K163+K330+K333+K445</f>
        <v>453038186</v>
      </c>
      <c r="L450" s="49"/>
      <c r="M450" s="159"/>
    </row>
    <row r="451" spans="1:13" s="50" customFormat="1" ht="36" customHeight="1" x14ac:dyDescent="0.2">
      <c r="A451" s="49"/>
      <c r="B451" s="49"/>
      <c r="C451" s="49"/>
      <c r="D451" s="134" t="s">
        <v>117</v>
      </c>
      <c r="E451" s="49"/>
      <c r="F451" s="49"/>
      <c r="G451" s="49"/>
      <c r="H451" s="49"/>
      <c r="I451" s="59">
        <f>I41</f>
        <v>828008</v>
      </c>
      <c r="J451" s="59">
        <f>J41</f>
        <v>0</v>
      </c>
      <c r="K451" s="59">
        <f>K41</f>
        <v>828008</v>
      </c>
      <c r="L451" s="49"/>
      <c r="M451" s="159"/>
    </row>
    <row r="452" spans="1:13" x14ac:dyDescent="0.2">
      <c r="M452" s="159"/>
    </row>
    <row r="453" spans="1:13" x14ac:dyDescent="0.2">
      <c r="M453" s="159"/>
    </row>
    <row r="454" spans="1:13" x14ac:dyDescent="0.2">
      <c r="M454" s="159"/>
    </row>
    <row r="455" spans="1:13" s="11" customFormat="1" ht="18.75" x14ac:dyDescent="0.3">
      <c r="A455" s="154" t="s">
        <v>495</v>
      </c>
      <c r="B455" s="154"/>
      <c r="C455" s="154"/>
      <c r="D455" s="154"/>
      <c r="E455" s="154"/>
      <c r="I455" s="127" t="s">
        <v>496</v>
      </c>
      <c r="J455" s="127"/>
      <c r="M455" s="159"/>
    </row>
    <row r="456" spans="1:13" s="11" customFormat="1" ht="15" customHeight="1" x14ac:dyDescent="0.3">
      <c r="A456" s="55"/>
      <c r="B456" s="55"/>
      <c r="C456" s="55"/>
      <c r="D456" s="14"/>
      <c r="E456" s="14"/>
      <c r="F456" s="14"/>
      <c r="G456" s="14"/>
      <c r="H456" s="14"/>
      <c r="I456" s="14"/>
      <c r="J456" s="14"/>
      <c r="K456" s="14"/>
      <c r="L456" s="15"/>
      <c r="M456" s="159"/>
    </row>
    <row r="457" spans="1:13" s="11" customFormat="1" ht="18.75" x14ac:dyDescent="0.3">
      <c r="A457" s="16"/>
      <c r="B457" s="17"/>
      <c r="C457" s="18"/>
      <c r="D457" s="19"/>
      <c r="I457" s="20"/>
      <c r="J457" s="20"/>
      <c r="K457" s="20"/>
      <c r="L457" s="21"/>
      <c r="M457" s="159"/>
    </row>
    <row r="458" spans="1:13" x14ac:dyDescent="0.2">
      <c r="M458" s="155"/>
    </row>
    <row r="459" spans="1:13" x14ac:dyDescent="0.2">
      <c r="M459" s="155"/>
    </row>
    <row r="460" spans="1:13" x14ac:dyDescent="0.2">
      <c r="M460" s="155"/>
    </row>
    <row r="461" spans="1:13" x14ac:dyDescent="0.2">
      <c r="M461" s="155"/>
    </row>
    <row r="462" spans="1:13" x14ac:dyDescent="0.2">
      <c r="M462" s="155"/>
    </row>
    <row r="463" spans="1:13" x14ac:dyDescent="0.2">
      <c r="M463" s="155"/>
    </row>
    <row r="464" spans="1:13" x14ac:dyDescent="0.2">
      <c r="M464" s="155"/>
    </row>
    <row r="465" spans="13:13" x14ac:dyDescent="0.2">
      <c r="M465" s="155"/>
    </row>
    <row r="466" spans="13:13" x14ac:dyDescent="0.2">
      <c r="M466" s="155"/>
    </row>
    <row r="467" spans="13:13" x14ac:dyDescent="0.2">
      <c r="M467" s="155"/>
    </row>
    <row r="468" spans="13:13" x14ac:dyDescent="0.2">
      <c r="M468" s="155"/>
    </row>
    <row r="469" spans="13:13" x14ac:dyDescent="0.2">
      <c r="M469" s="155"/>
    </row>
    <row r="470" spans="13:13" x14ac:dyDescent="0.2">
      <c r="M470" s="155"/>
    </row>
    <row r="471" spans="13:13" x14ac:dyDescent="0.2">
      <c r="M471" s="155"/>
    </row>
    <row r="472" spans="13:13" x14ac:dyDescent="0.2">
      <c r="M472" s="155"/>
    </row>
    <row r="473" spans="13:13" x14ac:dyDescent="0.2">
      <c r="M473" s="155"/>
    </row>
    <row r="474" spans="13:13" x14ac:dyDescent="0.2">
      <c r="M474" s="155"/>
    </row>
    <row r="475" spans="13:13" x14ac:dyDescent="0.2">
      <c r="M475" s="155"/>
    </row>
    <row r="476" spans="13:13" x14ac:dyDescent="0.2">
      <c r="M476" s="155"/>
    </row>
    <row r="477" spans="13:13" x14ac:dyDescent="0.2">
      <c r="M477" s="155"/>
    </row>
    <row r="478" spans="13:13" x14ac:dyDescent="0.2">
      <c r="M478" s="155"/>
    </row>
    <row r="479" spans="13:13" x14ac:dyDescent="0.2">
      <c r="M479" s="155"/>
    </row>
    <row r="480" spans="13:13" x14ac:dyDescent="0.2">
      <c r="M480" s="155"/>
    </row>
    <row r="481" spans="13:13" x14ac:dyDescent="0.2">
      <c r="M481" s="155"/>
    </row>
    <row r="482" spans="13:13" x14ac:dyDescent="0.2">
      <c r="M482" s="155"/>
    </row>
    <row r="483" spans="13:13" x14ac:dyDescent="0.2">
      <c r="M483" s="155"/>
    </row>
    <row r="484" spans="13:13" x14ac:dyDescent="0.2">
      <c r="M484" s="155"/>
    </row>
    <row r="485" spans="13:13" x14ac:dyDescent="0.2">
      <c r="M485" s="155"/>
    </row>
    <row r="486" spans="13:13" x14ac:dyDescent="0.2">
      <c r="M486" s="155"/>
    </row>
    <row r="487" spans="13:13" x14ac:dyDescent="0.2">
      <c r="M487" s="155"/>
    </row>
    <row r="488" spans="13:13" x14ac:dyDescent="0.2">
      <c r="M488" s="155"/>
    </row>
    <row r="489" spans="13:13" x14ac:dyDescent="0.2">
      <c r="M489" s="155"/>
    </row>
  </sheetData>
  <mergeCells count="39">
    <mergeCell ref="M104:M115"/>
    <mergeCell ref="M116:M125"/>
    <mergeCell ref="M39:M54"/>
    <mergeCell ref="M55:M66"/>
    <mergeCell ref="H1:L1"/>
    <mergeCell ref="H2:L2"/>
    <mergeCell ref="H4:L4"/>
    <mergeCell ref="H6:L6"/>
    <mergeCell ref="H7:L7"/>
    <mergeCell ref="M350:M363"/>
    <mergeCell ref="M364:M377"/>
    <mergeCell ref="M378:M391"/>
    <mergeCell ref="M207:M220"/>
    <mergeCell ref="M221:M237"/>
    <mergeCell ref="M67:M79"/>
    <mergeCell ref="M80:M93"/>
    <mergeCell ref="M94:M103"/>
    <mergeCell ref="A10:L10"/>
    <mergeCell ref="A11:L11"/>
    <mergeCell ref="A13:B13"/>
    <mergeCell ref="A14:B14"/>
    <mergeCell ref="M1:M22"/>
    <mergeCell ref="M23:M38"/>
    <mergeCell ref="M392:M405"/>
    <mergeCell ref="M406:M420"/>
    <mergeCell ref="M421:M437"/>
    <mergeCell ref="M438:M457"/>
    <mergeCell ref="M126:M142"/>
    <mergeCell ref="M143:M160"/>
    <mergeCell ref="M161:M176"/>
    <mergeCell ref="M177:M190"/>
    <mergeCell ref="M191:M206"/>
    <mergeCell ref="M238:M255"/>
    <mergeCell ref="M256:M274"/>
    <mergeCell ref="M275:M291"/>
    <mergeCell ref="M292:M304"/>
    <mergeCell ref="M305:M319"/>
    <mergeCell ref="M320:M335"/>
    <mergeCell ref="M336:M349"/>
  </mergeCells>
  <printOptions horizontalCentered="1"/>
  <pageMargins left="0.19685039370078741" right="0.19685039370078741" top="1.1811023622047245" bottom="0.51181102362204722" header="0.31496062992125984" footer="0.31496062992125984"/>
  <pageSetup paperSize="9" scale="66" fitToHeight="34" orientation="landscape" verticalDpi="0" r:id="rId1"/>
  <headerFooter differentFirst="1">
    <oddHeader>&amp;R&amp;"Times New Roman,обычный"Продовження додатку  5</oddHeader>
  </headerFooter>
  <rowBreaks count="3" manualBreakCount="3">
    <brk id="22" max="12" man="1"/>
    <brk id="38" max="12" man="1"/>
    <brk id="30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5 (в)</vt:lpstr>
      <vt:lpstr>'дод 5 (в)'!Заголовки_для_печати</vt:lpstr>
      <vt:lpstr>'дод 5 (в)'!Область_печати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Майковська Юлія Миколаївна</cp:lastModifiedBy>
  <cp:lastPrinted>2020-02-12T13:29:08Z</cp:lastPrinted>
  <dcterms:created xsi:type="dcterms:W3CDTF">2018-10-18T06:20:50Z</dcterms:created>
  <dcterms:modified xsi:type="dcterms:W3CDTF">2020-02-20T11:29:55Z</dcterms:modified>
</cp:coreProperties>
</file>