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квітень\МВК\Доопрацьовано\додатки до додатку\"/>
    </mc:Choice>
  </mc:AlternateContent>
  <bookViews>
    <workbookView xWindow="0" yWindow="0" windowWidth="28800" windowHeight="11835" tabRatio="495"/>
  </bookViews>
  <sheets>
    <sheet name="дод 3" sheetId="1" r:id="rId1"/>
    <sheet name="дод 8" sheetId="3" r:id="rId2"/>
  </sheets>
  <definedNames>
    <definedName name="_xlnm.Print_Titles" localSheetId="0">'дод 3'!$14:$16</definedName>
    <definedName name="_xlnm.Print_Titles" localSheetId="1">'дод 8'!$14:$16</definedName>
    <definedName name="_xlnm.Print_Area" localSheetId="0">'дод 3'!$A$1:$Q$299</definedName>
    <definedName name="_xlnm.Print_Area" localSheetId="1">'дод 8'!$A$1:$P$243</definedName>
  </definedNames>
  <calcPr calcId="162913"/>
</workbook>
</file>

<file path=xl/calcChain.xml><?xml version="1.0" encoding="utf-8"?>
<calcChain xmlns="http://schemas.openxmlformats.org/spreadsheetml/2006/main">
  <c r="F84" i="1" l="1"/>
  <c r="P287" i="1" l="1"/>
  <c r="O287" i="1"/>
  <c r="N287" i="1"/>
  <c r="M287" i="1"/>
  <c r="L287" i="1"/>
  <c r="K287" i="1"/>
  <c r="J287" i="1"/>
  <c r="I287" i="1"/>
  <c r="H287" i="1"/>
  <c r="G287" i="1"/>
  <c r="F287" i="1"/>
  <c r="E287" i="1"/>
  <c r="O286" i="1"/>
  <c r="N286" i="1"/>
  <c r="M286" i="1"/>
  <c r="L286" i="1"/>
  <c r="K286" i="1"/>
  <c r="J286" i="1"/>
  <c r="I286" i="1"/>
  <c r="H286" i="1"/>
  <c r="G286" i="1"/>
  <c r="F70" i="1"/>
  <c r="F286" i="1" s="1"/>
  <c r="O19" i="3"/>
  <c r="N19" i="3"/>
  <c r="M19" i="3"/>
  <c r="L19" i="3"/>
  <c r="K19" i="3"/>
  <c r="J19" i="3"/>
  <c r="I19" i="3"/>
  <c r="H19" i="3"/>
  <c r="G19" i="3"/>
  <c r="F19" i="3"/>
  <c r="E19" i="3"/>
  <c r="D19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K212" i="1" l="1"/>
  <c r="F263" i="1"/>
  <c r="F213" i="1"/>
  <c r="F82" i="1"/>
  <c r="F75" i="1"/>
  <c r="P18" i="1" l="1"/>
  <c r="O18" i="1"/>
  <c r="N18" i="1"/>
  <c r="M18" i="1"/>
  <c r="L18" i="1"/>
  <c r="K18" i="1"/>
  <c r="J18" i="1"/>
  <c r="I18" i="1"/>
  <c r="H18" i="1"/>
  <c r="G18" i="1"/>
  <c r="F18" i="1"/>
  <c r="E18" i="1"/>
  <c r="F212" i="1"/>
  <c r="O207" i="1"/>
  <c r="K207" i="1"/>
  <c r="O209" i="1"/>
  <c r="K209" i="1"/>
  <c r="O246" i="1"/>
  <c r="K246" i="1"/>
  <c r="O240" i="1"/>
  <c r="K240" i="1"/>
  <c r="O212" i="1"/>
  <c r="F209" i="1"/>
  <c r="F175" i="1"/>
  <c r="F127" i="1"/>
  <c r="O101" i="1"/>
  <c r="K101" i="1"/>
  <c r="O74" i="1"/>
  <c r="K74" i="1"/>
  <c r="F74" i="1"/>
  <c r="F41" i="1"/>
  <c r="F39" i="1"/>
  <c r="F38" i="1"/>
  <c r="F37" i="1"/>
  <c r="O118" i="1"/>
  <c r="K118" i="1"/>
  <c r="F152" i="1"/>
  <c r="F151" i="1"/>
  <c r="O50" i="3"/>
  <c r="O26" i="3" s="1"/>
  <c r="N50" i="3"/>
  <c r="N26" i="3" s="1"/>
  <c r="M50" i="3"/>
  <c r="M26" i="3" s="1"/>
  <c r="L50" i="3"/>
  <c r="L26" i="3" s="1"/>
  <c r="K50" i="3"/>
  <c r="K26" i="3" s="1"/>
  <c r="J50" i="3"/>
  <c r="J26" i="3" s="1"/>
  <c r="I50" i="3"/>
  <c r="I26" i="3" s="1"/>
  <c r="H50" i="3"/>
  <c r="H26" i="3" s="1"/>
  <c r="G50" i="3"/>
  <c r="G26" i="3" s="1"/>
  <c r="F50" i="3"/>
  <c r="F26" i="3" s="1"/>
  <c r="E50" i="3"/>
  <c r="E26" i="3" s="1"/>
  <c r="D50" i="3"/>
  <c r="D26" i="3" s="1"/>
  <c r="P65" i="1"/>
  <c r="O65" i="1"/>
  <c r="N65" i="1"/>
  <c r="M65" i="1"/>
  <c r="L65" i="1"/>
  <c r="K65" i="1"/>
  <c r="J65" i="1"/>
  <c r="I65" i="1"/>
  <c r="H65" i="1"/>
  <c r="G65" i="1"/>
  <c r="F65" i="1"/>
  <c r="E65" i="1"/>
  <c r="J83" i="1"/>
  <c r="P83" i="1"/>
  <c r="E83" i="1"/>
  <c r="O82" i="1"/>
  <c r="K82" i="1"/>
  <c r="E283" i="1"/>
  <c r="G56" i="1"/>
  <c r="F56" i="1"/>
  <c r="F194" i="1"/>
  <c r="F192" i="1"/>
  <c r="O191" i="1"/>
  <c r="K191" i="1"/>
  <c r="F159" i="1"/>
  <c r="O76" i="1"/>
  <c r="K76" i="1"/>
  <c r="F76" i="1"/>
  <c r="F33" i="1"/>
  <c r="N21" i="3"/>
  <c r="M21" i="3"/>
  <c r="L21" i="3"/>
  <c r="K21" i="3"/>
  <c r="J21" i="3"/>
  <c r="H21" i="3"/>
  <c r="G21" i="3"/>
  <c r="F21" i="3"/>
  <c r="E21" i="3"/>
  <c r="P205" i="1"/>
  <c r="O199" i="1"/>
  <c r="N199" i="1"/>
  <c r="M199" i="1"/>
  <c r="L199" i="1"/>
  <c r="K199" i="1"/>
  <c r="I199" i="1"/>
  <c r="H199" i="1"/>
  <c r="G199" i="1"/>
  <c r="F199" i="1"/>
  <c r="J205" i="1"/>
  <c r="E205" i="1"/>
  <c r="F118" i="1"/>
  <c r="O133" i="1"/>
  <c r="K133" i="1"/>
  <c r="F133" i="1"/>
  <c r="H33" i="1"/>
  <c r="H21" i="1"/>
  <c r="F21" i="1"/>
  <c r="F277" i="1"/>
  <c r="O248" i="1"/>
  <c r="K248" i="1"/>
  <c r="O245" i="1"/>
  <c r="K245" i="1"/>
  <c r="O244" i="1"/>
  <c r="K244" i="1"/>
  <c r="O243" i="1"/>
  <c r="K243" i="1"/>
  <c r="O247" i="1"/>
  <c r="K247" i="1"/>
  <c r="F208" i="1"/>
  <c r="H212" i="1"/>
  <c r="O214" i="1"/>
  <c r="K214" i="1"/>
  <c r="O183" i="1"/>
  <c r="K183" i="1"/>
  <c r="F183" i="1"/>
  <c r="O182" i="1"/>
  <c r="K182" i="1"/>
  <c r="F182" i="1"/>
  <c r="H159" i="1"/>
  <c r="F150" i="1"/>
  <c r="O134" i="1"/>
  <c r="K134" i="1"/>
  <c r="F87" i="1"/>
  <c r="F95" i="1"/>
  <c r="O95" i="1"/>
  <c r="K95" i="1"/>
  <c r="O94" i="1"/>
  <c r="K94" i="1"/>
  <c r="F94" i="1"/>
  <c r="O88" i="1"/>
  <c r="K88" i="1"/>
  <c r="F88" i="1"/>
  <c r="G75" i="1"/>
  <c r="O75" i="1"/>
  <c r="K75" i="1"/>
  <c r="F48" i="1"/>
  <c r="H40" i="1"/>
  <c r="O21" i="1"/>
  <c r="K21" i="1"/>
  <c r="O135" i="1"/>
  <c r="K135" i="1"/>
  <c r="O241" i="1"/>
  <c r="L260" i="1" l="1"/>
  <c r="O228" i="1"/>
  <c r="L228" i="1"/>
  <c r="O180" i="3"/>
  <c r="N180" i="3"/>
  <c r="M180" i="3"/>
  <c r="L180" i="3"/>
  <c r="K180" i="3"/>
  <c r="J180" i="3"/>
  <c r="I180" i="3"/>
  <c r="H180" i="3"/>
  <c r="G180" i="3"/>
  <c r="F180" i="3"/>
  <c r="E180" i="3"/>
  <c r="D180" i="3"/>
  <c r="O181" i="3"/>
  <c r="O172" i="3" s="1"/>
  <c r="N181" i="3"/>
  <c r="N172" i="3" s="1"/>
  <c r="M181" i="3"/>
  <c r="M172" i="3" s="1"/>
  <c r="L181" i="3"/>
  <c r="L172" i="3" s="1"/>
  <c r="K181" i="3"/>
  <c r="K172" i="3" s="1"/>
  <c r="J181" i="3"/>
  <c r="J172" i="3" s="1"/>
  <c r="I181" i="3"/>
  <c r="I172" i="3" s="1"/>
  <c r="H181" i="3"/>
  <c r="H172" i="3" s="1"/>
  <c r="G181" i="3"/>
  <c r="G172" i="3" s="1"/>
  <c r="F181" i="3"/>
  <c r="F172" i="3" s="1"/>
  <c r="E181" i="3"/>
  <c r="E172" i="3" s="1"/>
  <c r="D181" i="3"/>
  <c r="D172" i="3" s="1"/>
  <c r="N220" i="3"/>
  <c r="N218" i="3" s="1"/>
  <c r="M220" i="3"/>
  <c r="M218" i="3" s="1"/>
  <c r="L220" i="3"/>
  <c r="L218" i="3" s="1"/>
  <c r="K220" i="3"/>
  <c r="K218" i="3" s="1"/>
  <c r="J220" i="3"/>
  <c r="J218" i="3" s="1"/>
  <c r="H220" i="3"/>
  <c r="H218" i="3" s="1"/>
  <c r="G220" i="3"/>
  <c r="G218" i="3" s="1"/>
  <c r="F220" i="3"/>
  <c r="F218" i="3" s="1"/>
  <c r="E220" i="3"/>
  <c r="E218" i="3" s="1"/>
  <c r="N221" i="3"/>
  <c r="N219" i="3" s="1"/>
  <c r="N215" i="3" s="1"/>
  <c r="M221" i="3"/>
  <c r="M219" i="3" s="1"/>
  <c r="M215" i="3" s="1"/>
  <c r="L221" i="3"/>
  <c r="L219" i="3" s="1"/>
  <c r="L215" i="3" s="1"/>
  <c r="K221" i="3"/>
  <c r="K219" i="3" s="1"/>
  <c r="K215" i="3" s="1"/>
  <c r="J221" i="3"/>
  <c r="J219" i="3" s="1"/>
  <c r="J215" i="3" s="1"/>
  <c r="H221" i="3"/>
  <c r="H219" i="3" s="1"/>
  <c r="H215" i="3" s="1"/>
  <c r="G221" i="3"/>
  <c r="G219" i="3" s="1"/>
  <c r="G215" i="3" s="1"/>
  <c r="F221" i="3"/>
  <c r="F219" i="3" s="1"/>
  <c r="F215" i="3" s="1"/>
  <c r="E221" i="3"/>
  <c r="E219" i="3" s="1"/>
  <c r="E215" i="3" s="1"/>
  <c r="D221" i="3"/>
  <c r="D219" i="3" s="1"/>
  <c r="D215" i="3" s="1"/>
  <c r="N52" i="3"/>
  <c r="M52" i="3"/>
  <c r="L52" i="3"/>
  <c r="K52" i="3"/>
  <c r="J52" i="3"/>
  <c r="I52" i="3"/>
  <c r="H52" i="3"/>
  <c r="G52" i="3"/>
  <c r="F52" i="3"/>
  <c r="E52" i="3"/>
  <c r="N53" i="3"/>
  <c r="M53" i="3"/>
  <c r="L53" i="3"/>
  <c r="K53" i="3"/>
  <c r="J53" i="3"/>
  <c r="I53" i="3"/>
  <c r="H53" i="3"/>
  <c r="G53" i="3"/>
  <c r="F53" i="3"/>
  <c r="E53" i="3"/>
  <c r="D53" i="3"/>
  <c r="O70" i="1"/>
  <c r="N70" i="1"/>
  <c r="M70" i="1"/>
  <c r="L70" i="1"/>
  <c r="K70" i="1"/>
  <c r="I70" i="1"/>
  <c r="H70" i="1"/>
  <c r="G70" i="1"/>
  <c r="O62" i="1"/>
  <c r="N62" i="1"/>
  <c r="M62" i="1"/>
  <c r="L62" i="1"/>
  <c r="K62" i="1"/>
  <c r="I62" i="1"/>
  <c r="H62" i="1"/>
  <c r="G62" i="1"/>
  <c r="F62" i="1"/>
  <c r="P107" i="1"/>
  <c r="O221" i="3" s="1"/>
  <c r="O219" i="3" s="1"/>
  <c r="O215" i="3" s="1"/>
  <c r="J107" i="1"/>
  <c r="I221" i="3" s="1"/>
  <c r="I219" i="3" s="1"/>
  <c r="I215" i="3" s="1"/>
  <c r="J106" i="1"/>
  <c r="I220" i="3" s="1"/>
  <c r="I218" i="3" s="1"/>
  <c r="E107" i="1"/>
  <c r="E106" i="1"/>
  <c r="P106" i="1" s="1"/>
  <c r="O220" i="3" s="1"/>
  <c r="O218" i="3" s="1"/>
  <c r="J86" i="1"/>
  <c r="J85" i="1"/>
  <c r="E86" i="1"/>
  <c r="P86" i="1" s="1"/>
  <c r="O53" i="3" s="1"/>
  <c r="E85" i="1"/>
  <c r="P85" i="1" s="1"/>
  <c r="O52" i="3" s="1"/>
  <c r="O84" i="1"/>
  <c r="K84" i="1"/>
  <c r="D52" i="3" l="1"/>
  <c r="D220" i="3"/>
  <c r="D218" i="3" s="1"/>
  <c r="J70" i="1"/>
  <c r="F63" i="1"/>
  <c r="F279" i="1" l="1"/>
  <c r="F40" i="1" l="1"/>
  <c r="O139" i="1" l="1"/>
  <c r="K139" i="1"/>
  <c r="N224" i="3" l="1"/>
  <c r="M224" i="3"/>
  <c r="L224" i="3"/>
  <c r="K224" i="3"/>
  <c r="J224" i="3"/>
  <c r="H224" i="3"/>
  <c r="G224" i="3"/>
  <c r="F224" i="3"/>
  <c r="J148" i="1" l="1"/>
  <c r="F191" i="1" l="1"/>
  <c r="F190" i="1"/>
  <c r="F174" i="1"/>
  <c r="O143" i="1"/>
  <c r="N143" i="1"/>
  <c r="M143" i="1"/>
  <c r="L143" i="1"/>
  <c r="K143" i="1"/>
  <c r="I143" i="1"/>
  <c r="H143" i="1"/>
  <c r="G143" i="1"/>
  <c r="E148" i="1"/>
  <c r="P148" i="1" s="1"/>
  <c r="F147" i="1"/>
  <c r="F143" i="1" s="1"/>
  <c r="O138" i="1"/>
  <c r="K138" i="1"/>
  <c r="F117" i="1"/>
  <c r="F105" i="1"/>
  <c r="E224" i="3" s="1"/>
  <c r="O40" i="1"/>
  <c r="K40" i="1"/>
  <c r="O39" i="1"/>
  <c r="K39" i="1"/>
  <c r="F36" i="1"/>
  <c r="F34" i="1"/>
  <c r="K110" i="1" l="1"/>
  <c r="N51" i="3"/>
  <c r="N32" i="3" s="1"/>
  <c r="M51" i="3"/>
  <c r="M32" i="3" s="1"/>
  <c r="L51" i="3"/>
  <c r="L32" i="3" s="1"/>
  <c r="K51" i="3"/>
  <c r="K32" i="3" s="1"/>
  <c r="J51" i="3"/>
  <c r="J32" i="3" s="1"/>
  <c r="H51" i="3"/>
  <c r="H32" i="3" s="1"/>
  <c r="G51" i="3"/>
  <c r="G32" i="3" s="1"/>
  <c r="F51" i="3"/>
  <c r="F32" i="3" s="1"/>
  <c r="E51" i="3"/>
  <c r="E32" i="3" s="1"/>
  <c r="J84" i="1"/>
  <c r="E84" i="1"/>
  <c r="E70" i="1" s="1"/>
  <c r="E286" i="1" s="1"/>
  <c r="P84" i="1" l="1"/>
  <c r="P70" i="1" s="1"/>
  <c r="P286" i="1" s="1"/>
  <c r="D51" i="3"/>
  <c r="D32" i="3" s="1"/>
  <c r="I51" i="3"/>
  <c r="I32" i="3" s="1"/>
  <c r="O216" i="1"/>
  <c r="K216" i="1"/>
  <c r="O51" i="3" l="1"/>
  <c r="O32" i="3" s="1"/>
  <c r="F176" i="1"/>
  <c r="G55" i="1" l="1"/>
  <c r="O215" i="1" l="1"/>
  <c r="K215" i="1"/>
  <c r="H190" i="1"/>
  <c r="I208" i="1"/>
  <c r="F282" i="1"/>
  <c r="F271" i="1"/>
  <c r="O102" i="1"/>
  <c r="K102" i="1"/>
  <c r="F267" i="1"/>
  <c r="H192" i="1"/>
  <c r="N157" i="3" l="1"/>
  <c r="M157" i="3"/>
  <c r="L157" i="3"/>
  <c r="K157" i="3"/>
  <c r="J157" i="3"/>
  <c r="H157" i="3"/>
  <c r="G157" i="3"/>
  <c r="F157" i="3"/>
  <c r="E157" i="3"/>
  <c r="K237" i="1"/>
  <c r="F237" i="1"/>
  <c r="K115" i="1" l="1"/>
  <c r="N49" i="3" l="1"/>
  <c r="M49" i="3"/>
  <c r="L49" i="3"/>
  <c r="K49" i="3"/>
  <c r="J49" i="3"/>
  <c r="H49" i="3"/>
  <c r="G49" i="3"/>
  <c r="F49" i="3"/>
  <c r="E49" i="3"/>
  <c r="J82" i="1"/>
  <c r="I49" i="3" s="1"/>
  <c r="E82" i="1"/>
  <c r="N223" i="3"/>
  <c r="M223" i="3"/>
  <c r="L223" i="3"/>
  <c r="K223" i="3"/>
  <c r="J223" i="3"/>
  <c r="H223" i="3"/>
  <c r="G223" i="3"/>
  <c r="F223" i="3"/>
  <c r="E223" i="3"/>
  <c r="O237" i="1"/>
  <c r="N237" i="1"/>
  <c r="M237" i="1"/>
  <c r="L237" i="1"/>
  <c r="I237" i="1"/>
  <c r="H237" i="1"/>
  <c r="G237" i="1"/>
  <c r="J254" i="1"/>
  <c r="I223" i="3" s="1"/>
  <c r="E254" i="1"/>
  <c r="D223" i="3" s="1"/>
  <c r="D49" i="3" l="1"/>
  <c r="E62" i="1"/>
  <c r="P254" i="1"/>
  <c r="O223" i="3" s="1"/>
  <c r="P82" i="1"/>
  <c r="O49" i="3" s="1"/>
  <c r="J108" i="1"/>
  <c r="E108" i="1" l="1"/>
  <c r="N65" i="3"/>
  <c r="N31" i="3" s="1"/>
  <c r="M65" i="3"/>
  <c r="M31" i="3" s="1"/>
  <c r="L65" i="3"/>
  <c r="L31" i="3" s="1"/>
  <c r="K65" i="3"/>
  <c r="K31" i="3" s="1"/>
  <c r="J65" i="3"/>
  <c r="J31" i="3" s="1"/>
  <c r="H65" i="3"/>
  <c r="H31" i="3" s="1"/>
  <c r="G65" i="3"/>
  <c r="G31" i="3" s="1"/>
  <c r="F65" i="3"/>
  <c r="F31" i="3" s="1"/>
  <c r="E65" i="3"/>
  <c r="E31" i="3" s="1"/>
  <c r="N64" i="3"/>
  <c r="M64" i="3"/>
  <c r="L64" i="3"/>
  <c r="K64" i="3"/>
  <c r="J64" i="3"/>
  <c r="H64" i="3"/>
  <c r="G64" i="3"/>
  <c r="F64" i="3"/>
  <c r="E64" i="3"/>
  <c r="O69" i="1"/>
  <c r="N69" i="1"/>
  <c r="M69" i="1"/>
  <c r="L69" i="1"/>
  <c r="K69" i="1"/>
  <c r="I69" i="1"/>
  <c r="H69" i="1"/>
  <c r="G69" i="1"/>
  <c r="F69" i="1"/>
  <c r="J97" i="1"/>
  <c r="I65" i="3" s="1"/>
  <c r="I31" i="3" s="1"/>
  <c r="J96" i="1"/>
  <c r="I64" i="3" s="1"/>
  <c r="E97" i="1"/>
  <c r="P97" i="1" s="1"/>
  <c r="O65" i="3" s="1"/>
  <c r="O31" i="3" s="1"/>
  <c r="E96" i="1"/>
  <c r="P96" i="1" s="1"/>
  <c r="O64" i="3" s="1"/>
  <c r="D65" i="3" l="1"/>
  <c r="D31" i="3" s="1"/>
  <c r="E69" i="1"/>
  <c r="P108" i="1"/>
  <c r="D64" i="3"/>
  <c r="J69" i="1"/>
  <c r="P69" i="1"/>
  <c r="N209" i="3" l="1"/>
  <c r="M209" i="3"/>
  <c r="L209" i="3"/>
  <c r="K209" i="3"/>
  <c r="J209" i="3"/>
  <c r="H209" i="3"/>
  <c r="G209" i="3"/>
  <c r="F209" i="3"/>
  <c r="E209" i="3"/>
  <c r="M187" i="3"/>
  <c r="L187" i="3"/>
  <c r="K187" i="3"/>
  <c r="H187" i="3"/>
  <c r="G187" i="3"/>
  <c r="F187" i="3"/>
  <c r="N55" i="3"/>
  <c r="M55" i="3"/>
  <c r="L55" i="3"/>
  <c r="K55" i="3"/>
  <c r="J55" i="3"/>
  <c r="H55" i="3"/>
  <c r="G55" i="3"/>
  <c r="F55" i="3"/>
  <c r="E55" i="3"/>
  <c r="E190" i="1"/>
  <c r="D55" i="3" s="1"/>
  <c r="J190" i="1"/>
  <c r="I55" i="3" s="1"/>
  <c r="P190" i="1" l="1"/>
  <c r="O55" i="3" s="1"/>
  <c r="N222" i="3" l="1"/>
  <c r="M222" i="3"/>
  <c r="L222" i="3"/>
  <c r="K222" i="3"/>
  <c r="J222" i="3"/>
  <c r="H222" i="3"/>
  <c r="G222" i="3"/>
  <c r="F222" i="3"/>
  <c r="N197" i="3"/>
  <c r="M197" i="3"/>
  <c r="L197" i="3"/>
  <c r="K197" i="3"/>
  <c r="J197" i="3"/>
  <c r="H197" i="3"/>
  <c r="G197" i="3"/>
  <c r="F197" i="3"/>
  <c r="E197" i="3"/>
  <c r="E103" i="1"/>
  <c r="D197" i="3" s="1"/>
  <c r="J103" i="1"/>
  <c r="I197" i="3" s="1"/>
  <c r="N132" i="3"/>
  <c r="M132" i="3"/>
  <c r="L132" i="3"/>
  <c r="K132" i="3"/>
  <c r="J132" i="3"/>
  <c r="H132" i="3"/>
  <c r="G132" i="3"/>
  <c r="F132" i="3"/>
  <c r="E132" i="3"/>
  <c r="N122" i="3"/>
  <c r="M122" i="3"/>
  <c r="L122" i="3"/>
  <c r="K122" i="3"/>
  <c r="J122" i="3"/>
  <c r="H122" i="3"/>
  <c r="G122" i="3"/>
  <c r="F122" i="3"/>
  <c r="N106" i="3"/>
  <c r="M106" i="3"/>
  <c r="L106" i="3"/>
  <c r="K106" i="3"/>
  <c r="J106" i="3"/>
  <c r="H106" i="3"/>
  <c r="G106" i="3"/>
  <c r="F106" i="3"/>
  <c r="E106" i="3"/>
  <c r="N63" i="3"/>
  <c r="N29" i="3" s="1"/>
  <c r="M63" i="3"/>
  <c r="M29" i="3" s="1"/>
  <c r="L63" i="3"/>
  <c r="L29" i="3" s="1"/>
  <c r="K63" i="3"/>
  <c r="K29" i="3" s="1"/>
  <c r="J63" i="3"/>
  <c r="J29" i="3" s="1"/>
  <c r="H63" i="3"/>
  <c r="H29" i="3" s="1"/>
  <c r="G63" i="3"/>
  <c r="G29" i="3" s="1"/>
  <c r="F63" i="3"/>
  <c r="F29" i="3" s="1"/>
  <c r="E63" i="3"/>
  <c r="E29" i="3" s="1"/>
  <c r="N62" i="3"/>
  <c r="M62" i="3"/>
  <c r="L62" i="3"/>
  <c r="K62" i="3"/>
  <c r="J62" i="3"/>
  <c r="H62" i="3"/>
  <c r="G62" i="3"/>
  <c r="F62" i="3"/>
  <c r="E62" i="3"/>
  <c r="N61" i="3"/>
  <c r="M61" i="3"/>
  <c r="L61" i="3"/>
  <c r="K61" i="3"/>
  <c r="J61" i="3"/>
  <c r="H61" i="3"/>
  <c r="G61" i="3"/>
  <c r="F61" i="3"/>
  <c r="E61" i="3"/>
  <c r="B61" i="3"/>
  <c r="N60" i="3"/>
  <c r="M60" i="3"/>
  <c r="L60" i="3"/>
  <c r="K60" i="3"/>
  <c r="J60" i="3"/>
  <c r="H60" i="3"/>
  <c r="G60" i="3"/>
  <c r="F60" i="3"/>
  <c r="E60" i="3"/>
  <c r="N59" i="3"/>
  <c r="M59" i="3"/>
  <c r="L59" i="3"/>
  <c r="K59" i="3"/>
  <c r="J59" i="3"/>
  <c r="H59" i="3"/>
  <c r="G59" i="3"/>
  <c r="F59" i="3"/>
  <c r="E59" i="3"/>
  <c r="N58" i="3"/>
  <c r="M58" i="3"/>
  <c r="L58" i="3"/>
  <c r="K58" i="3"/>
  <c r="J58" i="3"/>
  <c r="H58" i="3"/>
  <c r="G58" i="3"/>
  <c r="F58" i="3"/>
  <c r="E58" i="3"/>
  <c r="N57" i="3"/>
  <c r="M57" i="3"/>
  <c r="L57" i="3"/>
  <c r="K57" i="3"/>
  <c r="J57" i="3"/>
  <c r="H57" i="3"/>
  <c r="G57" i="3"/>
  <c r="F57" i="3"/>
  <c r="E57" i="3"/>
  <c r="N56" i="3"/>
  <c r="M56" i="3"/>
  <c r="L56" i="3"/>
  <c r="K56" i="3"/>
  <c r="J56" i="3"/>
  <c r="H56" i="3"/>
  <c r="G56" i="3"/>
  <c r="F56" i="3"/>
  <c r="E56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N47" i="3"/>
  <c r="M47" i="3"/>
  <c r="L47" i="3"/>
  <c r="K47" i="3"/>
  <c r="J47" i="3"/>
  <c r="H47" i="3"/>
  <c r="G47" i="3"/>
  <c r="F47" i="3"/>
  <c r="E47" i="3"/>
  <c r="N46" i="3"/>
  <c r="N27" i="3" s="1"/>
  <c r="M46" i="3"/>
  <c r="M27" i="3" s="1"/>
  <c r="L46" i="3"/>
  <c r="L27" i="3" s="1"/>
  <c r="K46" i="3"/>
  <c r="K27" i="3" s="1"/>
  <c r="J46" i="3"/>
  <c r="J27" i="3" s="1"/>
  <c r="H46" i="3"/>
  <c r="H27" i="3" s="1"/>
  <c r="G46" i="3"/>
  <c r="G27" i="3" s="1"/>
  <c r="F46" i="3"/>
  <c r="F27" i="3" s="1"/>
  <c r="E46" i="3"/>
  <c r="E27" i="3" s="1"/>
  <c r="N45" i="3"/>
  <c r="M45" i="3"/>
  <c r="L45" i="3"/>
  <c r="K45" i="3"/>
  <c r="J45" i="3"/>
  <c r="H45" i="3"/>
  <c r="G45" i="3"/>
  <c r="F45" i="3"/>
  <c r="E45" i="3"/>
  <c r="N44" i="3"/>
  <c r="M44" i="3"/>
  <c r="L44" i="3"/>
  <c r="K44" i="3"/>
  <c r="J44" i="3"/>
  <c r="H44" i="3"/>
  <c r="G44" i="3"/>
  <c r="F44" i="3"/>
  <c r="E44" i="3"/>
  <c r="N42" i="3"/>
  <c r="M42" i="3"/>
  <c r="L42" i="3"/>
  <c r="K42" i="3"/>
  <c r="J42" i="3"/>
  <c r="H42" i="3"/>
  <c r="G42" i="3"/>
  <c r="F42" i="3"/>
  <c r="E42" i="3"/>
  <c r="N35" i="3"/>
  <c r="M35" i="3"/>
  <c r="L35" i="3"/>
  <c r="K35" i="3"/>
  <c r="J35" i="3"/>
  <c r="H35" i="3"/>
  <c r="G35" i="3"/>
  <c r="F35" i="3"/>
  <c r="E35" i="3"/>
  <c r="N33" i="3"/>
  <c r="M33" i="3"/>
  <c r="M24" i="3" s="1"/>
  <c r="L33" i="3"/>
  <c r="K33" i="3"/>
  <c r="K24" i="3" s="1"/>
  <c r="J33" i="3"/>
  <c r="H33" i="3"/>
  <c r="H24" i="3" s="1"/>
  <c r="G33" i="3"/>
  <c r="F33" i="3"/>
  <c r="F24" i="3" s="1"/>
  <c r="E33" i="3"/>
  <c r="E24" i="3" l="1"/>
  <c r="G24" i="3"/>
  <c r="J24" i="3"/>
  <c r="L24" i="3"/>
  <c r="N24" i="3"/>
  <c r="N187" i="3"/>
  <c r="E25" i="3"/>
  <c r="G25" i="3"/>
  <c r="F25" i="3"/>
  <c r="H25" i="3"/>
  <c r="P103" i="1"/>
  <c r="O197" i="3" s="1"/>
  <c r="J25" i="3"/>
  <c r="N25" i="3"/>
  <c r="K25" i="3"/>
  <c r="M25" i="3"/>
  <c r="L25" i="3"/>
  <c r="J105" i="1"/>
  <c r="J104" i="1"/>
  <c r="J102" i="1"/>
  <c r="J101" i="1"/>
  <c r="J100" i="1"/>
  <c r="J99" i="1"/>
  <c r="J98" i="1"/>
  <c r="E105" i="1"/>
  <c r="E104" i="1"/>
  <c r="E102" i="1"/>
  <c r="E101" i="1"/>
  <c r="E100" i="1"/>
  <c r="E99" i="1"/>
  <c r="E98" i="1"/>
  <c r="L227" i="3" l="1"/>
  <c r="M290" i="1" s="1"/>
  <c r="K227" i="3"/>
  <c r="L290" i="1" s="1"/>
  <c r="J227" i="3"/>
  <c r="K290" i="1" s="1"/>
  <c r="H227" i="3"/>
  <c r="I290" i="1" s="1"/>
  <c r="G227" i="3"/>
  <c r="H290" i="1" s="1"/>
  <c r="M227" i="3"/>
  <c r="N290" i="1" s="1"/>
  <c r="N227" i="3"/>
  <c r="O290" i="1" s="1"/>
  <c r="F227" i="3"/>
  <c r="G290" i="1" s="1"/>
  <c r="E227" i="3"/>
  <c r="F290" i="1" s="1"/>
  <c r="P98" i="1"/>
  <c r="P100" i="1"/>
  <c r="P102" i="1"/>
  <c r="P105" i="1"/>
  <c r="P101" i="1"/>
  <c r="P104" i="1"/>
  <c r="P99" i="1"/>
  <c r="O68" i="1"/>
  <c r="N68" i="1"/>
  <c r="M68" i="1"/>
  <c r="L68" i="1"/>
  <c r="K68" i="1"/>
  <c r="I68" i="1"/>
  <c r="H68" i="1"/>
  <c r="G68" i="1"/>
  <c r="F68" i="1"/>
  <c r="O66" i="1"/>
  <c r="N66" i="1"/>
  <c r="M66" i="1"/>
  <c r="L66" i="1"/>
  <c r="K66" i="1"/>
  <c r="I66" i="1"/>
  <c r="H66" i="1"/>
  <c r="G66" i="1"/>
  <c r="F66" i="1"/>
  <c r="O63" i="1"/>
  <c r="N63" i="1"/>
  <c r="M63" i="1"/>
  <c r="L63" i="1"/>
  <c r="K63" i="1"/>
  <c r="I63" i="1"/>
  <c r="H63" i="1"/>
  <c r="G63" i="1"/>
  <c r="J92" i="1"/>
  <c r="I60" i="3" s="1"/>
  <c r="E92" i="1"/>
  <c r="D60" i="3" s="1"/>
  <c r="J81" i="1"/>
  <c r="I48" i="3" s="1"/>
  <c r="E81" i="1"/>
  <c r="D48" i="3" s="1"/>
  <c r="P92" i="1" l="1"/>
  <c r="O60" i="3" s="1"/>
  <c r="P81" i="1"/>
  <c r="O48" i="3" s="1"/>
  <c r="E222" i="3" l="1"/>
  <c r="J187" i="3"/>
  <c r="O140" i="1"/>
  <c r="E122" i="3" l="1"/>
  <c r="D192" i="1" l="1"/>
  <c r="E187" i="3" l="1"/>
  <c r="D55" i="1" l="1"/>
  <c r="N194" i="3" l="1"/>
  <c r="M194" i="3"/>
  <c r="L194" i="3"/>
  <c r="K194" i="3"/>
  <c r="J194" i="3"/>
  <c r="H194" i="3"/>
  <c r="G194" i="3"/>
  <c r="F194" i="3"/>
  <c r="E194" i="3"/>
  <c r="N161" i="3"/>
  <c r="N164" i="3"/>
  <c r="M164" i="3"/>
  <c r="L164" i="3"/>
  <c r="K164" i="3"/>
  <c r="J164" i="3"/>
  <c r="H164" i="3"/>
  <c r="G164" i="3"/>
  <c r="F164" i="3"/>
  <c r="E164" i="3"/>
  <c r="N160" i="3"/>
  <c r="M160" i="3"/>
  <c r="L160" i="3"/>
  <c r="K160" i="3"/>
  <c r="J160" i="3"/>
  <c r="H160" i="3"/>
  <c r="G160" i="3"/>
  <c r="F160" i="3"/>
  <c r="E160" i="3"/>
  <c r="O188" i="1"/>
  <c r="N188" i="1"/>
  <c r="M188" i="1"/>
  <c r="L188" i="1"/>
  <c r="K188" i="1"/>
  <c r="I188" i="1"/>
  <c r="H188" i="1"/>
  <c r="G188" i="1"/>
  <c r="F188" i="1"/>
  <c r="N192" i="3"/>
  <c r="M192" i="3"/>
  <c r="L192" i="3"/>
  <c r="K192" i="3"/>
  <c r="J192" i="3"/>
  <c r="H192" i="3"/>
  <c r="G192" i="3"/>
  <c r="F192" i="3"/>
  <c r="E192" i="3"/>
  <c r="O203" i="1"/>
  <c r="N203" i="1"/>
  <c r="M203" i="1"/>
  <c r="L203" i="1"/>
  <c r="K203" i="1"/>
  <c r="I203" i="1"/>
  <c r="H203" i="1"/>
  <c r="G203" i="1"/>
  <c r="F203" i="1"/>
  <c r="O256" i="1"/>
  <c r="N256" i="1"/>
  <c r="M256" i="1"/>
  <c r="L256" i="1"/>
  <c r="K256" i="1"/>
  <c r="I256" i="1"/>
  <c r="H256" i="1"/>
  <c r="G256" i="1"/>
  <c r="F256" i="1"/>
  <c r="J259" i="1"/>
  <c r="I164" i="3" s="1"/>
  <c r="E259" i="1"/>
  <c r="D164" i="3" s="1"/>
  <c r="E227" i="1"/>
  <c r="D192" i="3" s="1"/>
  <c r="J227" i="1"/>
  <c r="I192" i="3" s="1"/>
  <c r="E195" i="1"/>
  <c r="J195" i="1"/>
  <c r="I160" i="3" s="1"/>
  <c r="P195" i="1" l="1"/>
  <c r="O160" i="3" s="1"/>
  <c r="P227" i="1"/>
  <c r="E203" i="1"/>
  <c r="P259" i="1"/>
  <c r="O164" i="3" s="1"/>
  <c r="J203" i="1"/>
  <c r="D160" i="3"/>
  <c r="E20" i="3"/>
  <c r="F20" i="3"/>
  <c r="G20" i="3"/>
  <c r="H20" i="3"/>
  <c r="J20" i="3"/>
  <c r="K20" i="3"/>
  <c r="L20" i="3"/>
  <c r="M20" i="3"/>
  <c r="N20" i="3"/>
  <c r="O192" i="3" l="1"/>
  <c r="P203" i="1"/>
  <c r="N179" i="3"/>
  <c r="M179" i="3"/>
  <c r="L179" i="3"/>
  <c r="K179" i="3"/>
  <c r="J179" i="3"/>
  <c r="H179" i="3"/>
  <c r="G179" i="3"/>
  <c r="F179" i="3"/>
  <c r="E179" i="3"/>
  <c r="J47" i="1" l="1"/>
  <c r="I179" i="3" s="1"/>
  <c r="E47" i="1"/>
  <c r="J22" i="1"/>
  <c r="I20" i="3" s="1"/>
  <c r="E22" i="1"/>
  <c r="D179" i="3" l="1"/>
  <c r="P47" i="1"/>
  <c r="O179" i="3" s="1"/>
  <c r="P22" i="1"/>
  <c r="O20" i="3" s="1"/>
  <c r="D20" i="3"/>
  <c r="F181" i="1" l="1"/>
  <c r="G181" i="1"/>
  <c r="H181" i="1"/>
  <c r="I181" i="1"/>
  <c r="K181" i="1"/>
  <c r="L181" i="1"/>
  <c r="M181" i="1"/>
  <c r="N181" i="1"/>
  <c r="O181" i="1"/>
  <c r="E75" i="3" l="1"/>
  <c r="F75" i="3"/>
  <c r="G75" i="3"/>
  <c r="H75" i="3"/>
  <c r="J75" i="3"/>
  <c r="K75" i="3"/>
  <c r="L75" i="3"/>
  <c r="M75" i="3"/>
  <c r="N75" i="3"/>
  <c r="F110" i="1" l="1"/>
  <c r="G110" i="1"/>
  <c r="H110" i="1"/>
  <c r="I110" i="1"/>
  <c r="L110" i="1"/>
  <c r="M110" i="1"/>
  <c r="N110" i="1"/>
  <c r="O110" i="1"/>
  <c r="E122" i="1"/>
  <c r="J122" i="1"/>
  <c r="I75" i="3" s="1"/>
  <c r="D122" i="1"/>
  <c r="P122" i="1" l="1"/>
  <c r="O75" i="3" s="1"/>
  <c r="D75" i="3"/>
  <c r="E178" i="3"/>
  <c r="F178" i="3"/>
  <c r="G178" i="3"/>
  <c r="H178" i="3"/>
  <c r="J178" i="3"/>
  <c r="K178" i="3"/>
  <c r="L178" i="3"/>
  <c r="M178" i="3"/>
  <c r="N178" i="3"/>
  <c r="E223" i="1"/>
  <c r="D178" i="3" s="1"/>
  <c r="J223" i="1"/>
  <c r="J202" i="1" s="1"/>
  <c r="F202" i="1"/>
  <c r="G202" i="1"/>
  <c r="H202" i="1"/>
  <c r="I202" i="1"/>
  <c r="K202" i="1"/>
  <c r="L202" i="1"/>
  <c r="M202" i="1"/>
  <c r="N202" i="1"/>
  <c r="O202" i="1"/>
  <c r="E202" i="1" l="1"/>
  <c r="P223" i="1"/>
  <c r="I178" i="3"/>
  <c r="E186" i="1"/>
  <c r="E181" i="1" s="1"/>
  <c r="J186" i="1"/>
  <c r="L144" i="1"/>
  <c r="E117" i="3"/>
  <c r="F117" i="3"/>
  <c r="G117" i="3"/>
  <c r="H117" i="3"/>
  <c r="J117" i="3"/>
  <c r="K117" i="3"/>
  <c r="L117" i="3"/>
  <c r="M117" i="3"/>
  <c r="N117" i="3"/>
  <c r="E118" i="3"/>
  <c r="E88" i="3" s="1"/>
  <c r="F118" i="3"/>
  <c r="F88" i="3" s="1"/>
  <c r="G118" i="3"/>
  <c r="G88" i="3" s="1"/>
  <c r="H118" i="3"/>
  <c r="H88" i="3" s="1"/>
  <c r="J118" i="3"/>
  <c r="J88" i="3" s="1"/>
  <c r="K118" i="3"/>
  <c r="K88" i="3" s="1"/>
  <c r="L118" i="3"/>
  <c r="L88" i="3" s="1"/>
  <c r="M118" i="3"/>
  <c r="M88" i="3" s="1"/>
  <c r="N118" i="3"/>
  <c r="N88" i="3" s="1"/>
  <c r="E119" i="3"/>
  <c r="F119" i="3"/>
  <c r="G119" i="3"/>
  <c r="H119" i="3"/>
  <c r="J119" i="3"/>
  <c r="K119" i="3"/>
  <c r="L119" i="3"/>
  <c r="M119" i="3"/>
  <c r="N119" i="3"/>
  <c r="E120" i="3"/>
  <c r="E89" i="3" s="1"/>
  <c r="F120" i="3"/>
  <c r="F89" i="3" s="1"/>
  <c r="G120" i="3"/>
  <c r="G89" i="3" s="1"/>
  <c r="H120" i="3"/>
  <c r="H89" i="3" s="1"/>
  <c r="J120" i="3"/>
  <c r="J89" i="3" s="1"/>
  <c r="K120" i="3"/>
  <c r="K89" i="3" s="1"/>
  <c r="L120" i="3"/>
  <c r="L89" i="3" s="1"/>
  <c r="M120" i="3"/>
  <c r="M89" i="3" s="1"/>
  <c r="N120" i="3"/>
  <c r="N89" i="3" s="1"/>
  <c r="E171" i="1"/>
  <c r="D118" i="3" s="1"/>
  <c r="E170" i="1"/>
  <c r="D117" i="3" s="1"/>
  <c r="J171" i="1"/>
  <c r="J170" i="1"/>
  <c r="I117" i="3" s="1"/>
  <c r="E145" i="3"/>
  <c r="F145" i="3"/>
  <c r="F137" i="3" s="1"/>
  <c r="G145" i="3"/>
  <c r="G137" i="3" s="1"/>
  <c r="H145" i="3"/>
  <c r="H137" i="3" s="1"/>
  <c r="J145" i="3"/>
  <c r="J137" i="3" s="1"/>
  <c r="K145" i="3"/>
  <c r="K137" i="3" s="1"/>
  <c r="L145" i="3"/>
  <c r="L137" i="3" s="1"/>
  <c r="M145" i="3"/>
  <c r="N145" i="3"/>
  <c r="N137" i="3" s="1"/>
  <c r="D145" i="3"/>
  <c r="D137" i="3" s="1"/>
  <c r="E137" i="3"/>
  <c r="M137" i="3"/>
  <c r="J172" i="1"/>
  <c r="I119" i="3" s="1"/>
  <c r="J173" i="1"/>
  <c r="J145" i="1" s="1"/>
  <c r="E172" i="1"/>
  <c r="D119" i="3" s="1"/>
  <c r="E173" i="1"/>
  <c r="F145" i="1"/>
  <c r="G145" i="1"/>
  <c r="H145" i="1"/>
  <c r="I145" i="1"/>
  <c r="K145" i="1"/>
  <c r="L145" i="1"/>
  <c r="M145" i="1"/>
  <c r="N145" i="1"/>
  <c r="O145" i="1"/>
  <c r="F144" i="1"/>
  <c r="G144" i="1"/>
  <c r="H144" i="1"/>
  <c r="I144" i="1"/>
  <c r="K144" i="1"/>
  <c r="M144" i="1"/>
  <c r="N144" i="1"/>
  <c r="O144" i="1"/>
  <c r="D144" i="1"/>
  <c r="D171" i="1"/>
  <c r="D173" i="1"/>
  <c r="D145" i="1"/>
  <c r="D172" i="1"/>
  <c r="D170" i="1"/>
  <c r="J23" i="1"/>
  <c r="I21" i="3" s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P202" i="1" l="1"/>
  <c r="O178" i="3"/>
  <c r="P186" i="1"/>
  <c r="P181" i="1" s="1"/>
  <c r="J181" i="1"/>
  <c r="P171" i="1"/>
  <c r="O118" i="3" s="1"/>
  <c r="O88" i="3" s="1"/>
  <c r="I145" i="3"/>
  <c r="I137" i="3" s="1"/>
  <c r="D120" i="3"/>
  <c r="D89" i="3" s="1"/>
  <c r="I118" i="3"/>
  <c r="I88" i="3" s="1"/>
  <c r="J144" i="1"/>
  <c r="I120" i="3"/>
  <c r="I89" i="3" s="1"/>
  <c r="O145" i="3"/>
  <c r="O137" i="3" s="1"/>
  <c r="P170" i="1"/>
  <c r="P172" i="1"/>
  <c r="O119" i="3" s="1"/>
  <c r="E144" i="1"/>
  <c r="D88" i="3"/>
  <c r="P173" i="1"/>
  <c r="E145" i="1"/>
  <c r="P25" i="1"/>
  <c r="P20" i="1" s="1"/>
  <c r="E20" i="1"/>
  <c r="P144" i="1" l="1"/>
  <c r="O117" i="3"/>
  <c r="P145" i="1"/>
  <c r="O120" i="3"/>
  <c r="O89" i="3" s="1"/>
  <c r="O23" i="3"/>
  <c r="O18" i="3" s="1"/>
  <c r="N144" i="3" l="1"/>
  <c r="M144" i="3"/>
  <c r="L144" i="3"/>
  <c r="K144" i="3"/>
  <c r="J144" i="3"/>
  <c r="H144" i="3"/>
  <c r="G144" i="3"/>
  <c r="F144" i="3"/>
  <c r="E144" i="3"/>
  <c r="O180" i="1"/>
  <c r="N180" i="1"/>
  <c r="M180" i="1"/>
  <c r="L180" i="1"/>
  <c r="K180" i="1"/>
  <c r="I180" i="1"/>
  <c r="H180" i="1"/>
  <c r="J185" i="1"/>
  <c r="I144" i="3" s="1"/>
  <c r="E185" i="1"/>
  <c r="D144" i="3" s="1"/>
  <c r="E252" i="1"/>
  <c r="E250" i="1"/>
  <c r="N43" i="3"/>
  <c r="M43" i="3"/>
  <c r="L43" i="3"/>
  <c r="K43" i="3"/>
  <c r="J43" i="3"/>
  <c r="H43" i="3"/>
  <c r="G43" i="3"/>
  <c r="F43" i="3"/>
  <c r="E43" i="3"/>
  <c r="I43" i="3"/>
  <c r="N22" i="3"/>
  <c r="M22" i="3"/>
  <c r="L22" i="3"/>
  <c r="K22" i="3"/>
  <c r="J22" i="3"/>
  <c r="H22" i="3"/>
  <c r="G22" i="3"/>
  <c r="F22" i="3"/>
  <c r="E22" i="3"/>
  <c r="I22" i="3"/>
  <c r="E24" i="1"/>
  <c r="O43" i="3" l="1"/>
  <c r="P185" i="1"/>
  <c r="O144" i="3" s="1"/>
  <c r="D43" i="3"/>
  <c r="P24" i="1"/>
  <c r="D22" i="3"/>
  <c r="J141" i="1"/>
  <c r="E141" i="1"/>
  <c r="O22" i="3" l="1"/>
  <c r="P141" i="1"/>
  <c r="N169" i="3" l="1"/>
  <c r="M169" i="3"/>
  <c r="L169" i="3"/>
  <c r="K169" i="3"/>
  <c r="J169" i="3"/>
  <c r="H169" i="3"/>
  <c r="G169" i="3"/>
  <c r="F169" i="3"/>
  <c r="E169" i="3"/>
  <c r="J250" i="1" l="1"/>
  <c r="I169" i="3" s="1"/>
  <c r="P250" i="1" l="1"/>
  <c r="O169" i="3" s="1"/>
  <c r="D169" i="3"/>
  <c r="N67" i="1" l="1"/>
  <c r="M67" i="1"/>
  <c r="L67" i="1"/>
  <c r="I67" i="1"/>
  <c r="H67" i="1"/>
  <c r="G67" i="1"/>
  <c r="J89" i="1"/>
  <c r="I57" i="3" s="1"/>
  <c r="E89" i="1"/>
  <c r="D57" i="3" s="1"/>
  <c r="P89" i="1" l="1"/>
  <c r="O57" i="3" s="1"/>
  <c r="J274" i="1"/>
  <c r="M183" i="3" l="1"/>
  <c r="M182" i="3" s="1"/>
  <c r="L183" i="3"/>
  <c r="L182" i="3" s="1"/>
  <c r="K183" i="3"/>
  <c r="K182" i="3" s="1"/>
  <c r="H183" i="3"/>
  <c r="H182" i="3" s="1"/>
  <c r="G183" i="3"/>
  <c r="G182" i="3" s="1"/>
  <c r="F183" i="3"/>
  <c r="F182" i="3" s="1"/>
  <c r="J224" i="1" l="1"/>
  <c r="E224" i="1"/>
  <c r="P224" i="1" l="1"/>
  <c r="N163" i="3" l="1"/>
  <c r="M163" i="3"/>
  <c r="L163" i="3"/>
  <c r="K163" i="3"/>
  <c r="J163" i="3"/>
  <c r="H163" i="3"/>
  <c r="G163" i="3"/>
  <c r="F163" i="3"/>
  <c r="E163" i="3"/>
  <c r="J247" i="1"/>
  <c r="E247" i="1"/>
  <c r="E245" i="1"/>
  <c r="O273" i="1"/>
  <c r="O272" i="1" s="1"/>
  <c r="N273" i="1"/>
  <c r="N272" i="1" s="1"/>
  <c r="M273" i="1"/>
  <c r="M272" i="1" s="1"/>
  <c r="L273" i="1"/>
  <c r="L272" i="1" s="1"/>
  <c r="K273" i="1"/>
  <c r="K272" i="1" s="1"/>
  <c r="J273" i="1"/>
  <c r="J272" i="1" s="1"/>
  <c r="I273" i="1"/>
  <c r="I272" i="1" s="1"/>
  <c r="H273" i="1"/>
  <c r="H272" i="1" s="1"/>
  <c r="G273" i="1"/>
  <c r="G272" i="1" s="1"/>
  <c r="F273" i="1"/>
  <c r="F272" i="1" s="1"/>
  <c r="E274" i="1"/>
  <c r="P274" i="1" s="1"/>
  <c r="P273" i="1" s="1"/>
  <c r="P272" i="1" s="1"/>
  <c r="N183" i="3"/>
  <c r="N182" i="3" s="1"/>
  <c r="J183" i="3"/>
  <c r="J182" i="3" s="1"/>
  <c r="E273" i="1" l="1"/>
  <c r="E272" i="1" s="1"/>
  <c r="P247" i="1"/>
  <c r="O67" i="1"/>
  <c r="K67" i="1"/>
  <c r="F67" i="1"/>
  <c r="M168" i="3" l="1"/>
  <c r="L168" i="3"/>
  <c r="K168" i="3"/>
  <c r="H168" i="3"/>
  <c r="G168" i="3"/>
  <c r="F168" i="3"/>
  <c r="E168" i="3"/>
  <c r="M167" i="3"/>
  <c r="L167" i="3"/>
  <c r="K167" i="3"/>
  <c r="H167" i="3"/>
  <c r="G167" i="3"/>
  <c r="F167" i="3"/>
  <c r="E167" i="3"/>
  <c r="O112" i="1"/>
  <c r="N112" i="1"/>
  <c r="M112" i="1"/>
  <c r="L112" i="1"/>
  <c r="K112" i="1"/>
  <c r="I112" i="1"/>
  <c r="H112" i="1"/>
  <c r="G112" i="1"/>
  <c r="F112" i="1"/>
  <c r="J136" i="1"/>
  <c r="J137" i="1"/>
  <c r="E136" i="1"/>
  <c r="E137" i="1"/>
  <c r="E112" i="1" s="1"/>
  <c r="J168" i="3" l="1"/>
  <c r="N168" i="3"/>
  <c r="P137" i="1"/>
  <c r="P112" i="1" s="1"/>
  <c r="P136" i="1"/>
  <c r="J112" i="1"/>
  <c r="D216" i="1" l="1"/>
  <c r="N188" i="3" l="1"/>
  <c r="M188" i="3"/>
  <c r="L188" i="3"/>
  <c r="K188" i="3"/>
  <c r="J188" i="3"/>
  <c r="H188" i="3"/>
  <c r="G188" i="3"/>
  <c r="F188" i="3"/>
  <c r="E188" i="3"/>
  <c r="F185" i="3" l="1"/>
  <c r="F151" i="3" s="1"/>
  <c r="F229" i="3" s="1"/>
  <c r="G292" i="1" s="1"/>
  <c r="H185" i="3"/>
  <c r="H151" i="3" s="1"/>
  <c r="H229" i="3" s="1"/>
  <c r="I292" i="1" s="1"/>
  <c r="K185" i="3"/>
  <c r="K151" i="3" s="1"/>
  <c r="K229" i="3" s="1"/>
  <c r="L292" i="1" s="1"/>
  <c r="M185" i="3"/>
  <c r="M151" i="3" s="1"/>
  <c r="M229" i="3" s="1"/>
  <c r="N292" i="1" s="1"/>
  <c r="E185" i="3"/>
  <c r="E151" i="3" s="1"/>
  <c r="E229" i="3" s="1"/>
  <c r="F292" i="1" s="1"/>
  <c r="G185" i="3"/>
  <c r="G151" i="3" s="1"/>
  <c r="G229" i="3" s="1"/>
  <c r="H292" i="1" s="1"/>
  <c r="L185" i="3"/>
  <c r="L151" i="3" s="1"/>
  <c r="L229" i="3" s="1"/>
  <c r="M292" i="1" s="1"/>
  <c r="N185" i="3"/>
  <c r="N151" i="3" s="1"/>
  <c r="N229" i="3" s="1"/>
  <c r="O292" i="1" s="1"/>
  <c r="J185" i="3"/>
  <c r="J151" i="3" s="1"/>
  <c r="J229" i="3" s="1"/>
  <c r="K292" i="1" s="1"/>
  <c r="O116" i="1"/>
  <c r="N116" i="1"/>
  <c r="M116" i="1"/>
  <c r="L116" i="1"/>
  <c r="K116" i="1"/>
  <c r="I116" i="1"/>
  <c r="H116" i="1"/>
  <c r="G116" i="1"/>
  <c r="F116" i="1"/>
  <c r="O238" i="1"/>
  <c r="N238" i="1"/>
  <c r="M238" i="1"/>
  <c r="L238" i="1"/>
  <c r="K238" i="1"/>
  <c r="I238" i="1"/>
  <c r="H238" i="1"/>
  <c r="G238" i="1"/>
  <c r="F238" i="1"/>
  <c r="E238" i="1"/>
  <c r="F288" i="1" l="1"/>
  <c r="H288" i="1"/>
  <c r="K288" i="1"/>
  <c r="M288" i="1"/>
  <c r="O288" i="1"/>
  <c r="G288" i="1"/>
  <c r="I288" i="1"/>
  <c r="L288" i="1"/>
  <c r="N288" i="1"/>
  <c r="E183" i="3" l="1"/>
  <c r="E182" i="3" s="1"/>
  <c r="M161" i="3" l="1"/>
  <c r="L161" i="3"/>
  <c r="K161" i="3"/>
  <c r="H161" i="3"/>
  <c r="G161" i="3"/>
  <c r="F161" i="3"/>
  <c r="E161" i="3"/>
  <c r="N159" i="3" l="1"/>
  <c r="M159" i="3"/>
  <c r="L159" i="3"/>
  <c r="K159" i="3"/>
  <c r="J159" i="3"/>
  <c r="H159" i="3"/>
  <c r="G159" i="3"/>
  <c r="F159" i="3"/>
  <c r="E159" i="3"/>
  <c r="M158" i="3"/>
  <c r="L158" i="3"/>
  <c r="K158" i="3"/>
  <c r="H158" i="3"/>
  <c r="G158" i="3"/>
  <c r="F158" i="3"/>
  <c r="E158" i="3"/>
  <c r="M162" i="3"/>
  <c r="L162" i="3"/>
  <c r="K162" i="3"/>
  <c r="H162" i="3"/>
  <c r="G162" i="3"/>
  <c r="F162" i="3"/>
  <c r="E162" i="3"/>
  <c r="J177" i="1" l="1"/>
  <c r="E177" i="1"/>
  <c r="D159" i="3" s="1"/>
  <c r="J134" i="1"/>
  <c r="E134" i="1"/>
  <c r="E43" i="1"/>
  <c r="E42" i="1"/>
  <c r="D161" i="3" s="1"/>
  <c r="J43" i="1"/>
  <c r="P43" i="1" s="1"/>
  <c r="J42" i="1"/>
  <c r="P42" i="1" l="1"/>
  <c r="P134" i="1"/>
  <c r="P177" i="1"/>
  <c r="O159" i="3" s="1"/>
  <c r="I159" i="3"/>
  <c r="N162" i="3"/>
  <c r="J162" i="3"/>
  <c r="E139" i="1" l="1"/>
  <c r="J139" i="1"/>
  <c r="J116" i="1" l="1"/>
  <c r="D188" i="3"/>
  <c r="E116" i="1"/>
  <c r="E288" i="1" s="1"/>
  <c r="P139" i="1"/>
  <c r="J252" i="1"/>
  <c r="J238" i="1" s="1"/>
  <c r="J288" i="1" l="1"/>
  <c r="D185" i="3"/>
  <c r="I188" i="3"/>
  <c r="P116" i="1"/>
  <c r="P252" i="1"/>
  <c r="P238" i="1" s="1"/>
  <c r="N177" i="3"/>
  <c r="M177" i="3"/>
  <c r="L177" i="3"/>
  <c r="K177" i="3"/>
  <c r="J177" i="3"/>
  <c r="H177" i="3"/>
  <c r="G177" i="3"/>
  <c r="F177" i="3"/>
  <c r="E177" i="3"/>
  <c r="N123" i="3"/>
  <c r="M123" i="3"/>
  <c r="L123" i="3"/>
  <c r="K123" i="3"/>
  <c r="J123" i="3"/>
  <c r="H123" i="3"/>
  <c r="G123" i="3"/>
  <c r="F123" i="3"/>
  <c r="N111" i="3"/>
  <c r="M111" i="3"/>
  <c r="L111" i="3"/>
  <c r="K111" i="3"/>
  <c r="J111" i="3"/>
  <c r="H111" i="3"/>
  <c r="G111" i="3"/>
  <c r="F111" i="3"/>
  <c r="E111" i="3"/>
  <c r="N109" i="3"/>
  <c r="M109" i="3"/>
  <c r="L109" i="3"/>
  <c r="K109" i="3"/>
  <c r="J109" i="3"/>
  <c r="H109" i="3"/>
  <c r="G109" i="3"/>
  <c r="F109" i="3"/>
  <c r="E109" i="3"/>
  <c r="N100" i="3"/>
  <c r="M100" i="3"/>
  <c r="L100" i="3"/>
  <c r="K100" i="3"/>
  <c r="J100" i="3"/>
  <c r="H100" i="3"/>
  <c r="G100" i="3"/>
  <c r="F100" i="3"/>
  <c r="E100" i="3"/>
  <c r="N98" i="3"/>
  <c r="M98" i="3"/>
  <c r="L98" i="3"/>
  <c r="K98" i="3"/>
  <c r="J98" i="3"/>
  <c r="H98" i="3"/>
  <c r="G98" i="3"/>
  <c r="F98" i="3"/>
  <c r="E98" i="3"/>
  <c r="N94" i="3"/>
  <c r="M94" i="3"/>
  <c r="L94" i="3"/>
  <c r="K94" i="3"/>
  <c r="J94" i="3"/>
  <c r="H94" i="3"/>
  <c r="G94" i="3"/>
  <c r="F94" i="3"/>
  <c r="N84" i="3"/>
  <c r="M84" i="3"/>
  <c r="L84" i="3"/>
  <c r="K84" i="3"/>
  <c r="J84" i="3"/>
  <c r="H84" i="3"/>
  <c r="G84" i="3"/>
  <c r="F84" i="3"/>
  <c r="E84" i="3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E81" i="3"/>
  <c r="N79" i="3"/>
  <c r="M79" i="3"/>
  <c r="L79" i="3"/>
  <c r="K79" i="3"/>
  <c r="J79" i="3"/>
  <c r="H79" i="3"/>
  <c r="G79" i="3"/>
  <c r="F79" i="3"/>
  <c r="E79" i="3"/>
  <c r="N77" i="3"/>
  <c r="M77" i="3"/>
  <c r="L77" i="3"/>
  <c r="K77" i="3"/>
  <c r="J77" i="3"/>
  <c r="I77" i="3"/>
  <c r="H77" i="3"/>
  <c r="G77" i="3"/>
  <c r="F77" i="3"/>
  <c r="E77" i="3"/>
  <c r="N74" i="3"/>
  <c r="M74" i="3"/>
  <c r="L74" i="3"/>
  <c r="K74" i="3"/>
  <c r="J74" i="3"/>
  <c r="H74" i="3"/>
  <c r="G74" i="3"/>
  <c r="F74" i="3"/>
  <c r="E74" i="3"/>
  <c r="N73" i="3"/>
  <c r="M73" i="3"/>
  <c r="L73" i="3"/>
  <c r="K73" i="3"/>
  <c r="J73" i="3"/>
  <c r="H73" i="3"/>
  <c r="G73" i="3"/>
  <c r="F73" i="3"/>
  <c r="N72" i="3"/>
  <c r="M72" i="3"/>
  <c r="L72" i="3"/>
  <c r="K72" i="3"/>
  <c r="J72" i="3"/>
  <c r="H72" i="3"/>
  <c r="G72" i="3"/>
  <c r="F72" i="3"/>
  <c r="E72" i="3"/>
  <c r="J67" i="1"/>
  <c r="E67" i="1"/>
  <c r="O200" i="1"/>
  <c r="N200" i="1"/>
  <c r="M200" i="1"/>
  <c r="L200" i="1"/>
  <c r="K200" i="1"/>
  <c r="I200" i="1"/>
  <c r="H200" i="1"/>
  <c r="G200" i="1"/>
  <c r="F200" i="1"/>
  <c r="O111" i="1"/>
  <c r="N111" i="1"/>
  <c r="M111" i="1"/>
  <c r="L111" i="1"/>
  <c r="K111" i="1"/>
  <c r="I111" i="1"/>
  <c r="H111" i="1"/>
  <c r="G111" i="1"/>
  <c r="F111" i="1"/>
  <c r="D151" i="3" l="1"/>
  <c r="D229" i="3" s="1"/>
  <c r="E292" i="1" s="1"/>
  <c r="P288" i="1"/>
  <c r="I185" i="3"/>
  <c r="I151" i="3" s="1"/>
  <c r="I229" i="3" s="1"/>
  <c r="J292" i="1" s="1"/>
  <c r="O188" i="3"/>
  <c r="P67" i="1"/>
  <c r="O185" i="3" l="1"/>
  <c r="O151" i="3" s="1"/>
  <c r="O229" i="3" s="1"/>
  <c r="P292" i="1" s="1"/>
  <c r="O201" i="1"/>
  <c r="N201" i="1"/>
  <c r="M201" i="1"/>
  <c r="L201" i="1"/>
  <c r="K201" i="1"/>
  <c r="I201" i="1"/>
  <c r="H201" i="1"/>
  <c r="G201" i="1"/>
  <c r="F201" i="1"/>
  <c r="O114" i="1" l="1"/>
  <c r="N114" i="1"/>
  <c r="M114" i="1"/>
  <c r="L114" i="1"/>
  <c r="K114" i="1"/>
  <c r="I114" i="1"/>
  <c r="H114" i="1"/>
  <c r="G114" i="1"/>
  <c r="F114" i="1"/>
  <c r="O113" i="1"/>
  <c r="N113" i="1"/>
  <c r="M113" i="1"/>
  <c r="L113" i="1"/>
  <c r="K113" i="1"/>
  <c r="I113" i="1"/>
  <c r="H113" i="1"/>
  <c r="G113" i="1"/>
  <c r="O146" i="1" l="1"/>
  <c r="N146" i="1"/>
  <c r="M146" i="1"/>
  <c r="L146" i="1"/>
  <c r="K146" i="1"/>
  <c r="I146" i="1"/>
  <c r="H146" i="1"/>
  <c r="G146" i="1"/>
  <c r="O115" i="1"/>
  <c r="N115" i="1"/>
  <c r="M115" i="1"/>
  <c r="L115" i="1"/>
  <c r="I115" i="1"/>
  <c r="H115" i="1"/>
  <c r="G115" i="1"/>
  <c r="F115" i="1"/>
  <c r="J121" i="1"/>
  <c r="E121" i="1"/>
  <c r="J120" i="1"/>
  <c r="I73" i="3" s="1"/>
  <c r="J119" i="1"/>
  <c r="I72" i="3" s="1"/>
  <c r="E119" i="1"/>
  <c r="D72" i="3" s="1"/>
  <c r="J126" i="1"/>
  <c r="I79" i="3" s="1"/>
  <c r="E126" i="1"/>
  <c r="D79" i="3" s="1"/>
  <c r="E124" i="1"/>
  <c r="F113" i="1" l="1"/>
  <c r="E73" i="3"/>
  <c r="P124" i="1"/>
  <c r="O77" i="3" s="1"/>
  <c r="D77" i="3"/>
  <c r="J114" i="1"/>
  <c r="I74" i="3"/>
  <c r="E114" i="1"/>
  <c r="D74" i="3"/>
  <c r="E111" i="1"/>
  <c r="J111" i="1"/>
  <c r="E120" i="1"/>
  <c r="P126" i="1"/>
  <c r="O79" i="3" s="1"/>
  <c r="P119" i="1"/>
  <c r="O72" i="3" s="1"/>
  <c r="P121" i="1"/>
  <c r="P114" i="1" l="1"/>
  <c r="O74" i="3"/>
  <c r="P120" i="1"/>
  <c r="O73" i="3" s="1"/>
  <c r="D73" i="3"/>
  <c r="P111" i="1"/>
  <c r="N171" i="3"/>
  <c r="N150" i="3" s="1"/>
  <c r="M171" i="3"/>
  <c r="M150" i="3" s="1"/>
  <c r="L171" i="3"/>
  <c r="L150" i="3" s="1"/>
  <c r="K171" i="3"/>
  <c r="K150" i="3" s="1"/>
  <c r="J171" i="3"/>
  <c r="J150" i="3" s="1"/>
  <c r="H171" i="3"/>
  <c r="H150" i="3" s="1"/>
  <c r="G171" i="3"/>
  <c r="G150" i="3" s="1"/>
  <c r="F171" i="3"/>
  <c r="F150" i="3" s="1"/>
  <c r="E171" i="3"/>
  <c r="E150" i="3" s="1"/>
  <c r="N155" i="3"/>
  <c r="N149" i="3" s="1"/>
  <c r="M155" i="3"/>
  <c r="M149" i="3" s="1"/>
  <c r="L155" i="3"/>
  <c r="L149" i="3" s="1"/>
  <c r="K155" i="3"/>
  <c r="K149" i="3" s="1"/>
  <c r="J155" i="3"/>
  <c r="J149" i="3" s="1"/>
  <c r="H155" i="3"/>
  <c r="H149" i="3" s="1"/>
  <c r="G155" i="3"/>
  <c r="G149" i="3" s="1"/>
  <c r="F155" i="3"/>
  <c r="F149" i="3" s="1"/>
  <c r="E155" i="3"/>
  <c r="E149" i="3" s="1"/>
  <c r="N69" i="3"/>
  <c r="M69" i="3"/>
  <c r="L69" i="3"/>
  <c r="K69" i="3"/>
  <c r="J69" i="3"/>
  <c r="H69" i="3"/>
  <c r="G69" i="3"/>
  <c r="F69" i="3"/>
  <c r="E69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H68" i="3"/>
  <c r="G68" i="3"/>
  <c r="F68" i="3"/>
  <c r="H67" i="3"/>
  <c r="G67" i="3"/>
  <c r="F67" i="3"/>
  <c r="E67" i="3"/>
  <c r="F90" i="3" l="1"/>
  <c r="H90" i="3"/>
  <c r="M90" i="3"/>
  <c r="K90" i="3"/>
  <c r="K67" i="3"/>
  <c r="M67" i="3"/>
  <c r="G90" i="3"/>
  <c r="J90" i="3"/>
  <c r="L90" i="3"/>
  <c r="N90" i="3"/>
  <c r="J67" i="3"/>
  <c r="L67" i="3"/>
  <c r="N67" i="3"/>
  <c r="J222" i="1"/>
  <c r="E222" i="1"/>
  <c r="D177" i="3" s="1"/>
  <c r="J220" i="1"/>
  <c r="J200" i="1" s="1"/>
  <c r="E220" i="1"/>
  <c r="E200" i="1" s="1"/>
  <c r="J176" i="1"/>
  <c r="I123" i="3" s="1"/>
  <c r="J164" i="1"/>
  <c r="I111" i="3" s="1"/>
  <c r="E164" i="1"/>
  <c r="D111" i="3" s="1"/>
  <c r="J162" i="1"/>
  <c r="I109" i="3" s="1"/>
  <c r="E162" i="1"/>
  <c r="D109" i="3" s="1"/>
  <c r="J158" i="1"/>
  <c r="I100" i="3" s="1"/>
  <c r="E158" i="1"/>
  <c r="D100" i="3" s="1"/>
  <c r="J156" i="1"/>
  <c r="I98" i="3" s="1"/>
  <c r="E156" i="1"/>
  <c r="D98" i="3" s="1"/>
  <c r="J152" i="1"/>
  <c r="J131" i="1"/>
  <c r="I84" i="3" s="1"/>
  <c r="E131" i="1"/>
  <c r="J130" i="1"/>
  <c r="E130" i="1"/>
  <c r="J128" i="1"/>
  <c r="I81" i="3" s="1"/>
  <c r="E128" i="1"/>
  <c r="J95" i="1"/>
  <c r="E95" i="1"/>
  <c r="J88" i="1"/>
  <c r="I56" i="3" s="1"/>
  <c r="E88" i="1"/>
  <c r="D56" i="3" s="1"/>
  <c r="J79" i="1"/>
  <c r="I46" i="3" s="1"/>
  <c r="I27" i="3" s="1"/>
  <c r="E79" i="1"/>
  <c r="D46" i="3" s="1"/>
  <c r="D27" i="3" s="1"/>
  <c r="J78" i="1"/>
  <c r="I45" i="3" s="1"/>
  <c r="I25" i="3" s="1"/>
  <c r="E78" i="1"/>
  <c r="D45" i="3" s="1"/>
  <c r="D25" i="3" s="1"/>
  <c r="J76" i="1"/>
  <c r="I42" i="3" s="1"/>
  <c r="I227" i="3" l="1"/>
  <c r="J290" i="1" s="1"/>
  <c r="D227" i="3"/>
  <c r="E290" i="1" s="1"/>
  <c r="D84" i="3"/>
  <c r="E115" i="1"/>
  <c r="D81" i="3"/>
  <c r="D69" i="3" s="1"/>
  <c r="J68" i="1"/>
  <c r="I63" i="3"/>
  <c r="I29" i="3" s="1"/>
  <c r="E68" i="1"/>
  <c r="D63" i="3"/>
  <c r="D29" i="3" s="1"/>
  <c r="J63" i="1"/>
  <c r="J66" i="1"/>
  <c r="E63" i="1"/>
  <c r="E66" i="1"/>
  <c r="I168" i="3"/>
  <c r="D168" i="3"/>
  <c r="D155" i="3" s="1"/>
  <c r="E152" i="1"/>
  <c r="D94" i="3" s="1"/>
  <c r="E94" i="3"/>
  <c r="E176" i="1"/>
  <c r="E123" i="3"/>
  <c r="J146" i="1"/>
  <c r="I94" i="3"/>
  <c r="J201" i="1"/>
  <c r="I177" i="3"/>
  <c r="E113" i="1"/>
  <c r="D83" i="3"/>
  <c r="J113" i="1"/>
  <c r="I83" i="3"/>
  <c r="P222" i="1"/>
  <c r="E201" i="1"/>
  <c r="P220" i="1"/>
  <c r="P200" i="1" s="1"/>
  <c r="J115" i="1"/>
  <c r="E76" i="1"/>
  <c r="F146" i="1"/>
  <c r="P156" i="1"/>
  <c r="O98" i="3" s="1"/>
  <c r="P158" i="1"/>
  <c r="O100" i="3" s="1"/>
  <c r="P162" i="1"/>
  <c r="O109" i="3" s="1"/>
  <c r="P164" i="1"/>
  <c r="O111" i="3" s="1"/>
  <c r="P128" i="1"/>
  <c r="O81" i="3" s="1"/>
  <c r="P130" i="1"/>
  <c r="P131" i="1"/>
  <c r="O84" i="3" s="1"/>
  <c r="P78" i="1"/>
  <c r="O45" i="3" s="1"/>
  <c r="O25" i="3" s="1"/>
  <c r="P79" i="1"/>
  <c r="O46" i="3" s="1"/>
  <c r="O27" i="3" s="1"/>
  <c r="P88" i="1"/>
  <c r="O56" i="3" s="1"/>
  <c r="P95" i="1"/>
  <c r="O227" i="3" l="1"/>
  <c r="P290" i="1" s="1"/>
  <c r="P176" i="1"/>
  <c r="O123" i="3" s="1"/>
  <c r="E146" i="1"/>
  <c r="P68" i="1"/>
  <c r="O63" i="3"/>
  <c r="O29" i="3" s="1"/>
  <c r="D42" i="3"/>
  <c r="P66" i="1"/>
  <c r="P63" i="1"/>
  <c r="D123" i="3"/>
  <c r="D90" i="3" s="1"/>
  <c r="P152" i="1"/>
  <c r="O94" i="3" s="1"/>
  <c r="O168" i="3"/>
  <c r="P201" i="1"/>
  <c r="O177" i="3"/>
  <c r="P113" i="1"/>
  <c r="O83" i="3"/>
  <c r="P76" i="1"/>
  <c r="P115" i="1"/>
  <c r="O42" i="3" l="1"/>
  <c r="P146" i="1"/>
  <c r="C201" i="3"/>
  <c r="N204" i="3"/>
  <c r="N228" i="3" s="1"/>
  <c r="O291" i="1" s="1"/>
  <c r="M204" i="3"/>
  <c r="M228" i="3" s="1"/>
  <c r="N291" i="1" s="1"/>
  <c r="L204" i="3"/>
  <c r="L228" i="3" s="1"/>
  <c r="M291" i="1" s="1"/>
  <c r="K204" i="3"/>
  <c r="K228" i="3" s="1"/>
  <c r="L291" i="1" s="1"/>
  <c r="J204" i="3"/>
  <c r="J228" i="3" s="1"/>
  <c r="K291" i="1" s="1"/>
  <c r="H204" i="3"/>
  <c r="H228" i="3" s="1"/>
  <c r="I291" i="1" s="1"/>
  <c r="G204" i="3"/>
  <c r="G228" i="3" s="1"/>
  <c r="H291" i="1" s="1"/>
  <c r="F204" i="3"/>
  <c r="F228" i="3" s="1"/>
  <c r="G291" i="1" s="1"/>
  <c r="E204" i="3"/>
  <c r="E201" i="3" s="1"/>
  <c r="E199" i="3" s="1"/>
  <c r="D56" i="1"/>
  <c r="O19" i="1"/>
  <c r="N19" i="1"/>
  <c r="M19" i="1"/>
  <c r="L19" i="1"/>
  <c r="K19" i="1"/>
  <c r="I19" i="1"/>
  <c r="H19" i="1"/>
  <c r="G19" i="1"/>
  <c r="F19" i="1"/>
  <c r="J56" i="1"/>
  <c r="J19" i="1" s="1"/>
  <c r="E56" i="1"/>
  <c r="E19" i="1" s="1"/>
  <c r="F201" i="3" l="1"/>
  <c r="F199" i="3" s="1"/>
  <c r="K201" i="3"/>
  <c r="K199" i="3" s="1"/>
  <c r="M201" i="3"/>
  <c r="M199" i="3" s="1"/>
  <c r="H201" i="3"/>
  <c r="H199" i="3" s="1"/>
  <c r="G201" i="3"/>
  <c r="G199" i="3" s="1"/>
  <c r="J201" i="3"/>
  <c r="J199" i="3" s="1"/>
  <c r="L201" i="3"/>
  <c r="L199" i="3" s="1"/>
  <c r="N201" i="3"/>
  <c r="N199" i="3" s="1"/>
  <c r="I204" i="3"/>
  <c r="I201" i="3" s="1"/>
  <c r="I199" i="3" s="1"/>
  <c r="P56" i="1"/>
  <c r="D204" i="3"/>
  <c r="D228" i="3" s="1"/>
  <c r="E291" i="1" s="1"/>
  <c r="D201" i="3" l="1"/>
  <c r="D199" i="3" s="1"/>
  <c r="P19" i="1"/>
  <c r="O204" i="3"/>
  <c r="O201" i="3" s="1"/>
  <c r="O199" i="3" s="1"/>
  <c r="E133" i="1" l="1"/>
  <c r="J60" i="1"/>
  <c r="E60" i="1"/>
  <c r="P60" i="1" l="1"/>
  <c r="J216" i="1" l="1"/>
  <c r="I163" i="3" s="1"/>
  <c r="E216" i="1"/>
  <c r="D163" i="3" s="1"/>
  <c r="C216" i="1"/>
  <c r="P216" i="1" l="1"/>
  <c r="O163" i="3" s="1"/>
  <c r="J161" i="3" l="1"/>
  <c r="G180" i="1"/>
  <c r="F180" i="1" l="1"/>
  <c r="E202" i="3" l="1"/>
  <c r="F202" i="3"/>
  <c r="G202" i="3"/>
  <c r="H202" i="3"/>
  <c r="J202" i="3"/>
  <c r="K202" i="3"/>
  <c r="L202" i="3"/>
  <c r="M202" i="3"/>
  <c r="N202" i="3"/>
  <c r="J229" i="1"/>
  <c r="E229" i="1"/>
  <c r="C229" i="1"/>
  <c r="D229" i="1"/>
  <c r="B229" i="1"/>
  <c r="P229" i="1" l="1"/>
  <c r="E206" i="3" l="1"/>
  <c r="F206" i="3"/>
  <c r="G206" i="3"/>
  <c r="H206" i="3"/>
  <c r="J206" i="3"/>
  <c r="K206" i="3"/>
  <c r="L206" i="3"/>
  <c r="M206" i="3"/>
  <c r="N206" i="3"/>
  <c r="J230" i="1"/>
  <c r="E230" i="1"/>
  <c r="C230" i="1"/>
  <c r="D230" i="1"/>
  <c r="B230" i="1"/>
  <c r="P230" i="1" l="1"/>
  <c r="E174" i="3" l="1"/>
  <c r="F174" i="3"/>
  <c r="G174" i="3"/>
  <c r="H174" i="3"/>
  <c r="J174" i="3"/>
  <c r="K174" i="3"/>
  <c r="L174" i="3"/>
  <c r="M174" i="3"/>
  <c r="N174" i="3"/>
  <c r="E175" i="3"/>
  <c r="F175" i="3"/>
  <c r="G175" i="3"/>
  <c r="H175" i="3"/>
  <c r="J175" i="3"/>
  <c r="K175" i="3"/>
  <c r="L175" i="3"/>
  <c r="M175" i="3"/>
  <c r="N175" i="3"/>
  <c r="E45" i="1"/>
  <c r="E46" i="1"/>
  <c r="J44" i="1"/>
  <c r="J45" i="1"/>
  <c r="I174" i="3" s="1"/>
  <c r="J46" i="1"/>
  <c r="I175" i="3" s="1"/>
  <c r="C45" i="1"/>
  <c r="D45" i="1"/>
  <c r="D46" i="1"/>
  <c r="B46" i="1"/>
  <c r="B45" i="1"/>
  <c r="D175" i="3" l="1"/>
  <c r="P46" i="1"/>
  <c r="O175" i="3" s="1"/>
  <c r="P45" i="1"/>
  <c r="O174" i="3" s="1"/>
  <c r="D174" i="3"/>
  <c r="N158" i="3" l="1"/>
  <c r="J158" i="3" l="1"/>
  <c r="E176" i="3" l="1"/>
  <c r="F176" i="3"/>
  <c r="G176" i="3"/>
  <c r="H176" i="3"/>
  <c r="J176" i="3"/>
  <c r="K176" i="3"/>
  <c r="L176" i="3"/>
  <c r="M176" i="3"/>
  <c r="N176" i="3"/>
  <c r="J221" i="1"/>
  <c r="I176" i="3" s="1"/>
  <c r="E221" i="1"/>
  <c r="B221" i="1"/>
  <c r="P221" i="1" l="1"/>
  <c r="O176" i="3" s="1"/>
  <c r="D176" i="3"/>
  <c r="N165" i="3"/>
  <c r="M165" i="3"/>
  <c r="L165" i="3"/>
  <c r="K165" i="3"/>
  <c r="J165" i="3"/>
  <c r="H165" i="3"/>
  <c r="G165" i="3"/>
  <c r="F165" i="3"/>
  <c r="E165" i="3"/>
  <c r="J135" i="1"/>
  <c r="E135" i="1"/>
  <c r="D135" i="1"/>
  <c r="C135" i="1"/>
  <c r="B135" i="1"/>
  <c r="D248" i="1"/>
  <c r="C248" i="1"/>
  <c r="B248" i="1"/>
  <c r="D217" i="1"/>
  <c r="C217" i="1"/>
  <c r="B217" i="1"/>
  <c r="P135" i="1" l="1"/>
  <c r="J248" i="1"/>
  <c r="E248" i="1"/>
  <c r="J217" i="1"/>
  <c r="E217" i="1"/>
  <c r="D165" i="3" l="1"/>
  <c r="P248" i="1"/>
  <c r="I165" i="3"/>
  <c r="P217" i="1"/>
  <c r="O165" i="3" l="1"/>
  <c r="K265" i="1"/>
  <c r="J253" i="1" l="1"/>
  <c r="E253" i="1"/>
  <c r="E219" i="1"/>
  <c r="J167" i="3" l="1"/>
  <c r="J219" i="1"/>
  <c r="P219" i="1" s="1"/>
  <c r="N167" i="3"/>
  <c r="P253" i="1"/>
  <c r="J249" i="1" l="1"/>
  <c r="I167" i="3" s="1"/>
  <c r="E249" i="1"/>
  <c r="D167" i="3" l="1"/>
  <c r="P249" i="1"/>
  <c r="O167" i="3" s="1"/>
  <c r="N196" i="3" l="1"/>
  <c r="M196" i="3"/>
  <c r="L196" i="3"/>
  <c r="K196" i="3"/>
  <c r="J196" i="3"/>
  <c r="H196" i="3"/>
  <c r="G196" i="3"/>
  <c r="F196" i="3"/>
  <c r="E196" i="3"/>
  <c r="J140" i="1"/>
  <c r="I196" i="3" s="1"/>
  <c r="E140" i="1"/>
  <c r="D196" i="3" s="1"/>
  <c r="P140" i="1" l="1"/>
  <c r="D150" i="1"/>
  <c r="O196" i="3" l="1"/>
  <c r="B245" i="1" l="1"/>
  <c r="J245" i="1"/>
  <c r="I161" i="3" s="1"/>
  <c r="P245" i="1" l="1"/>
  <c r="O161" i="3" s="1"/>
  <c r="D178" i="1" l="1"/>
  <c r="F195" i="3"/>
  <c r="G195" i="3"/>
  <c r="H195" i="3"/>
  <c r="J195" i="3"/>
  <c r="K195" i="3"/>
  <c r="L195" i="3"/>
  <c r="M195" i="3"/>
  <c r="N195" i="3"/>
  <c r="F147" i="3"/>
  <c r="G147" i="3"/>
  <c r="H147" i="3"/>
  <c r="J147" i="3"/>
  <c r="K147" i="3"/>
  <c r="L147" i="3"/>
  <c r="M147" i="3"/>
  <c r="N147" i="3"/>
  <c r="G276" i="1"/>
  <c r="H276" i="1"/>
  <c r="I276" i="1"/>
  <c r="K276" i="1"/>
  <c r="L276" i="1"/>
  <c r="M276" i="1"/>
  <c r="N276" i="1"/>
  <c r="O276" i="1"/>
  <c r="G265" i="1"/>
  <c r="H265" i="1"/>
  <c r="L265" i="1"/>
  <c r="M265" i="1"/>
  <c r="N265" i="1"/>
  <c r="O265" i="1"/>
  <c r="G109" i="1"/>
  <c r="H109" i="1"/>
  <c r="I109" i="1"/>
  <c r="L109" i="1"/>
  <c r="M109" i="1"/>
  <c r="N109" i="1"/>
  <c r="I265" i="1" l="1"/>
  <c r="E195" i="3" l="1"/>
  <c r="F265" i="1" l="1"/>
  <c r="F109" i="1"/>
  <c r="D232" i="1" l="1"/>
  <c r="F276" i="1" l="1"/>
  <c r="O109" i="1" l="1"/>
  <c r="K109" i="1"/>
  <c r="J197" i="1"/>
  <c r="E197" i="1"/>
  <c r="C197" i="1"/>
  <c r="D197" i="1"/>
  <c r="B197" i="1"/>
  <c r="P197" i="1" l="1"/>
  <c r="E17" i="3"/>
  <c r="F17" i="3"/>
  <c r="G17" i="3"/>
  <c r="H17" i="3"/>
  <c r="J17" i="3"/>
  <c r="K17" i="3"/>
  <c r="L17" i="3"/>
  <c r="M17" i="3"/>
  <c r="N17" i="3"/>
  <c r="E71" i="3"/>
  <c r="F71" i="3"/>
  <c r="G71" i="3"/>
  <c r="H71" i="3"/>
  <c r="J71" i="3"/>
  <c r="K71" i="3"/>
  <c r="L71" i="3"/>
  <c r="M71" i="3"/>
  <c r="N71" i="3"/>
  <c r="E76" i="3"/>
  <c r="F76" i="3"/>
  <c r="G76" i="3"/>
  <c r="H76" i="3"/>
  <c r="J76" i="3"/>
  <c r="K76" i="3"/>
  <c r="L76" i="3"/>
  <c r="M76" i="3"/>
  <c r="N76" i="3"/>
  <c r="E78" i="3"/>
  <c r="F78" i="3"/>
  <c r="G78" i="3"/>
  <c r="H78" i="3"/>
  <c r="J78" i="3"/>
  <c r="K78" i="3"/>
  <c r="L78" i="3"/>
  <c r="M78" i="3"/>
  <c r="N78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91" i="3"/>
  <c r="F91" i="3"/>
  <c r="G91" i="3"/>
  <c r="H91" i="3"/>
  <c r="K91" i="3"/>
  <c r="L91" i="3"/>
  <c r="M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7" i="3"/>
  <c r="F97" i="3"/>
  <c r="G97" i="3"/>
  <c r="H97" i="3"/>
  <c r="J97" i="3"/>
  <c r="K97" i="3"/>
  <c r="L97" i="3"/>
  <c r="M97" i="3"/>
  <c r="N97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21" i="3"/>
  <c r="F121" i="3"/>
  <c r="G121" i="3"/>
  <c r="H121" i="3"/>
  <c r="J121" i="3"/>
  <c r="K121" i="3"/>
  <c r="L121" i="3"/>
  <c r="M121" i="3"/>
  <c r="N121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3" i="3"/>
  <c r="F133" i="3"/>
  <c r="G133" i="3"/>
  <c r="H133" i="3"/>
  <c r="J133" i="3"/>
  <c r="K133" i="3"/>
  <c r="L133" i="3"/>
  <c r="M133" i="3"/>
  <c r="N133" i="3"/>
  <c r="F134" i="3"/>
  <c r="G134" i="3"/>
  <c r="H134" i="3"/>
  <c r="J134" i="3"/>
  <c r="K134" i="3"/>
  <c r="L134" i="3"/>
  <c r="M134" i="3"/>
  <c r="N134" i="3"/>
  <c r="E135" i="3"/>
  <c r="F135" i="3"/>
  <c r="G135" i="3"/>
  <c r="H135" i="3"/>
  <c r="J135" i="3"/>
  <c r="K135" i="3"/>
  <c r="L135" i="3"/>
  <c r="M135" i="3"/>
  <c r="N135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6" i="3"/>
  <c r="F146" i="3"/>
  <c r="G146" i="3"/>
  <c r="H146" i="3"/>
  <c r="J146" i="3"/>
  <c r="K146" i="3"/>
  <c r="L146" i="3"/>
  <c r="M146" i="3"/>
  <c r="N146" i="3"/>
  <c r="E153" i="3"/>
  <c r="E152" i="3" s="1"/>
  <c r="F153" i="3"/>
  <c r="F152" i="3" s="1"/>
  <c r="G153" i="3"/>
  <c r="G152" i="3" s="1"/>
  <c r="H153" i="3"/>
  <c r="H152" i="3" s="1"/>
  <c r="J153" i="3"/>
  <c r="J152" i="3" s="1"/>
  <c r="K153" i="3"/>
  <c r="K152" i="3" s="1"/>
  <c r="L153" i="3"/>
  <c r="L152" i="3" s="1"/>
  <c r="M153" i="3"/>
  <c r="M152" i="3" s="1"/>
  <c r="N153" i="3"/>
  <c r="N152" i="3" s="1"/>
  <c r="E156" i="3"/>
  <c r="E154" i="3" s="1"/>
  <c r="F156" i="3"/>
  <c r="F154" i="3" s="1"/>
  <c r="G156" i="3"/>
  <c r="G154" i="3" s="1"/>
  <c r="H156" i="3"/>
  <c r="H154" i="3" s="1"/>
  <c r="J156" i="3"/>
  <c r="J154" i="3" s="1"/>
  <c r="K156" i="3"/>
  <c r="K154" i="3" s="1"/>
  <c r="L156" i="3"/>
  <c r="L154" i="3" s="1"/>
  <c r="M156" i="3"/>
  <c r="M154" i="3" s="1"/>
  <c r="N156" i="3"/>
  <c r="N154" i="3" s="1"/>
  <c r="E166" i="3"/>
  <c r="F166" i="3"/>
  <c r="G166" i="3"/>
  <c r="H166" i="3"/>
  <c r="J166" i="3"/>
  <c r="K166" i="3"/>
  <c r="L166" i="3"/>
  <c r="M166" i="3"/>
  <c r="N166" i="3"/>
  <c r="E173" i="3"/>
  <c r="E170" i="3" s="1"/>
  <c r="F173" i="3"/>
  <c r="F170" i="3" s="1"/>
  <c r="G173" i="3"/>
  <c r="G170" i="3" s="1"/>
  <c r="H173" i="3"/>
  <c r="H170" i="3" s="1"/>
  <c r="J173" i="3"/>
  <c r="J170" i="3" s="1"/>
  <c r="K173" i="3"/>
  <c r="K170" i="3" s="1"/>
  <c r="L173" i="3"/>
  <c r="L170" i="3" s="1"/>
  <c r="M173" i="3"/>
  <c r="M170" i="3" s="1"/>
  <c r="N173" i="3"/>
  <c r="N170" i="3" s="1"/>
  <c r="E186" i="3"/>
  <c r="F186" i="3"/>
  <c r="G186" i="3"/>
  <c r="H186" i="3"/>
  <c r="J186" i="3"/>
  <c r="K186" i="3"/>
  <c r="L186" i="3"/>
  <c r="M186" i="3"/>
  <c r="N186" i="3"/>
  <c r="E189" i="3"/>
  <c r="F189" i="3"/>
  <c r="G189" i="3"/>
  <c r="H189" i="3"/>
  <c r="J189" i="3"/>
  <c r="K189" i="3"/>
  <c r="L189" i="3"/>
  <c r="M189" i="3"/>
  <c r="N189" i="3"/>
  <c r="E190" i="3"/>
  <c r="F190" i="3"/>
  <c r="G190" i="3"/>
  <c r="H190" i="3"/>
  <c r="J190" i="3"/>
  <c r="K190" i="3"/>
  <c r="L190" i="3"/>
  <c r="M190" i="3"/>
  <c r="N190" i="3"/>
  <c r="E191" i="3"/>
  <c r="F191" i="3"/>
  <c r="G191" i="3"/>
  <c r="H191" i="3"/>
  <c r="J191" i="3"/>
  <c r="K191" i="3"/>
  <c r="L191" i="3"/>
  <c r="M191" i="3"/>
  <c r="N191" i="3"/>
  <c r="F193" i="3"/>
  <c r="G193" i="3"/>
  <c r="H193" i="3"/>
  <c r="J193" i="3"/>
  <c r="K193" i="3"/>
  <c r="L193" i="3"/>
  <c r="M193" i="3"/>
  <c r="N193" i="3"/>
  <c r="E203" i="3"/>
  <c r="F203" i="3"/>
  <c r="G203" i="3"/>
  <c r="H203" i="3"/>
  <c r="J203" i="3"/>
  <c r="K203" i="3"/>
  <c r="L203" i="3"/>
  <c r="M203" i="3"/>
  <c r="N203" i="3"/>
  <c r="E205" i="3"/>
  <c r="F205" i="3"/>
  <c r="G205" i="3"/>
  <c r="H205" i="3"/>
  <c r="J205" i="3"/>
  <c r="K205" i="3"/>
  <c r="L205" i="3"/>
  <c r="M205" i="3"/>
  <c r="N205" i="3"/>
  <c r="E208" i="3"/>
  <c r="E207" i="3" s="1"/>
  <c r="F208" i="3"/>
  <c r="F207" i="3" s="1"/>
  <c r="G208" i="3"/>
  <c r="H208" i="3"/>
  <c r="J208" i="3"/>
  <c r="K208" i="3"/>
  <c r="K207" i="3" s="1"/>
  <c r="L208" i="3"/>
  <c r="M208" i="3"/>
  <c r="M207" i="3" s="1"/>
  <c r="N208" i="3"/>
  <c r="E211" i="3"/>
  <c r="E210" i="3" s="1"/>
  <c r="F211" i="3"/>
  <c r="F210" i="3" s="1"/>
  <c r="G211" i="3"/>
  <c r="G210" i="3" s="1"/>
  <c r="H211" i="3"/>
  <c r="H210" i="3" s="1"/>
  <c r="J211" i="3"/>
  <c r="J210" i="3" s="1"/>
  <c r="K211" i="3"/>
  <c r="K210" i="3" s="1"/>
  <c r="L211" i="3"/>
  <c r="L210" i="3" s="1"/>
  <c r="M211" i="3"/>
  <c r="M210" i="3" s="1"/>
  <c r="N211" i="3"/>
  <c r="N210" i="3" s="1"/>
  <c r="E212" i="3"/>
  <c r="F212" i="3"/>
  <c r="G212" i="3"/>
  <c r="H212" i="3"/>
  <c r="J212" i="3"/>
  <c r="K212" i="3"/>
  <c r="L212" i="3"/>
  <c r="M212" i="3"/>
  <c r="N212" i="3"/>
  <c r="D213" i="3"/>
  <c r="E213" i="3"/>
  <c r="F213" i="3"/>
  <c r="G213" i="3"/>
  <c r="H213" i="3"/>
  <c r="J213" i="3"/>
  <c r="K213" i="3"/>
  <c r="L213" i="3"/>
  <c r="M213" i="3"/>
  <c r="N213" i="3"/>
  <c r="E217" i="3"/>
  <c r="E216" i="3" s="1"/>
  <c r="E214" i="3" s="1"/>
  <c r="F217" i="3"/>
  <c r="F216" i="3" s="1"/>
  <c r="F214" i="3" s="1"/>
  <c r="G217" i="3"/>
  <c r="G216" i="3" s="1"/>
  <c r="G214" i="3" s="1"/>
  <c r="H217" i="3"/>
  <c r="H216" i="3" s="1"/>
  <c r="H214" i="3" s="1"/>
  <c r="J217" i="3"/>
  <c r="J216" i="3" s="1"/>
  <c r="J214" i="3" s="1"/>
  <c r="K217" i="3"/>
  <c r="K216" i="3" s="1"/>
  <c r="K214" i="3" s="1"/>
  <c r="L217" i="3"/>
  <c r="L216" i="3" s="1"/>
  <c r="L214" i="3" s="1"/>
  <c r="M217" i="3"/>
  <c r="M216" i="3" s="1"/>
  <c r="M214" i="3" s="1"/>
  <c r="N217" i="3"/>
  <c r="N216" i="3" s="1"/>
  <c r="N214" i="3" s="1"/>
  <c r="J74" i="1"/>
  <c r="J278" i="1"/>
  <c r="J279" i="1"/>
  <c r="J280" i="1"/>
  <c r="I208" i="3" s="1"/>
  <c r="J281" i="1"/>
  <c r="J282" i="1"/>
  <c r="I212" i="3" s="1"/>
  <c r="J283" i="1"/>
  <c r="I213" i="3" s="1"/>
  <c r="J284" i="1"/>
  <c r="I217" i="3" s="1"/>
  <c r="I216" i="3" s="1"/>
  <c r="J277" i="1"/>
  <c r="J267" i="1"/>
  <c r="I153" i="3" s="1"/>
  <c r="I152" i="3" s="1"/>
  <c r="J268" i="1"/>
  <c r="J269" i="1"/>
  <c r="I189" i="3" s="1"/>
  <c r="J270" i="1"/>
  <c r="I190" i="3" s="1"/>
  <c r="J271" i="1"/>
  <c r="J266" i="1"/>
  <c r="J263" i="1"/>
  <c r="J240" i="1"/>
  <c r="J241" i="1"/>
  <c r="I146" i="3" s="1"/>
  <c r="J242" i="1"/>
  <c r="J243" i="1"/>
  <c r="I157" i="3" s="1"/>
  <c r="J244" i="1"/>
  <c r="I158" i="3" s="1"/>
  <c r="J246" i="1"/>
  <c r="J257" i="1"/>
  <c r="J258" i="1"/>
  <c r="J260" i="1"/>
  <c r="J239" i="1"/>
  <c r="J235" i="1"/>
  <c r="J206" i="1"/>
  <c r="J207" i="1"/>
  <c r="J208" i="1"/>
  <c r="I139" i="3" s="1"/>
  <c r="J209" i="1"/>
  <c r="I140" i="3" s="1"/>
  <c r="J210" i="1"/>
  <c r="I141" i="3" s="1"/>
  <c r="J211" i="1"/>
  <c r="J212" i="1"/>
  <c r="J213" i="1"/>
  <c r="J214" i="1"/>
  <c r="J215" i="1"/>
  <c r="J218" i="1"/>
  <c r="I166" i="3" s="1"/>
  <c r="J225" i="1"/>
  <c r="J226" i="1"/>
  <c r="J231" i="1"/>
  <c r="J232" i="1"/>
  <c r="J204" i="1"/>
  <c r="J191" i="1"/>
  <c r="I125" i="3" s="1"/>
  <c r="J192" i="1"/>
  <c r="J193" i="1"/>
  <c r="J194" i="1"/>
  <c r="J196" i="1"/>
  <c r="J189" i="1"/>
  <c r="J183" i="1"/>
  <c r="I102" i="3" s="1"/>
  <c r="J184" i="1"/>
  <c r="I103" i="3" s="1"/>
  <c r="J182" i="1"/>
  <c r="J150" i="1"/>
  <c r="J151" i="1"/>
  <c r="J153" i="1"/>
  <c r="I95" i="3" s="1"/>
  <c r="J154" i="1"/>
  <c r="J155" i="1"/>
  <c r="I97" i="3" s="1"/>
  <c r="J157" i="1"/>
  <c r="I99" i="3" s="1"/>
  <c r="J159" i="1"/>
  <c r="I101" i="3" s="1"/>
  <c r="J160" i="1"/>
  <c r="I107" i="3" s="1"/>
  <c r="J161" i="1"/>
  <c r="I108" i="3" s="1"/>
  <c r="J163" i="1"/>
  <c r="I110" i="3" s="1"/>
  <c r="J165" i="1"/>
  <c r="I112" i="3" s="1"/>
  <c r="J166" i="1"/>
  <c r="I113" i="3" s="1"/>
  <c r="J167" i="1"/>
  <c r="I114" i="3" s="1"/>
  <c r="J168" i="1"/>
  <c r="I115" i="3" s="1"/>
  <c r="J169" i="1"/>
  <c r="J174" i="1"/>
  <c r="J175" i="1"/>
  <c r="J178" i="1"/>
  <c r="J147" i="1"/>
  <c r="J118" i="1"/>
  <c r="J123" i="1"/>
  <c r="J125" i="1"/>
  <c r="I78" i="3" s="1"/>
  <c r="J127" i="1"/>
  <c r="I80" i="3" s="1"/>
  <c r="J129" i="1"/>
  <c r="I82" i="3" s="1"/>
  <c r="J132" i="1"/>
  <c r="I85" i="3" s="1"/>
  <c r="J133" i="1"/>
  <c r="I86" i="3" s="1"/>
  <c r="J117" i="1"/>
  <c r="J77" i="1"/>
  <c r="I44" i="3" s="1"/>
  <c r="J80" i="1"/>
  <c r="I47" i="3" s="1"/>
  <c r="J87" i="1"/>
  <c r="I54" i="3" s="1"/>
  <c r="J90" i="1"/>
  <c r="I58" i="3" s="1"/>
  <c r="J91" i="1"/>
  <c r="I59" i="3" s="1"/>
  <c r="J93" i="1"/>
  <c r="I61" i="3" s="1"/>
  <c r="J94" i="1"/>
  <c r="I62" i="3" s="1"/>
  <c r="J73" i="1"/>
  <c r="J26" i="1"/>
  <c r="J27" i="1"/>
  <c r="J28" i="1"/>
  <c r="I104" i="3" s="1"/>
  <c r="J29" i="1"/>
  <c r="I105" i="3" s="1"/>
  <c r="J30" i="1"/>
  <c r="I106" i="3" s="1"/>
  <c r="J31" i="1"/>
  <c r="J32" i="1"/>
  <c r="J33" i="1"/>
  <c r="J34" i="1"/>
  <c r="J35" i="1"/>
  <c r="J36" i="1"/>
  <c r="I130" i="3" s="1"/>
  <c r="J37" i="1"/>
  <c r="I131" i="3" s="1"/>
  <c r="J38" i="1"/>
  <c r="I132" i="3" s="1"/>
  <c r="J39" i="1"/>
  <c r="I133" i="3" s="1"/>
  <c r="J40" i="1"/>
  <c r="I134" i="3" s="1"/>
  <c r="J41" i="1"/>
  <c r="I135" i="3" s="1"/>
  <c r="I173" i="3"/>
  <c r="I170" i="3" s="1"/>
  <c r="J48" i="1"/>
  <c r="J49" i="1"/>
  <c r="J50" i="1"/>
  <c r="J51" i="1"/>
  <c r="I193" i="3" s="1"/>
  <c r="J52" i="1"/>
  <c r="J53" i="1"/>
  <c r="J54" i="1"/>
  <c r="I202" i="3" s="1"/>
  <c r="J55" i="1"/>
  <c r="I203" i="3" s="1"/>
  <c r="J57" i="1"/>
  <c r="J58" i="1"/>
  <c r="J59" i="1"/>
  <c r="I211" i="3" s="1"/>
  <c r="I210" i="3" s="1"/>
  <c r="J21" i="1"/>
  <c r="J199" i="1" l="1"/>
  <c r="I224" i="3"/>
  <c r="I222" i="3" s="1"/>
  <c r="I214" i="3" s="1"/>
  <c r="I33" i="3"/>
  <c r="I209" i="3"/>
  <c r="I207" i="3" s="1"/>
  <c r="I122" i="3"/>
  <c r="M184" i="3"/>
  <c r="M148" i="3" s="1"/>
  <c r="K184" i="3"/>
  <c r="K148" i="3" s="1"/>
  <c r="H184" i="3"/>
  <c r="H148" i="3" s="1"/>
  <c r="F184" i="3"/>
  <c r="F148" i="3" s="1"/>
  <c r="N136" i="3"/>
  <c r="L136" i="3"/>
  <c r="J136" i="3"/>
  <c r="G136" i="3"/>
  <c r="M87" i="3"/>
  <c r="K87" i="3"/>
  <c r="G87" i="3"/>
  <c r="N184" i="3"/>
  <c r="N148" i="3" s="1"/>
  <c r="L184" i="3"/>
  <c r="L148" i="3" s="1"/>
  <c r="J184" i="3"/>
  <c r="J148" i="3" s="1"/>
  <c r="G184" i="3"/>
  <c r="G148" i="3" s="1"/>
  <c r="M136" i="3"/>
  <c r="K136" i="3"/>
  <c r="H136" i="3"/>
  <c r="F136" i="3"/>
  <c r="L87" i="3"/>
  <c r="H87" i="3"/>
  <c r="F87" i="3"/>
  <c r="J256" i="1"/>
  <c r="J255" i="1" s="1"/>
  <c r="H66" i="3"/>
  <c r="M66" i="3"/>
  <c r="K66" i="3"/>
  <c r="L66" i="3"/>
  <c r="F66" i="3"/>
  <c r="G66" i="3"/>
  <c r="E66" i="3"/>
  <c r="N66" i="3"/>
  <c r="J66" i="3"/>
  <c r="J180" i="1"/>
  <c r="I183" i="3"/>
  <c r="I182" i="3" s="1"/>
  <c r="I162" i="3"/>
  <c r="I71" i="3"/>
  <c r="I92" i="3"/>
  <c r="I76" i="3"/>
  <c r="I206" i="3"/>
  <c r="I205" i="3" s="1"/>
  <c r="I142" i="3"/>
  <c r="I138" i="3"/>
  <c r="I147" i="3"/>
  <c r="J276" i="1"/>
  <c r="I195" i="3"/>
  <c r="J265" i="1"/>
  <c r="J251" i="1"/>
  <c r="J237" i="1" s="1"/>
  <c r="I128" i="3"/>
  <c r="I126" i="3"/>
  <c r="I191" i="3"/>
  <c r="I127" i="3"/>
  <c r="E134" i="3"/>
  <c r="E129" i="3" s="1"/>
  <c r="I156" i="3"/>
  <c r="L200" i="3"/>
  <c r="J200" i="3"/>
  <c r="G200" i="3"/>
  <c r="I93" i="3"/>
  <c r="I186" i="3"/>
  <c r="I129" i="3"/>
  <c r="I116" i="3"/>
  <c r="N200" i="3"/>
  <c r="H200" i="3"/>
  <c r="M200" i="3"/>
  <c r="M198" i="3" s="1"/>
  <c r="K200" i="3"/>
  <c r="K198" i="3" s="1"/>
  <c r="F200" i="3"/>
  <c r="F198" i="3" s="1"/>
  <c r="E200" i="3"/>
  <c r="E198" i="3" s="1"/>
  <c r="I143" i="3"/>
  <c r="I200" i="3"/>
  <c r="M129" i="3"/>
  <c r="F129" i="3"/>
  <c r="I121" i="3"/>
  <c r="I96" i="3"/>
  <c r="N207" i="3"/>
  <c r="L207" i="3"/>
  <c r="J207" i="3"/>
  <c r="H207" i="3"/>
  <c r="G207" i="3"/>
  <c r="K129" i="3"/>
  <c r="L124" i="3"/>
  <c r="H124" i="3"/>
  <c r="N124" i="3"/>
  <c r="J124" i="3"/>
  <c r="G124" i="3"/>
  <c r="M124" i="3"/>
  <c r="K124" i="3"/>
  <c r="F124" i="3"/>
  <c r="E124" i="3"/>
  <c r="N129" i="3"/>
  <c r="L129" i="3"/>
  <c r="J129" i="3"/>
  <c r="H129" i="3"/>
  <c r="G129" i="3"/>
  <c r="J228" i="1"/>
  <c r="M226" i="3" l="1"/>
  <c r="F226" i="3"/>
  <c r="K226" i="3"/>
  <c r="I154" i="3"/>
  <c r="I136" i="3"/>
  <c r="I194" i="3"/>
  <c r="I17" i="3"/>
  <c r="I66" i="3"/>
  <c r="I124" i="3"/>
  <c r="L198" i="3"/>
  <c r="G198" i="3"/>
  <c r="N198" i="3"/>
  <c r="J198" i="3"/>
  <c r="I198" i="3"/>
  <c r="H198" i="3"/>
  <c r="E280" i="1"/>
  <c r="D208" i="3" s="1"/>
  <c r="D280" i="1"/>
  <c r="B280" i="1"/>
  <c r="H226" i="3" l="1"/>
  <c r="L226" i="3"/>
  <c r="G226" i="3"/>
  <c r="E147" i="3"/>
  <c r="E136" i="3" s="1"/>
  <c r="E193" i="3"/>
  <c r="J138" i="1"/>
  <c r="P280" i="1"/>
  <c r="O208" i="3" s="1"/>
  <c r="J110" i="1" l="1"/>
  <c r="J109" i="1" s="1"/>
  <c r="I187" i="3"/>
  <c r="I184" i="3" s="1"/>
  <c r="I148" i="3" s="1"/>
  <c r="E184" i="3"/>
  <c r="E148" i="3" s="1"/>
  <c r="E218" i="1" l="1"/>
  <c r="C218" i="1"/>
  <c r="D218" i="1"/>
  <c r="B218" i="1"/>
  <c r="D166" i="3" l="1"/>
  <c r="P218" i="1"/>
  <c r="O166" i="3" s="1"/>
  <c r="E112" i="3" l="1"/>
  <c r="E87" i="3" s="1"/>
  <c r="E226" i="3" l="1"/>
  <c r="J75" i="1"/>
  <c r="J62" i="1" s="1"/>
  <c r="I35" i="3" l="1"/>
  <c r="I24" i="3" s="1"/>
  <c r="J188" i="1"/>
  <c r="D52" i="1"/>
  <c r="D260" i="1"/>
  <c r="D228" i="1"/>
  <c r="C192" i="1"/>
  <c r="B192" i="1"/>
  <c r="D183" i="1"/>
  <c r="P283" i="1"/>
  <c r="O213" i="3" s="1"/>
  <c r="E278" i="1"/>
  <c r="E279" i="1"/>
  <c r="E281" i="1"/>
  <c r="E282" i="1"/>
  <c r="D212" i="3" s="1"/>
  <c r="E284" i="1"/>
  <c r="D217" i="3" s="1"/>
  <c r="D216" i="3" s="1"/>
  <c r="E277" i="1"/>
  <c r="K275" i="1"/>
  <c r="L275" i="1"/>
  <c r="M275" i="1"/>
  <c r="N275" i="1"/>
  <c r="O275" i="1"/>
  <c r="F275" i="1"/>
  <c r="G275" i="1"/>
  <c r="H275" i="1"/>
  <c r="I275" i="1"/>
  <c r="E267" i="1"/>
  <c r="D153" i="3" s="1"/>
  <c r="D152" i="3" s="1"/>
  <c r="E268" i="1"/>
  <c r="E269" i="1"/>
  <c r="D189" i="3" s="1"/>
  <c r="E270" i="1"/>
  <c r="D190" i="3" s="1"/>
  <c r="E271" i="1"/>
  <c r="E266" i="1"/>
  <c r="K264" i="1"/>
  <c r="L264" i="1"/>
  <c r="M264" i="1"/>
  <c r="N264" i="1"/>
  <c r="O264" i="1"/>
  <c r="F264" i="1"/>
  <c r="G264" i="1"/>
  <c r="H264" i="1"/>
  <c r="I264" i="1"/>
  <c r="J262" i="1"/>
  <c r="J261" i="1" s="1"/>
  <c r="E263" i="1"/>
  <c r="E262" i="1" s="1"/>
  <c r="E261" i="1" s="1"/>
  <c r="K262" i="1"/>
  <c r="K261" i="1" s="1"/>
  <c r="L262" i="1"/>
  <c r="L261" i="1" s="1"/>
  <c r="M262" i="1"/>
  <c r="M261" i="1" s="1"/>
  <c r="N262" i="1"/>
  <c r="N261" i="1" s="1"/>
  <c r="O262" i="1"/>
  <c r="O261" i="1" s="1"/>
  <c r="F262" i="1"/>
  <c r="F261" i="1" s="1"/>
  <c r="G262" i="1"/>
  <c r="G261" i="1" s="1"/>
  <c r="H262" i="1"/>
  <c r="H261" i="1" s="1"/>
  <c r="I262" i="1"/>
  <c r="I261" i="1" s="1"/>
  <c r="E258" i="1"/>
  <c r="E260" i="1"/>
  <c r="E257" i="1"/>
  <c r="K255" i="1"/>
  <c r="L255" i="1"/>
  <c r="M255" i="1"/>
  <c r="N255" i="1"/>
  <c r="O255" i="1"/>
  <c r="F255" i="1"/>
  <c r="G255" i="1"/>
  <c r="H255" i="1"/>
  <c r="I255" i="1"/>
  <c r="E240" i="1"/>
  <c r="E241" i="1"/>
  <c r="D146" i="3" s="1"/>
  <c r="E242" i="1"/>
  <c r="E243" i="1"/>
  <c r="D157" i="3" s="1"/>
  <c r="E244" i="1"/>
  <c r="D158" i="3" s="1"/>
  <c r="E246" i="1"/>
  <c r="E251" i="1"/>
  <c r="E239" i="1"/>
  <c r="K236" i="1"/>
  <c r="M236" i="1"/>
  <c r="N236" i="1"/>
  <c r="O236" i="1"/>
  <c r="F236" i="1"/>
  <c r="G236" i="1"/>
  <c r="H236" i="1"/>
  <c r="I236" i="1"/>
  <c r="J234" i="1"/>
  <c r="J233" i="1" s="1"/>
  <c r="E235" i="1"/>
  <c r="E234" i="1" s="1"/>
  <c r="E233" i="1" s="1"/>
  <c r="K234" i="1"/>
  <c r="K233" i="1" s="1"/>
  <c r="L234" i="1"/>
  <c r="L233" i="1" s="1"/>
  <c r="M234" i="1"/>
  <c r="M233" i="1" s="1"/>
  <c r="N234" i="1"/>
  <c r="N233" i="1" s="1"/>
  <c r="O234" i="1"/>
  <c r="O233" i="1" s="1"/>
  <c r="F234" i="1"/>
  <c r="F233" i="1" s="1"/>
  <c r="G234" i="1"/>
  <c r="G233" i="1" s="1"/>
  <c r="H234" i="1"/>
  <c r="H233" i="1" s="1"/>
  <c r="I234" i="1"/>
  <c r="I233" i="1" s="1"/>
  <c r="E206" i="1"/>
  <c r="E207" i="1"/>
  <c r="D138" i="3" s="1"/>
  <c r="E208" i="1"/>
  <c r="E209" i="1"/>
  <c r="D140" i="3" s="1"/>
  <c r="E210" i="1"/>
  <c r="E211" i="1"/>
  <c r="E212" i="1"/>
  <c r="E213" i="1"/>
  <c r="E214" i="1"/>
  <c r="E215" i="1"/>
  <c r="P215" i="1" s="1"/>
  <c r="E225" i="1"/>
  <c r="E226" i="1"/>
  <c r="P226" i="1" s="1"/>
  <c r="E228" i="1"/>
  <c r="P228" i="1" s="1"/>
  <c r="E231" i="1"/>
  <c r="P231" i="1" s="1"/>
  <c r="E232" i="1"/>
  <c r="E204" i="1"/>
  <c r="K198" i="1"/>
  <c r="K285" i="1" s="1"/>
  <c r="L198" i="1"/>
  <c r="L285" i="1" s="1"/>
  <c r="L289" i="1" s="1"/>
  <c r="M198" i="1"/>
  <c r="M285" i="1" s="1"/>
  <c r="M289" i="1" s="1"/>
  <c r="N198" i="1"/>
  <c r="N285" i="1" s="1"/>
  <c r="N289" i="1" s="1"/>
  <c r="O198" i="1"/>
  <c r="O285" i="1" s="1"/>
  <c r="F198" i="1"/>
  <c r="G198" i="1"/>
  <c r="G285" i="1" s="1"/>
  <c r="G289" i="1" s="1"/>
  <c r="H198" i="1"/>
  <c r="H285" i="1" s="1"/>
  <c r="H289" i="1" s="1"/>
  <c r="I198" i="1"/>
  <c r="I285" i="1" s="1"/>
  <c r="I289" i="1" s="1"/>
  <c r="E191" i="1"/>
  <c r="D125" i="3" s="1"/>
  <c r="E192" i="1"/>
  <c r="E193" i="1"/>
  <c r="E194" i="1"/>
  <c r="E196" i="1"/>
  <c r="E189" i="1"/>
  <c r="K187" i="1"/>
  <c r="L187" i="1"/>
  <c r="M187" i="1"/>
  <c r="N187" i="1"/>
  <c r="F187" i="1"/>
  <c r="G187" i="1"/>
  <c r="H187" i="1"/>
  <c r="I187" i="1"/>
  <c r="E183" i="1"/>
  <c r="D102" i="3" s="1"/>
  <c r="E184" i="1"/>
  <c r="D103" i="3" s="1"/>
  <c r="E182" i="1"/>
  <c r="K179" i="1"/>
  <c r="L179" i="1"/>
  <c r="M179" i="1"/>
  <c r="N179" i="1"/>
  <c r="O179" i="1"/>
  <c r="F179" i="1"/>
  <c r="G179" i="1"/>
  <c r="H179" i="1"/>
  <c r="I179" i="1"/>
  <c r="E149" i="1"/>
  <c r="D91" i="3" s="1"/>
  <c r="E150" i="1"/>
  <c r="E151" i="1"/>
  <c r="E153" i="1"/>
  <c r="D95" i="3" s="1"/>
  <c r="E154" i="1"/>
  <c r="E155" i="1"/>
  <c r="D97" i="3" s="1"/>
  <c r="E157" i="1"/>
  <c r="D99" i="3" s="1"/>
  <c r="E159" i="1"/>
  <c r="E160" i="1"/>
  <c r="D107" i="3" s="1"/>
  <c r="E161" i="1"/>
  <c r="E163" i="1"/>
  <c r="D110" i="3" s="1"/>
  <c r="E165" i="1"/>
  <c r="D112" i="3" s="1"/>
  <c r="E166" i="1"/>
  <c r="D113" i="3" s="1"/>
  <c r="E167" i="1"/>
  <c r="D114" i="3" s="1"/>
  <c r="E168" i="1"/>
  <c r="D115" i="3" s="1"/>
  <c r="E169" i="1"/>
  <c r="E174" i="1"/>
  <c r="E175" i="1"/>
  <c r="E178" i="1"/>
  <c r="E147" i="1"/>
  <c r="L142" i="1"/>
  <c r="M142" i="1"/>
  <c r="N142" i="1"/>
  <c r="F142" i="1"/>
  <c r="G142" i="1"/>
  <c r="H142" i="1"/>
  <c r="I142" i="1"/>
  <c r="E118" i="1"/>
  <c r="E123" i="1"/>
  <c r="E125" i="1"/>
  <c r="D78" i="3" s="1"/>
  <c r="E127" i="1"/>
  <c r="D80" i="3" s="1"/>
  <c r="E129" i="1"/>
  <c r="D82" i="3" s="1"/>
  <c r="E132" i="1"/>
  <c r="D85" i="3" s="1"/>
  <c r="D86" i="3"/>
  <c r="E138" i="1"/>
  <c r="E117" i="1"/>
  <c r="K61" i="1"/>
  <c r="L61" i="1"/>
  <c r="M61" i="1"/>
  <c r="N61" i="1"/>
  <c r="O61" i="1"/>
  <c r="F61" i="1"/>
  <c r="G61" i="1"/>
  <c r="H61" i="1"/>
  <c r="I61" i="1"/>
  <c r="E74" i="1"/>
  <c r="D33" i="3" s="1"/>
  <c r="E75" i="1"/>
  <c r="E77" i="1"/>
  <c r="D44" i="3" s="1"/>
  <c r="E80" i="1"/>
  <c r="D47" i="3" s="1"/>
  <c r="E87" i="1"/>
  <c r="D54" i="3" s="1"/>
  <c r="E90" i="1"/>
  <c r="D58" i="3" s="1"/>
  <c r="E91" i="1"/>
  <c r="D59" i="3" s="1"/>
  <c r="E93" i="1"/>
  <c r="D61" i="3" s="1"/>
  <c r="E94" i="1"/>
  <c r="D62" i="3" s="1"/>
  <c r="E73" i="1"/>
  <c r="E23" i="1"/>
  <c r="D21" i="3" s="1"/>
  <c r="E26" i="1"/>
  <c r="E27" i="1"/>
  <c r="E28" i="1"/>
  <c r="D104" i="3" s="1"/>
  <c r="E29" i="1"/>
  <c r="D105" i="3" s="1"/>
  <c r="E30" i="1"/>
  <c r="D106" i="3" s="1"/>
  <c r="E31" i="1"/>
  <c r="E32" i="1"/>
  <c r="E33" i="1"/>
  <c r="E34" i="1"/>
  <c r="E35" i="1"/>
  <c r="E36" i="1"/>
  <c r="D130" i="3" s="1"/>
  <c r="E37" i="1"/>
  <c r="D131" i="3" s="1"/>
  <c r="E38" i="1"/>
  <c r="D132" i="3" s="1"/>
  <c r="E39" i="1"/>
  <c r="D133" i="3" s="1"/>
  <c r="E40" i="1"/>
  <c r="E41" i="1"/>
  <c r="D135" i="3" s="1"/>
  <c r="E44" i="1"/>
  <c r="D173" i="3" s="1"/>
  <c r="D170" i="3" s="1"/>
  <c r="E48" i="1"/>
  <c r="E49" i="1"/>
  <c r="E50" i="1"/>
  <c r="E51" i="1"/>
  <c r="D193" i="3" s="1"/>
  <c r="E52" i="1"/>
  <c r="E53" i="1"/>
  <c r="E54" i="1"/>
  <c r="D202" i="3" s="1"/>
  <c r="E55" i="1"/>
  <c r="D203" i="3" s="1"/>
  <c r="E57" i="1"/>
  <c r="E58" i="1"/>
  <c r="E59" i="1"/>
  <c r="D211" i="3" s="1"/>
  <c r="D210" i="3" s="1"/>
  <c r="E21" i="1"/>
  <c r="K17" i="1"/>
  <c r="M17" i="1"/>
  <c r="N17" i="1"/>
  <c r="O17" i="1"/>
  <c r="F17" i="1"/>
  <c r="G17" i="1"/>
  <c r="H17" i="1"/>
  <c r="I17" i="1"/>
  <c r="L17" i="1"/>
  <c r="F285" i="1" l="1"/>
  <c r="F289" i="1" s="1"/>
  <c r="E199" i="1"/>
  <c r="E198" i="1" s="1"/>
  <c r="E285" i="1" s="1"/>
  <c r="E61" i="1"/>
  <c r="D224" i="3"/>
  <c r="D222" i="3" s="1"/>
  <c r="D214" i="3" s="1"/>
  <c r="D101" i="3"/>
  <c r="E143" i="1"/>
  <c r="E237" i="1"/>
  <c r="E110" i="1"/>
  <c r="E109" i="1" s="1"/>
  <c r="D35" i="3"/>
  <c r="D24" i="3" s="1"/>
  <c r="D209" i="3"/>
  <c r="D207" i="3" s="1"/>
  <c r="D187" i="3"/>
  <c r="D122" i="3"/>
  <c r="D194" i="3"/>
  <c r="E188" i="1"/>
  <c r="E187" i="1" s="1"/>
  <c r="E256" i="1"/>
  <c r="E255" i="1" s="1"/>
  <c r="E17" i="1"/>
  <c r="D134" i="3"/>
  <c r="E180" i="1"/>
  <c r="E179" i="1" s="1"/>
  <c r="E236" i="1"/>
  <c r="D183" i="3"/>
  <c r="D182" i="3" s="1"/>
  <c r="E142" i="1"/>
  <c r="D17" i="3"/>
  <c r="D162" i="3"/>
  <c r="P175" i="1"/>
  <c r="D71" i="3"/>
  <c r="P206" i="1"/>
  <c r="D92" i="3"/>
  <c r="D76" i="3"/>
  <c r="D141" i="3"/>
  <c r="D206" i="3"/>
  <c r="D205" i="3" s="1"/>
  <c r="D142" i="3"/>
  <c r="D147" i="3"/>
  <c r="E276" i="1"/>
  <c r="E275" i="1" s="1"/>
  <c r="D195" i="3"/>
  <c r="P232" i="1"/>
  <c r="D139" i="3"/>
  <c r="E265" i="1"/>
  <c r="E264" i="1" s="1"/>
  <c r="D143" i="3"/>
  <c r="D191" i="3"/>
  <c r="D108" i="3"/>
  <c r="D186" i="3"/>
  <c r="P204" i="1"/>
  <c r="O187" i="1"/>
  <c r="D127" i="3"/>
  <c r="D116" i="3"/>
  <c r="D156" i="3"/>
  <c r="D128" i="3"/>
  <c r="D126" i="3"/>
  <c r="J187" i="1"/>
  <c r="D200" i="3"/>
  <c r="P178" i="1"/>
  <c r="O224" i="3" s="1"/>
  <c r="D121" i="3"/>
  <c r="D96" i="3"/>
  <c r="D93" i="3"/>
  <c r="P21" i="1"/>
  <c r="P58" i="1"/>
  <c r="P55" i="1"/>
  <c r="O203" i="3" s="1"/>
  <c r="P53" i="1"/>
  <c r="P51" i="1"/>
  <c r="O193" i="3" s="1"/>
  <c r="P49" i="1"/>
  <c r="P94" i="1"/>
  <c r="O62" i="3" s="1"/>
  <c r="P93" i="1"/>
  <c r="O61" i="3" s="1"/>
  <c r="P91" i="1"/>
  <c r="O59" i="3" s="1"/>
  <c r="P80" i="1"/>
  <c r="O47" i="3" s="1"/>
  <c r="P77" i="1"/>
  <c r="O44" i="3" s="1"/>
  <c r="P75" i="1"/>
  <c r="P117" i="1"/>
  <c r="P168" i="1"/>
  <c r="O115" i="3" s="1"/>
  <c r="P166" i="1"/>
  <c r="O113" i="3" s="1"/>
  <c r="P163" i="1"/>
  <c r="O110" i="3" s="1"/>
  <c r="P160" i="1"/>
  <c r="O107" i="3" s="1"/>
  <c r="P157" i="1"/>
  <c r="O99" i="3" s="1"/>
  <c r="P154" i="1"/>
  <c r="P151" i="1"/>
  <c r="P213" i="1"/>
  <c r="P211" i="1"/>
  <c r="P208" i="1"/>
  <c r="O139" i="3" s="1"/>
  <c r="P243" i="1"/>
  <c r="O157" i="3" s="1"/>
  <c r="P284" i="1"/>
  <c r="O217" i="3" s="1"/>
  <c r="O216" i="3" s="1"/>
  <c r="P59" i="1"/>
  <c r="O211" i="3" s="1"/>
  <c r="O210" i="3" s="1"/>
  <c r="P57" i="1"/>
  <c r="P54" i="1"/>
  <c r="O202" i="3" s="1"/>
  <c r="P52" i="1"/>
  <c r="P50" i="1"/>
  <c r="O191" i="3" s="1"/>
  <c r="P48" i="1"/>
  <c r="P90" i="1"/>
  <c r="O58" i="3" s="1"/>
  <c r="P87" i="1"/>
  <c r="O54" i="3" s="1"/>
  <c r="P147" i="1"/>
  <c r="P169" i="1"/>
  <c r="P167" i="1"/>
  <c r="O114" i="3" s="1"/>
  <c r="P165" i="1"/>
  <c r="O112" i="3" s="1"/>
  <c r="P161" i="1"/>
  <c r="O108" i="3" s="1"/>
  <c r="P159" i="1"/>
  <c r="O101" i="3" s="1"/>
  <c r="P155" i="1"/>
  <c r="O97" i="3" s="1"/>
  <c r="P153" i="1"/>
  <c r="O95" i="3" s="1"/>
  <c r="P150" i="1"/>
  <c r="P212" i="1"/>
  <c r="P210" i="1"/>
  <c r="P209" i="1"/>
  <c r="O140" i="3" s="1"/>
  <c r="P244" i="1"/>
  <c r="O158" i="3" s="1"/>
  <c r="P277" i="1"/>
  <c r="J198" i="1"/>
  <c r="J285" i="1" s="1"/>
  <c r="P225" i="1"/>
  <c r="P257" i="1"/>
  <c r="P258" i="1"/>
  <c r="P269" i="1"/>
  <c r="O189" i="3" s="1"/>
  <c r="J264" i="1"/>
  <c r="P281" i="1"/>
  <c r="P278" i="1"/>
  <c r="P184" i="1"/>
  <c r="O103" i="3" s="1"/>
  <c r="P183" i="1"/>
  <c r="O102" i="3" s="1"/>
  <c r="P44" i="1"/>
  <c r="O173" i="3" s="1"/>
  <c r="O170" i="3" s="1"/>
  <c r="P38" i="1"/>
  <c r="O132" i="3" s="1"/>
  <c r="P36" i="1"/>
  <c r="O130" i="3" s="1"/>
  <c r="P34" i="1"/>
  <c r="P32" i="1"/>
  <c r="P30" i="1"/>
  <c r="O106" i="3" s="1"/>
  <c r="P28" i="1"/>
  <c r="O104" i="3" s="1"/>
  <c r="P26" i="1"/>
  <c r="P189" i="1"/>
  <c r="P251" i="1"/>
  <c r="P263" i="1"/>
  <c r="P262" i="1" s="1"/>
  <c r="P261" i="1" s="1"/>
  <c r="P270" i="1"/>
  <c r="O190" i="3" s="1"/>
  <c r="P268" i="1"/>
  <c r="P267" i="1"/>
  <c r="O153" i="3" s="1"/>
  <c r="O152" i="3" s="1"/>
  <c r="P271" i="1"/>
  <c r="P214" i="1"/>
  <c r="P41" i="1"/>
  <c r="O135" i="3" s="1"/>
  <c r="P39" i="1"/>
  <c r="O133" i="3" s="1"/>
  <c r="P37" i="1"/>
  <c r="O131" i="3" s="1"/>
  <c r="P35" i="1"/>
  <c r="P31" i="1"/>
  <c r="P29" i="1"/>
  <c r="O105" i="3" s="1"/>
  <c r="P27" i="1"/>
  <c r="P138" i="1"/>
  <c r="P133" i="1"/>
  <c r="O86" i="3" s="1"/>
  <c r="P132" i="1"/>
  <c r="O85" i="3" s="1"/>
  <c r="P129" i="1"/>
  <c r="O82" i="3" s="1"/>
  <c r="P127" i="1"/>
  <c r="O80" i="3" s="1"/>
  <c r="P125" i="1"/>
  <c r="O78" i="3" s="1"/>
  <c r="P123" i="1"/>
  <c r="P118" i="1"/>
  <c r="J179" i="1"/>
  <c r="P194" i="1"/>
  <c r="P196" i="1"/>
  <c r="P191" i="1"/>
  <c r="P246" i="1"/>
  <c r="O162" i="3" s="1"/>
  <c r="P242" i="1"/>
  <c r="P23" i="1"/>
  <c r="O21" i="3" s="1"/>
  <c r="P33" i="1"/>
  <c r="P207" i="1"/>
  <c r="O138" i="3" s="1"/>
  <c r="P260" i="1"/>
  <c r="P40" i="1"/>
  <c r="O134" i="3" s="1"/>
  <c r="P74" i="1"/>
  <c r="O33" i="3" s="1"/>
  <c r="P182" i="1"/>
  <c r="P193" i="1"/>
  <c r="P192" i="1"/>
  <c r="P279" i="1"/>
  <c r="P239" i="1"/>
  <c r="P240" i="1"/>
  <c r="P282" i="1"/>
  <c r="O212" i="3" s="1"/>
  <c r="J275" i="1"/>
  <c r="J61" i="1"/>
  <c r="P266" i="1"/>
  <c r="P235" i="1"/>
  <c r="P234" i="1" s="1"/>
  <c r="P233" i="1" s="1"/>
  <c r="P73" i="1"/>
  <c r="J17" i="1"/>
  <c r="P174" i="1"/>
  <c r="O17" i="3" l="1"/>
  <c r="P199" i="1"/>
  <c r="P62" i="1"/>
  <c r="P61" i="1" s="1"/>
  <c r="D154" i="3"/>
  <c r="O222" i="3"/>
  <c r="O214" i="3" s="1"/>
  <c r="O122" i="3"/>
  <c r="O35" i="3"/>
  <c r="O24" i="3" s="1"/>
  <c r="D66" i="3"/>
  <c r="O187" i="3"/>
  <c r="O209" i="3"/>
  <c r="O207" i="3" s="1"/>
  <c r="D87" i="3"/>
  <c r="D136" i="3"/>
  <c r="D184" i="3"/>
  <c r="P256" i="1"/>
  <c r="P188" i="1"/>
  <c r="O194" i="3"/>
  <c r="D129" i="3"/>
  <c r="P110" i="1"/>
  <c r="P109" i="1" s="1"/>
  <c r="P180" i="1"/>
  <c r="O183" i="3"/>
  <c r="O182" i="3" s="1"/>
  <c r="O125" i="3"/>
  <c r="O116" i="3"/>
  <c r="O71" i="3"/>
  <c r="O92" i="3"/>
  <c r="O76" i="3"/>
  <c r="O141" i="3"/>
  <c r="O206" i="3"/>
  <c r="O205" i="3" s="1"/>
  <c r="O142" i="3"/>
  <c r="O195" i="3"/>
  <c r="O147" i="3"/>
  <c r="P276" i="1"/>
  <c r="P265" i="1"/>
  <c r="O156" i="3"/>
  <c r="O154" i="3" s="1"/>
  <c r="O121" i="3"/>
  <c r="D198" i="3"/>
  <c r="D124" i="3"/>
  <c r="O186" i="3"/>
  <c r="O200" i="3"/>
  <c r="O143" i="3"/>
  <c r="O128" i="3"/>
  <c r="O127" i="3"/>
  <c r="O96" i="3"/>
  <c r="O129" i="3"/>
  <c r="O126" i="3"/>
  <c r="O93" i="3"/>
  <c r="L236" i="1"/>
  <c r="D148" i="3" l="1"/>
  <c r="D226" i="3" s="1"/>
  <c r="O184" i="3"/>
  <c r="O148" i="3" s="1"/>
  <c r="O66" i="3"/>
  <c r="O198" i="3"/>
  <c r="O124" i="3"/>
  <c r="P241" i="1"/>
  <c r="P237" i="1" s="1"/>
  <c r="J236" i="1"/>
  <c r="E289" i="1" l="1"/>
  <c r="O146" i="3"/>
  <c r="O136" i="3" s="1"/>
  <c r="J91" i="3" l="1"/>
  <c r="J87" i="3" s="1"/>
  <c r="K142" i="1"/>
  <c r="N91" i="3"/>
  <c r="N87" i="3" s="1"/>
  <c r="O142" i="1"/>
  <c r="J149" i="1"/>
  <c r="J143" i="1" s="1"/>
  <c r="N226" i="3" l="1"/>
  <c r="O289" i="1" s="1"/>
  <c r="J226" i="3"/>
  <c r="K289" i="1" s="1"/>
  <c r="I91" i="3"/>
  <c r="I87" i="3" s="1"/>
  <c r="P149" i="1"/>
  <c r="P143" i="1" s="1"/>
  <c r="P17" i="1"/>
  <c r="P255" i="1"/>
  <c r="P275" i="1"/>
  <c r="I226" i="3" l="1"/>
  <c r="J289" i="1" s="1"/>
  <c r="O91" i="3"/>
  <c r="O87" i="3" s="1"/>
  <c r="P142" i="1"/>
  <c r="J142" i="1"/>
  <c r="P264" i="1"/>
  <c r="P236" i="1"/>
  <c r="P198" i="1"/>
  <c r="P285" i="1" s="1"/>
  <c r="P187" i="1"/>
  <c r="P179" i="1"/>
  <c r="O226" i="3" l="1"/>
  <c r="P289" i="1" s="1"/>
  <c r="C55" i="1"/>
  <c r="C279" i="1" l="1"/>
  <c r="D279" i="1"/>
  <c r="B279" i="1"/>
  <c r="C226" i="1"/>
  <c r="D226" i="1"/>
  <c r="B226" i="1"/>
  <c r="C153" i="1" l="1"/>
  <c r="D153" i="1"/>
  <c r="B153" i="1"/>
  <c r="C33" i="1"/>
  <c r="D33" i="1"/>
  <c r="B33" i="1"/>
  <c r="B129" i="1"/>
  <c r="C129" i="1"/>
  <c r="D129" i="1"/>
  <c r="B161" i="1"/>
  <c r="C161" i="1"/>
  <c r="D161" i="1"/>
  <c r="B163" i="1"/>
  <c r="C163" i="1"/>
  <c r="C157" i="1"/>
  <c r="D157" i="1"/>
  <c r="B157" i="1"/>
  <c r="C260" i="1"/>
  <c r="B260" i="1"/>
  <c r="C258" i="1"/>
  <c r="D258" i="1"/>
  <c r="B258" i="1"/>
  <c r="D133" i="1"/>
  <c r="C133" i="1"/>
  <c r="B133" i="1"/>
  <c r="C132" i="1"/>
  <c r="D132" i="1"/>
  <c r="B132" i="1"/>
  <c r="C52" i="1"/>
  <c r="B52" i="1"/>
  <c r="C178" i="1"/>
  <c r="B178" i="1"/>
  <c r="C174" i="1"/>
  <c r="D174" i="1"/>
  <c r="C175" i="1"/>
  <c r="B175" i="1"/>
  <c r="B174" i="1"/>
  <c r="C169" i="1"/>
  <c r="D169" i="1"/>
  <c r="B169" i="1"/>
  <c r="C168" i="1"/>
  <c r="D168" i="1"/>
  <c r="B168" i="1"/>
  <c r="C167" i="1"/>
  <c r="B167" i="1"/>
  <c r="C166" i="1"/>
  <c r="D166" i="1"/>
  <c r="B166" i="1"/>
  <c r="C165" i="1"/>
  <c r="D165" i="1"/>
  <c r="B165" i="1"/>
  <c r="C160" i="1"/>
  <c r="D160" i="1"/>
  <c r="B160" i="1"/>
  <c r="C159" i="1"/>
  <c r="D159" i="1"/>
  <c r="B159" i="1"/>
  <c r="C155" i="1"/>
  <c r="D155" i="1"/>
  <c r="B155" i="1"/>
  <c r="C154" i="1"/>
  <c r="D154" i="1"/>
  <c r="B154" i="1"/>
  <c r="C151" i="1"/>
  <c r="D151" i="1"/>
  <c r="B151" i="1"/>
  <c r="C150" i="1"/>
  <c r="B150" i="1"/>
  <c r="C149" i="1"/>
  <c r="D149" i="1"/>
  <c r="B149" i="1"/>
  <c r="C138" i="1"/>
  <c r="B138" i="1"/>
  <c r="C127" i="1"/>
  <c r="D127" i="1"/>
  <c r="B127" i="1"/>
  <c r="C125" i="1"/>
  <c r="D125" i="1"/>
  <c r="B125" i="1"/>
  <c r="C123" i="1"/>
  <c r="B123" i="1"/>
  <c r="C118" i="1"/>
  <c r="B118" i="1"/>
  <c r="C91" i="1"/>
  <c r="C93" i="1"/>
  <c r="C75" i="1"/>
  <c r="B75" i="1"/>
  <c r="C74" i="1"/>
  <c r="B74" i="1"/>
  <c r="C59" i="1"/>
  <c r="D59" i="1"/>
  <c r="B59" i="1"/>
  <c r="C58" i="1"/>
  <c r="D58" i="1"/>
  <c r="B58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9" i="1"/>
  <c r="D49" i="1"/>
  <c r="B49" i="1"/>
  <c r="C48" i="1"/>
  <c r="B48" i="1"/>
  <c r="C44" i="1"/>
  <c r="D44" i="1"/>
  <c r="B44" i="1"/>
  <c r="C31" i="1"/>
  <c r="D31" i="1"/>
  <c r="C32" i="1"/>
  <c r="B32" i="1"/>
  <c r="B31" i="1"/>
  <c r="C34" i="1"/>
  <c r="D34" i="1"/>
  <c r="C35" i="1"/>
  <c r="D35" i="1"/>
  <c r="B35" i="1"/>
  <c r="B34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184" i="1"/>
  <c r="C184" i="1"/>
  <c r="B184" i="1"/>
  <c r="C191" i="1"/>
  <c r="D191" i="1"/>
  <c r="B191" i="1"/>
  <c r="C193" i="1"/>
  <c r="D193" i="1"/>
  <c r="C194" i="1"/>
  <c r="D194" i="1"/>
  <c r="B194" i="1"/>
  <c r="B193" i="1"/>
  <c r="C196" i="1"/>
  <c r="B196" i="1"/>
  <c r="C206" i="1"/>
  <c r="D206" i="1"/>
  <c r="B206" i="1"/>
  <c r="C210" i="1"/>
  <c r="D210" i="1"/>
  <c r="B210" i="1"/>
  <c r="C209" i="1"/>
  <c r="D209" i="1"/>
  <c r="B209" i="1"/>
  <c r="C208" i="1"/>
  <c r="D208" i="1"/>
  <c r="B208" i="1"/>
  <c r="C207" i="1"/>
  <c r="D207" i="1"/>
  <c r="B207" i="1"/>
  <c r="C211" i="1"/>
  <c r="D211" i="1"/>
  <c r="B211" i="1"/>
  <c r="C212" i="1"/>
  <c r="D212" i="1"/>
  <c r="B212" i="1"/>
  <c r="C213" i="1"/>
  <c r="D213" i="1"/>
  <c r="B213" i="1"/>
  <c r="C214" i="1"/>
  <c r="B214" i="1"/>
  <c r="C215" i="1"/>
  <c r="B215" i="1"/>
  <c r="C225" i="1"/>
  <c r="B225" i="1"/>
  <c r="C231" i="1"/>
  <c r="D231" i="1"/>
  <c r="B231" i="1"/>
  <c r="C232" i="1"/>
  <c r="B232" i="1"/>
  <c r="C240" i="1"/>
  <c r="D240" i="1"/>
  <c r="B240" i="1"/>
  <c r="C241" i="1"/>
  <c r="B241" i="1"/>
  <c r="C242" i="1"/>
  <c r="D242" i="1"/>
  <c r="B242" i="1"/>
  <c r="C244" i="1"/>
  <c r="B244" i="1"/>
  <c r="C243" i="1"/>
  <c r="B243" i="1"/>
  <c r="C246" i="1"/>
  <c r="B246" i="1"/>
  <c r="C251" i="1"/>
  <c r="B251" i="1"/>
  <c r="C267" i="1"/>
  <c r="D267" i="1"/>
  <c r="B267" i="1"/>
  <c r="C268" i="1"/>
  <c r="D268" i="1"/>
  <c r="B268" i="1"/>
  <c r="C269" i="1"/>
  <c r="D269" i="1"/>
  <c r="B269" i="1"/>
  <c r="C270" i="1"/>
  <c r="D270" i="1"/>
  <c r="B270" i="1"/>
  <c r="C271" i="1"/>
  <c r="D271" i="1"/>
  <c r="B271" i="1"/>
  <c r="C278" i="1"/>
  <c r="B278" i="1"/>
  <c r="C281" i="1"/>
  <c r="D281" i="1"/>
  <c r="B281" i="1"/>
  <c r="C282" i="1"/>
  <c r="D282" i="1"/>
  <c r="B282" i="1"/>
  <c r="C283" i="1"/>
  <c r="D283" i="1"/>
  <c r="C284" i="1"/>
  <c r="D284" i="1"/>
  <c r="B284" i="1"/>
  <c r="C277" i="1"/>
  <c r="B277" i="1"/>
  <c r="C266" i="1"/>
  <c r="B266" i="1"/>
  <c r="C263" i="1"/>
  <c r="B263" i="1"/>
  <c r="C257" i="1"/>
  <c r="B257" i="1"/>
  <c r="C239" i="1"/>
  <c r="B239" i="1"/>
  <c r="C235" i="1"/>
  <c r="B235" i="1"/>
  <c r="C204" i="1"/>
  <c r="B204" i="1"/>
  <c r="C189" i="1"/>
  <c r="B189" i="1"/>
  <c r="C182" i="1"/>
  <c r="B182" i="1"/>
  <c r="C147" i="1"/>
  <c r="B147" i="1"/>
  <c r="C117" i="1"/>
  <c r="B117" i="1"/>
  <c r="C73" i="1"/>
  <c r="B73" i="1"/>
  <c r="C21" i="1"/>
  <c r="B21" i="1"/>
  <c r="E68" i="3" l="1"/>
  <c r="E90" i="3" l="1"/>
  <c r="E228" i="3" s="1"/>
  <c r="F291" i="1" s="1"/>
  <c r="D68" i="3" l="1"/>
  <c r="I68" i="3"/>
  <c r="O68" i="3" l="1"/>
  <c r="D70" i="3" l="1"/>
  <c r="D67" i="3" l="1"/>
  <c r="I70" i="3"/>
  <c r="I69" i="3"/>
  <c r="O70" i="3"/>
  <c r="O69" i="3" l="1"/>
  <c r="I67" i="3"/>
  <c r="O67" i="3" l="1"/>
  <c r="I90" i="3"/>
  <c r="I228" i="3" s="1"/>
  <c r="J291" i="1" s="1"/>
  <c r="O90" i="3" l="1"/>
  <c r="O228" i="3" s="1"/>
  <c r="P291" i="1" s="1"/>
  <c r="I171" i="3"/>
  <c r="I150" i="3" s="1"/>
  <c r="D171" i="3"/>
  <c r="D150" i="3" s="1"/>
  <c r="O171" i="3" l="1"/>
  <c r="O150" i="3" s="1"/>
  <c r="D149" i="3" l="1"/>
  <c r="I155" i="3" l="1"/>
  <c r="I149" i="3" s="1"/>
  <c r="O155" i="3"/>
  <c r="O149" i="3" s="1"/>
</calcChain>
</file>

<file path=xl/sharedStrings.xml><?xml version="1.0" encoding="utf-8"?>
<sst xmlns="http://schemas.openxmlformats.org/spreadsheetml/2006/main" count="946" uniqueCount="581">
  <si>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</si>
  <si>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</si>
  <si>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</si>
  <si>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</si>
  <si>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</si>
  <si>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</si>
  <si>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</si>
  <si>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</si>
  <si>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</si>
  <si>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</si>
  <si>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</si>
  <si>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</si>
  <si>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</si>
  <si>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</si>
  <si>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</si>
  <si>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</si>
  <si>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</si>
  <si>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</si>
  <si>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</si>
  <si>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</si>
  <si>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</si>
  <si>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</si>
  <si>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</si>
  <si>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</si>
  <si>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</si>
  <si>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</si>
  <si>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</si>
  <si>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</si>
  <si>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</si>
  <si>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</si>
  <si>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</si>
  <si>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</si>
  <si>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</si>
  <si>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</si>
  <si>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</si>
  <si>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</si>
  <si>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</si>
  <si>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</si>
  <si>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</si>
  <si>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</si>
  <si>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</si>
  <si>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</si>
  <si>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</si>
  <si>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</si>
  <si>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</si>
  <si>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</si>
  <si>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</si>
  <si>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</si>
  <si>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</si>
  <si>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</si>
  <si>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</si>
  <si>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</si>
  <si>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</si>
  <si>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</si>
  <si>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</si>
  <si>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</si>
  <si>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</si>
  <si>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</si>
  <si>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</si>
  <si>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</si>
  <si>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</si>
  <si>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</si>
  <si>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</si>
  <si>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</si>
  <si>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</si>
  <si>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</si>
  <si>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</si>
  <si>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</si>
  <si>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</si>
  <si>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</si>
  <si>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</si>
  <si>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</si>
  <si>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</si>
  <si>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</si>
  <si>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</si>
  <si>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</si>
  <si>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</si>
  <si>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</si>
  <si>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</si>
  <si>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</si>
  <si>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</si>
  <si>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</si>
  <si>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</si>
  <si>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</si>
  <si>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</si>
  <si>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</si>
  <si>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</si>
  <si>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</si>
  <si>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</si>
  <si>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</si>
  <si>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</si>
  <si>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</si>
  <si>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</si>
  <si>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</si>
  <si>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</si>
  <si>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</si>
  <si>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</si>
  <si>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</si>
  <si>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</si>
  <si>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</si>
  <si>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</si>
  <si>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</si>
  <si>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</si>
  <si>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</si>
  <si>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</si>
  <si>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</si>
  <si>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</si>
  <si>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</si>
  <si>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</si>
  <si>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</si>
  <si>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</si>
  <si>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</si>
  <si>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</si>
  <si>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</si>
  <si>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</si>
  <si>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</si>
  <si>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</si>
  <si>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</si>
  <si>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</si>
  <si>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</si>
  <si>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</si>
  <si>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</si>
  <si>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</si>
  <si>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</si>
  <si>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</si>
  <si>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</si>
  <si>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</si>
  <si>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</si>
  <si>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</si>
  <si>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</si>
  <si>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</si>
  <si>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</si>
  <si>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</si>
  <si>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</si>
  <si>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</si>
  <si>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</si>
  <si>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</si>
  <si>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</si>
  <si>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</si>
  <si>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</si>
  <si>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</si>
  <si>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</si>
  <si>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</si>
  <si>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</si>
  <si>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</si>
  <si>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</si>
  <si>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</si>
  <si>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</si>
  <si>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</si>
  <si>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</si>
  <si>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</si>
  <si>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</si>
  <si>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</si>
  <si>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</si>
  <si>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</si>
  <si>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</si>
  <si>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</si>
  <si>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</si>
  <si>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</si>
  <si>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</si>
  <si>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</si>
  <si>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</si>
  <si>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</si>
  <si>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</si>
  <si>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</si>
  <si>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</si>
  <si>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</si>
  <si>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</si>
  <si>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</si>
  <si>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</si>
  <si>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</si>
  <si>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</si>
  <si>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</si>
  <si>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</si>
  <si>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</si>
  <si>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</si>
  <si>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</si>
  <si>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</si>
  <si>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</si>
  <si>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</si>
  <si>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</si>
  <si>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</si>
  <si>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</si>
  <si>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</si>
  <si>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</si>
  <si>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</si>
  <si>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</si>
  <si>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</si>
  <si>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</si>
  <si>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</si>
  <si>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</si>
  <si>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</si>
  <si>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</si>
  <si>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</si>
  <si>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</si>
  <si>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</si>
  <si>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</si>
  <si>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</si>
  <si>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</si>
  <si>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</si>
  <si>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</si>
  <si>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</si>
  <si>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</si>
  <si>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</si>
  <si>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</si>
  <si>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</si>
  <si>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</si>
  <si>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</si>
  <si>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</si>
  <si>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</si>
  <si>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</si>
  <si>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</si>
  <si>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</si>
  <si>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</si>
  <si>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</si>
  <si>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</si>
  <si>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</si>
  <si>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</si>
  <si>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</si>
  <si>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</si>
  <si>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</si>
  <si>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</si>
  <si>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</si>
  <si>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</si>
  <si>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</si>
  <si>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</si>
  <si>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</si>
  <si>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</si>
  <si>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</si>
  <si>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</si>
  <si>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</si>
  <si>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</si>
  <si>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</si>
  <si>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</si>
  <si>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</si>
  <si>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</si>
  <si>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</si>
  <si>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</si>
  <si>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</si>
  <si>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</si>
  <si>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</si>
  <si>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</si>
  <si>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</si>
  <si>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</si>
  <si>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</si>
  <si>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</si>
  <si>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</si>
  <si>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</si>
  <si>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</si>
  <si>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</si>
  <si>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</si>
  <si>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</si>
  <si>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</si>
  <si>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</si>
  <si>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</si>
  <si>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</si>
  <si>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</si>
  <si>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</si>
  <si>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</si>
  <si>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</si>
  <si>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</si>
  <si>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</si>
  <si>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</si>
  <si>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</si>
  <si>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</si>
  <si>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</si>
  <si>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</si>
  <si>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</si>
  <si>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</si>
  <si>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</si>
  <si>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</si>
  <si>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</si>
  <si>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</si>
  <si>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</si>
  <si>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</si>
  <si>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</si>
  <si>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</si>
  <si>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</si>
  <si>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</si>
  <si>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</si>
  <si>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</si>
  <si>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</si>
  <si>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</si>
  <si>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</si>
  <si>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</si>
  <si>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</si>
  <si>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</si>
  <si>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</si>
  <si>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</si>
  <si>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</si>
  <si>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</si>
  <si>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</si>
  <si>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</si>
  <si>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</si>
  <si>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</si>
  <si>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</si>
  <si>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</si>
  <si>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</si>
  <si>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</si>
  <si>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</si>
  <si>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</si>
  <si>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</si>
  <si>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</si>
  <si>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</si>
  <si>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</si>
  <si>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</si>
  <si>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</si>
  <si>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</si>
  <si>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</si>
  <si>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</si>
  <si>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</si>
  <si>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</si>
  <si>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</si>
  <si>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</si>
  <si>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</si>
  <si>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</si>
  <si>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</si>
  <si>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</si>
  <si>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</si>
  <si>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</si>
  <si>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</si>
  <si>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</si>
  <si>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</si>
  <si>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</si>
  <si>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</si>
  <si>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</si>
  <si>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</si>
  <si>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</si>
  <si>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</si>
  <si>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</si>
  <si>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</si>
  <si>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</si>
  <si>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</si>
  <si>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</si>
  <si>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</si>
  <si>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</si>
  <si>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</si>
  <si>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</si>
  <si>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</si>
  <si>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</si>
  <si>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</si>
  <si>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</si>
  <si>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</si>
  <si>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</si>
  <si>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</si>
  <si>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</si>
  <si>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</si>
  <si>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</si>
  <si>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</si>
  <si>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</si>
  <si>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</si>
  <si>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</si>
  <si>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</si>
  <si>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</si>
  <si>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</si>
  <si>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</si>
  <si>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</si>
  <si>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</si>
  <si>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</si>
  <si>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</si>
  <si>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</si>
  <si>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</si>
  <si>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</si>
  <si>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</si>
  <si>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</si>
  <si>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</si>
  <si>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</si>
  <si>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</si>
  <si>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</si>
  <si>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</si>
  <si>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</si>
  <si>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</si>
  <si>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</si>
  <si>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</si>
  <si>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</si>
  <si>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</si>
  <si>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</si>
  <si>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</si>
  <si>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</si>
  <si>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</si>
  <si>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</si>
  <si>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</si>
  <si>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</si>
  <si>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</si>
  <si>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</si>
  <si>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</si>
  <si>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</si>
  <si>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</si>
  <si>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</si>
  <si>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</si>
  <si>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</si>
  <si>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</si>
  <si>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</si>
  <si>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</si>
  <si>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</si>
  <si>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</si>
  <si>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</si>
  <si>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</si>
  <si>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</si>
  <si>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</si>
  <si>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</si>
  <si>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</si>
  <si>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</si>
  <si>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</si>
  <si>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</si>
  <si>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</si>
  <si>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</si>
  <si>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</si>
  <si>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</si>
  <si>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</si>
  <si>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</si>
  <si>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</si>
  <si>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</si>
  <si>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</si>
  <si>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</si>
  <si>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</si>
  <si>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</si>
  <si>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</si>
  <si>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</si>
  <si>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</si>
  <si>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</si>
  <si>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</si>
  <si>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</si>
  <si>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</si>
  <si>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</si>
  <si>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</si>
  <si>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</si>
  <si>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</si>
  <si>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</si>
  <si>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</si>
  <si>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</si>
  <si>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</si>
  <si>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</si>
  <si>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</si>
  <si>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</si>
  <si>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</si>
  <si>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</si>
  <si>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</si>
  <si>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</si>
  <si>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</si>
  <si>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</si>
  <si>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</si>
  <si>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</si>
  <si>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</si>
  <si>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</si>
  <si>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</si>
  <si>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</si>
  <si>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</si>
  <si>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</si>
  <si>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</si>
  <si>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</si>
  <si>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</si>
  <si>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</si>
  <si>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</si>
  <si>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</si>
  <si>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</si>
  <si>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</si>
  <si>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</si>
  <si>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</si>
  <si>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</si>
  <si>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</si>
  <si>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</si>
  <si>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</si>
  <si>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</si>
  <si>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</si>
  <si>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</si>
  <si>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</si>
  <si>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</si>
  <si>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</si>
  <si>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</si>
  <si>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</si>
  <si>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</si>
  <si>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</si>
  <si>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</si>
  <si>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</si>
  <si>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</si>
  <si>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</si>
  <si>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</si>
  <si>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</si>
  <si>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</si>
  <si>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</si>
  <si>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</si>
  <si>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</si>
  <si>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</si>
  <si>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</si>
  <si>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</si>
  <si>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</si>
  <si>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</si>
  <si>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</si>
  <si>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</si>
  <si>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</si>
  <si>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</si>
  <si>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</si>
  <si>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</si>
  <si>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</si>
  <si>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</si>
  <si>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</si>
  <si>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</si>
  <si>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</si>
  <si>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</si>
  <si>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</si>
  <si>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</si>
  <si>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</si>
  <si>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</si>
  <si>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</si>
  <si>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</si>
  <si>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</si>
  <si>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</si>
  <si>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</si>
  <si>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</si>
  <si>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</si>
  <si>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</si>
  <si>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</si>
  <si>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</si>
  <si>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</si>
  <si>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</si>
  <si>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</si>
  <si>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</si>
  <si>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</si>
  <si>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</si>
  <si>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</si>
  <si>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</si>
  <si>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</si>
  <si>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</si>
  <si>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</si>
  <si>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</si>
  <si>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</si>
  <si>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</si>
  <si>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</si>
  <si>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r>
      <rPr>
        <sz val="18"/>
        <rFont val="Times New Roman"/>
        <family val="1"/>
        <charset val="204"/>
      </rPr>
      <t xml:space="preserve">       </t>
    </r>
    <r>
      <rPr>
        <u/>
        <sz val="18"/>
        <rFont val="Times New Roman"/>
        <family val="1"/>
        <charset val="204"/>
      </rPr>
      <t>18531000000</t>
    </r>
  </si>
  <si>
    <t xml:space="preserve">            (код бюджету)</t>
  </si>
  <si>
    <r>
      <rPr>
        <sz val="18"/>
        <rFont val="Times New Roman"/>
        <family val="1"/>
        <charset val="204"/>
      </rPr>
      <t xml:space="preserve">      </t>
    </r>
    <r>
      <rPr>
        <u/>
        <sz val="18"/>
        <rFont val="Times New Roman"/>
        <family val="1"/>
        <charset val="204"/>
      </rPr>
      <t>18531000000</t>
    </r>
  </si>
  <si>
    <t xml:space="preserve">          (код бюджету)</t>
  </si>
  <si>
    <t>«Про         внесення        змін        до          рішення</t>
  </si>
  <si>
    <t xml:space="preserve">Сумської  міської  ради  від  24  грудня  2020  року </t>
  </si>
  <si>
    <t xml:space="preserve">№  62 - МР    «Про    бюджет    Сумської     міської </t>
  </si>
  <si>
    <t>до         рішення      Сумської      міської          ради</t>
  </si>
  <si>
    <t>територіальної       громади     на       2021         рік»</t>
  </si>
  <si>
    <t>Заходи з організації рятування на водах, у т.ч. за рахунок:</t>
  </si>
  <si>
    <t>Інша діяльність, пов’язана з експлуатацією об’єктів житлово-комунального господарства, у т.ч. за рахунок:</t>
  </si>
  <si>
    <t>Виконавчий комітет Сумської міської ради, у т.ч. за рахунок:</t>
  </si>
  <si>
    <t xml:space="preserve">                               Додаток 3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</si>
  <si>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</si>
  <si>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</si>
  <si>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</si>
  <si>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</si>
  <si>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</si>
  <si>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</si>
  <si>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</si>
  <si>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</si>
  <si>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</si>
  <si>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</si>
  <si>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</si>
  <si>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</si>
  <si>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</si>
  <si>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</si>
  <si>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</si>
  <si>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 xml:space="preserve">                               Додаток 8</t>
  </si>
  <si>
    <t>0611062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</si>
  <si>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</si>
  <si>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</si>
  <si>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</si>
  <si>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</si>
  <si>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</si>
  <si>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</si>
  <si>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</si>
  <si>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</si>
  <si>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</si>
  <si>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від                                  2021     року     №         -  МР</t>
  </si>
  <si>
    <t>від                                   2021     року     №          -  МР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</si>
  <si>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</si>
  <si>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</si>
  <si>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</si>
  <si>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</si>
  <si>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</si>
  <si>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</si>
  <si>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</si>
  <si>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</si>
  <si>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 xml:space="preserve">Директор департаменту фінансів, економіки та інвестицій </t>
  </si>
  <si>
    <t>С.А. Липова</t>
  </si>
  <si>
    <t>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</si>
</sst>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85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39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42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4" fillId="0" borderId="7" xfId="0" applyNumberFormat="1" applyFont="1" applyFill="1" applyBorder="1" applyAlignment="1">
      <alignment horizontal="right" wrapText="1"/>
    </xf>
    <xf numFmtId="4" fontId="45" fillId="0" borderId="7" xfId="0" applyNumberFormat="1" applyFont="1" applyFill="1" applyBorder="1" applyAlignment="1">
      <alignment horizontal="right" wrapText="1"/>
    </xf>
    <xf numFmtId="4" fontId="46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Alignment="1" applyProtection="1">
      <alignment vertical="center"/>
    </xf>
    <xf numFmtId="49" fontId="49" fillId="0" borderId="0" xfId="0" applyNumberFormat="1" applyFont="1" applyFill="1" applyAlignment="1" applyProtection="1"/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0" fontId="42" fillId="0" borderId="0" xfId="0" applyFont="1" applyFill="1" applyAlignment="1"/>
    <xf numFmtId="3" fontId="33" fillId="0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 wrapText="1"/>
    </xf>
    <xf numFmtId="3" fontId="54" fillId="0" borderId="0" xfId="0" applyNumberFormat="1" applyFont="1" applyFill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/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3" fontId="28" fillId="0" borderId="0" xfId="0" applyNumberFormat="1" applyFont="1" applyFill="1" applyBorder="1" applyAlignment="1">
      <alignment horizontal="center" vertical="center" textRotation="180"/>
    </xf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42" fillId="0" borderId="0" xfId="0" applyFont="1" applyFill="1" applyBorder="1" applyAlignment="1">
      <alignment vertical="center" textRotation="180"/>
    </xf>
    <xf numFmtId="49" fontId="33" fillId="0" borderId="0" xfId="0" applyNumberFormat="1" applyFont="1" applyFill="1" applyBorder="1" applyAlignment="1" applyProtection="1"/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/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 wrapText="1"/>
    </xf>
    <xf numFmtId="3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49" fontId="28" fillId="0" borderId="0" xfId="0" applyNumberFormat="1" applyFont="1" applyFill="1" applyBorder="1" applyAlignment="1" applyProtection="1"/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52" fillId="0" borderId="7" xfId="0" applyNumberFormat="1" applyFont="1" applyFill="1" applyBorder="1" applyAlignment="1" applyProtection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textRotation="180"/>
    </xf>
    <xf numFmtId="3" fontId="28" fillId="0" borderId="10" xfId="0" applyNumberFormat="1" applyFont="1" applyFill="1" applyBorder="1" applyAlignment="1">
      <alignment horizontal="center" vertical="center" textRotation="180"/>
    </xf>
    <xf numFmtId="3" fontId="28" fillId="0" borderId="0" xfId="0" applyNumberFormat="1" applyFont="1" applyFill="1" applyBorder="1" applyAlignment="1">
      <alignment horizontal="center" textRotation="180"/>
    </xf>
    <xf numFmtId="0" fontId="42" fillId="0" borderId="10" xfId="0" applyFont="1" applyFill="1" applyBorder="1" applyAlignment="1">
      <alignment horizontal="center" vertical="center" textRotation="180"/>
    </xf>
    <xf numFmtId="0" fontId="42" fillId="0" borderId="0" xfId="0" applyFont="1" applyFill="1" applyBorder="1" applyAlignment="1">
      <alignment horizontal="center" vertical="center" textRotation="180"/>
    </xf>
    <xf numFmtId="49" fontId="53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Alignment="1"/>
    <xf numFmtId="0" fontId="43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H1671"/>
  <sheetViews>
    <sheetView showGridLines="0" showZeros="0" tabSelected="1" view="pageBreakPreview" topLeftCell="A275" zoomScale="82" zoomScaleNormal="82" zoomScaleSheetLayoutView="82" workbookViewId="0">
      <selection activeCell="D246" sqref="D246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1.6640625" style="47" customWidth="1"/>
    <col min="6" max="7" width="21.33203125" style="47" customWidth="1"/>
    <col min="8" max="8" width="17.5" style="47" customWidth="1"/>
    <col min="9" max="9" width="18.5" style="47" customWidth="1"/>
    <col min="10" max="10" width="19" style="47" customWidth="1"/>
    <col min="11" max="11" width="18.83203125" style="47" customWidth="1"/>
    <col min="12" max="12" width="17.6640625" style="47" customWidth="1"/>
    <col min="13" max="13" width="16" style="47" customWidth="1"/>
    <col min="14" max="14" width="15.33203125" style="47" customWidth="1"/>
    <col min="15" max="15" width="18.83203125" style="47" customWidth="1"/>
    <col min="16" max="16" width="21.1640625" style="138" customWidth="1"/>
    <col min="17" max="17" width="8.5" style="156" customWidth="1"/>
    <col min="18" max="18" width="11.5" style="28" customWidth="1"/>
    <col min="19" max="19" width="10.5" style="28" customWidth="1"/>
    <col min="20" max="528" width="9.1640625" style="28"/>
    <col min="529" max="16384" width="9.1640625" style="20"/>
  </cols>
  <sheetData>
    <row r="1" spans="1:528" ht="26.25" customHeight="1" x14ac:dyDescent="0.4">
      <c r="K1" s="135" t="s">
        <v>541</v>
      </c>
      <c r="L1" s="135"/>
      <c r="M1" s="135"/>
      <c r="N1" s="135"/>
      <c r="O1" s="135"/>
      <c r="P1" s="135"/>
      <c r="Q1" s="177">
        <v>20</v>
      </c>
    </row>
    <row r="2" spans="1:528" ht="26.25" customHeight="1" x14ac:dyDescent="0.25">
      <c r="K2" s="96" t="s">
        <v>536</v>
      </c>
      <c r="L2" s="96"/>
      <c r="M2" s="96"/>
      <c r="N2" s="96"/>
      <c r="O2" s="96"/>
      <c r="P2" s="96"/>
      <c r="Q2" s="177"/>
    </row>
    <row r="3" spans="1:528" ht="26.25" customHeight="1" x14ac:dyDescent="0.4">
      <c r="K3" s="171" t="s">
        <v>533</v>
      </c>
      <c r="L3" s="171"/>
      <c r="M3" s="171"/>
      <c r="N3" s="171"/>
      <c r="O3" s="171"/>
      <c r="P3" s="171"/>
      <c r="Q3" s="177"/>
    </row>
    <row r="4" spans="1:528" ht="26.25" customHeight="1" x14ac:dyDescent="0.4">
      <c r="K4" s="171" t="s">
        <v>534</v>
      </c>
      <c r="L4" s="171"/>
      <c r="M4" s="171"/>
      <c r="N4" s="171"/>
      <c r="O4" s="171"/>
      <c r="P4" s="171"/>
      <c r="Q4" s="177"/>
    </row>
    <row r="5" spans="1:528" ht="26.25" customHeight="1" x14ac:dyDescent="0.4">
      <c r="K5" s="171" t="s">
        <v>535</v>
      </c>
      <c r="L5" s="171"/>
      <c r="M5" s="171"/>
      <c r="N5" s="171"/>
      <c r="O5" s="171"/>
      <c r="P5" s="171"/>
      <c r="Q5" s="177"/>
    </row>
    <row r="6" spans="1:528" ht="28.5" customHeight="1" x14ac:dyDescent="0.4">
      <c r="K6" s="171" t="s">
        <v>537</v>
      </c>
      <c r="L6" s="171"/>
      <c r="M6" s="171"/>
      <c r="N6" s="171"/>
      <c r="O6" s="171"/>
      <c r="P6" s="171"/>
      <c r="Q6" s="177"/>
    </row>
    <row r="7" spans="1:528" ht="28.5" customHeight="1" x14ac:dyDescent="0.4">
      <c r="K7" s="134" t="s">
        <v>556</v>
      </c>
      <c r="L7" s="134"/>
      <c r="M7" s="134"/>
      <c r="N7" s="134"/>
      <c r="O7" s="134"/>
      <c r="P7" s="134"/>
      <c r="Q7" s="177"/>
    </row>
    <row r="8" spans="1:528" ht="26.25" customHeight="1" x14ac:dyDescent="0.4">
      <c r="K8" s="171" t="s">
        <v>568</v>
      </c>
      <c r="L8" s="171"/>
      <c r="M8" s="171"/>
      <c r="N8" s="171"/>
      <c r="O8" s="171"/>
      <c r="P8" s="171"/>
      <c r="Q8" s="177"/>
    </row>
    <row r="9" spans="1:528" ht="26.25" x14ac:dyDescent="0.4">
      <c r="L9" s="63"/>
      <c r="M9" s="63"/>
      <c r="N9" s="63"/>
      <c r="O9" s="63"/>
      <c r="P9" s="63"/>
      <c r="Q9" s="177"/>
    </row>
    <row r="10" spans="1:528" s="44" customFormat="1" ht="71.25" customHeight="1" x14ac:dyDescent="0.3">
      <c r="A10" s="173" t="s">
        <v>453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</row>
    <row r="11" spans="1:528" s="44" customFormat="1" ht="23.25" customHeight="1" x14ac:dyDescent="0.35">
      <c r="A11" s="65"/>
      <c r="B11" s="65"/>
      <c r="C11" s="64"/>
      <c r="D11" s="64"/>
      <c r="E11" s="64"/>
      <c r="F11" s="64"/>
      <c r="G11" s="126" t="s">
        <v>531</v>
      </c>
      <c r="H11" s="64"/>
      <c r="I11" s="64"/>
      <c r="J11" s="64"/>
      <c r="K11" s="64"/>
      <c r="L11" s="64"/>
      <c r="M11" s="64"/>
      <c r="N11" s="64"/>
      <c r="O11" s="64"/>
      <c r="P11" s="64"/>
      <c r="Q11" s="17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</row>
    <row r="12" spans="1:528" s="44" customFormat="1" ht="19.5" customHeight="1" x14ac:dyDescent="0.3">
      <c r="A12" s="66"/>
      <c r="B12" s="66"/>
      <c r="C12" s="64"/>
      <c r="D12" s="64"/>
      <c r="E12" s="64"/>
      <c r="F12" s="64"/>
      <c r="G12" s="66" t="s">
        <v>532</v>
      </c>
      <c r="H12" s="64"/>
      <c r="I12" s="64"/>
      <c r="J12" s="64"/>
      <c r="K12" s="64"/>
      <c r="L12" s="64"/>
      <c r="M12" s="64"/>
      <c r="N12" s="64"/>
      <c r="O12" s="64"/>
      <c r="P12" s="64"/>
      <c r="Q12" s="17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</row>
    <row r="13" spans="1:528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36" t="s">
        <v>360</v>
      </c>
      <c r="Q13" s="177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</row>
    <row r="14" spans="1:528" s="21" customFormat="1" ht="34.5" customHeight="1" x14ac:dyDescent="0.2">
      <c r="A14" s="174" t="s">
        <v>338</v>
      </c>
      <c r="B14" s="175" t="s">
        <v>339</v>
      </c>
      <c r="C14" s="175" t="s">
        <v>329</v>
      </c>
      <c r="D14" s="175" t="s">
        <v>340</v>
      </c>
      <c r="E14" s="176" t="s">
        <v>226</v>
      </c>
      <c r="F14" s="176"/>
      <c r="G14" s="176"/>
      <c r="H14" s="176"/>
      <c r="I14" s="176"/>
      <c r="J14" s="176" t="s">
        <v>227</v>
      </c>
      <c r="K14" s="176"/>
      <c r="L14" s="176"/>
      <c r="M14" s="176"/>
      <c r="N14" s="176"/>
      <c r="O14" s="176"/>
      <c r="P14" s="176" t="s">
        <v>228</v>
      </c>
      <c r="Q14" s="17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</row>
    <row r="15" spans="1:528" s="21" customFormat="1" ht="19.5" customHeight="1" x14ac:dyDescent="0.2">
      <c r="A15" s="174"/>
      <c r="B15" s="175"/>
      <c r="C15" s="175"/>
      <c r="D15" s="175"/>
      <c r="E15" s="170" t="s">
        <v>330</v>
      </c>
      <c r="F15" s="170" t="s">
        <v>229</v>
      </c>
      <c r="G15" s="169" t="s">
        <v>230</v>
      </c>
      <c r="H15" s="169"/>
      <c r="I15" s="170" t="s">
        <v>231</v>
      </c>
      <c r="J15" s="170" t="s">
        <v>330</v>
      </c>
      <c r="K15" s="170" t="s">
        <v>331</v>
      </c>
      <c r="L15" s="170" t="s">
        <v>229</v>
      </c>
      <c r="M15" s="169" t="s">
        <v>230</v>
      </c>
      <c r="N15" s="169"/>
      <c r="O15" s="170" t="s">
        <v>231</v>
      </c>
      <c r="P15" s="176"/>
      <c r="Q15" s="177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</row>
    <row r="16" spans="1:528" s="21" customFormat="1" ht="62.25" customHeight="1" x14ac:dyDescent="0.2">
      <c r="A16" s="174"/>
      <c r="B16" s="175"/>
      <c r="C16" s="175"/>
      <c r="D16" s="175"/>
      <c r="E16" s="170"/>
      <c r="F16" s="170"/>
      <c r="G16" s="133" t="s">
        <v>232</v>
      </c>
      <c r="H16" s="133" t="s">
        <v>233</v>
      </c>
      <c r="I16" s="170"/>
      <c r="J16" s="170"/>
      <c r="K16" s="170"/>
      <c r="L16" s="170"/>
      <c r="M16" s="133" t="s">
        <v>232</v>
      </c>
      <c r="N16" s="133" t="s">
        <v>233</v>
      </c>
      <c r="O16" s="170"/>
      <c r="P16" s="176"/>
      <c r="Q16" s="177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</row>
    <row r="17" spans="1:528" s="27" customFormat="1" ht="24" customHeight="1" x14ac:dyDescent="0.25">
      <c r="A17" s="127" t="s">
        <v>151</v>
      </c>
      <c r="B17" s="128"/>
      <c r="C17" s="128"/>
      <c r="D17" s="129" t="s">
        <v>36</v>
      </c>
      <c r="E17" s="99">
        <f>E18</f>
        <v>240214794</v>
      </c>
      <c r="F17" s="99">
        <f t="shared" ref="F17:J17" si="0">F18</f>
        <v>191055298</v>
      </c>
      <c r="G17" s="99">
        <f t="shared" si="0"/>
        <v>107325600</v>
      </c>
      <c r="H17" s="99">
        <f t="shared" si="0"/>
        <v>4292954</v>
      </c>
      <c r="I17" s="99">
        <f t="shared" si="0"/>
        <v>49159496</v>
      </c>
      <c r="J17" s="99">
        <f t="shared" si="0"/>
        <v>36438147</v>
      </c>
      <c r="K17" s="99">
        <f t="shared" ref="K17" si="1">K18</f>
        <v>35915352</v>
      </c>
      <c r="L17" s="99">
        <f t="shared" ref="L17" si="2">L18</f>
        <v>522795</v>
      </c>
      <c r="M17" s="99">
        <f t="shared" ref="M17" si="3">M18</f>
        <v>119291</v>
      </c>
      <c r="N17" s="99">
        <f t="shared" ref="N17" si="4">N18</f>
        <v>51832</v>
      </c>
      <c r="O17" s="99">
        <f t="shared" ref="O17:P17" si="5">O18</f>
        <v>35915352</v>
      </c>
      <c r="P17" s="99">
        <f t="shared" si="5"/>
        <v>276652941</v>
      </c>
      <c r="Q17" s="17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</row>
    <row r="18" spans="1:528" s="34" customFormat="1" ht="36" customHeight="1" x14ac:dyDescent="0.25">
      <c r="A18" s="100" t="s">
        <v>152</v>
      </c>
      <c r="B18" s="101"/>
      <c r="C18" s="101"/>
      <c r="D18" s="81" t="s">
        <v>540</v>
      </c>
      <c r="E18" s="102">
        <f>E21+E22+E23+E24+E26+E27+E28+E29+E30+E31+E32+E33+E34+E35+E36+E37+E38+E39+E40+E41+E42+E43+E44+E47+E48+E49+E50+E51+E52+E53+E54+E55+E57+E58+E59+E45+E46+E60</f>
        <v>240214794</v>
      </c>
      <c r="F18" s="102">
        <f t="shared" ref="F18:P18" si="6">F21+F22+F23+F24+F26+F27+F28+F29+F30+F31+F32+F33+F34+F35+F36+F37+F38+F39+F40+F41+F42+F43+F44+F47+F48+F49+F50+F51+F52+F53+F54+F55+F57+F58+F59+F45+F46+F60</f>
        <v>191055298</v>
      </c>
      <c r="G18" s="102">
        <f t="shared" si="6"/>
        <v>107325600</v>
      </c>
      <c r="H18" s="102">
        <f t="shared" si="6"/>
        <v>4292954</v>
      </c>
      <c r="I18" s="102">
        <f t="shared" si="6"/>
        <v>49159496</v>
      </c>
      <c r="J18" s="102">
        <f t="shared" si="6"/>
        <v>36438147</v>
      </c>
      <c r="K18" s="102">
        <f t="shared" si="6"/>
        <v>35915352</v>
      </c>
      <c r="L18" s="102">
        <f t="shared" si="6"/>
        <v>522795</v>
      </c>
      <c r="M18" s="102">
        <f t="shared" si="6"/>
        <v>119291</v>
      </c>
      <c r="N18" s="102">
        <f t="shared" si="6"/>
        <v>51832</v>
      </c>
      <c r="O18" s="102">
        <f t="shared" si="6"/>
        <v>35915352</v>
      </c>
      <c r="P18" s="102">
        <f t="shared" si="6"/>
        <v>276652941</v>
      </c>
      <c r="Q18" s="177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</row>
    <row r="19" spans="1:528" s="34" customFormat="1" ht="63" x14ac:dyDescent="0.25">
      <c r="A19" s="100"/>
      <c r="B19" s="101"/>
      <c r="C19" s="101"/>
      <c r="D19" s="81" t="s">
        <v>384</v>
      </c>
      <c r="E19" s="102">
        <f>E56</f>
        <v>588815</v>
      </c>
      <c r="F19" s="102">
        <f t="shared" ref="F19:P19" si="7">F56</f>
        <v>588815</v>
      </c>
      <c r="G19" s="102">
        <f t="shared" si="7"/>
        <v>482635</v>
      </c>
      <c r="H19" s="102">
        <f t="shared" si="7"/>
        <v>0</v>
      </c>
      <c r="I19" s="102">
        <f t="shared" si="7"/>
        <v>0</v>
      </c>
      <c r="J19" s="102">
        <f t="shared" si="7"/>
        <v>0</v>
      </c>
      <c r="K19" s="102">
        <f t="shared" si="7"/>
        <v>0</v>
      </c>
      <c r="L19" s="102">
        <f t="shared" si="7"/>
        <v>0</v>
      </c>
      <c r="M19" s="102">
        <f t="shared" si="7"/>
        <v>0</v>
      </c>
      <c r="N19" s="102">
        <f t="shared" si="7"/>
        <v>0</v>
      </c>
      <c r="O19" s="102">
        <f t="shared" si="7"/>
        <v>0</v>
      </c>
      <c r="P19" s="102">
        <f t="shared" si="7"/>
        <v>588815</v>
      </c>
      <c r="Q19" s="177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</row>
    <row r="20" spans="1:528" s="34" customFormat="1" ht="63" hidden="1" customHeight="1" x14ac:dyDescent="0.25">
      <c r="A20" s="100"/>
      <c r="B20" s="101"/>
      <c r="C20" s="101"/>
      <c r="D20" s="81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02">
        <f>E25</f>
        <v>0</v>
      </c>
      <c r="F20" s="102">
        <f t="shared" ref="F20:P20" si="8">F25</f>
        <v>0</v>
      </c>
      <c r="G20" s="102">
        <f t="shared" si="8"/>
        <v>0</v>
      </c>
      <c r="H20" s="102">
        <f t="shared" si="8"/>
        <v>0</v>
      </c>
      <c r="I20" s="102">
        <f t="shared" si="8"/>
        <v>0</v>
      </c>
      <c r="J20" s="102">
        <f t="shared" si="8"/>
        <v>0</v>
      </c>
      <c r="K20" s="102">
        <f t="shared" si="8"/>
        <v>0</v>
      </c>
      <c r="L20" s="102">
        <f t="shared" si="8"/>
        <v>0</v>
      </c>
      <c r="M20" s="102">
        <f t="shared" si="8"/>
        <v>0</v>
      </c>
      <c r="N20" s="102">
        <f t="shared" si="8"/>
        <v>0</v>
      </c>
      <c r="O20" s="102">
        <f t="shared" si="8"/>
        <v>0</v>
      </c>
      <c r="P20" s="102">
        <f t="shared" si="8"/>
        <v>0</v>
      </c>
      <c r="Q20" s="17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</row>
    <row r="21" spans="1:528" s="22" customFormat="1" ht="48" customHeight="1" x14ac:dyDescent="0.25">
      <c r="A21" s="60" t="s">
        <v>153</v>
      </c>
      <c r="B21" s="97" t="str">
        <f>'дод 8'!A19</f>
        <v>0160</v>
      </c>
      <c r="C21" s="97" t="str">
        <f>'дод 8'!B19</f>
        <v>0111</v>
      </c>
      <c r="D21" s="36" t="s">
        <v>504</v>
      </c>
      <c r="E21" s="103">
        <f t="shared" ref="E21:E60" si="9">F21+I21</f>
        <v>112399809</v>
      </c>
      <c r="F21" s="103">
        <f>112079700+60000+150000+47576+62533</f>
        <v>112399809</v>
      </c>
      <c r="G21" s="103">
        <v>82201100</v>
      </c>
      <c r="H21" s="103">
        <f>2287700+47576+62533</f>
        <v>2397809</v>
      </c>
      <c r="I21" s="103"/>
      <c r="J21" s="103">
        <f>L21+O21</f>
        <v>0</v>
      </c>
      <c r="K21" s="103">
        <f>150000-150000</f>
        <v>0</v>
      </c>
      <c r="L21" s="103"/>
      <c r="M21" s="103"/>
      <c r="N21" s="103"/>
      <c r="O21" s="103">
        <f>150000-150000</f>
        <v>0</v>
      </c>
      <c r="P21" s="103">
        <f t="shared" ref="P21:P60" si="10">E21+J21</f>
        <v>112399809</v>
      </c>
      <c r="Q21" s="177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</row>
    <row r="22" spans="1:528" s="22" customFormat="1" ht="35.25" customHeight="1" x14ac:dyDescent="0.25">
      <c r="A22" s="60" t="s">
        <v>456</v>
      </c>
      <c r="B22" s="60" t="s">
        <v>92</v>
      </c>
      <c r="C22" s="60" t="s">
        <v>466</v>
      </c>
      <c r="D22" s="36" t="s">
        <v>457</v>
      </c>
      <c r="E22" s="103">
        <f t="shared" si="9"/>
        <v>200000</v>
      </c>
      <c r="F22" s="103">
        <v>200000</v>
      </c>
      <c r="G22" s="103"/>
      <c r="H22" s="103"/>
      <c r="I22" s="103"/>
      <c r="J22" s="103">
        <f>L22+O22</f>
        <v>0</v>
      </c>
      <c r="K22" s="103"/>
      <c r="L22" s="103"/>
      <c r="M22" s="103"/>
      <c r="N22" s="103"/>
      <c r="O22" s="103"/>
      <c r="P22" s="103">
        <f t="shared" si="10"/>
        <v>200000</v>
      </c>
      <c r="Q22" s="177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</row>
    <row r="23" spans="1:528" s="22" customFormat="1" ht="28.5" customHeight="1" x14ac:dyDescent="0.25">
      <c r="A23" s="60" t="s">
        <v>243</v>
      </c>
      <c r="B23" s="97" t="str">
        <f>'дод 8'!A21</f>
        <v>0180</v>
      </c>
      <c r="C23" s="97" t="str">
        <f>'дод 8'!B21</f>
        <v>0133</v>
      </c>
      <c r="D23" s="61" t="str">
        <f>'дод 8'!C21</f>
        <v>Інша діяльність у сфері державного управління</v>
      </c>
      <c r="E23" s="103">
        <f t="shared" si="9"/>
        <v>396000</v>
      </c>
      <c r="F23" s="103">
        <v>396000</v>
      </c>
      <c r="G23" s="103"/>
      <c r="H23" s="103"/>
      <c r="I23" s="103"/>
      <c r="J23" s="103">
        <f t="shared" ref="J23:J25" si="11">L23+O23</f>
        <v>0</v>
      </c>
      <c r="K23" s="103"/>
      <c r="L23" s="103"/>
      <c r="M23" s="103"/>
      <c r="N23" s="103"/>
      <c r="O23" s="103"/>
      <c r="P23" s="103">
        <f t="shared" si="10"/>
        <v>396000</v>
      </c>
      <c r="Q23" s="177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</row>
    <row r="24" spans="1:528" s="22" customFormat="1" ht="15.75" hidden="1" customHeight="1" x14ac:dyDescent="0.25">
      <c r="A24" s="60" t="s">
        <v>437</v>
      </c>
      <c r="B24" s="60" t="s">
        <v>438</v>
      </c>
      <c r="C24" s="60" t="s">
        <v>121</v>
      </c>
      <c r="D24" s="61" t="s">
        <v>439</v>
      </c>
      <c r="E24" s="103">
        <f t="shared" si="9"/>
        <v>0</v>
      </c>
      <c r="F24" s="103"/>
      <c r="G24" s="103"/>
      <c r="H24" s="103"/>
      <c r="I24" s="103"/>
      <c r="J24" s="103">
        <f t="shared" si="11"/>
        <v>0</v>
      </c>
      <c r="K24" s="103"/>
      <c r="L24" s="103"/>
      <c r="M24" s="103"/>
      <c r="N24" s="103"/>
      <c r="O24" s="103"/>
      <c r="P24" s="103">
        <f t="shared" si="10"/>
        <v>0</v>
      </c>
      <c r="Q24" s="177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</row>
    <row r="25" spans="1:528" s="24" customFormat="1" ht="60" hidden="1" customHeight="1" x14ac:dyDescent="0.25">
      <c r="A25" s="88"/>
      <c r="B25" s="104"/>
      <c r="C25" s="104"/>
      <c r="D25" s="91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5">
        <f t="shared" si="9"/>
        <v>0</v>
      </c>
      <c r="F25" s="105"/>
      <c r="G25" s="105"/>
      <c r="H25" s="105"/>
      <c r="I25" s="105"/>
      <c r="J25" s="105">
        <f t="shared" si="11"/>
        <v>0</v>
      </c>
      <c r="K25" s="105"/>
      <c r="L25" s="105"/>
      <c r="M25" s="105"/>
      <c r="N25" s="105"/>
      <c r="O25" s="105"/>
      <c r="P25" s="105">
        <f t="shared" si="10"/>
        <v>0</v>
      </c>
      <c r="Q25" s="17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</row>
    <row r="26" spans="1:528" s="22" customFormat="1" ht="46.5" customHeight="1" x14ac:dyDescent="0.25">
      <c r="A26" s="60" t="s">
        <v>259</v>
      </c>
      <c r="B26" s="97" t="str">
        <f>'дод 8'!A93</f>
        <v>3033</v>
      </c>
      <c r="C26" s="97" t="str">
        <f>'дод 8'!B93</f>
        <v>1070</v>
      </c>
      <c r="D26" s="61" t="s">
        <v>413</v>
      </c>
      <c r="E26" s="103">
        <f t="shared" si="9"/>
        <v>270000</v>
      </c>
      <c r="F26" s="103">
        <v>270000</v>
      </c>
      <c r="G26" s="103"/>
      <c r="H26" s="103"/>
      <c r="I26" s="103"/>
      <c r="J26" s="103">
        <f t="shared" ref="J26:J60" si="12">L26+O26</f>
        <v>0</v>
      </c>
      <c r="K26" s="103"/>
      <c r="L26" s="103"/>
      <c r="M26" s="103"/>
      <c r="N26" s="103"/>
      <c r="O26" s="103"/>
      <c r="P26" s="103">
        <f t="shared" si="10"/>
        <v>270000</v>
      </c>
      <c r="Q26" s="177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</row>
    <row r="27" spans="1:528" s="22" customFormat="1" ht="31.5" customHeight="1" x14ac:dyDescent="0.25">
      <c r="A27" s="60" t="s">
        <v>154</v>
      </c>
      <c r="B27" s="97" t="str">
        <f>'дод 8'!A96</f>
        <v>3036</v>
      </c>
      <c r="C27" s="97" t="str">
        <f>'дод 8'!B96</f>
        <v>1070</v>
      </c>
      <c r="D27" s="61" t="str">
        <f>'дод 8'!C96</f>
        <v>Компенсаційні виплати на пільговий проїзд електротранспортом окремим категоріям громадян</v>
      </c>
      <c r="E27" s="103">
        <f t="shared" si="9"/>
        <v>426500</v>
      </c>
      <c r="F27" s="103">
        <v>426500</v>
      </c>
      <c r="G27" s="103"/>
      <c r="H27" s="103"/>
      <c r="I27" s="103"/>
      <c r="J27" s="103">
        <f t="shared" si="12"/>
        <v>0</v>
      </c>
      <c r="K27" s="103"/>
      <c r="L27" s="103"/>
      <c r="M27" s="103"/>
      <c r="N27" s="103"/>
      <c r="O27" s="103"/>
      <c r="P27" s="103">
        <f t="shared" si="10"/>
        <v>426500</v>
      </c>
      <c r="Q27" s="177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</row>
    <row r="28" spans="1:528" s="22" customFormat="1" ht="36" customHeight="1" x14ac:dyDescent="0.25">
      <c r="A28" s="60" t="s">
        <v>155</v>
      </c>
      <c r="B28" s="97" t="str">
        <f>'дод 8'!A104</f>
        <v>3121</v>
      </c>
      <c r="C28" s="97" t="str">
        <f>'дод 8'!B104</f>
        <v>1040</v>
      </c>
      <c r="D28" s="61" t="s">
        <v>511</v>
      </c>
      <c r="E28" s="103">
        <f t="shared" si="9"/>
        <v>3206400</v>
      </c>
      <c r="F28" s="103">
        <v>3206400</v>
      </c>
      <c r="G28" s="103">
        <v>2407050</v>
      </c>
      <c r="H28" s="103">
        <v>39590</v>
      </c>
      <c r="I28" s="103"/>
      <c r="J28" s="103">
        <f t="shared" si="12"/>
        <v>0</v>
      </c>
      <c r="K28" s="103"/>
      <c r="L28" s="103"/>
      <c r="M28" s="103"/>
      <c r="N28" s="103"/>
      <c r="O28" s="103"/>
      <c r="P28" s="103">
        <f t="shared" si="10"/>
        <v>3206400</v>
      </c>
      <c r="Q28" s="17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</row>
    <row r="29" spans="1:528" s="22" customFormat="1" ht="48.75" customHeight="1" x14ac:dyDescent="0.25">
      <c r="A29" s="60" t="s">
        <v>156</v>
      </c>
      <c r="B29" s="97" t="str">
        <f>'дод 8'!A105</f>
        <v>3131</v>
      </c>
      <c r="C29" s="97" t="str">
        <f>'дод 8'!B105</f>
        <v>1040</v>
      </c>
      <c r="D29" s="61" t="str">
        <f>'дод 8'!C105</f>
        <v>Здійснення заходів та реалізація проектів на виконання Державної цільової соціальної програми "Молодь України"</v>
      </c>
      <c r="E29" s="103">
        <f t="shared" si="9"/>
        <v>684300</v>
      </c>
      <c r="F29" s="103">
        <v>684300</v>
      </c>
      <c r="G29" s="103"/>
      <c r="H29" s="103"/>
      <c r="I29" s="103"/>
      <c r="J29" s="103">
        <f t="shared" si="12"/>
        <v>0</v>
      </c>
      <c r="K29" s="103"/>
      <c r="L29" s="103"/>
      <c r="M29" s="103"/>
      <c r="N29" s="103"/>
      <c r="O29" s="103"/>
      <c r="P29" s="103">
        <f t="shared" si="10"/>
        <v>684300</v>
      </c>
      <c r="Q29" s="17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</row>
    <row r="30" spans="1:528" s="22" customFormat="1" ht="63" x14ac:dyDescent="0.25">
      <c r="A30" s="60" t="s">
        <v>157</v>
      </c>
      <c r="B30" s="97" t="str">
        <f>'дод 8'!A106</f>
        <v>3140</v>
      </c>
      <c r="C30" s="97" t="str">
        <f>'дод 8'!B106</f>
        <v>1040</v>
      </c>
      <c r="D30" s="61" t="s">
        <v>20</v>
      </c>
      <c r="E30" s="103">
        <f t="shared" si="9"/>
        <v>280000</v>
      </c>
      <c r="F30" s="103">
        <v>280000</v>
      </c>
      <c r="G30" s="103"/>
      <c r="H30" s="103"/>
      <c r="I30" s="103"/>
      <c r="J30" s="103">
        <f t="shared" si="12"/>
        <v>0</v>
      </c>
      <c r="K30" s="103"/>
      <c r="L30" s="103"/>
      <c r="M30" s="103"/>
      <c r="N30" s="103"/>
      <c r="O30" s="103"/>
      <c r="P30" s="103">
        <f t="shared" si="10"/>
        <v>280000</v>
      </c>
      <c r="Q30" s="177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</row>
    <row r="31" spans="1:528" s="22" customFormat="1" ht="32.25" customHeight="1" x14ac:dyDescent="0.25">
      <c r="A31" s="60" t="s">
        <v>307</v>
      </c>
      <c r="B31" s="97" t="str">
        <f>'дод 8'!A121</f>
        <v>3241</v>
      </c>
      <c r="C31" s="97" t="str">
        <f>'дод 8'!B121</f>
        <v>1090</v>
      </c>
      <c r="D31" s="61" t="str">
        <f>'дод 8'!C121</f>
        <v>Забезпечення діяльності інших закладів у сфері соціального захисту і соціального забезпечення</v>
      </c>
      <c r="E31" s="103">
        <f t="shared" si="9"/>
        <v>1518300</v>
      </c>
      <c r="F31" s="103">
        <v>1518300</v>
      </c>
      <c r="G31" s="103">
        <v>1078950</v>
      </c>
      <c r="H31" s="103">
        <v>96540</v>
      </c>
      <c r="I31" s="103"/>
      <c r="J31" s="103">
        <f t="shared" si="12"/>
        <v>0</v>
      </c>
      <c r="K31" s="103"/>
      <c r="L31" s="103"/>
      <c r="M31" s="103"/>
      <c r="N31" s="103"/>
      <c r="O31" s="103"/>
      <c r="P31" s="103">
        <f t="shared" si="10"/>
        <v>1518300</v>
      </c>
      <c r="Q31" s="177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</row>
    <row r="32" spans="1:528" s="22" customFormat="1" ht="33.75" customHeight="1" x14ac:dyDescent="0.25">
      <c r="A32" s="60" t="s">
        <v>308</v>
      </c>
      <c r="B32" s="97" t="str">
        <f>'дод 8'!A122</f>
        <v>3242</v>
      </c>
      <c r="C32" s="97" t="str">
        <f>'дод 8'!B122</f>
        <v>1090</v>
      </c>
      <c r="D32" s="61" t="s">
        <v>414</v>
      </c>
      <c r="E32" s="103">
        <f t="shared" si="9"/>
        <v>257400</v>
      </c>
      <c r="F32" s="103">
        <v>257400</v>
      </c>
      <c r="G32" s="103"/>
      <c r="H32" s="103"/>
      <c r="I32" s="103"/>
      <c r="J32" s="103">
        <f t="shared" si="12"/>
        <v>0</v>
      </c>
      <c r="K32" s="103"/>
      <c r="L32" s="103"/>
      <c r="M32" s="103"/>
      <c r="N32" s="103"/>
      <c r="O32" s="103"/>
      <c r="P32" s="103">
        <f t="shared" si="10"/>
        <v>257400</v>
      </c>
      <c r="Q32" s="177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</row>
    <row r="33" spans="1:528" s="22" customFormat="1" ht="39.75" customHeight="1" x14ac:dyDescent="0.25">
      <c r="A33" s="60" t="s">
        <v>320</v>
      </c>
      <c r="B33" s="97" t="str">
        <f>'дод 8'!A126</f>
        <v>4060</v>
      </c>
      <c r="C33" s="97" t="str">
        <f>'дод 8'!B126</f>
        <v>0828</v>
      </c>
      <c r="D33" s="61" t="str">
        <f>'дод 8'!C126</f>
        <v>Забезпечення діяльності палаців i будинків культури, клубів, центрів дозвілля та iнших клубних закладів</v>
      </c>
      <c r="E33" s="103">
        <f t="shared" si="9"/>
        <v>4425500</v>
      </c>
      <c r="F33" s="106">
        <f>4330600+30000+64900</f>
        <v>4425500</v>
      </c>
      <c r="G33" s="103">
        <v>2526200</v>
      </c>
      <c r="H33" s="103">
        <f>452700+30000</f>
        <v>482700</v>
      </c>
      <c r="I33" s="103"/>
      <c r="J33" s="103">
        <f t="shared" si="12"/>
        <v>100000</v>
      </c>
      <c r="K33" s="103">
        <v>100000</v>
      </c>
      <c r="L33" s="103"/>
      <c r="M33" s="103"/>
      <c r="N33" s="103"/>
      <c r="O33" s="103">
        <v>100000</v>
      </c>
      <c r="P33" s="103">
        <f t="shared" si="10"/>
        <v>4525500</v>
      </c>
      <c r="Q33" s="177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</row>
    <row r="34" spans="1:528" s="22" customFormat="1" ht="30.75" customHeight="1" x14ac:dyDescent="0.25">
      <c r="A34" s="60" t="s">
        <v>305</v>
      </c>
      <c r="B34" s="97" t="str">
        <f>'дод 8'!A127</f>
        <v>4081</v>
      </c>
      <c r="C34" s="97" t="str">
        <f>'дод 8'!B127</f>
        <v>0829</v>
      </c>
      <c r="D34" s="61" t="str">
        <f>'дод 8'!C127</f>
        <v>Забезпечення діяльності інших закладів в галузі культури і мистецтва</v>
      </c>
      <c r="E34" s="103">
        <f t="shared" si="9"/>
        <v>2711200</v>
      </c>
      <c r="F34" s="103">
        <f>2708200+3000</f>
        <v>2711200</v>
      </c>
      <c r="G34" s="103">
        <v>1687000</v>
      </c>
      <c r="H34" s="103">
        <v>72500</v>
      </c>
      <c r="I34" s="103"/>
      <c r="J34" s="103">
        <f t="shared" si="12"/>
        <v>65000</v>
      </c>
      <c r="K34" s="103">
        <v>65000</v>
      </c>
      <c r="L34" s="103"/>
      <c r="M34" s="103"/>
      <c r="N34" s="103"/>
      <c r="O34" s="103">
        <v>65000</v>
      </c>
      <c r="P34" s="103">
        <f t="shared" si="10"/>
        <v>2776200</v>
      </c>
      <c r="Q34" s="177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</row>
    <row r="35" spans="1:528" s="22" customFormat="1" ht="25.5" customHeight="1" x14ac:dyDescent="0.25">
      <c r="A35" s="60" t="s">
        <v>306</v>
      </c>
      <c r="B35" s="97" t="str">
        <f>'дод 8'!A128</f>
        <v>4082</v>
      </c>
      <c r="C35" s="97" t="str">
        <f>'дод 8'!B128</f>
        <v>0829</v>
      </c>
      <c r="D35" s="61" t="str">
        <f>'дод 8'!C128</f>
        <v>Інші заходи в галузі культури і мистецтва</v>
      </c>
      <c r="E35" s="103">
        <f t="shared" si="9"/>
        <v>355081</v>
      </c>
      <c r="F35" s="103">
        <v>355081</v>
      </c>
      <c r="G35" s="103"/>
      <c r="H35" s="103"/>
      <c r="I35" s="103"/>
      <c r="J35" s="103">
        <f t="shared" si="12"/>
        <v>0</v>
      </c>
      <c r="K35" s="103"/>
      <c r="L35" s="103"/>
      <c r="M35" s="103"/>
      <c r="N35" s="103"/>
      <c r="O35" s="103"/>
      <c r="P35" s="103">
        <f t="shared" si="10"/>
        <v>355081</v>
      </c>
      <c r="Q35" s="178">
        <v>21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</row>
    <row r="36" spans="1:528" s="22" customFormat="1" ht="36.75" customHeight="1" x14ac:dyDescent="0.25">
      <c r="A36" s="107" t="s">
        <v>158</v>
      </c>
      <c r="B36" s="42" t="str">
        <f>'дод 8'!A130</f>
        <v>5011</v>
      </c>
      <c r="C36" s="42" t="str">
        <f>'дод 8'!B130</f>
        <v>0810</v>
      </c>
      <c r="D36" s="36" t="str">
        <f>'дод 8'!C130</f>
        <v>Проведення навчально-тренувальних зборів і змагань з олімпійських видів спорту</v>
      </c>
      <c r="E36" s="103">
        <f t="shared" si="9"/>
        <v>650000</v>
      </c>
      <c r="F36" s="103">
        <f>600000+30000+20000</f>
        <v>650000</v>
      </c>
      <c r="G36" s="103"/>
      <c r="H36" s="103"/>
      <c r="I36" s="103"/>
      <c r="J36" s="103">
        <f t="shared" si="12"/>
        <v>0</v>
      </c>
      <c r="K36" s="103"/>
      <c r="L36" s="103"/>
      <c r="M36" s="103"/>
      <c r="N36" s="103"/>
      <c r="O36" s="103"/>
      <c r="P36" s="103">
        <f t="shared" si="10"/>
        <v>650000</v>
      </c>
      <c r="Q36" s="178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</row>
    <row r="37" spans="1:528" s="22" customFormat="1" ht="34.5" customHeight="1" x14ac:dyDescent="0.25">
      <c r="A37" s="107" t="s">
        <v>159</v>
      </c>
      <c r="B37" s="42" t="str">
        <f>'дод 8'!A131</f>
        <v>5012</v>
      </c>
      <c r="C37" s="42" t="str">
        <f>'дод 8'!B131</f>
        <v>0810</v>
      </c>
      <c r="D37" s="36" t="str">
        <f>'дод 8'!C131</f>
        <v>Проведення навчально-тренувальних зборів і змагань з неолімпійських видів спорту</v>
      </c>
      <c r="E37" s="103">
        <f t="shared" si="9"/>
        <v>833000</v>
      </c>
      <c r="F37" s="103">
        <f>600000+32000-20000+184000+37000</f>
        <v>833000</v>
      </c>
      <c r="G37" s="103"/>
      <c r="H37" s="103"/>
      <c r="I37" s="103"/>
      <c r="J37" s="103">
        <f t="shared" si="12"/>
        <v>0</v>
      </c>
      <c r="K37" s="103"/>
      <c r="L37" s="103"/>
      <c r="M37" s="103"/>
      <c r="N37" s="103"/>
      <c r="O37" s="103"/>
      <c r="P37" s="103">
        <f t="shared" si="10"/>
        <v>833000</v>
      </c>
      <c r="Q37" s="17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</row>
    <row r="38" spans="1:528" s="22" customFormat="1" ht="39" customHeight="1" x14ac:dyDescent="0.25">
      <c r="A38" s="107" t="s">
        <v>160</v>
      </c>
      <c r="B38" s="42" t="str">
        <f>'дод 8'!A132</f>
        <v>5031</v>
      </c>
      <c r="C38" s="42" t="str">
        <f>'дод 8'!B132</f>
        <v>0810</v>
      </c>
      <c r="D38" s="36" t="str">
        <f>'дод 8'!C132</f>
        <v>Утримання та навчально-тренувальна робота комунальних дитячо-юнацьких спортивних шкіл</v>
      </c>
      <c r="E38" s="103">
        <f t="shared" si="9"/>
        <v>16872500</v>
      </c>
      <c r="F38" s="103">
        <f>16311200+198300+253000+110000</f>
        <v>16872500</v>
      </c>
      <c r="G38" s="103">
        <v>12531000</v>
      </c>
      <c r="H38" s="103">
        <v>634200</v>
      </c>
      <c r="I38" s="103"/>
      <c r="J38" s="103">
        <f t="shared" si="12"/>
        <v>110700</v>
      </c>
      <c r="K38" s="103">
        <v>110700</v>
      </c>
      <c r="L38" s="103"/>
      <c r="M38" s="103"/>
      <c r="N38" s="103"/>
      <c r="O38" s="103">
        <v>110700</v>
      </c>
      <c r="P38" s="103">
        <f t="shared" si="10"/>
        <v>16983200</v>
      </c>
      <c r="Q38" s="178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</row>
    <row r="39" spans="1:528" s="22" customFormat="1" ht="33.75" customHeight="1" x14ac:dyDescent="0.25">
      <c r="A39" s="107" t="s">
        <v>359</v>
      </c>
      <c r="B39" s="42" t="str">
        <f>'дод 8'!A133</f>
        <v>5032</v>
      </c>
      <c r="C39" s="42" t="str">
        <f>'дод 8'!B133</f>
        <v>0810</v>
      </c>
      <c r="D39" s="36" t="str">
        <f>'дод 8'!C133</f>
        <v>Фінансова підтримка дитячо-юнацьких спортивних шкіл фізкультурно-спортивних товариств</v>
      </c>
      <c r="E39" s="103">
        <f t="shared" si="9"/>
        <v>14250800</v>
      </c>
      <c r="F39" s="103">
        <f>13627800+140000+183000+115000+95000+90000</f>
        <v>14250800</v>
      </c>
      <c r="G39" s="103"/>
      <c r="H39" s="103"/>
      <c r="I39" s="103"/>
      <c r="J39" s="103">
        <f t="shared" si="12"/>
        <v>311700</v>
      </c>
      <c r="K39" s="103">
        <f>215000+30700+66000</f>
        <v>311700</v>
      </c>
      <c r="L39" s="103"/>
      <c r="M39" s="103"/>
      <c r="N39" s="103"/>
      <c r="O39" s="103">
        <f>215000+30700+66000</f>
        <v>311700</v>
      </c>
      <c r="P39" s="103">
        <f t="shared" si="10"/>
        <v>14562500</v>
      </c>
      <c r="Q39" s="178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</row>
    <row r="40" spans="1:528" s="22" customFormat="1" ht="63" x14ac:dyDescent="0.25">
      <c r="A40" s="107" t="s">
        <v>161</v>
      </c>
      <c r="B40" s="42" t="str">
        <f>'дод 8'!A134</f>
        <v>5061</v>
      </c>
      <c r="C40" s="42" t="str">
        <f>'дод 8'!B134</f>
        <v>0810</v>
      </c>
      <c r="D40" s="36" t="str">
        <f>'дод 8'!C134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103">
        <f t="shared" si="9"/>
        <v>4889100</v>
      </c>
      <c r="F40" s="103">
        <f>4794100+70000+25000</f>
        <v>4889100</v>
      </c>
      <c r="G40" s="103">
        <v>2987400</v>
      </c>
      <c r="H40" s="103">
        <f>288100+2155</f>
        <v>290255</v>
      </c>
      <c r="I40" s="103"/>
      <c r="J40" s="103">
        <f t="shared" si="12"/>
        <v>1772994</v>
      </c>
      <c r="K40" s="103">
        <f>1530000+30000</f>
        <v>1560000</v>
      </c>
      <c r="L40" s="103">
        <v>212994</v>
      </c>
      <c r="M40" s="103">
        <v>119291</v>
      </c>
      <c r="N40" s="103">
        <v>50432</v>
      </c>
      <c r="O40" s="103">
        <f>1530000+30000</f>
        <v>1560000</v>
      </c>
      <c r="P40" s="103">
        <f t="shared" si="10"/>
        <v>6662094</v>
      </c>
      <c r="Q40" s="178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</row>
    <row r="41" spans="1:528" s="22" customFormat="1" ht="47.25" x14ac:dyDescent="0.25">
      <c r="A41" s="107" t="s">
        <v>351</v>
      </c>
      <c r="B41" s="42" t="str">
        <f>'дод 8'!A135</f>
        <v>5062</v>
      </c>
      <c r="C41" s="42" t="str">
        <f>'дод 8'!B135</f>
        <v>0810</v>
      </c>
      <c r="D41" s="36" t="str">
        <f>'дод 8'!C135</f>
        <v>Підтримка спорту вищих досягнень та організацій, які здійснюють фізкультурно-спортивну діяльність в регіоні</v>
      </c>
      <c r="E41" s="103">
        <f t="shared" si="9"/>
        <v>11442300</v>
      </c>
      <c r="F41" s="103">
        <f>11230300+136000+76000</f>
        <v>11442300</v>
      </c>
      <c r="G41" s="103"/>
      <c r="H41" s="103"/>
      <c r="I41" s="103"/>
      <c r="J41" s="103">
        <f t="shared" si="12"/>
        <v>0</v>
      </c>
      <c r="K41" s="103"/>
      <c r="L41" s="103"/>
      <c r="M41" s="103"/>
      <c r="N41" s="103"/>
      <c r="O41" s="103"/>
      <c r="P41" s="103">
        <f t="shared" si="10"/>
        <v>11442300</v>
      </c>
      <c r="Q41" s="178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</row>
    <row r="42" spans="1:528" s="22" customFormat="1" ht="39" customHeight="1" x14ac:dyDescent="0.25">
      <c r="A42" s="107" t="s">
        <v>416</v>
      </c>
      <c r="B42" s="42">
        <v>7325</v>
      </c>
      <c r="C42" s="77" t="s">
        <v>113</v>
      </c>
      <c r="D42" s="157" t="s">
        <v>571</v>
      </c>
      <c r="E42" s="103">
        <f t="shared" si="9"/>
        <v>0</v>
      </c>
      <c r="F42" s="103"/>
      <c r="G42" s="103"/>
      <c r="H42" s="103"/>
      <c r="I42" s="103"/>
      <c r="J42" s="103">
        <f t="shared" si="12"/>
        <v>9790000</v>
      </c>
      <c r="K42" s="103">
        <v>9790000</v>
      </c>
      <c r="L42" s="103"/>
      <c r="M42" s="103"/>
      <c r="N42" s="103"/>
      <c r="O42" s="103">
        <v>9790000</v>
      </c>
      <c r="P42" s="103">
        <f t="shared" si="10"/>
        <v>9790000</v>
      </c>
      <c r="Q42" s="178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</row>
    <row r="43" spans="1:528" s="22" customFormat="1" ht="18.75" x14ac:dyDescent="0.25">
      <c r="A43" s="107" t="s">
        <v>417</v>
      </c>
      <c r="B43" s="42">
        <v>7330</v>
      </c>
      <c r="C43" s="77" t="s">
        <v>113</v>
      </c>
      <c r="D43" s="157" t="s">
        <v>572</v>
      </c>
      <c r="E43" s="103">
        <f t="shared" si="9"/>
        <v>0</v>
      </c>
      <c r="F43" s="103"/>
      <c r="G43" s="103"/>
      <c r="H43" s="103"/>
      <c r="I43" s="103"/>
      <c r="J43" s="103">
        <f t="shared" si="12"/>
        <v>400000</v>
      </c>
      <c r="K43" s="103">
        <v>400000</v>
      </c>
      <c r="L43" s="103"/>
      <c r="M43" s="103"/>
      <c r="N43" s="103"/>
      <c r="O43" s="103">
        <v>400000</v>
      </c>
      <c r="P43" s="103">
        <f t="shared" si="10"/>
        <v>400000</v>
      </c>
      <c r="Q43" s="178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</row>
    <row r="44" spans="1:528" s="22" customFormat="1" ht="31.5" x14ac:dyDescent="0.25">
      <c r="A44" s="107" t="s">
        <v>162</v>
      </c>
      <c r="B44" s="42" t="str">
        <f>'дод 8'!A173</f>
        <v>7412</v>
      </c>
      <c r="C44" s="42" t="str">
        <f>'дод 8'!B173</f>
        <v>0451</v>
      </c>
      <c r="D44" s="36" t="str">
        <f>'дод 8'!C173</f>
        <v>Регулювання цін на послуги місцевого автотранспорту</v>
      </c>
      <c r="E44" s="103">
        <f t="shared" si="9"/>
        <v>7417200</v>
      </c>
      <c r="F44" s="103"/>
      <c r="G44" s="103"/>
      <c r="H44" s="103"/>
      <c r="I44" s="103">
        <v>7417200</v>
      </c>
      <c r="J44" s="103">
        <f t="shared" si="12"/>
        <v>0</v>
      </c>
      <c r="K44" s="103"/>
      <c r="L44" s="103"/>
      <c r="M44" s="103"/>
      <c r="N44" s="103"/>
      <c r="O44" s="103"/>
      <c r="P44" s="103">
        <f t="shared" si="10"/>
        <v>7417200</v>
      </c>
      <c r="Q44" s="178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</row>
    <row r="45" spans="1:528" s="22" customFormat="1" ht="24" customHeight="1" x14ac:dyDescent="0.25">
      <c r="A45" s="107" t="s">
        <v>379</v>
      </c>
      <c r="B45" s="42">
        <f>'дод 8'!A174</f>
        <v>7413</v>
      </c>
      <c r="C45" s="42" t="str">
        <f>'дод 8'!B174</f>
        <v>0451</v>
      </c>
      <c r="D45" s="108" t="str">
        <f>'дод 8'!C174</f>
        <v>Інші заходи у сфері автотранспорту</v>
      </c>
      <c r="E45" s="103">
        <f t="shared" si="9"/>
        <v>11000000</v>
      </c>
      <c r="F45" s="103"/>
      <c r="G45" s="103"/>
      <c r="H45" s="103"/>
      <c r="I45" s="103">
        <v>11000000</v>
      </c>
      <c r="J45" s="103">
        <f t="shared" si="12"/>
        <v>0</v>
      </c>
      <c r="K45" s="103"/>
      <c r="L45" s="103"/>
      <c r="M45" s="103"/>
      <c r="N45" s="103"/>
      <c r="O45" s="103"/>
      <c r="P45" s="103">
        <f t="shared" si="10"/>
        <v>11000000</v>
      </c>
      <c r="Q45" s="178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</row>
    <row r="46" spans="1:528" s="22" customFormat="1" ht="24" customHeight="1" x14ac:dyDescent="0.25">
      <c r="A46" s="107" t="s">
        <v>380</v>
      </c>
      <c r="B46" s="42">
        <f>'дод 8'!A175</f>
        <v>7426</v>
      </c>
      <c r="C46" s="107" t="s">
        <v>415</v>
      </c>
      <c r="D46" s="108" t="str">
        <f>'дод 8'!C175</f>
        <v>Інші заходи у сфері електротранспорту</v>
      </c>
      <c r="E46" s="103">
        <f t="shared" si="9"/>
        <v>30742296</v>
      </c>
      <c r="F46" s="103"/>
      <c r="G46" s="103"/>
      <c r="H46" s="103"/>
      <c r="I46" s="103">
        <v>30742296</v>
      </c>
      <c r="J46" s="103">
        <f t="shared" si="12"/>
        <v>0</v>
      </c>
      <c r="K46" s="103"/>
      <c r="L46" s="103"/>
      <c r="M46" s="103"/>
      <c r="N46" s="103"/>
      <c r="O46" s="103"/>
      <c r="P46" s="103">
        <f t="shared" si="10"/>
        <v>30742296</v>
      </c>
      <c r="Q46" s="178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</row>
    <row r="47" spans="1:528" s="22" customFormat="1" ht="24" customHeight="1" x14ac:dyDescent="0.25">
      <c r="A47" s="107" t="s">
        <v>458</v>
      </c>
      <c r="B47" s="107" t="s">
        <v>459</v>
      </c>
      <c r="C47" s="107" t="s">
        <v>402</v>
      </c>
      <c r="D47" s="108" t="s">
        <v>465</v>
      </c>
      <c r="E47" s="103">
        <f t="shared" si="9"/>
        <v>2725480</v>
      </c>
      <c r="F47" s="103">
        <v>2725480</v>
      </c>
      <c r="G47" s="103"/>
      <c r="H47" s="103"/>
      <c r="I47" s="103"/>
      <c r="J47" s="103">
        <f t="shared" si="12"/>
        <v>0</v>
      </c>
      <c r="K47" s="103"/>
      <c r="L47" s="103"/>
      <c r="M47" s="103"/>
      <c r="N47" s="103"/>
      <c r="O47" s="103"/>
      <c r="P47" s="103">
        <f t="shared" si="10"/>
        <v>2725480</v>
      </c>
      <c r="Q47" s="17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</row>
    <row r="48" spans="1:528" s="22" customFormat="1" ht="30.75" customHeight="1" x14ac:dyDescent="0.25">
      <c r="A48" s="107" t="s">
        <v>235</v>
      </c>
      <c r="B48" s="42" t="str">
        <f>'дод 8'!A183</f>
        <v>7530</v>
      </c>
      <c r="C48" s="42" t="str">
        <f>'дод 8'!B183</f>
        <v>0460</v>
      </c>
      <c r="D48" s="36" t="s">
        <v>236</v>
      </c>
      <c r="E48" s="103">
        <f t="shared" si="9"/>
        <v>7250000</v>
      </c>
      <c r="F48" s="103">
        <f>10400000-3150000</f>
        <v>7250000</v>
      </c>
      <c r="G48" s="103"/>
      <c r="H48" s="103"/>
      <c r="I48" s="103"/>
      <c r="J48" s="103">
        <f t="shared" si="12"/>
        <v>3150000</v>
      </c>
      <c r="K48" s="103">
        <v>3150000</v>
      </c>
      <c r="L48" s="103"/>
      <c r="M48" s="103"/>
      <c r="N48" s="103"/>
      <c r="O48" s="103">
        <v>3150000</v>
      </c>
      <c r="P48" s="103">
        <f t="shared" si="10"/>
        <v>10400000</v>
      </c>
      <c r="Q48" s="17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</row>
    <row r="49" spans="1:528" s="22" customFormat="1" ht="31.5" customHeight="1" x14ac:dyDescent="0.25">
      <c r="A49" s="107" t="s">
        <v>163</v>
      </c>
      <c r="B49" s="42" t="str">
        <f>'дод 8'!A186</f>
        <v>7610</v>
      </c>
      <c r="C49" s="42" t="str">
        <f>'дод 8'!B186</f>
        <v>0411</v>
      </c>
      <c r="D49" s="36" t="str">
        <f>'дод 8'!C186</f>
        <v>Сприяння розвитку малого та середнього підприємництва</v>
      </c>
      <c r="E49" s="103">
        <f t="shared" si="9"/>
        <v>60000</v>
      </c>
      <c r="F49" s="103">
        <v>60000</v>
      </c>
      <c r="G49" s="103"/>
      <c r="H49" s="103"/>
      <c r="I49" s="103"/>
      <c r="J49" s="103">
        <f t="shared" si="12"/>
        <v>0</v>
      </c>
      <c r="K49" s="103"/>
      <c r="L49" s="103"/>
      <c r="M49" s="103"/>
      <c r="N49" s="103"/>
      <c r="O49" s="103"/>
      <c r="P49" s="103">
        <f t="shared" si="10"/>
        <v>60000</v>
      </c>
      <c r="Q49" s="17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</row>
    <row r="50" spans="1:528" s="22" customFormat="1" ht="33.75" customHeight="1" x14ac:dyDescent="0.25">
      <c r="A50" s="107" t="s">
        <v>164</v>
      </c>
      <c r="B50" s="42" t="str">
        <f>'дод 8'!A191</f>
        <v>7670</v>
      </c>
      <c r="C50" s="42" t="str">
        <f>'дод 8'!B191</f>
        <v>0490</v>
      </c>
      <c r="D50" s="36" t="s">
        <v>25</v>
      </c>
      <c r="E50" s="103">
        <f t="shared" si="9"/>
        <v>0</v>
      </c>
      <c r="F50" s="103"/>
      <c r="G50" s="103"/>
      <c r="H50" s="103"/>
      <c r="I50" s="103"/>
      <c r="J50" s="103">
        <f t="shared" si="12"/>
        <v>18997900</v>
      </c>
      <c r="K50" s="103">
        <v>18997900</v>
      </c>
      <c r="L50" s="103"/>
      <c r="M50" s="103"/>
      <c r="N50" s="103"/>
      <c r="O50" s="103">
        <v>18997900</v>
      </c>
      <c r="P50" s="103">
        <f t="shared" si="10"/>
        <v>18997900</v>
      </c>
      <c r="Q50" s="17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</row>
    <row r="51" spans="1:528" s="22" customFormat="1" ht="36.75" customHeight="1" x14ac:dyDescent="0.25">
      <c r="A51" s="107" t="s">
        <v>249</v>
      </c>
      <c r="B51" s="42" t="str">
        <f>'дод 8'!A193</f>
        <v>7680</v>
      </c>
      <c r="C51" s="42" t="str">
        <f>'дод 8'!B193</f>
        <v>0490</v>
      </c>
      <c r="D51" s="36" t="str">
        <f>'дод 8'!C193</f>
        <v>Членські внески до асоціацій органів місцевого самоврядування</v>
      </c>
      <c r="E51" s="103">
        <f t="shared" si="9"/>
        <v>356337</v>
      </c>
      <c r="F51" s="103">
        <v>356337</v>
      </c>
      <c r="G51" s="103"/>
      <c r="H51" s="103"/>
      <c r="I51" s="103"/>
      <c r="J51" s="103">
        <f t="shared" si="12"/>
        <v>0</v>
      </c>
      <c r="K51" s="103"/>
      <c r="L51" s="103"/>
      <c r="M51" s="103"/>
      <c r="N51" s="103"/>
      <c r="O51" s="103"/>
      <c r="P51" s="103">
        <f t="shared" si="10"/>
        <v>356337</v>
      </c>
      <c r="Q51" s="178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</row>
    <row r="52" spans="1:528" s="22" customFormat="1" ht="120.75" customHeight="1" x14ac:dyDescent="0.25">
      <c r="A52" s="107" t="s">
        <v>303</v>
      </c>
      <c r="B52" s="42" t="str">
        <f>'дод 8'!A194</f>
        <v>7691</v>
      </c>
      <c r="C52" s="42" t="str">
        <f>'дод 8'!B194</f>
        <v>0490</v>
      </c>
      <c r="D52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103">
        <f t="shared" si="9"/>
        <v>0</v>
      </c>
      <c r="F52" s="103"/>
      <c r="G52" s="103"/>
      <c r="H52" s="103"/>
      <c r="I52" s="103"/>
      <c r="J52" s="103">
        <f t="shared" si="12"/>
        <v>54101</v>
      </c>
      <c r="K52" s="103"/>
      <c r="L52" s="103">
        <v>54101</v>
      </c>
      <c r="M52" s="103"/>
      <c r="N52" s="103"/>
      <c r="O52" s="103"/>
      <c r="P52" s="103">
        <f t="shared" si="10"/>
        <v>54101</v>
      </c>
      <c r="Q52" s="178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</row>
    <row r="53" spans="1:528" s="22" customFormat="1" ht="23.25" customHeight="1" x14ac:dyDescent="0.25">
      <c r="A53" s="107" t="s">
        <v>242</v>
      </c>
      <c r="B53" s="42" t="str">
        <f>'дод 8'!A195</f>
        <v>7693</v>
      </c>
      <c r="C53" s="42" t="str">
        <f>'дод 8'!B195</f>
        <v>0490</v>
      </c>
      <c r="D53" s="36" t="str">
        <f>'дод 8'!C195</f>
        <v>Інші заходи, пов'язані з економічною діяльністю</v>
      </c>
      <c r="E53" s="103">
        <f t="shared" si="9"/>
        <v>1129332</v>
      </c>
      <c r="F53" s="103">
        <v>1129332</v>
      </c>
      <c r="G53" s="103"/>
      <c r="H53" s="103"/>
      <c r="I53" s="103"/>
      <c r="J53" s="103">
        <f t="shared" si="12"/>
        <v>0</v>
      </c>
      <c r="K53" s="103"/>
      <c r="L53" s="103"/>
      <c r="M53" s="103"/>
      <c r="N53" s="103"/>
      <c r="O53" s="103"/>
      <c r="P53" s="103">
        <f t="shared" si="10"/>
        <v>1129332</v>
      </c>
      <c r="Q53" s="178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</row>
    <row r="54" spans="1:528" s="22" customFormat="1" ht="34.5" customHeight="1" x14ac:dyDescent="0.25">
      <c r="A54" s="107" t="s">
        <v>165</v>
      </c>
      <c r="B54" s="42" t="str">
        <f>'дод 8'!A202</f>
        <v>8110</v>
      </c>
      <c r="C54" s="42" t="str">
        <f>'дод 8'!B202</f>
        <v>0320</v>
      </c>
      <c r="D54" s="36" t="str">
        <f>'дод 8'!C202</f>
        <v>Заходи із запобігання та ліквідації надзвичайних ситуацій та наслідків стихійного лиха</v>
      </c>
      <c r="E54" s="103">
        <f t="shared" si="9"/>
        <v>251700</v>
      </c>
      <c r="F54" s="103">
        <v>251700</v>
      </c>
      <c r="G54" s="103"/>
      <c r="H54" s="103">
        <v>6500</v>
      </c>
      <c r="I54" s="103"/>
      <c r="J54" s="103">
        <f t="shared" si="12"/>
        <v>1430052</v>
      </c>
      <c r="K54" s="103">
        <v>1430052</v>
      </c>
      <c r="L54" s="103"/>
      <c r="M54" s="103"/>
      <c r="N54" s="103"/>
      <c r="O54" s="103">
        <v>1430052</v>
      </c>
      <c r="P54" s="103">
        <f t="shared" si="10"/>
        <v>1681752</v>
      </c>
      <c r="Q54" s="178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</row>
    <row r="55" spans="1:528" s="22" customFormat="1" ht="30.75" customHeight="1" x14ac:dyDescent="0.25">
      <c r="A55" s="107" t="s">
        <v>225</v>
      </c>
      <c r="B55" s="42" t="str">
        <f>'дод 8'!A203</f>
        <v>8120</v>
      </c>
      <c r="C55" s="42" t="str">
        <f>'дод 8'!B203</f>
        <v>0320</v>
      </c>
      <c r="D55" s="36" t="str">
        <f>'дод 8'!C203</f>
        <v>Заходи з організації рятування на водах, у т.ч. за рахунок:</v>
      </c>
      <c r="E55" s="103">
        <f t="shared" si="9"/>
        <v>2454660</v>
      </c>
      <c r="F55" s="103">
        <v>2454660</v>
      </c>
      <c r="G55" s="103">
        <f>1906900</f>
        <v>1906900</v>
      </c>
      <c r="H55" s="103">
        <v>79260</v>
      </c>
      <c r="I55" s="103"/>
      <c r="J55" s="103">
        <f t="shared" si="12"/>
        <v>5700</v>
      </c>
      <c r="K55" s="103"/>
      <c r="L55" s="103">
        <v>5700</v>
      </c>
      <c r="M55" s="103"/>
      <c r="N55" s="103">
        <v>1400</v>
      </c>
      <c r="O55" s="103"/>
      <c r="P55" s="103">
        <f t="shared" si="10"/>
        <v>2460360</v>
      </c>
      <c r="Q55" s="178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</row>
    <row r="56" spans="1:528" s="24" customFormat="1" ht="63" x14ac:dyDescent="0.25">
      <c r="A56" s="109"/>
      <c r="B56" s="92"/>
      <c r="C56" s="92"/>
      <c r="D56" s="91" t="str">
        <f>'дод 8'!C204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105">
        <f t="shared" si="9"/>
        <v>588815</v>
      </c>
      <c r="F56" s="105">
        <f>359315+30260+81980+117260</f>
        <v>588815</v>
      </c>
      <c r="G56" s="105">
        <f>294520+24805+67195+96115</f>
        <v>482635</v>
      </c>
      <c r="H56" s="105"/>
      <c r="I56" s="105"/>
      <c r="J56" s="105">
        <f t="shared" si="12"/>
        <v>0</v>
      </c>
      <c r="K56" s="105"/>
      <c r="L56" s="105"/>
      <c r="M56" s="105"/>
      <c r="N56" s="105"/>
      <c r="O56" s="105"/>
      <c r="P56" s="105">
        <f t="shared" si="10"/>
        <v>588815</v>
      </c>
      <c r="Q56" s="178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0"/>
      <c r="NY56" s="30"/>
      <c r="NZ56" s="30"/>
      <c r="OA56" s="30"/>
      <c r="OB56" s="30"/>
      <c r="OC56" s="30"/>
      <c r="OD56" s="30"/>
      <c r="OE56" s="30"/>
      <c r="OF56" s="30"/>
      <c r="OG56" s="30"/>
      <c r="OH56" s="30"/>
      <c r="OI56" s="30"/>
      <c r="OJ56" s="30"/>
      <c r="OK56" s="30"/>
      <c r="OL56" s="30"/>
      <c r="OM56" s="30"/>
      <c r="ON56" s="30"/>
      <c r="OO56" s="30"/>
      <c r="OP56" s="30"/>
      <c r="OQ56" s="30"/>
      <c r="OR56" s="30"/>
      <c r="OS56" s="30"/>
      <c r="OT56" s="30"/>
      <c r="OU56" s="30"/>
      <c r="OV56" s="30"/>
      <c r="OW56" s="30"/>
      <c r="OX56" s="30"/>
      <c r="OY56" s="30"/>
      <c r="OZ56" s="30"/>
      <c r="PA56" s="30"/>
      <c r="PB56" s="30"/>
      <c r="PC56" s="30"/>
      <c r="PD56" s="30"/>
      <c r="PE56" s="30"/>
      <c r="PF56" s="30"/>
      <c r="PG56" s="30"/>
      <c r="PH56" s="30"/>
      <c r="PI56" s="30"/>
      <c r="PJ56" s="30"/>
      <c r="PK56" s="30"/>
      <c r="PL56" s="30"/>
      <c r="PM56" s="30"/>
      <c r="PN56" s="30"/>
      <c r="PO56" s="30"/>
      <c r="PP56" s="30"/>
      <c r="PQ56" s="30"/>
      <c r="PR56" s="30"/>
      <c r="PS56" s="30"/>
      <c r="PT56" s="30"/>
      <c r="PU56" s="30"/>
      <c r="PV56" s="30"/>
      <c r="PW56" s="30"/>
      <c r="PX56" s="30"/>
      <c r="PY56" s="30"/>
      <c r="PZ56" s="30"/>
      <c r="QA56" s="30"/>
      <c r="QB56" s="30"/>
      <c r="QC56" s="30"/>
      <c r="QD56" s="30"/>
      <c r="QE56" s="30"/>
      <c r="QF56" s="30"/>
      <c r="QG56" s="30"/>
      <c r="QH56" s="30"/>
      <c r="QI56" s="30"/>
      <c r="QJ56" s="30"/>
      <c r="QK56" s="30"/>
      <c r="QL56" s="30"/>
      <c r="QM56" s="30"/>
      <c r="QN56" s="30"/>
      <c r="QO56" s="30"/>
      <c r="QP56" s="30"/>
      <c r="QQ56" s="30"/>
      <c r="QR56" s="30"/>
      <c r="QS56" s="30"/>
      <c r="QT56" s="30"/>
      <c r="QU56" s="30"/>
      <c r="QV56" s="30"/>
      <c r="QW56" s="30"/>
      <c r="QX56" s="30"/>
      <c r="QY56" s="30"/>
      <c r="QZ56" s="30"/>
      <c r="RA56" s="30"/>
      <c r="RB56" s="30"/>
      <c r="RC56" s="30"/>
      <c r="RD56" s="30"/>
      <c r="RE56" s="30"/>
      <c r="RF56" s="30"/>
      <c r="RG56" s="30"/>
      <c r="RH56" s="30"/>
      <c r="RI56" s="30"/>
      <c r="RJ56" s="30"/>
      <c r="RK56" s="30"/>
      <c r="RL56" s="30"/>
      <c r="RM56" s="30"/>
      <c r="RN56" s="30"/>
      <c r="RO56" s="30"/>
      <c r="RP56" s="30"/>
      <c r="RQ56" s="30"/>
      <c r="RR56" s="30"/>
      <c r="RS56" s="30"/>
      <c r="RT56" s="30"/>
      <c r="RU56" s="30"/>
      <c r="RV56" s="30"/>
      <c r="RW56" s="30"/>
      <c r="RX56" s="30"/>
      <c r="RY56" s="30"/>
      <c r="RZ56" s="30"/>
      <c r="SA56" s="30"/>
      <c r="SB56" s="30"/>
      <c r="SC56" s="30"/>
      <c r="SD56" s="30"/>
      <c r="SE56" s="30"/>
      <c r="SF56" s="30"/>
      <c r="SG56" s="30"/>
      <c r="SH56" s="30"/>
      <c r="SI56" s="30"/>
      <c r="SJ56" s="30"/>
      <c r="SK56" s="30"/>
      <c r="SL56" s="30"/>
      <c r="SM56" s="30"/>
      <c r="SN56" s="30"/>
      <c r="SO56" s="30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  <c r="TG56" s="30"/>
      <c r="TH56" s="30"/>
    </row>
    <row r="57" spans="1:528" s="22" customFormat="1" ht="21.75" customHeight="1" x14ac:dyDescent="0.25">
      <c r="A57" s="107" t="s">
        <v>245</v>
      </c>
      <c r="B57" s="42" t="str">
        <f>'дод 8'!A206</f>
        <v>8230</v>
      </c>
      <c r="C57" s="42" t="str">
        <f>'дод 8'!B206</f>
        <v>0380</v>
      </c>
      <c r="D57" s="36" t="str">
        <f>'дод 8'!C206</f>
        <v>Інші заходи громадського порядку та безпеки</v>
      </c>
      <c r="E57" s="103">
        <f t="shared" si="9"/>
        <v>351800</v>
      </c>
      <c r="F57" s="103">
        <v>351800</v>
      </c>
      <c r="G57" s="103"/>
      <c r="H57" s="103">
        <v>193600</v>
      </c>
      <c r="I57" s="103"/>
      <c r="J57" s="103">
        <f t="shared" si="12"/>
        <v>0</v>
      </c>
      <c r="K57" s="103"/>
      <c r="L57" s="103"/>
      <c r="M57" s="103"/>
      <c r="N57" s="103"/>
      <c r="O57" s="103"/>
      <c r="P57" s="103">
        <f t="shared" si="10"/>
        <v>351800</v>
      </c>
      <c r="Q57" s="178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</row>
    <row r="58" spans="1:528" s="22" customFormat="1" ht="36" customHeight="1" x14ac:dyDescent="0.25">
      <c r="A58" s="60" t="s">
        <v>166</v>
      </c>
      <c r="B58" s="97" t="str">
        <f>'дод 8'!A209</f>
        <v>8340</v>
      </c>
      <c r="C58" s="97" t="str">
        <f>'дод 8'!B209</f>
        <v>0540</v>
      </c>
      <c r="D58" s="61" t="str">
        <f>'дод 8'!C209</f>
        <v>Природоохоронні заходи за рахунок цільових фондів</v>
      </c>
      <c r="E58" s="103">
        <f t="shared" si="9"/>
        <v>0</v>
      </c>
      <c r="F58" s="103"/>
      <c r="G58" s="103"/>
      <c r="H58" s="103"/>
      <c r="I58" s="103"/>
      <c r="J58" s="103">
        <f t="shared" si="12"/>
        <v>250000</v>
      </c>
      <c r="K58" s="103"/>
      <c r="L58" s="103">
        <v>250000</v>
      </c>
      <c r="M58" s="103"/>
      <c r="N58" s="103"/>
      <c r="O58" s="103"/>
      <c r="P58" s="103">
        <f t="shared" si="10"/>
        <v>250000</v>
      </c>
      <c r="Q58" s="178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</row>
    <row r="59" spans="1:528" s="22" customFormat="1" ht="26.25" hidden="1" customHeight="1" x14ac:dyDescent="0.25">
      <c r="A59" s="107" t="s">
        <v>256</v>
      </c>
      <c r="B59" s="42" t="str">
        <f>'дод 8'!A211</f>
        <v>8420</v>
      </c>
      <c r="C59" s="42" t="str">
        <f>'дод 8'!B211</f>
        <v>0830</v>
      </c>
      <c r="D59" s="36" t="str">
        <f>'дод 8'!C211</f>
        <v>Інші заходи у сфері засобів масової інформації</v>
      </c>
      <c r="E59" s="103">
        <f t="shared" si="9"/>
        <v>0</v>
      </c>
      <c r="F59" s="103"/>
      <c r="G59" s="103"/>
      <c r="H59" s="103"/>
      <c r="I59" s="103"/>
      <c r="J59" s="103">
        <f t="shared" si="12"/>
        <v>0</v>
      </c>
      <c r="K59" s="103"/>
      <c r="L59" s="103"/>
      <c r="M59" s="103"/>
      <c r="N59" s="103"/>
      <c r="O59" s="103"/>
      <c r="P59" s="103">
        <f t="shared" si="10"/>
        <v>0</v>
      </c>
      <c r="Q59" s="178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</row>
    <row r="60" spans="1:528" s="22" customFormat="1" ht="47.25" x14ac:dyDescent="0.25">
      <c r="A60" s="107" t="s">
        <v>383</v>
      </c>
      <c r="B60" s="42">
        <v>9800</v>
      </c>
      <c r="C60" s="107" t="s">
        <v>46</v>
      </c>
      <c r="D60" s="36" t="s">
        <v>369</v>
      </c>
      <c r="E60" s="103">
        <f t="shared" si="9"/>
        <v>407799</v>
      </c>
      <c r="F60" s="103">
        <v>407799</v>
      </c>
      <c r="G60" s="103"/>
      <c r="H60" s="103"/>
      <c r="I60" s="103"/>
      <c r="J60" s="103">
        <f t="shared" si="12"/>
        <v>0</v>
      </c>
      <c r="K60" s="103"/>
      <c r="L60" s="103"/>
      <c r="M60" s="103"/>
      <c r="N60" s="103"/>
      <c r="O60" s="103"/>
      <c r="P60" s="103">
        <f t="shared" si="10"/>
        <v>407799</v>
      </c>
      <c r="Q60" s="178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</row>
    <row r="61" spans="1:528" s="27" customFormat="1" ht="36" customHeight="1" x14ac:dyDescent="0.25">
      <c r="A61" s="110" t="s">
        <v>167</v>
      </c>
      <c r="B61" s="39"/>
      <c r="C61" s="39"/>
      <c r="D61" s="111" t="s">
        <v>26</v>
      </c>
      <c r="E61" s="99">
        <f>E62</f>
        <v>1132055690.23</v>
      </c>
      <c r="F61" s="99">
        <f t="shared" ref="F61:J61" si="13">F62</f>
        <v>1132055690.23</v>
      </c>
      <c r="G61" s="99">
        <f t="shared" si="13"/>
        <v>779065830</v>
      </c>
      <c r="H61" s="99">
        <f t="shared" si="13"/>
        <v>56719650</v>
      </c>
      <c r="I61" s="99">
        <f t="shared" si="13"/>
        <v>0</v>
      </c>
      <c r="J61" s="99">
        <f t="shared" si="13"/>
        <v>82955394</v>
      </c>
      <c r="K61" s="99">
        <f t="shared" ref="K61" si="14">K62</f>
        <v>44809894</v>
      </c>
      <c r="L61" s="99">
        <f t="shared" ref="L61" si="15">L62</f>
        <v>37485500</v>
      </c>
      <c r="M61" s="99">
        <f t="shared" ref="M61" si="16">M62</f>
        <v>2268060</v>
      </c>
      <c r="N61" s="99">
        <f t="shared" ref="N61" si="17">N62</f>
        <v>139890</v>
      </c>
      <c r="O61" s="99">
        <f t="shared" ref="O61:P61" si="18">O62</f>
        <v>45469894</v>
      </c>
      <c r="P61" s="99">
        <f t="shared" si="18"/>
        <v>1215011084.23</v>
      </c>
      <c r="Q61" s="178">
        <v>22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  <c r="TH61" s="32"/>
    </row>
    <row r="62" spans="1:528" s="34" customFormat="1" ht="38.25" customHeight="1" x14ac:dyDescent="0.25">
      <c r="A62" s="112" t="s">
        <v>168</v>
      </c>
      <c r="B62" s="78"/>
      <c r="C62" s="78"/>
      <c r="D62" s="81" t="s">
        <v>518</v>
      </c>
      <c r="E62" s="102">
        <f>E73+E74+E75+E76+E77+E80+E82+E85+E87+E88+E89+E90+E91+E93+E94+E96+E98+E99+E100+E101+E102+E103+E104+E105+E106+E108</f>
        <v>1132055690.23</v>
      </c>
      <c r="F62" s="102">
        <f t="shared" ref="F62:P62" si="19">F73+F74+F75+F76+F77+F80+F82+F85+F87+F88+F89+F90+F91+F93+F94+F96+F98+F99+F100+F101+F102+F103+F104+F105+F106+F108</f>
        <v>1132055690.23</v>
      </c>
      <c r="G62" s="102">
        <f t="shared" si="19"/>
        <v>779065830</v>
      </c>
      <c r="H62" s="102">
        <f t="shared" si="19"/>
        <v>56719650</v>
      </c>
      <c r="I62" s="102">
        <f t="shared" si="19"/>
        <v>0</v>
      </c>
      <c r="J62" s="102">
        <f t="shared" si="19"/>
        <v>82955394</v>
      </c>
      <c r="K62" s="102">
        <f t="shared" si="19"/>
        <v>44809894</v>
      </c>
      <c r="L62" s="102">
        <f t="shared" si="19"/>
        <v>37485500</v>
      </c>
      <c r="M62" s="102">
        <f t="shared" si="19"/>
        <v>2268060</v>
      </c>
      <c r="N62" s="102">
        <f t="shared" si="19"/>
        <v>139890</v>
      </c>
      <c r="O62" s="102">
        <f t="shared" si="19"/>
        <v>45469894</v>
      </c>
      <c r="P62" s="102">
        <f t="shared" si="19"/>
        <v>1215011084.23</v>
      </c>
      <c r="Q62" s="178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  <c r="TH62" s="33"/>
    </row>
    <row r="63" spans="1:528" s="34" customFormat="1" ht="31.5" x14ac:dyDescent="0.25">
      <c r="A63" s="112"/>
      <c r="B63" s="78"/>
      <c r="C63" s="78"/>
      <c r="D63" s="81" t="s">
        <v>391</v>
      </c>
      <c r="E63" s="102">
        <f>E78+E81</f>
        <v>482448000</v>
      </c>
      <c r="F63" s="102">
        <f>F78+F81</f>
        <v>482448000</v>
      </c>
      <c r="G63" s="102">
        <f t="shared" ref="G63:P63" si="20">G78+G81</f>
        <v>396066000</v>
      </c>
      <c r="H63" s="102">
        <f t="shared" si="20"/>
        <v>0</v>
      </c>
      <c r="I63" s="102">
        <f t="shared" si="20"/>
        <v>0</v>
      </c>
      <c r="J63" s="102">
        <f t="shared" si="20"/>
        <v>0</v>
      </c>
      <c r="K63" s="102">
        <f t="shared" si="20"/>
        <v>0</v>
      </c>
      <c r="L63" s="102">
        <f t="shared" si="20"/>
        <v>0</v>
      </c>
      <c r="M63" s="102">
        <f t="shared" si="20"/>
        <v>0</v>
      </c>
      <c r="N63" s="102">
        <f t="shared" si="20"/>
        <v>0</v>
      </c>
      <c r="O63" s="102">
        <f t="shared" si="20"/>
        <v>0</v>
      </c>
      <c r="P63" s="102">
        <f t="shared" si="20"/>
        <v>482448000</v>
      </c>
      <c r="Q63" s="178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</row>
    <row r="64" spans="1:528" s="34" customFormat="1" ht="63" hidden="1" customHeight="1" x14ac:dyDescent="0.25">
      <c r="A64" s="112"/>
      <c r="B64" s="78"/>
      <c r="C64" s="78"/>
      <c r="D64" s="81" t="s">
        <v>390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78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</row>
    <row r="65" spans="1:528" s="34" customFormat="1" ht="47.25" x14ac:dyDescent="0.25">
      <c r="A65" s="112"/>
      <c r="B65" s="78"/>
      <c r="C65" s="78"/>
      <c r="D65" s="81" t="s">
        <v>567</v>
      </c>
      <c r="E65" s="102">
        <f>E83</f>
        <v>246000</v>
      </c>
      <c r="F65" s="102">
        <f t="shared" ref="F65:P65" si="21">F83</f>
        <v>246000</v>
      </c>
      <c r="G65" s="102">
        <f t="shared" si="21"/>
        <v>0</v>
      </c>
      <c r="H65" s="102">
        <f t="shared" si="21"/>
        <v>0</v>
      </c>
      <c r="I65" s="102">
        <f t="shared" si="21"/>
        <v>0</v>
      </c>
      <c r="J65" s="102">
        <f t="shared" si="21"/>
        <v>1754000</v>
      </c>
      <c r="K65" s="102">
        <f t="shared" si="21"/>
        <v>1754000</v>
      </c>
      <c r="L65" s="102">
        <f t="shared" si="21"/>
        <v>0</v>
      </c>
      <c r="M65" s="102">
        <f t="shared" si="21"/>
        <v>0</v>
      </c>
      <c r="N65" s="102">
        <f t="shared" si="21"/>
        <v>0</v>
      </c>
      <c r="O65" s="102">
        <f t="shared" si="21"/>
        <v>1754000</v>
      </c>
      <c r="P65" s="102">
        <f t="shared" si="21"/>
        <v>2000000</v>
      </c>
      <c r="Q65" s="178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</row>
    <row r="66" spans="1:528" s="34" customFormat="1" ht="47.25" x14ac:dyDescent="0.25">
      <c r="A66" s="112"/>
      <c r="B66" s="78"/>
      <c r="C66" s="78"/>
      <c r="D66" s="81" t="s">
        <v>386</v>
      </c>
      <c r="E66" s="102">
        <f t="shared" ref="E66:P66" si="22">E79+E92</f>
        <v>3578416</v>
      </c>
      <c r="F66" s="102">
        <f t="shared" si="22"/>
        <v>3578416</v>
      </c>
      <c r="G66" s="102">
        <f t="shared" si="22"/>
        <v>1228720</v>
      </c>
      <c r="H66" s="102">
        <f t="shared" si="22"/>
        <v>0</v>
      </c>
      <c r="I66" s="102">
        <f t="shared" si="22"/>
        <v>0</v>
      </c>
      <c r="J66" s="102">
        <f t="shared" si="22"/>
        <v>0</v>
      </c>
      <c r="K66" s="102">
        <f t="shared" si="22"/>
        <v>0</v>
      </c>
      <c r="L66" s="102">
        <f t="shared" si="22"/>
        <v>0</v>
      </c>
      <c r="M66" s="102">
        <f t="shared" si="22"/>
        <v>0</v>
      </c>
      <c r="N66" s="102">
        <f t="shared" si="22"/>
        <v>0</v>
      </c>
      <c r="O66" s="102">
        <f t="shared" si="22"/>
        <v>0</v>
      </c>
      <c r="P66" s="102">
        <f t="shared" si="22"/>
        <v>3578416</v>
      </c>
      <c r="Q66" s="178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</row>
    <row r="67" spans="1:528" s="34" customFormat="1" ht="45" hidden="1" customHeight="1" x14ac:dyDescent="0.25">
      <c r="A67" s="112"/>
      <c r="B67" s="78"/>
      <c r="C67" s="78"/>
      <c r="D67" s="81" t="s">
        <v>388</v>
      </c>
      <c r="E67" s="102" t="e">
        <f>#REF!+E89</f>
        <v>#REF!</v>
      </c>
      <c r="F67" s="102" t="e">
        <f>#REF!+F89</f>
        <v>#REF!</v>
      </c>
      <c r="G67" s="102" t="e">
        <f>#REF!+G89</f>
        <v>#REF!</v>
      </c>
      <c r="H67" s="102" t="e">
        <f>#REF!+H89</f>
        <v>#REF!</v>
      </c>
      <c r="I67" s="102" t="e">
        <f>#REF!+I89</f>
        <v>#REF!</v>
      </c>
      <c r="J67" s="102" t="e">
        <f>#REF!+J89</f>
        <v>#REF!</v>
      </c>
      <c r="K67" s="102" t="e">
        <f>#REF!+K89</f>
        <v>#REF!</v>
      </c>
      <c r="L67" s="102" t="e">
        <f>#REF!+L89</f>
        <v>#REF!</v>
      </c>
      <c r="M67" s="102" t="e">
        <f>#REF!+M89</f>
        <v>#REF!</v>
      </c>
      <c r="N67" s="102" t="e">
        <f>#REF!+N89</f>
        <v>#REF!</v>
      </c>
      <c r="O67" s="102" t="e">
        <f>#REF!+O89</f>
        <v>#REF!</v>
      </c>
      <c r="P67" s="102" t="e">
        <f>#REF!+P89</f>
        <v>#REF!</v>
      </c>
      <c r="Q67" s="178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</row>
    <row r="68" spans="1:528" s="34" customFormat="1" ht="63" x14ac:dyDescent="0.25">
      <c r="A68" s="112"/>
      <c r="B68" s="78"/>
      <c r="C68" s="78"/>
      <c r="D68" s="81" t="s">
        <v>385</v>
      </c>
      <c r="E68" s="102">
        <f>E95</f>
        <v>2586117</v>
      </c>
      <c r="F68" s="102">
        <f t="shared" ref="F68:P68" si="23">F95</f>
        <v>2586117</v>
      </c>
      <c r="G68" s="102">
        <f t="shared" si="23"/>
        <v>1459720</v>
      </c>
      <c r="H68" s="102">
        <f t="shared" si="23"/>
        <v>0</v>
      </c>
      <c r="I68" s="102">
        <f t="shared" si="23"/>
        <v>0</v>
      </c>
      <c r="J68" s="102">
        <f t="shared" si="23"/>
        <v>98583</v>
      </c>
      <c r="K68" s="102">
        <f t="shared" si="23"/>
        <v>98583</v>
      </c>
      <c r="L68" s="102">
        <f t="shared" si="23"/>
        <v>0</v>
      </c>
      <c r="M68" s="102">
        <f t="shared" si="23"/>
        <v>0</v>
      </c>
      <c r="N68" s="102">
        <f t="shared" si="23"/>
        <v>0</v>
      </c>
      <c r="O68" s="102">
        <f t="shared" si="23"/>
        <v>98583</v>
      </c>
      <c r="P68" s="102">
        <f t="shared" si="23"/>
        <v>2684700</v>
      </c>
      <c r="Q68" s="178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</row>
    <row r="69" spans="1:528" s="34" customFormat="1" ht="80.25" customHeight="1" x14ac:dyDescent="0.25">
      <c r="A69" s="112"/>
      <c r="B69" s="78"/>
      <c r="C69" s="78"/>
      <c r="D69" s="81" t="s">
        <v>545</v>
      </c>
      <c r="E69" s="102">
        <f>E97</f>
        <v>1174231</v>
      </c>
      <c r="F69" s="102">
        <f t="shared" ref="F69:P69" si="24">F97</f>
        <v>1174231</v>
      </c>
      <c r="G69" s="102">
        <f t="shared" si="24"/>
        <v>962484</v>
      </c>
      <c r="H69" s="102">
        <f t="shared" si="24"/>
        <v>0</v>
      </c>
      <c r="I69" s="102">
        <f t="shared" si="24"/>
        <v>0</v>
      </c>
      <c r="J69" s="102">
        <f t="shared" si="24"/>
        <v>0</v>
      </c>
      <c r="K69" s="102">
        <f t="shared" si="24"/>
        <v>0</v>
      </c>
      <c r="L69" s="102">
        <f t="shared" si="24"/>
        <v>0</v>
      </c>
      <c r="M69" s="102">
        <f t="shared" si="24"/>
        <v>0</v>
      </c>
      <c r="N69" s="102">
        <f t="shared" si="24"/>
        <v>0</v>
      </c>
      <c r="O69" s="102">
        <f t="shared" si="24"/>
        <v>0</v>
      </c>
      <c r="P69" s="102">
        <f t="shared" si="24"/>
        <v>1174231</v>
      </c>
      <c r="Q69" s="178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</row>
    <row r="70" spans="1:528" s="34" customFormat="1" ht="31.5" x14ac:dyDescent="0.25">
      <c r="A70" s="112"/>
      <c r="B70" s="78"/>
      <c r="C70" s="78"/>
      <c r="D70" s="81" t="s">
        <v>564</v>
      </c>
      <c r="E70" s="102">
        <f>E84+E86+E107</f>
        <v>1397981.6</v>
      </c>
      <c r="F70" s="102">
        <f>F84+F86+F107</f>
        <v>1397981.6</v>
      </c>
      <c r="G70" s="102">
        <f t="shared" ref="G70:P70" si="25">G84+G86+G107</f>
        <v>0</v>
      </c>
      <c r="H70" s="102">
        <f t="shared" si="25"/>
        <v>0</v>
      </c>
      <c r="I70" s="102">
        <f t="shared" si="25"/>
        <v>0</v>
      </c>
      <c r="J70" s="102">
        <f t="shared" si="25"/>
        <v>6937851</v>
      </c>
      <c r="K70" s="102">
        <f t="shared" si="25"/>
        <v>6937851</v>
      </c>
      <c r="L70" s="102">
        <f t="shared" si="25"/>
        <v>0</v>
      </c>
      <c r="M70" s="102">
        <f t="shared" si="25"/>
        <v>0</v>
      </c>
      <c r="N70" s="102">
        <f t="shared" si="25"/>
        <v>0</v>
      </c>
      <c r="O70" s="102">
        <f t="shared" si="25"/>
        <v>6937851</v>
      </c>
      <c r="P70" s="102">
        <f t="shared" si="25"/>
        <v>8335832.5999999996</v>
      </c>
      <c r="Q70" s="178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</row>
    <row r="71" spans="1:528" s="34" customFormat="1" ht="78.75" hidden="1" customHeight="1" x14ac:dyDescent="0.25">
      <c r="A71" s="112"/>
      <c r="B71" s="78"/>
      <c r="C71" s="78"/>
      <c r="D71" s="81" t="s">
        <v>387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78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</row>
    <row r="72" spans="1:528" s="34" customFormat="1" ht="63" hidden="1" customHeight="1" x14ac:dyDescent="0.25">
      <c r="A72" s="100"/>
      <c r="B72" s="113"/>
      <c r="C72" s="114"/>
      <c r="D72" s="79" t="s">
        <v>432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78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</row>
    <row r="73" spans="1:528" s="22" customFormat="1" ht="45.75" customHeight="1" x14ac:dyDescent="0.25">
      <c r="A73" s="60" t="s">
        <v>169</v>
      </c>
      <c r="B73" s="97" t="str">
        <f>'дод 8'!A19</f>
        <v>0160</v>
      </c>
      <c r="C73" s="97" t="str">
        <f>'дод 8'!B19</f>
        <v>0111</v>
      </c>
      <c r="D73" s="36" t="s">
        <v>504</v>
      </c>
      <c r="E73" s="103">
        <f t="shared" ref="E73:E108" si="26">F73+I73</f>
        <v>3843500</v>
      </c>
      <c r="F73" s="103">
        <v>3843500</v>
      </c>
      <c r="G73" s="103">
        <v>2976200</v>
      </c>
      <c r="H73" s="103">
        <v>42800</v>
      </c>
      <c r="I73" s="103"/>
      <c r="J73" s="103">
        <f>L73+O73</f>
        <v>20000</v>
      </c>
      <c r="K73" s="103">
        <v>20000</v>
      </c>
      <c r="L73" s="103"/>
      <c r="M73" s="103"/>
      <c r="N73" s="103"/>
      <c r="O73" s="103">
        <v>20000</v>
      </c>
      <c r="P73" s="103">
        <f t="shared" ref="P73:P108" si="27">E73+J73</f>
        <v>3863500</v>
      </c>
      <c r="Q73" s="178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  <c r="TH73" s="23"/>
    </row>
    <row r="74" spans="1:528" s="22" customFormat="1" ht="21.75" customHeight="1" x14ac:dyDescent="0.25">
      <c r="A74" s="60" t="s">
        <v>170</v>
      </c>
      <c r="B74" s="97" t="str">
        <f>'дод 8'!A33</f>
        <v>1010</v>
      </c>
      <c r="C74" s="97" t="str">
        <f>'дод 8'!B33</f>
        <v>0910</v>
      </c>
      <c r="D74" s="61" t="s">
        <v>513</v>
      </c>
      <c r="E74" s="103">
        <f t="shared" si="26"/>
        <v>291901844.63</v>
      </c>
      <c r="F74" s="103">
        <f>290084900+377000+133998.63+378900+619000+103450+204596</f>
        <v>291901844.63</v>
      </c>
      <c r="G74" s="103">
        <v>205054200</v>
      </c>
      <c r="H74" s="103">
        <v>21914800</v>
      </c>
      <c r="I74" s="103"/>
      <c r="J74" s="103">
        <f>L74+O74</f>
        <v>12254200</v>
      </c>
      <c r="K74" s="103">
        <f>218000+50000+102000+86000+38500</f>
        <v>494500</v>
      </c>
      <c r="L74" s="103">
        <v>11759700</v>
      </c>
      <c r="M74" s="103"/>
      <c r="N74" s="103"/>
      <c r="O74" s="103">
        <f>218000+50000+102000+86000+38500</f>
        <v>494500</v>
      </c>
      <c r="P74" s="103">
        <f t="shared" si="27"/>
        <v>304156044.63</v>
      </c>
      <c r="Q74" s="178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  <c r="TH74" s="23"/>
    </row>
    <row r="75" spans="1:528" s="22" customFormat="1" ht="37.5" customHeight="1" x14ac:dyDescent="0.25">
      <c r="A75" s="60" t="s">
        <v>480</v>
      </c>
      <c r="B75" s="60">
        <f>'дод 8'!A35</f>
        <v>1021</v>
      </c>
      <c r="C75" s="97" t="str">
        <f>'дод 8'!B35</f>
        <v>0921</v>
      </c>
      <c r="D75" s="61" t="s">
        <v>514</v>
      </c>
      <c r="E75" s="103">
        <f t="shared" si="26"/>
        <v>209985250</v>
      </c>
      <c r="F75" s="103">
        <f>207798800+170000+256650+380600+220200+130000+330000+525700+173300</f>
        <v>209985250</v>
      </c>
      <c r="G75" s="103">
        <f>119643500+19206</f>
        <v>119662706</v>
      </c>
      <c r="H75" s="103">
        <v>30342200</v>
      </c>
      <c r="I75" s="103"/>
      <c r="J75" s="103">
        <f t="shared" ref="J75:J108" si="28">L75+O75</f>
        <v>25506200</v>
      </c>
      <c r="K75" s="103">
        <f>118000+77400+130000+50000</f>
        <v>375400</v>
      </c>
      <c r="L75" s="103">
        <v>25130800</v>
      </c>
      <c r="M75" s="103">
        <v>2268060</v>
      </c>
      <c r="N75" s="103">
        <v>139890</v>
      </c>
      <c r="O75" s="103">
        <f>118000+77400+130000+50000</f>
        <v>375400</v>
      </c>
      <c r="P75" s="103">
        <f t="shared" si="27"/>
        <v>235491450</v>
      </c>
      <c r="Q75" s="178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  <c r="TH75" s="23"/>
    </row>
    <row r="76" spans="1:528" s="22" customFormat="1" ht="63" x14ac:dyDescent="0.25">
      <c r="A76" s="60" t="s">
        <v>482</v>
      </c>
      <c r="B76" s="97">
        <v>1022</v>
      </c>
      <c r="C76" s="60" t="s">
        <v>56</v>
      </c>
      <c r="D76" s="36" t="s">
        <v>483</v>
      </c>
      <c r="E76" s="103">
        <f t="shared" si="26"/>
        <v>13959400</v>
      </c>
      <c r="F76" s="103">
        <f>13632600+50000+159800+100000+17000</f>
        <v>13959400</v>
      </c>
      <c r="G76" s="103">
        <v>8830500</v>
      </c>
      <c r="H76" s="103">
        <v>1210000</v>
      </c>
      <c r="I76" s="103"/>
      <c r="J76" s="103">
        <f t="shared" si="28"/>
        <v>180000</v>
      </c>
      <c r="K76" s="103">
        <f>250000-100000+30000</f>
        <v>180000</v>
      </c>
      <c r="L76" s="103"/>
      <c r="M76" s="103"/>
      <c r="N76" s="103"/>
      <c r="O76" s="103">
        <f>250000-100000+30000</f>
        <v>180000</v>
      </c>
      <c r="P76" s="103">
        <f t="shared" si="27"/>
        <v>14139400</v>
      </c>
      <c r="Q76" s="178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  <c r="TH76" s="23"/>
    </row>
    <row r="77" spans="1:528" s="22" customFormat="1" ht="31.5" x14ac:dyDescent="0.25">
      <c r="A77" s="60" t="s">
        <v>484</v>
      </c>
      <c r="B77" s="97">
        <v>1031</v>
      </c>
      <c r="C77" s="60" t="s">
        <v>52</v>
      </c>
      <c r="D77" s="61" t="s">
        <v>514</v>
      </c>
      <c r="E77" s="103">
        <f t="shared" si="26"/>
        <v>468962880</v>
      </c>
      <c r="F77" s="103">
        <v>468962880</v>
      </c>
      <c r="G77" s="103">
        <v>383296900</v>
      </c>
      <c r="H77" s="103"/>
      <c r="I77" s="103"/>
      <c r="J77" s="103">
        <f t="shared" si="28"/>
        <v>0</v>
      </c>
      <c r="K77" s="103"/>
      <c r="L77" s="103"/>
      <c r="M77" s="103"/>
      <c r="N77" s="103"/>
      <c r="O77" s="103"/>
      <c r="P77" s="103">
        <f t="shared" si="27"/>
        <v>468962880</v>
      </c>
      <c r="Q77" s="178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</row>
    <row r="78" spans="1:528" s="24" customFormat="1" ht="31.5" x14ac:dyDescent="0.25">
      <c r="A78" s="88"/>
      <c r="B78" s="115"/>
      <c r="C78" s="115"/>
      <c r="D78" s="91" t="s">
        <v>391</v>
      </c>
      <c r="E78" s="105">
        <f t="shared" si="26"/>
        <v>466883500</v>
      </c>
      <c r="F78" s="105">
        <v>466883500</v>
      </c>
      <c r="G78" s="105">
        <v>383296900</v>
      </c>
      <c r="H78" s="105"/>
      <c r="I78" s="105"/>
      <c r="J78" s="105">
        <f t="shared" si="28"/>
        <v>0</v>
      </c>
      <c r="K78" s="105"/>
      <c r="L78" s="105"/>
      <c r="M78" s="105"/>
      <c r="N78" s="105"/>
      <c r="O78" s="105"/>
      <c r="P78" s="105">
        <f t="shared" si="27"/>
        <v>466883500</v>
      </c>
      <c r="Q78" s="178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</row>
    <row r="79" spans="1:528" s="24" customFormat="1" ht="47.25" x14ac:dyDescent="0.25">
      <c r="A79" s="88"/>
      <c r="B79" s="115"/>
      <c r="C79" s="115"/>
      <c r="D79" s="91" t="s">
        <v>386</v>
      </c>
      <c r="E79" s="105">
        <f t="shared" si="26"/>
        <v>2079380</v>
      </c>
      <c r="F79" s="105">
        <v>2079380</v>
      </c>
      <c r="G79" s="105"/>
      <c r="H79" s="105"/>
      <c r="I79" s="105"/>
      <c r="J79" s="105">
        <f t="shared" si="28"/>
        <v>0</v>
      </c>
      <c r="K79" s="105"/>
      <c r="L79" s="105"/>
      <c r="M79" s="105"/>
      <c r="N79" s="105"/>
      <c r="O79" s="105"/>
      <c r="P79" s="105">
        <f t="shared" si="27"/>
        <v>2079380</v>
      </c>
      <c r="Q79" s="178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</row>
    <row r="80" spans="1:528" s="22" customFormat="1" ht="65.25" customHeight="1" x14ac:dyDescent="0.25">
      <c r="A80" s="60" t="s">
        <v>485</v>
      </c>
      <c r="B80" s="60" t="s">
        <v>486</v>
      </c>
      <c r="C80" s="60" t="s">
        <v>56</v>
      </c>
      <c r="D80" s="61" t="s">
        <v>515</v>
      </c>
      <c r="E80" s="103">
        <f t="shared" si="26"/>
        <v>15564500</v>
      </c>
      <c r="F80" s="103">
        <v>15564500</v>
      </c>
      <c r="G80" s="103">
        <v>12769100</v>
      </c>
      <c r="H80" s="103"/>
      <c r="I80" s="103"/>
      <c r="J80" s="103">
        <f t="shared" si="28"/>
        <v>0</v>
      </c>
      <c r="K80" s="103"/>
      <c r="L80" s="103"/>
      <c r="M80" s="103"/>
      <c r="N80" s="103"/>
      <c r="O80" s="103"/>
      <c r="P80" s="103">
        <f t="shared" si="27"/>
        <v>15564500</v>
      </c>
      <c r="Q80" s="178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</row>
    <row r="81" spans="1:528" s="24" customFormat="1" ht="31.5" x14ac:dyDescent="0.25">
      <c r="A81" s="88"/>
      <c r="B81" s="115"/>
      <c r="C81" s="115"/>
      <c r="D81" s="91" t="s">
        <v>391</v>
      </c>
      <c r="E81" s="105">
        <f t="shared" ref="E81:E85" si="29">F81+I81</f>
        <v>15564500</v>
      </c>
      <c r="F81" s="105">
        <v>15564500</v>
      </c>
      <c r="G81" s="105">
        <v>12769100</v>
      </c>
      <c r="H81" s="105"/>
      <c r="I81" s="105"/>
      <c r="J81" s="105">
        <f t="shared" ref="J81" si="30">L81+O81</f>
        <v>0</v>
      </c>
      <c r="K81" s="105"/>
      <c r="L81" s="105"/>
      <c r="M81" s="105"/>
      <c r="N81" s="105"/>
      <c r="O81" s="105"/>
      <c r="P81" s="105">
        <f t="shared" ref="P81" si="31">E81+J81</f>
        <v>15564500</v>
      </c>
      <c r="Q81" s="178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</row>
    <row r="82" spans="1:528" s="24" customFormat="1" ht="31.5" x14ac:dyDescent="0.25">
      <c r="A82" s="60" t="s">
        <v>551</v>
      </c>
      <c r="B82" s="97">
        <v>1061</v>
      </c>
      <c r="C82" s="60" t="s">
        <v>52</v>
      </c>
      <c r="D82" s="36" t="s">
        <v>514</v>
      </c>
      <c r="E82" s="103">
        <f t="shared" si="29"/>
        <v>910981.6</v>
      </c>
      <c r="F82" s="103">
        <f>664981.6+246000</f>
        <v>910981.6</v>
      </c>
      <c r="G82" s="105"/>
      <c r="H82" s="105"/>
      <c r="I82" s="105"/>
      <c r="J82" s="103">
        <f t="shared" si="28"/>
        <v>5384851</v>
      </c>
      <c r="K82" s="103">
        <f>377160+3253691+1754000</f>
        <v>5384851</v>
      </c>
      <c r="L82" s="103"/>
      <c r="M82" s="103"/>
      <c r="N82" s="103"/>
      <c r="O82" s="103">
        <f>377160+3253691+1754000</f>
        <v>5384851</v>
      </c>
      <c r="P82" s="103">
        <f t="shared" si="27"/>
        <v>6295832.5999999996</v>
      </c>
      <c r="Q82" s="178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  <c r="TH82" s="30"/>
    </row>
    <row r="83" spans="1:528" s="24" customFormat="1" ht="46.5" customHeight="1" x14ac:dyDescent="0.25">
      <c r="A83" s="88"/>
      <c r="B83" s="115"/>
      <c r="C83" s="88"/>
      <c r="D83" s="91" t="s">
        <v>567</v>
      </c>
      <c r="E83" s="105">
        <f>F83+I83</f>
        <v>246000</v>
      </c>
      <c r="F83" s="105">
        <v>246000</v>
      </c>
      <c r="G83" s="105"/>
      <c r="H83" s="105"/>
      <c r="I83" s="105"/>
      <c r="J83" s="105">
        <f>L83+O83</f>
        <v>1754000</v>
      </c>
      <c r="K83" s="105">
        <v>1754000</v>
      </c>
      <c r="L83" s="105"/>
      <c r="M83" s="105"/>
      <c r="N83" s="105"/>
      <c r="O83" s="105">
        <v>1754000</v>
      </c>
      <c r="P83" s="105">
        <f t="shared" si="27"/>
        <v>2000000</v>
      </c>
      <c r="Q83" s="178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</row>
    <row r="84" spans="1:528" s="24" customFormat="1" ht="31.5" x14ac:dyDescent="0.25">
      <c r="A84" s="88"/>
      <c r="B84" s="115"/>
      <c r="C84" s="88"/>
      <c r="D84" s="91" t="s">
        <v>564</v>
      </c>
      <c r="E84" s="105">
        <f t="shared" ref="E84:E86" si="32">F84+I84</f>
        <v>664981.6</v>
      </c>
      <c r="F84" s="105">
        <f>664981.6</f>
        <v>664981.6</v>
      </c>
      <c r="G84" s="105"/>
      <c r="H84" s="105"/>
      <c r="I84" s="105"/>
      <c r="J84" s="105">
        <f t="shared" ref="J84" si="33">L84+O84</f>
        <v>3630851</v>
      </c>
      <c r="K84" s="105">
        <f>377160+3253691</f>
        <v>3630851</v>
      </c>
      <c r="L84" s="105"/>
      <c r="M84" s="105"/>
      <c r="N84" s="105"/>
      <c r="O84" s="105">
        <f>377160+3253691</f>
        <v>3630851</v>
      </c>
      <c r="P84" s="105">
        <f t="shared" si="27"/>
        <v>4295832.5999999996</v>
      </c>
      <c r="Q84" s="178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  <c r="TH84" s="30"/>
    </row>
    <row r="85" spans="1:528" s="24" customFormat="1" ht="63" x14ac:dyDescent="0.25">
      <c r="A85" s="60" t="s">
        <v>558</v>
      </c>
      <c r="B85" s="97">
        <v>1062</v>
      </c>
      <c r="C85" s="60" t="s">
        <v>56</v>
      </c>
      <c r="D85" s="61" t="s">
        <v>515</v>
      </c>
      <c r="E85" s="103">
        <f t="shared" si="29"/>
        <v>40000</v>
      </c>
      <c r="F85" s="103">
        <v>40000</v>
      </c>
      <c r="G85" s="105"/>
      <c r="H85" s="105"/>
      <c r="I85" s="105"/>
      <c r="J85" s="103">
        <f>L85+O85</f>
        <v>0</v>
      </c>
      <c r="K85" s="105"/>
      <c r="L85" s="105"/>
      <c r="M85" s="105"/>
      <c r="N85" s="105"/>
      <c r="O85" s="105"/>
      <c r="P85" s="103">
        <f t="shared" si="27"/>
        <v>40000</v>
      </c>
      <c r="Q85" s="178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</row>
    <row r="86" spans="1:528" s="24" customFormat="1" ht="31.5" x14ac:dyDescent="0.25">
      <c r="A86" s="88"/>
      <c r="B86" s="115"/>
      <c r="C86" s="88"/>
      <c r="D86" s="91" t="s">
        <v>564</v>
      </c>
      <c r="E86" s="105">
        <f t="shared" si="32"/>
        <v>40000</v>
      </c>
      <c r="F86" s="105">
        <v>40000</v>
      </c>
      <c r="G86" s="105"/>
      <c r="H86" s="105"/>
      <c r="I86" s="105"/>
      <c r="J86" s="105">
        <f>L86+O86</f>
        <v>0</v>
      </c>
      <c r="K86" s="105"/>
      <c r="L86" s="105"/>
      <c r="M86" s="105"/>
      <c r="N86" s="105"/>
      <c r="O86" s="105"/>
      <c r="P86" s="105">
        <f t="shared" si="27"/>
        <v>40000</v>
      </c>
      <c r="Q86" s="178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</row>
    <row r="87" spans="1:528" s="22" customFormat="1" ht="36.75" customHeight="1" x14ac:dyDescent="0.25">
      <c r="A87" s="60" t="s">
        <v>487</v>
      </c>
      <c r="B87" s="60" t="s">
        <v>55</v>
      </c>
      <c r="C87" s="60" t="s">
        <v>58</v>
      </c>
      <c r="D87" s="61" t="s">
        <v>367</v>
      </c>
      <c r="E87" s="103">
        <f t="shared" si="26"/>
        <v>34592700</v>
      </c>
      <c r="F87" s="103">
        <f>34328200+64500+200000</f>
        <v>34592700</v>
      </c>
      <c r="G87" s="103">
        <v>25836800</v>
      </c>
      <c r="H87" s="103">
        <v>2353200</v>
      </c>
      <c r="I87" s="103"/>
      <c r="J87" s="103">
        <f t="shared" si="28"/>
        <v>112500</v>
      </c>
      <c r="K87" s="103">
        <v>112500</v>
      </c>
      <c r="L87" s="103"/>
      <c r="M87" s="103"/>
      <c r="N87" s="103"/>
      <c r="O87" s="103">
        <v>112500</v>
      </c>
      <c r="P87" s="103">
        <f t="shared" si="27"/>
        <v>34705200</v>
      </c>
      <c r="Q87" s="178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  <c r="TH87" s="23"/>
    </row>
    <row r="88" spans="1:528" s="22" customFormat="1" ht="31.5" x14ac:dyDescent="0.25">
      <c r="A88" s="60" t="s">
        <v>488</v>
      </c>
      <c r="B88" s="60" t="s">
        <v>489</v>
      </c>
      <c r="C88" s="60" t="s">
        <v>59</v>
      </c>
      <c r="D88" s="36" t="s">
        <v>521</v>
      </c>
      <c r="E88" s="103">
        <f t="shared" si="26"/>
        <v>11329130</v>
      </c>
      <c r="F88" s="103">
        <f>11229130+100000</f>
        <v>11329130</v>
      </c>
      <c r="G88" s="103">
        <v>8331500</v>
      </c>
      <c r="H88" s="103">
        <v>527130</v>
      </c>
      <c r="I88" s="103"/>
      <c r="J88" s="103">
        <f t="shared" si="28"/>
        <v>0</v>
      </c>
      <c r="K88" s="103">
        <f>100000-100000</f>
        <v>0</v>
      </c>
      <c r="L88" s="103"/>
      <c r="M88" s="103"/>
      <c r="N88" s="103"/>
      <c r="O88" s="103">
        <f>100000-100000</f>
        <v>0</v>
      </c>
      <c r="P88" s="103">
        <f t="shared" si="27"/>
        <v>11329130</v>
      </c>
      <c r="Q88" s="178">
        <v>23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  <c r="TF88" s="23"/>
      <c r="TG88" s="23"/>
      <c r="TH88" s="23"/>
    </row>
    <row r="89" spans="1:528" s="22" customFormat="1" ht="15.75" x14ac:dyDescent="0.25">
      <c r="A89" s="60" t="s">
        <v>490</v>
      </c>
      <c r="B89" s="60" t="s">
        <v>491</v>
      </c>
      <c r="C89" s="60" t="s">
        <v>59</v>
      </c>
      <c r="D89" s="36" t="s">
        <v>283</v>
      </c>
      <c r="E89" s="103">
        <f t="shared" si="26"/>
        <v>113000</v>
      </c>
      <c r="F89" s="103">
        <v>113000</v>
      </c>
      <c r="G89" s="103"/>
      <c r="H89" s="103"/>
      <c r="I89" s="103"/>
      <c r="J89" s="103">
        <f t="shared" ref="J89" si="34">L89+O89</f>
        <v>0</v>
      </c>
      <c r="K89" s="103"/>
      <c r="L89" s="103"/>
      <c r="M89" s="103"/>
      <c r="N89" s="103"/>
      <c r="O89" s="103"/>
      <c r="P89" s="103">
        <f t="shared" ref="P89" si="35">E89+J89</f>
        <v>113000</v>
      </c>
      <c r="Q89" s="178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  <c r="TH89" s="23"/>
    </row>
    <row r="90" spans="1:528" s="22" customFormat="1" ht="31.5" x14ac:dyDescent="0.25">
      <c r="A90" s="60" t="s">
        <v>492</v>
      </c>
      <c r="B90" s="60" t="s">
        <v>493</v>
      </c>
      <c r="C90" s="60" t="s">
        <v>59</v>
      </c>
      <c r="D90" s="61" t="s">
        <v>494</v>
      </c>
      <c r="E90" s="103">
        <f t="shared" si="26"/>
        <v>431850</v>
      </c>
      <c r="F90" s="103">
        <v>431850</v>
      </c>
      <c r="G90" s="103">
        <v>266200</v>
      </c>
      <c r="H90" s="103">
        <v>52650</v>
      </c>
      <c r="I90" s="103"/>
      <c r="J90" s="103">
        <f t="shared" si="28"/>
        <v>0</v>
      </c>
      <c r="K90" s="103"/>
      <c r="L90" s="103"/>
      <c r="M90" s="103"/>
      <c r="N90" s="103"/>
      <c r="O90" s="103"/>
      <c r="P90" s="103">
        <f t="shared" si="27"/>
        <v>431850</v>
      </c>
      <c r="Q90" s="178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  <c r="TH90" s="23"/>
    </row>
    <row r="91" spans="1:528" s="22" customFormat="1" ht="45.75" customHeight="1" x14ac:dyDescent="0.25">
      <c r="A91" s="60" t="s">
        <v>495</v>
      </c>
      <c r="B91" s="60" t="s">
        <v>496</v>
      </c>
      <c r="C91" s="60" t="str">
        <f>'дод 8'!B58</f>
        <v>0990</v>
      </c>
      <c r="D91" s="61" t="s">
        <v>516</v>
      </c>
      <c r="E91" s="103">
        <f t="shared" si="26"/>
        <v>1499036</v>
      </c>
      <c r="F91" s="103">
        <v>1499036</v>
      </c>
      <c r="G91" s="103">
        <v>1228720</v>
      </c>
      <c r="H91" s="103"/>
      <c r="I91" s="103"/>
      <c r="J91" s="103">
        <f t="shared" si="28"/>
        <v>0</v>
      </c>
      <c r="K91" s="103"/>
      <c r="L91" s="103"/>
      <c r="M91" s="103"/>
      <c r="N91" s="103"/>
      <c r="O91" s="103"/>
      <c r="P91" s="103">
        <f t="shared" si="27"/>
        <v>1499036</v>
      </c>
      <c r="Q91" s="178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  <c r="TH91" s="23"/>
    </row>
    <row r="92" spans="1:528" s="24" customFormat="1" ht="45.75" customHeight="1" x14ac:dyDescent="0.25">
      <c r="A92" s="88"/>
      <c r="B92" s="88"/>
      <c r="C92" s="88"/>
      <c r="D92" s="91" t="s">
        <v>386</v>
      </c>
      <c r="E92" s="105">
        <f t="shared" si="26"/>
        <v>1499036</v>
      </c>
      <c r="F92" s="105">
        <v>1499036</v>
      </c>
      <c r="G92" s="105">
        <v>1228720</v>
      </c>
      <c r="H92" s="105"/>
      <c r="I92" s="105"/>
      <c r="J92" s="105">
        <f t="shared" si="28"/>
        <v>0</v>
      </c>
      <c r="K92" s="105"/>
      <c r="L92" s="105"/>
      <c r="M92" s="105"/>
      <c r="N92" s="105"/>
      <c r="O92" s="105"/>
      <c r="P92" s="105">
        <f t="shared" si="27"/>
        <v>1499036</v>
      </c>
      <c r="Q92" s="178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  <c r="TH92" s="30"/>
    </row>
    <row r="93" spans="1:528" s="22" customFormat="1" ht="36" customHeight="1" x14ac:dyDescent="0.25">
      <c r="A93" s="60" t="s">
        <v>497</v>
      </c>
      <c r="B93" s="60" t="s">
        <v>498</v>
      </c>
      <c r="C93" s="60" t="str">
        <f>'дод 8'!B59</f>
        <v>0990</v>
      </c>
      <c r="D93" s="61" t="s">
        <v>499</v>
      </c>
      <c r="E93" s="103">
        <f t="shared" si="26"/>
        <v>2412770</v>
      </c>
      <c r="F93" s="103">
        <v>2412770</v>
      </c>
      <c r="G93" s="103">
        <v>1880000</v>
      </c>
      <c r="H93" s="103">
        <v>84370</v>
      </c>
      <c r="I93" s="103"/>
      <c r="J93" s="103">
        <f t="shared" si="28"/>
        <v>50000</v>
      </c>
      <c r="K93" s="103">
        <v>50000</v>
      </c>
      <c r="L93" s="103"/>
      <c r="M93" s="103"/>
      <c r="N93" s="103"/>
      <c r="O93" s="103">
        <v>50000</v>
      </c>
      <c r="P93" s="103">
        <f t="shared" si="27"/>
        <v>2462770</v>
      </c>
      <c r="Q93" s="178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</row>
    <row r="94" spans="1:528" s="22" customFormat="1" ht="65.25" customHeight="1" x14ac:dyDescent="0.25">
      <c r="A94" s="60" t="s">
        <v>500</v>
      </c>
      <c r="B94" s="60" t="s">
        <v>501</v>
      </c>
      <c r="C94" s="60" t="s">
        <v>59</v>
      </c>
      <c r="D94" s="98" t="s">
        <v>517</v>
      </c>
      <c r="E94" s="103">
        <f t="shared" si="26"/>
        <v>2586117</v>
      </c>
      <c r="F94" s="103">
        <f>1780860+805257</f>
        <v>2586117</v>
      </c>
      <c r="G94" s="103">
        <v>1459720</v>
      </c>
      <c r="H94" s="103"/>
      <c r="I94" s="103"/>
      <c r="J94" s="103">
        <f t="shared" si="28"/>
        <v>98583</v>
      </c>
      <c r="K94" s="103">
        <f>903840-805257</f>
        <v>98583</v>
      </c>
      <c r="L94" s="103"/>
      <c r="M94" s="103"/>
      <c r="N94" s="103"/>
      <c r="O94" s="103">
        <f>903840-805257</f>
        <v>98583</v>
      </c>
      <c r="P94" s="103">
        <f t="shared" si="27"/>
        <v>2684700</v>
      </c>
      <c r="Q94" s="178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  <c r="TH94" s="23"/>
    </row>
    <row r="95" spans="1:528" s="24" customFormat="1" ht="63" x14ac:dyDescent="0.25">
      <c r="A95" s="88"/>
      <c r="B95" s="115"/>
      <c r="C95" s="115"/>
      <c r="D95" s="91" t="s">
        <v>385</v>
      </c>
      <c r="E95" s="105">
        <f t="shared" si="26"/>
        <v>2586117</v>
      </c>
      <c r="F95" s="105">
        <f>1780860+805257</f>
        <v>2586117</v>
      </c>
      <c r="G95" s="105">
        <v>1459720</v>
      </c>
      <c r="H95" s="105"/>
      <c r="I95" s="105"/>
      <c r="J95" s="105">
        <f t="shared" si="28"/>
        <v>98583</v>
      </c>
      <c r="K95" s="105">
        <f>903840-805257</f>
        <v>98583</v>
      </c>
      <c r="L95" s="105"/>
      <c r="M95" s="105"/>
      <c r="N95" s="105"/>
      <c r="O95" s="105">
        <f>903840-805257</f>
        <v>98583</v>
      </c>
      <c r="P95" s="105">
        <f t="shared" si="27"/>
        <v>2684700</v>
      </c>
      <c r="Q95" s="178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  <c r="TH95" s="30"/>
    </row>
    <row r="96" spans="1:528" s="24" customFormat="1" ht="70.5" customHeight="1" x14ac:dyDescent="0.25">
      <c r="A96" s="60" t="s">
        <v>543</v>
      </c>
      <c r="B96" s="97">
        <v>1210</v>
      </c>
      <c r="C96" s="60" t="s">
        <v>59</v>
      </c>
      <c r="D96" s="36" t="s">
        <v>544</v>
      </c>
      <c r="E96" s="103">
        <f t="shared" si="26"/>
        <v>1174231</v>
      </c>
      <c r="F96" s="103">
        <v>1174231</v>
      </c>
      <c r="G96" s="103">
        <v>962484</v>
      </c>
      <c r="H96" s="105"/>
      <c r="I96" s="105"/>
      <c r="J96" s="103">
        <f t="shared" si="28"/>
        <v>0</v>
      </c>
      <c r="K96" s="105"/>
      <c r="L96" s="105"/>
      <c r="M96" s="105"/>
      <c r="N96" s="105"/>
      <c r="O96" s="105"/>
      <c r="P96" s="103">
        <f t="shared" si="27"/>
        <v>1174231</v>
      </c>
      <c r="Q96" s="178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  <c r="TF96" s="30"/>
      <c r="TG96" s="30"/>
      <c r="TH96" s="30"/>
    </row>
    <row r="97" spans="1:528" s="24" customFormat="1" ht="63" x14ac:dyDescent="0.25">
      <c r="A97" s="88"/>
      <c r="B97" s="115"/>
      <c r="C97" s="115"/>
      <c r="D97" s="91" t="s">
        <v>545</v>
      </c>
      <c r="E97" s="105">
        <f t="shared" si="26"/>
        <v>1174231</v>
      </c>
      <c r="F97" s="105">
        <v>1174231</v>
      </c>
      <c r="G97" s="105">
        <v>962484</v>
      </c>
      <c r="H97" s="105"/>
      <c r="I97" s="105"/>
      <c r="J97" s="105">
        <f t="shared" si="28"/>
        <v>0</v>
      </c>
      <c r="K97" s="105"/>
      <c r="L97" s="105"/>
      <c r="M97" s="105"/>
      <c r="N97" s="105"/>
      <c r="O97" s="105"/>
      <c r="P97" s="105">
        <f t="shared" si="27"/>
        <v>1174231</v>
      </c>
      <c r="Q97" s="178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  <c r="TH97" s="30"/>
    </row>
    <row r="98" spans="1:528" s="24" customFormat="1" ht="63" x14ac:dyDescent="0.25">
      <c r="A98" s="60" t="s">
        <v>502</v>
      </c>
      <c r="B98" s="97">
        <v>3140</v>
      </c>
      <c r="C98" s="97">
        <v>1040</v>
      </c>
      <c r="D98" s="6" t="s">
        <v>20</v>
      </c>
      <c r="E98" s="103">
        <f t="shared" si="26"/>
        <v>3500000</v>
      </c>
      <c r="F98" s="103">
        <v>3500000</v>
      </c>
      <c r="G98" s="103"/>
      <c r="H98" s="103"/>
      <c r="I98" s="103"/>
      <c r="J98" s="103">
        <f t="shared" si="28"/>
        <v>0</v>
      </c>
      <c r="K98" s="105"/>
      <c r="L98" s="105"/>
      <c r="M98" s="105"/>
      <c r="N98" s="105"/>
      <c r="O98" s="105"/>
      <c r="P98" s="103">
        <f t="shared" si="27"/>
        <v>3500000</v>
      </c>
      <c r="Q98" s="178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  <c r="TH98" s="30"/>
    </row>
    <row r="99" spans="1:528" s="24" customFormat="1" ht="31.5" x14ac:dyDescent="0.25">
      <c r="A99" s="60" t="s">
        <v>503</v>
      </c>
      <c r="B99" s="97">
        <v>3242</v>
      </c>
      <c r="C99" s="97">
        <v>1090</v>
      </c>
      <c r="D99" s="36" t="s">
        <v>414</v>
      </c>
      <c r="E99" s="103">
        <f t="shared" si="26"/>
        <v>54300</v>
      </c>
      <c r="F99" s="103">
        <v>54300</v>
      </c>
      <c r="G99" s="103"/>
      <c r="H99" s="103"/>
      <c r="I99" s="103"/>
      <c r="J99" s="103">
        <f t="shared" si="28"/>
        <v>0</v>
      </c>
      <c r="K99" s="105"/>
      <c r="L99" s="105"/>
      <c r="M99" s="105"/>
      <c r="N99" s="105"/>
      <c r="O99" s="105"/>
      <c r="P99" s="103">
        <f t="shared" si="27"/>
        <v>54300</v>
      </c>
      <c r="Q99" s="178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</row>
    <row r="100" spans="1:528" s="24" customFormat="1" ht="31.5" x14ac:dyDescent="0.25">
      <c r="A100" s="60" t="s">
        <v>505</v>
      </c>
      <c r="B100" s="97">
        <v>5031</v>
      </c>
      <c r="C100" s="60" t="s">
        <v>82</v>
      </c>
      <c r="D100" s="3" t="s">
        <v>22</v>
      </c>
      <c r="E100" s="103">
        <f t="shared" si="26"/>
        <v>8590600</v>
      </c>
      <c r="F100" s="103">
        <v>8590600</v>
      </c>
      <c r="G100" s="103">
        <v>6510800</v>
      </c>
      <c r="H100" s="103">
        <v>192500</v>
      </c>
      <c r="I100" s="103"/>
      <c r="J100" s="103">
        <f t="shared" si="28"/>
        <v>0</v>
      </c>
      <c r="K100" s="105"/>
      <c r="L100" s="105"/>
      <c r="M100" s="105"/>
      <c r="N100" s="105"/>
      <c r="O100" s="105"/>
      <c r="P100" s="103">
        <f t="shared" si="27"/>
        <v>8590600</v>
      </c>
      <c r="Q100" s="178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  <c r="TH100" s="30"/>
    </row>
    <row r="101" spans="1:528" s="24" customFormat="1" ht="18.75" x14ac:dyDescent="0.25">
      <c r="A101" s="60" t="s">
        <v>506</v>
      </c>
      <c r="B101" s="97">
        <v>7321</v>
      </c>
      <c r="C101" s="60" t="s">
        <v>113</v>
      </c>
      <c r="D101" s="157" t="s">
        <v>573</v>
      </c>
      <c r="E101" s="103">
        <f t="shared" si="26"/>
        <v>0</v>
      </c>
      <c r="F101" s="103"/>
      <c r="G101" s="103"/>
      <c r="H101" s="103"/>
      <c r="I101" s="103"/>
      <c r="J101" s="103">
        <f t="shared" si="28"/>
        <v>23547060</v>
      </c>
      <c r="K101" s="103">
        <f>21660000+2000000+139385+600000+584918+112177+193520-969650+15000+146760+300000-380000-905000+49950</f>
        <v>23547060</v>
      </c>
      <c r="L101" s="103"/>
      <c r="M101" s="103"/>
      <c r="N101" s="103"/>
      <c r="O101" s="103">
        <f>21660000+2000000+139385+600000+584918+112177+193520-969650+15000+146760+300000-380000-905000+49950</f>
        <v>23547060</v>
      </c>
      <c r="P101" s="103">
        <f t="shared" si="27"/>
        <v>23547060</v>
      </c>
      <c r="Q101" s="178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  <c r="TH101" s="30"/>
    </row>
    <row r="102" spans="1:528" s="24" customFormat="1" ht="15.75" x14ac:dyDescent="0.25">
      <c r="A102" s="60" t="s">
        <v>507</v>
      </c>
      <c r="B102" s="97">
        <v>7640</v>
      </c>
      <c r="C102" s="60" t="s">
        <v>88</v>
      </c>
      <c r="D102" s="3" t="s">
        <v>424</v>
      </c>
      <c r="E102" s="103">
        <f t="shared" si="26"/>
        <v>551000</v>
      </c>
      <c r="F102" s="103">
        <v>551000</v>
      </c>
      <c r="G102" s="103"/>
      <c r="H102" s="103"/>
      <c r="I102" s="103"/>
      <c r="J102" s="103">
        <f t="shared" si="28"/>
        <v>11240000</v>
      </c>
      <c r="K102" s="103">
        <f>13040000-139385-1660615</f>
        <v>11240000</v>
      </c>
      <c r="L102" s="103"/>
      <c r="M102" s="103"/>
      <c r="N102" s="103"/>
      <c r="O102" s="103">
        <f>13040000-139385-1660615</f>
        <v>11240000</v>
      </c>
      <c r="P102" s="103">
        <f t="shared" si="27"/>
        <v>11791000</v>
      </c>
      <c r="Q102" s="178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</row>
    <row r="103" spans="1:528" s="24" customFormat="1" ht="47.25" x14ac:dyDescent="0.25">
      <c r="A103" s="60" t="s">
        <v>510</v>
      </c>
      <c r="B103" s="97">
        <v>7700</v>
      </c>
      <c r="C103" s="60" t="s">
        <v>95</v>
      </c>
      <c r="D103" s="3" t="s">
        <v>364</v>
      </c>
      <c r="E103" s="103">
        <f t="shared" si="26"/>
        <v>0</v>
      </c>
      <c r="F103" s="103"/>
      <c r="G103" s="103"/>
      <c r="H103" s="103"/>
      <c r="I103" s="103"/>
      <c r="J103" s="103">
        <f t="shared" si="28"/>
        <v>630000</v>
      </c>
      <c r="K103" s="103"/>
      <c r="L103" s="103"/>
      <c r="M103" s="103"/>
      <c r="N103" s="103"/>
      <c r="O103" s="103">
        <v>630000</v>
      </c>
      <c r="P103" s="103">
        <f t="shared" si="27"/>
        <v>630000</v>
      </c>
      <c r="Q103" s="178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</row>
    <row r="104" spans="1:528" s="24" customFormat="1" ht="22.5" customHeight="1" x14ac:dyDescent="0.25">
      <c r="A104" s="60" t="s">
        <v>508</v>
      </c>
      <c r="B104" s="97">
        <v>8340</v>
      </c>
      <c r="C104" s="60" t="s">
        <v>94</v>
      </c>
      <c r="D104" s="3" t="s">
        <v>10</v>
      </c>
      <c r="E104" s="103">
        <f t="shared" si="26"/>
        <v>0</v>
      </c>
      <c r="F104" s="103"/>
      <c r="G104" s="103"/>
      <c r="H104" s="103"/>
      <c r="I104" s="103"/>
      <c r="J104" s="103">
        <f t="shared" si="28"/>
        <v>625000</v>
      </c>
      <c r="K104" s="103"/>
      <c r="L104" s="103">
        <v>595000</v>
      </c>
      <c r="M104" s="103"/>
      <c r="N104" s="103"/>
      <c r="O104" s="103">
        <v>30000</v>
      </c>
      <c r="P104" s="103">
        <f t="shared" si="27"/>
        <v>625000</v>
      </c>
      <c r="Q104" s="178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</row>
    <row r="105" spans="1:528" s="24" customFormat="1" ht="15.75" x14ac:dyDescent="0.25">
      <c r="A105" s="60" t="s">
        <v>509</v>
      </c>
      <c r="B105" s="97">
        <v>9770</v>
      </c>
      <c r="C105" s="60" t="s">
        <v>46</v>
      </c>
      <c r="D105" s="6" t="s">
        <v>358</v>
      </c>
      <c r="E105" s="103">
        <f t="shared" si="26"/>
        <v>59310000</v>
      </c>
      <c r="F105" s="103">
        <f>59300000+10000</f>
        <v>59310000</v>
      </c>
      <c r="G105" s="103"/>
      <c r="H105" s="103"/>
      <c r="I105" s="103"/>
      <c r="J105" s="103">
        <f t="shared" si="28"/>
        <v>0</v>
      </c>
      <c r="K105" s="103"/>
      <c r="L105" s="103"/>
      <c r="M105" s="103"/>
      <c r="N105" s="103"/>
      <c r="O105" s="103"/>
      <c r="P105" s="103">
        <f t="shared" si="27"/>
        <v>59310000</v>
      </c>
      <c r="Q105" s="178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</row>
    <row r="106" spans="1:528" s="24" customFormat="1" ht="47.25" x14ac:dyDescent="0.25">
      <c r="A106" s="60" t="s">
        <v>559</v>
      </c>
      <c r="B106" s="97">
        <v>9320</v>
      </c>
      <c r="C106" s="60" t="s">
        <v>46</v>
      </c>
      <c r="D106" s="6" t="s">
        <v>560</v>
      </c>
      <c r="E106" s="103">
        <f t="shared" si="26"/>
        <v>693000</v>
      </c>
      <c r="F106" s="103">
        <v>693000</v>
      </c>
      <c r="G106" s="103"/>
      <c r="H106" s="103"/>
      <c r="I106" s="103"/>
      <c r="J106" s="103">
        <f t="shared" si="28"/>
        <v>3307000</v>
      </c>
      <c r="K106" s="103">
        <v>3307000</v>
      </c>
      <c r="L106" s="103"/>
      <c r="M106" s="103"/>
      <c r="N106" s="103"/>
      <c r="O106" s="103">
        <v>3307000</v>
      </c>
      <c r="P106" s="103">
        <f t="shared" si="27"/>
        <v>4000000</v>
      </c>
      <c r="Q106" s="178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</row>
    <row r="107" spans="1:528" s="24" customFormat="1" ht="31.5" x14ac:dyDescent="0.25">
      <c r="A107" s="88"/>
      <c r="B107" s="115"/>
      <c r="C107" s="88"/>
      <c r="D107" s="91" t="s">
        <v>553</v>
      </c>
      <c r="E107" s="105">
        <f t="shared" si="26"/>
        <v>693000</v>
      </c>
      <c r="F107" s="105">
        <v>693000</v>
      </c>
      <c r="G107" s="105"/>
      <c r="H107" s="105"/>
      <c r="I107" s="105"/>
      <c r="J107" s="105">
        <f t="shared" si="28"/>
        <v>3307000</v>
      </c>
      <c r="K107" s="105">
        <v>3307000</v>
      </c>
      <c r="L107" s="105"/>
      <c r="M107" s="105"/>
      <c r="N107" s="105"/>
      <c r="O107" s="105">
        <v>3307000</v>
      </c>
      <c r="P107" s="105">
        <f t="shared" si="27"/>
        <v>4000000</v>
      </c>
      <c r="Q107" s="178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</row>
    <row r="108" spans="1:528" s="24" customFormat="1" ht="48.75" customHeight="1" x14ac:dyDescent="0.25">
      <c r="A108" s="60" t="s">
        <v>548</v>
      </c>
      <c r="B108" s="97">
        <v>9800</v>
      </c>
      <c r="C108" s="60" t="s">
        <v>46</v>
      </c>
      <c r="D108" s="6" t="s">
        <v>369</v>
      </c>
      <c r="E108" s="103">
        <f t="shared" si="26"/>
        <v>49600</v>
      </c>
      <c r="F108" s="103">
        <v>49600</v>
      </c>
      <c r="G108" s="103"/>
      <c r="H108" s="103"/>
      <c r="I108" s="103"/>
      <c r="J108" s="103">
        <f t="shared" si="28"/>
        <v>0</v>
      </c>
      <c r="K108" s="103"/>
      <c r="L108" s="103"/>
      <c r="M108" s="103"/>
      <c r="N108" s="103"/>
      <c r="O108" s="103"/>
      <c r="P108" s="103">
        <f t="shared" si="27"/>
        <v>49600</v>
      </c>
      <c r="Q108" s="178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</row>
    <row r="109" spans="1:528" s="27" customFormat="1" ht="30.75" customHeight="1" x14ac:dyDescent="0.25">
      <c r="A109" s="114" t="s">
        <v>171</v>
      </c>
      <c r="B109" s="116"/>
      <c r="C109" s="116"/>
      <c r="D109" s="111" t="s">
        <v>467</v>
      </c>
      <c r="E109" s="99">
        <f>E110</f>
        <v>80854821</v>
      </c>
      <c r="F109" s="99">
        <f t="shared" ref="F109:P109" si="36">F110</f>
        <v>80854821</v>
      </c>
      <c r="G109" s="99">
        <f t="shared" si="36"/>
        <v>4343800</v>
      </c>
      <c r="H109" s="99">
        <f t="shared" si="36"/>
        <v>78600</v>
      </c>
      <c r="I109" s="99">
        <f t="shared" si="36"/>
        <v>0</v>
      </c>
      <c r="J109" s="99">
        <f t="shared" si="36"/>
        <v>111161978.94</v>
      </c>
      <c r="K109" s="99">
        <f t="shared" si="36"/>
        <v>111161978.94</v>
      </c>
      <c r="L109" s="99">
        <f t="shared" si="36"/>
        <v>0</v>
      </c>
      <c r="M109" s="99">
        <f t="shared" si="36"/>
        <v>0</v>
      </c>
      <c r="N109" s="99">
        <f t="shared" si="36"/>
        <v>0</v>
      </c>
      <c r="O109" s="99">
        <f t="shared" si="36"/>
        <v>111161978.94</v>
      </c>
      <c r="P109" s="99">
        <f t="shared" si="36"/>
        <v>192016799.94</v>
      </c>
      <c r="Q109" s="178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32"/>
      <c r="JR109" s="32"/>
      <c r="JS109" s="32"/>
      <c r="JT109" s="32"/>
      <c r="JU109" s="32"/>
      <c r="JV109" s="32"/>
      <c r="JW109" s="32"/>
      <c r="JX109" s="32"/>
      <c r="JY109" s="32"/>
      <c r="JZ109" s="32"/>
      <c r="KA109" s="32"/>
      <c r="KB109" s="32"/>
      <c r="KC109" s="32"/>
      <c r="KD109" s="32"/>
      <c r="KE109" s="32"/>
      <c r="KF109" s="32"/>
      <c r="KG109" s="32"/>
      <c r="KH109" s="32"/>
      <c r="KI109" s="32"/>
      <c r="KJ109" s="32"/>
      <c r="KK109" s="32"/>
      <c r="KL109" s="32"/>
      <c r="KM109" s="32"/>
      <c r="KN109" s="32"/>
      <c r="KO109" s="32"/>
      <c r="KP109" s="32"/>
      <c r="KQ109" s="32"/>
      <c r="KR109" s="32"/>
      <c r="KS109" s="32"/>
      <c r="KT109" s="32"/>
      <c r="KU109" s="32"/>
      <c r="KV109" s="32"/>
      <c r="KW109" s="32"/>
      <c r="KX109" s="32"/>
      <c r="KY109" s="32"/>
      <c r="KZ109" s="32"/>
      <c r="LA109" s="32"/>
      <c r="LB109" s="32"/>
      <c r="LC109" s="32"/>
      <c r="LD109" s="32"/>
      <c r="LE109" s="32"/>
      <c r="LF109" s="32"/>
      <c r="LG109" s="32"/>
      <c r="LH109" s="32"/>
      <c r="LI109" s="32"/>
      <c r="LJ109" s="32"/>
      <c r="LK109" s="32"/>
      <c r="LL109" s="32"/>
      <c r="LM109" s="32"/>
      <c r="LN109" s="32"/>
      <c r="LO109" s="32"/>
      <c r="LP109" s="32"/>
      <c r="LQ109" s="32"/>
      <c r="LR109" s="32"/>
      <c r="LS109" s="32"/>
      <c r="LT109" s="32"/>
      <c r="LU109" s="32"/>
      <c r="LV109" s="32"/>
      <c r="LW109" s="32"/>
      <c r="LX109" s="32"/>
      <c r="LY109" s="32"/>
      <c r="LZ109" s="32"/>
      <c r="MA109" s="32"/>
      <c r="MB109" s="32"/>
      <c r="MC109" s="32"/>
      <c r="MD109" s="32"/>
      <c r="ME109" s="32"/>
      <c r="MF109" s="32"/>
      <c r="MG109" s="32"/>
      <c r="MH109" s="32"/>
      <c r="MI109" s="32"/>
      <c r="MJ109" s="32"/>
      <c r="MK109" s="32"/>
      <c r="ML109" s="32"/>
      <c r="MM109" s="32"/>
      <c r="MN109" s="32"/>
      <c r="MO109" s="32"/>
      <c r="MP109" s="32"/>
      <c r="MQ109" s="32"/>
      <c r="MR109" s="32"/>
      <c r="MS109" s="32"/>
      <c r="MT109" s="32"/>
      <c r="MU109" s="32"/>
      <c r="MV109" s="32"/>
      <c r="MW109" s="32"/>
      <c r="MX109" s="32"/>
      <c r="MY109" s="32"/>
      <c r="MZ109" s="32"/>
      <c r="NA109" s="32"/>
      <c r="NB109" s="32"/>
      <c r="NC109" s="32"/>
      <c r="ND109" s="32"/>
      <c r="NE109" s="32"/>
      <c r="NF109" s="32"/>
      <c r="NG109" s="32"/>
      <c r="NH109" s="32"/>
      <c r="NI109" s="32"/>
      <c r="NJ109" s="32"/>
      <c r="NK109" s="32"/>
      <c r="NL109" s="32"/>
      <c r="NM109" s="32"/>
      <c r="NN109" s="32"/>
      <c r="NO109" s="32"/>
      <c r="NP109" s="32"/>
      <c r="NQ109" s="32"/>
      <c r="NR109" s="32"/>
      <c r="NS109" s="32"/>
      <c r="NT109" s="32"/>
      <c r="NU109" s="32"/>
      <c r="NV109" s="32"/>
      <c r="NW109" s="32"/>
      <c r="NX109" s="32"/>
      <c r="NY109" s="32"/>
      <c r="NZ109" s="32"/>
      <c r="OA109" s="32"/>
      <c r="OB109" s="32"/>
      <c r="OC109" s="32"/>
      <c r="OD109" s="32"/>
      <c r="OE109" s="32"/>
      <c r="OF109" s="32"/>
      <c r="OG109" s="32"/>
      <c r="OH109" s="32"/>
      <c r="OI109" s="32"/>
      <c r="OJ109" s="32"/>
      <c r="OK109" s="32"/>
      <c r="OL109" s="32"/>
      <c r="OM109" s="32"/>
      <c r="ON109" s="32"/>
      <c r="OO109" s="32"/>
      <c r="OP109" s="32"/>
      <c r="OQ109" s="32"/>
      <c r="OR109" s="32"/>
      <c r="OS109" s="32"/>
      <c r="OT109" s="32"/>
      <c r="OU109" s="32"/>
      <c r="OV109" s="32"/>
      <c r="OW109" s="32"/>
      <c r="OX109" s="32"/>
      <c r="OY109" s="32"/>
      <c r="OZ109" s="32"/>
      <c r="PA109" s="32"/>
      <c r="PB109" s="32"/>
      <c r="PC109" s="32"/>
      <c r="PD109" s="32"/>
      <c r="PE109" s="32"/>
      <c r="PF109" s="32"/>
      <c r="PG109" s="32"/>
      <c r="PH109" s="32"/>
      <c r="PI109" s="32"/>
      <c r="PJ109" s="32"/>
      <c r="PK109" s="32"/>
      <c r="PL109" s="32"/>
      <c r="PM109" s="32"/>
      <c r="PN109" s="32"/>
      <c r="PO109" s="32"/>
      <c r="PP109" s="32"/>
      <c r="PQ109" s="32"/>
      <c r="PR109" s="32"/>
      <c r="PS109" s="32"/>
      <c r="PT109" s="32"/>
      <c r="PU109" s="32"/>
      <c r="PV109" s="32"/>
      <c r="PW109" s="32"/>
      <c r="PX109" s="32"/>
      <c r="PY109" s="32"/>
      <c r="PZ109" s="32"/>
      <c r="QA109" s="32"/>
      <c r="QB109" s="32"/>
      <c r="QC109" s="32"/>
      <c r="QD109" s="32"/>
      <c r="QE109" s="32"/>
      <c r="QF109" s="32"/>
      <c r="QG109" s="32"/>
      <c r="QH109" s="32"/>
      <c r="QI109" s="32"/>
      <c r="QJ109" s="32"/>
      <c r="QK109" s="32"/>
      <c r="QL109" s="32"/>
      <c r="QM109" s="32"/>
      <c r="QN109" s="32"/>
      <c r="QO109" s="32"/>
      <c r="QP109" s="32"/>
      <c r="QQ109" s="32"/>
      <c r="QR109" s="32"/>
      <c r="QS109" s="32"/>
      <c r="QT109" s="32"/>
      <c r="QU109" s="32"/>
      <c r="QV109" s="32"/>
      <c r="QW109" s="32"/>
      <c r="QX109" s="32"/>
      <c r="QY109" s="32"/>
      <c r="QZ109" s="32"/>
      <c r="RA109" s="32"/>
      <c r="RB109" s="32"/>
      <c r="RC109" s="32"/>
      <c r="RD109" s="32"/>
      <c r="RE109" s="32"/>
      <c r="RF109" s="32"/>
      <c r="RG109" s="32"/>
      <c r="RH109" s="32"/>
      <c r="RI109" s="32"/>
      <c r="RJ109" s="32"/>
      <c r="RK109" s="32"/>
      <c r="RL109" s="32"/>
      <c r="RM109" s="32"/>
      <c r="RN109" s="32"/>
      <c r="RO109" s="32"/>
      <c r="RP109" s="32"/>
      <c r="RQ109" s="32"/>
      <c r="RR109" s="32"/>
      <c r="RS109" s="32"/>
      <c r="RT109" s="32"/>
      <c r="RU109" s="32"/>
      <c r="RV109" s="32"/>
      <c r="RW109" s="32"/>
      <c r="RX109" s="32"/>
      <c r="RY109" s="32"/>
      <c r="RZ109" s="32"/>
      <c r="SA109" s="32"/>
      <c r="SB109" s="32"/>
      <c r="SC109" s="32"/>
      <c r="SD109" s="32"/>
      <c r="SE109" s="32"/>
      <c r="SF109" s="32"/>
      <c r="SG109" s="32"/>
      <c r="SH109" s="32"/>
      <c r="SI109" s="32"/>
      <c r="SJ109" s="32"/>
      <c r="SK109" s="32"/>
      <c r="SL109" s="32"/>
      <c r="SM109" s="32"/>
      <c r="SN109" s="32"/>
      <c r="SO109" s="32"/>
      <c r="SP109" s="32"/>
      <c r="SQ109" s="32"/>
      <c r="SR109" s="32"/>
      <c r="SS109" s="32"/>
      <c r="ST109" s="32"/>
      <c r="SU109" s="32"/>
      <c r="SV109" s="32"/>
      <c r="SW109" s="32"/>
      <c r="SX109" s="32"/>
      <c r="SY109" s="32"/>
      <c r="SZ109" s="32"/>
      <c r="TA109" s="32"/>
      <c r="TB109" s="32"/>
      <c r="TC109" s="32"/>
      <c r="TD109" s="32"/>
      <c r="TE109" s="32"/>
      <c r="TF109" s="32"/>
      <c r="TG109" s="32"/>
      <c r="TH109" s="32"/>
    </row>
    <row r="110" spans="1:528" s="34" customFormat="1" ht="30.75" customHeight="1" x14ac:dyDescent="0.25">
      <c r="A110" s="100" t="s">
        <v>172</v>
      </c>
      <c r="B110" s="113"/>
      <c r="C110" s="113"/>
      <c r="D110" s="81" t="s">
        <v>476</v>
      </c>
      <c r="E110" s="102">
        <f>E117+E118+E123+E125+E127+E129+E132+E133+E134+E135+E136+E138+E140+E141+E122</f>
        <v>80854821</v>
      </c>
      <c r="F110" s="102">
        <f t="shared" ref="F110:P110" si="37">F117+F118+F123+F125+F127+F129+F132+F133+F134+F135+F136+F138+F140+F141+F122</f>
        <v>80854821</v>
      </c>
      <c r="G110" s="102">
        <f t="shared" si="37"/>
        <v>4343800</v>
      </c>
      <c r="H110" s="102">
        <f t="shared" si="37"/>
        <v>78600</v>
      </c>
      <c r="I110" s="102">
        <f t="shared" si="37"/>
        <v>0</v>
      </c>
      <c r="J110" s="102">
        <f t="shared" si="37"/>
        <v>111161978.94</v>
      </c>
      <c r="K110" s="102">
        <f>K117+K118+K123+K125+K127+K129+K132+K133+K134+K135+K136+K138+K140+K141+K122</f>
        <v>111161978.94</v>
      </c>
      <c r="L110" s="102">
        <f t="shared" si="37"/>
        <v>0</v>
      </c>
      <c r="M110" s="102">
        <f t="shared" si="37"/>
        <v>0</v>
      </c>
      <c r="N110" s="102">
        <f t="shared" si="37"/>
        <v>0</v>
      </c>
      <c r="O110" s="102">
        <f t="shared" si="37"/>
        <v>111161978.94</v>
      </c>
      <c r="P110" s="102">
        <f t="shared" si="37"/>
        <v>192016799.94</v>
      </c>
      <c r="Q110" s="178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  <c r="IW110" s="33"/>
      <c r="IX110" s="33"/>
      <c r="IY110" s="33"/>
      <c r="IZ110" s="33"/>
      <c r="JA110" s="33"/>
      <c r="JB110" s="33"/>
      <c r="JC110" s="33"/>
      <c r="JD110" s="33"/>
      <c r="JE110" s="33"/>
      <c r="JF110" s="33"/>
      <c r="JG110" s="33"/>
      <c r="JH110" s="33"/>
      <c r="JI110" s="33"/>
      <c r="JJ110" s="33"/>
      <c r="JK110" s="33"/>
      <c r="JL110" s="33"/>
      <c r="JM110" s="33"/>
      <c r="JN110" s="33"/>
      <c r="JO110" s="33"/>
      <c r="JP110" s="33"/>
      <c r="JQ110" s="33"/>
      <c r="JR110" s="33"/>
      <c r="JS110" s="33"/>
      <c r="JT110" s="33"/>
      <c r="JU110" s="33"/>
      <c r="JV110" s="33"/>
      <c r="JW110" s="33"/>
      <c r="JX110" s="33"/>
      <c r="JY110" s="33"/>
      <c r="JZ110" s="33"/>
      <c r="KA110" s="33"/>
      <c r="KB110" s="33"/>
      <c r="KC110" s="33"/>
      <c r="KD110" s="33"/>
      <c r="KE110" s="33"/>
      <c r="KF110" s="33"/>
      <c r="KG110" s="33"/>
      <c r="KH110" s="33"/>
      <c r="KI110" s="33"/>
      <c r="KJ110" s="33"/>
      <c r="KK110" s="33"/>
      <c r="KL110" s="33"/>
      <c r="KM110" s="33"/>
      <c r="KN110" s="33"/>
      <c r="KO110" s="33"/>
      <c r="KP110" s="33"/>
      <c r="KQ110" s="33"/>
      <c r="KR110" s="33"/>
      <c r="KS110" s="33"/>
      <c r="KT110" s="33"/>
      <c r="KU110" s="33"/>
      <c r="KV110" s="33"/>
      <c r="KW110" s="33"/>
      <c r="KX110" s="33"/>
      <c r="KY110" s="33"/>
      <c r="KZ110" s="33"/>
      <c r="LA110" s="33"/>
      <c r="LB110" s="33"/>
      <c r="LC110" s="33"/>
      <c r="LD110" s="33"/>
      <c r="LE110" s="33"/>
      <c r="LF110" s="33"/>
      <c r="LG110" s="33"/>
      <c r="LH110" s="33"/>
      <c r="LI110" s="33"/>
      <c r="LJ110" s="33"/>
      <c r="LK110" s="33"/>
      <c r="LL110" s="33"/>
      <c r="LM110" s="33"/>
      <c r="LN110" s="33"/>
      <c r="LO110" s="33"/>
      <c r="LP110" s="33"/>
      <c r="LQ110" s="33"/>
      <c r="LR110" s="33"/>
      <c r="LS110" s="33"/>
      <c r="LT110" s="33"/>
      <c r="LU110" s="33"/>
      <c r="LV110" s="33"/>
      <c r="LW110" s="33"/>
      <c r="LX110" s="33"/>
      <c r="LY110" s="33"/>
      <c r="LZ110" s="33"/>
      <c r="MA110" s="33"/>
      <c r="MB110" s="33"/>
      <c r="MC110" s="33"/>
      <c r="MD110" s="33"/>
      <c r="ME110" s="33"/>
      <c r="MF110" s="33"/>
      <c r="MG110" s="33"/>
      <c r="MH110" s="33"/>
      <c r="MI110" s="33"/>
      <c r="MJ110" s="33"/>
      <c r="MK110" s="33"/>
      <c r="ML110" s="33"/>
      <c r="MM110" s="33"/>
      <c r="MN110" s="33"/>
      <c r="MO110" s="33"/>
      <c r="MP110" s="33"/>
      <c r="MQ110" s="33"/>
      <c r="MR110" s="33"/>
      <c r="MS110" s="33"/>
      <c r="MT110" s="33"/>
      <c r="MU110" s="33"/>
      <c r="MV110" s="33"/>
      <c r="MW110" s="33"/>
      <c r="MX110" s="33"/>
      <c r="MY110" s="33"/>
      <c r="MZ110" s="33"/>
      <c r="NA110" s="33"/>
      <c r="NB110" s="33"/>
      <c r="NC110" s="33"/>
      <c r="ND110" s="33"/>
      <c r="NE110" s="33"/>
      <c r="NF110" s="33"/>
      <c r="NG110" s="33"/>
      <c r="NH110" s="33"/>
      <c r="NI110" s="33"/>
      <c r="NJ110" s="33"/>
      <c r="NK110" s="33"/>
      <c r="NL110" s="33"/>
      <c r="NM110" s="33"/>
      <c r="NN110" s="33"/>
      <c r="NO110" s="33"/>
      <c r="NP110" s="33"/>
      <c r="NQ110" s="33"/>
      <c r="NR110" s="33"/>
      <c r="NS110" s="33"/>
      <c r="NT110" s="33"/>
      <c r="NU110" s="33"/>
      <c r="NV110" s="33"/>
      <c r="NW110" s="33"/>
      <c r="NX110" s="33"/>
      <c r="NY110" s="33"/>
      <c r="NZ110" s="33"/>
      <c r="OA110" s="33"/>
      <c r="OB110" s="33"/>
      <c r="OC110" s="33"/>
      <c r="OD110" s="33"/>
      <c r="OE110" s="33"/>
      <c r="OF110" s="33"/>
      <c r="OG110" s="33"/>
      <c r="OH110" s="33"/>
      <c r="OI110" s="33"/>
      <c r="OJ110" s="33"/>
      <c r="OK110" s="33"/>
      <c r="OL110" s="33"/>
      <c r="OM110" s="33"/>
      <c r="ON110" s="33"/>
      <c r="OO110" s="33"/>
      <c r="OP110" s="33"/>
      <c r="OQ110" s="33"/>
      <c r="OR110" s="33"/>
      <c r="OS110" s="33"/>
      <c r="OT110" s="33"/>
      <c r="OU110" s="33"/>
      <c r="OV110" s="33"/>
      <c r="OW110" s="33"/>
      <c r="OX110" s="33"/>
      <c r="OY110" s="33"/>
      <c r="OZ110" s="33"/>
      <c r="PA110" s="33"/>
      <c r="PB110" s="33"/>
      <c r="PC110" s="33"/>
      <c r="PD110" s="33"/>
      <c r="PE110" s="33"/>
      <c r="PF110" s="33"/>
      <c r="PG110" s="33"/>
      <c r="PH110" s="33"/>
      <c r="PI110" s="33"/>
      <c r="PJ110" s="33"/>
      <c r="PK110" s="33"/>
      <c r="PL110" s="33"/>
      <c r="PM110" s="33"/>
      <c r="PN110" s="33"/>
      <c r="PO110" s="33"/>
      <c r="PP110" s="33"/>
      <c r="PQ110" s="33"/>
      <c r="PR110" s="33"/>
      <c r="PS110" s="33"/>
      <c r="PT110" s="33"/>
      <c r="PU110" s="33"/>
      <c r="PV110" s="33"/>
      <c r="PW110" s="33"/>
      <c r="PX110" s="33"/>
      <c r="PY110" s="33"/>
      <c r="PZ110" s="33"/>
      <c r="QA110" s="33"/>
      <c r="QB110" s="33"/>
      <c r="QC110" s="33"/>
      <c r="QD110" s="33"/>
      <c r="QE110" s="33"/>
      <c r="QF110" s="33"/>
      <c r="QG110" s="33"/>
      <c r="QH110" s="33"/>
      <c r="QI110" s="33"/>
      <c r="QJ110" s="33"/>
      <c r="QK110" s="33"/>
      <c r="QL110" s="33"/>
      <c r="QM110" s="33"/>
      <c r="QN110" s="33"/>
      <c r="QO110" s="33"/>
      <c r="QP110" s="33"/>
      <c r="QQ110" s="33"/>
      <c r="QR110" s="33"/>
      <c r="QS110" s="33"/>
      <c r="QT110" s="33"/>
      <c r="QU110" s="33"/>
      <c r="QV110" s="33"/>
      <c r="QW110" s="33"/>
      <c r="QX110" s="33"/>
      <c r="QY110" s="33"/>
      <c r="QZ110" s="33"/>
      <c r="RA110" s="33"/>
      <c r="RB110" s="33"/>
      <c r="RC110" s="33"/>
      <c r="RD110" s="33"/>
      <c r="RE110" s="33"/>
      <c r="RF110" s="33"/>
      <c r="RG110" s="33"/>
      <c r="RH110" s="33"/>
      <c r="RI110" s="33"/>
      <c r="RJ110" s="33"/>
      <c r="RK110" s="33"/>
      <c r="RL110" s="33"/>
      <c r="RM110" s="33"/>
      <c r="RN110" s="33"/>
      <c r="RO110" s="33"/>
      <c r="RP110" s="33"/>
      <c r="RQ110" s="33"/>
      <c r="RR110" s="33"/>
      <c r="RS110" s="33"/>
      <c r="RT110" s="33"/>
      <c r="RU110" s="33"/>
      <c r="RV110" s="33"/>
      <c r="RW110" s="33"/>
      <c r="RX110" s="33"/>
      <c r="RY110" s="33"/>
      <c r="RZ110" s="33"/>
      <c r="SA110" s="33"/>
      <c r="SB110" s="33"/>
      <c r="SC110" s="33"/>
      <c r="SD110" s="33"/>
      <c r="SE110" s="33"/>
      <c r="SF110" s="33"/>
      <c r="SG110" s="33"/>
      <c r="SH110" s="33"/>
      <c r="SI110" s="33"/>
      <c r="SJ110" s="33"/>
      <c r="SK110" s="33"/>
      <c r="SL110" s="33"/>
      <c r="SM110" s="33"/>
      <c r="SN110" s="33"/>
      <c r="SO110" s="33"/>
      <c r="SP110" s="33"/>
      <c r="SQ110" s="33"/>
      <c r="SR110" s="33"/>
      <c r="SS110" s="33"/>
      <c r="ST110" s="33"/>
      <c r="SU110" s="33"/>
      <c r="SV110" s="33"/>
      <c r="SW110" s="33"/>
      <c r="SX110" s="33"/>
      <c r="SY110" s="33"/>
      <c r="SZ110" s="33"/>
      <c r="TA110" s="33"/>
      <c r="TB110" s="33"/>
      <c r="TC110" s="33"/>
      <c r="TD110" s="33"/>
      <c r="TE110" s="33"/>
      <c r="TF110" s="33"/>
      <c r="TG110" s="33"/>
      <c r="TH110" s="33"/>
    </row>
    <row r="111" spans="1:528" s="34" customFormat="1" ht="31.5" hidden="1" customHeight="1" x14ac:dyDescent="0.25">
      <c r="A111" s="100"/>
      <c r="B111" s="113"/>
      <c r="C111" s="113"/>
      <c r="D111" s="81" t="s">
        <v>392</v>
      </c>
      <c r="E111" s="102">
        <f>E119+E124+E126</f>
        <v>0</v>
      </c>
      <c r="F111" s="102">
        <f t="shared" ref="F111:P111" si="38">F119+F124+F126</f>
        <v>0</v>
      </c>
      <c r="G111" s="102">
        <f t="shared" si="38"/>
        <v>0</v>
      </c>
      <c r="H111" s="102">
        <f t="shared" si="38"/>
        <v>0</v>
      </c>
      <c r="I111" s="102">
        <f t="shared" si="38"/>
        <v>0</v>
      </c>
      <c r="J111" s="102">
        <f t="shared" si="38"/>
        <v>0</v>
      </c>
      <c r="K111" s="102">
        <f t="shared" si="38"/>
        <v>0</v>
      </c>
      <c r="L111" s="102">
        <f t="shared" si="38"/>
        <v>0</v>
      </c>
      <c r="M111" s="102">
        <f t="shared" si="38"/>
        <v>0</v>
      </c>
      <c r="N111" s="102">
        <f t="shared" si="38"/>
        <v>0</v>
      </c>
      <c r="O111" s="102">
        <f t="shared" si="38"/>
        <v>0</v>
      </c>
      <c r="P111" s="102">
        <f t="shared" si="38"/>
        <v>0</v>
      </c>
      <c r="Q111" s="178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  <c r="IW111" s="33"/>
      <c r="IX111" s="33"/>
      <c r="IY111" s="33"/>
      <c r="IZ111" s="33"/>
      <c r="JA111" s="33"/>
      <c r="JB111" s="33"/>
      <c r="JC111" s="33"/>
      <c r="JD111" s="33"/>
      <c r="JE111" s="33"/>
      <c r="JF111" s="33"/>
      <c r="JG111" s="33"/>
      <c r="JH111" s="33"/>
      <c r="JI111" s="33"/>
      <c r="JJ111" s="33"/>
      <c r="JK111" s="33"/>
      <c r="JL111" s="33"/>
      <c r="JM111" s="33"/>
      <c r="JN111" s="33"/>
      <c r="JO111" s="33"/>
      <c r="JP111" s="33"/>
      <c r="JQ111" s="33"/>
      <c r="JR111" s="33"/>
      <c r="JS111" s="33"/>
      <c r="JT111" s="33"/>
      <c r="JU111" s="33"/>
      <c r="JV111" s="33"/>
      <c r="JW111" s="33"/>
      <c r="JX111" s="33"/>
      <c r="JY111" s="33"/>
      <c r="JZ111" s="33"/>
      <c r="KA111" s="33"/>
      <c r="KB111" s="33"/>
      <c r="KC111" s="33"/>
      <c r="KD111" s="33"/>
      <c r="KE111" s="33"/>
      <c r="KF111" s="33"/>
      <c r="KG111" s="33"/>
      <c r="KH111" s="33"/>
      <c r="KI111" s="33"/>
      <c r="KJ111" s="33"/>
      <c r="KK111" s="33"/>
      <c r="KL111" s="33"/>
      <c r="KM111" s="33"/>
      <c r="KN111" s="33"/>
      <c r="KO111" s="33"/>
      <c r="KP111" s="33"/>
      <c r="KQ111" s="33"/>
      <c r="KR111" s="33"/>
      <c r="KS111" s="33"/>
      <c r="KT111" s="33"/>
      <c r="KU111" s="33"/>
      <c r="KV111" s="33"/>
      <c r="KW111" s="33"/>
      <c r="KX111" s="33"/>
      <c r="KY111" s="33"/>
      <c r="KZ111" s="33"/>
      <c r="LA111" s="33"/>
      <c r="LB111" s="33"/>
      <c r="LC111" s="33"/>
      <c r="LD111" s="33"/>
      <c r="LE111" s="33"/>
      <c r="LF111" s="33"/>
      <c r="LG111" s="33"/>
      <c r="LH111" s="33"/>
      <c r="LI111" s="33"/>
      <c r="LJ111" s="33"/>
      <c r="LK111" s="33"/>
      <c r="LL111" s="33"/>
      <c r="LM111" s="33"/>
      <c r="LN111" s="33"/>
      <c r="LO111" s="33"/>
      <c r="LP111" s="33"/>
      <c r="LQ111" s="33"/>
      <c r="LR111" s="33"/>
      <c r="LS111" s="33"/>
      <c r="LT111" s="33"/>
      <c r="LU111" s="33"/>
      <c r="LV111" s="33"/>
      <c r="LW111" s="33"/>
      <c r="LX111" s="33"/>
      <c r="LY111" s="33"/>
      <c r="LZ111" s="33"/>
      <c r="MA111" s="33"/>
      <c r="MB111" s="33"/>
      <c r="MC111" s="33"/>
      <c r="MD111" s="33"/>
      <c r="ME111" s="33"/>
      <c r="MF111" s="33"/>
      <c r="MG111" s="33"/>
      <c r="MH111" s="33"/>
      <c r="MI111" s="33"/>
      <c r="MJ111" s="33"/>
      <c r="MK111" s="33"/>
      <c r="ML111" s="33"/>
      <c r="MM111" s="33"/>
      <c r="MN111" s="33"/>
      <c r="MO111" s="33"/>
      <c r="MP111" s="33"/>
      <c r="MQ111" s="33"/>
      <c r="MR111" s="33"/>
      <c r="MS111" s="33"/>
      <c r="MT111" s="33"/>
      <c r="MU111" s="33"/>
      <c r="MV111" s="33"/>
      <c r="MW111" s="33"/>
      <c r="MX111" s="33"/>
      <c r="MY111" s="33"/>
      <c r="MZ111" s="33"/>
      <c r="NA111" s="33"/>
      <c r="NB111" s="33"/>
      <c r="NC111" s="33"/>
      <c r="ND111" s="33"/>
      <c r="NE111" s="33"/>
      <c r="NF111" s="33"/>
      <c r="NG111" s="33"/>
      <c r="NH111" s="33"/>
      <c r="NI111" s="33"/>
      <c r="NJ111" s="33"/>
      <c r="NK111" s="33"/>
      <c r="NL111" s="33"/>
      <c r="NM111" s="33"/>
      <c r="NN111" s="33"/>
      <c r="NO111" s="33"/>
      <c r="NP111" s="33"/>
      <c r="NQ111" s="33"/>
      <c r="NR111" s="33"/>
      <c r="NS111" s="33"/>
      <c r="NT111" s="33"/>
      <c r="NU111" s="33"/>
      <c r="NV111" s="33"/>
      <c r="NW111" s="33"/>
      <c r="NX111" s="33"/>
      <c r="NY111" s="33"/>
      <c r="NZ111" s="33"/>
      <c r="OA111" s="33"/>
      <c r="OB111" s="33"/>
      <c r="OC111" s="33"/>
      <c r="OD111" s="33"/>
      <c r="OE111" s="33"/>
      <c r="OF111" s="33"/>
      <c r="OG111" s="33"/>
      <c r="OH111" s="33"/>
      <c r="OI111" s="33"/>
      <c r="OJ111" s="33"/>
      <c r="OK111" s="33"/>
      <c r="OL111" s="33"/>
      <c r="OM111" s="33"/>
      <c r="ON111" s="33"/>
      <c r="OO111" s="33"/>
      <c r="OP111" s="33"/>
      <c r="OQ111" s="33"/>
      <c r="OR111" s="33"/>
      <c r="OS111" s="33"/>
      <c r="OT111" s="33"/>
      <c r="OU111" s="33"/>
      <c r="OV111" s="33"/>
      <c r="OW111" s="33"/>
      <c r="OX111" s="33"/>
      <c r="OY111" s="33"/>
      <c r="OZ111" s="33"/>
      <c r="PA111" s="33"/>
      <c r="PB111" s="33"/>
      <c r="PC111" s="33"/>
      <c r="PD111" s="33"/>
      <c r="PE111" s="33"/>
      <c r="PF111" s="33"/>
      <c r="PG111" s="33"/>
      <c r="PH111" s="33"/>
      <c r="PI111" s="33"/>
      <c r="PJ111" s="33"/>
      <c r="PK111" s="33"/>
      <c r="PL111" s="33"/>
      <c r="PM111" s="33"/>
      <c r="PN111" s="33"/>
      <c r="PO111" s="33"/>
      <c r="PP111" s="33"/>
      <c r="PQ111" s="33"/>
      <c r="PR111" s="33"/>
      <c r="PS111" s="33"/>
      <c r="PT111" s="33"/>
      <c r="PU111" s="33"/>
      <c r="PV111" s="33"/>
      <c r="PW111" s="33"/>
      <c r="PX111" s="33"/>
      <c r="PY111" s="33"/>
      <c r="PZ111" s="33"/>
      <c r="QA111" s="33"/>
      <c r="QB111" s="33"/>
      <c r="QC111" s="33"/>
      <c r="QD111" s="33"/>
      <c r="QE111" s="33"/>
      <c r="QF111" s="33"/>
      <c r="QG111" s="33"/>
      <c r="QH111" s="33"/>
      <c r="QI111" s="33"/>
      <c r="QJ111" s="33"/>
      <c r="QK111" s="33"/>
      <c r="QL111" s="33"/>
      <c r="QM111" s="33"/>
      <c r="QN111" s="33"/>
      <c r="QO111" s="33"/>
      <c r="QP111" s="33"/>
      <c r="QQ111" s="33"/>
      <c r="QR111" s="33"/>
      <c r="QS111" s="33"/>
      <c r="QT111" s="33"/>
      <c r="QU111" s="33"/>
      <c r="QV111" s="33"/>
      <c r="QW111" s="33"/>
      <c r="QX111" s="33"/>
      <c r="QY111" s="33"/>
      <c r="QZ111" s="33"/>
      <c r="RA111" s="33"/>
      <c r="RB111" s="33"/>
      <c r="RC111" s="33"/>
      <c r="RD111" s="33"/>
      <c r="RE111" s="33"/>
      <c r="RF111" s="33"/>
      <c r="RG111" s="33"/>
      <c r="RH111" s="33"/>
      <c r="RI111" s="33"/>
      <c r="RJ111" s="33"/>
      <c r="RK111" s="33"/>
      <c r="RL111" s="33"/>
      <c r="RM111" s="33"/>
      <c r="RN111" s="33"/>
      <c r="RO111" s="33"/>
      <c r="RP111" s="33"/>
      <c r="RQ111" s="33"/>
      <c r="RR111" s="33"/>
      <c r="RS111" s="33"/>
      <c r="RT111" s="33"/>
      <c r="RU111" s="33"/>
      <c r="RV111" s="33"/>
      <c r="RW111" s="33"/>
      <c r="RX111" s="33"/>
      <c r="RY111" s="33"/>
      <c r="RZ111" s="33"/>
      <c r="SA111" s="33"/>
      <c r="SB111" s="33"/>
      <c r="SC111" s="33"/>
      <c r="SD111" s="33"/>
      <c r="SE111" s="33"/>
      <c r="SF111" s="33"/>
      <c r="SG111" s="33"/>
      <c r="SH111" s="33"/>
      <c r="SI111" s="33"/>
      <c r="SJ111" s="33"/>
      <c r="SK111" s="33"/>
      <c r="SL111" s="33"/>
      <c r="SM111" s="33"/>
      <c r="SN111" s="33"/>
      <c r="SO111" s="33"/>
      <c r="SP111" s="33"/>
      <c r="SQ111" s="33"/>
      <c r="SR111" s="33"/>
      <c r="SS111" s="33"/>
      <c r="ST111" s="33"/>
      <c r="SU111" s="33"/>
      <c r="SV111" s="33"/>
      <c r="SW111" s="33"/>
      <c r="SX111" s="33"/>
      <c r="SY111" s="33"/>
      <c r="SZ111" s="33"/>
      <c r="TA111" s="33"/>
      <c r="TB111" s="33"/>
      <c r="TC111" s="33"/>
      <c r="TD111" s="33"/>
      <c r="TE111" s="33"/>
      <c r="TF111" s="33"/>
      <c r="TG111" s="33"/>
      <c r="TH111" s="33"/>
    </row>
    <row r="112" spans="1:528" s="34" customFormat="1" ht="63" hidden="1" customHeight="1" x14ac:dyDescent="0.25">
      <c r="A112" s="100"/>
      <c r="B112" s="113"/>
      <c r="C112" s="113"/>
      <c r="D112" s="81" t="s">
        <v>390</v>
      </c>
      <c r="E112" s="102">
        <f>E137</f>
        <v>0</v>
      </c>
      <c r="F112" s="102">
        <f>F137</f>
        <v>0</v>
      </c>
      <c r="G112" s="102">
        <f t="shared" ref="G112:I112" si="39">G137</f>
        <v>0</v>
      </c>
      <c r="H112" s="102">
        <f t="shared" si="39"/>
        <v>0</v>
      </c>
      <c r="I112" s="102">
        <f t="shared" si="39"/>
        <v>0</v>
      </c>
      <c r="J112" s="102">
        <f>J137</f>
        <v>0</v>
      </c>
      <c r="K112" s="102">
        <f t="shared" ref="K112:P112" si="40">K137</f>
        <v>0</v>
      </c>
      <c r="L112" s="102">
        <f t="shared" si="40"/>
        <v>0</v>
      </c>
      <c r="M112" s="102">
        <f t="shared" si="40"/>
        <v>0</v>
      </c>
      <c r="N112" s="102">
        <f t="shared" si="40"/>
        <v>0</v>
      </c>
      <c r="O112" s="102">
        <f t="shared" si="40"/>
        <v>0</v>
      </c>
      <c r="P112" s="102">
        <f t="shared" si="40"/>
        <v>0</v>
      </c>
      <c r="Q112" s="178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  <c r="IW112" s="33"/>
      <c r="IX112" s="33"/>
      <c r="IY112" s="33"/>
      <c r="IZ112" s="33"/>
      <c r="JA112" s="33"/>
      <c r="JB112" s="33"/>
      <c r="JC112" s="33"/>
      <c r="JD112" s="33"/>
      <c r="JE112" s="33"/>
      <c r="JF112" s="33"/>
      <c r="JG112" s="33"/>
      <c r="JH112" s="33"/>
      <c r="JI112" s="33"/>
      <c r="JJ112" s="33"/>
      <c r="JK112" s="33"/>
      <c r="JL112" s="33"/>
      <c r="JM112" s="33"/>
      <c r="JN112" s="33"/>
      <c r="JO112" s="33"/>
      <c r="JP112" s="33"/>
      <c r="JQ112" s="33"/>
      <c r="JR112" s="33"/>
      <c r="JS112" s="33"/>
      <c r="JT112" s="33"/>
      <c r="JU112" s="33"/>
      <c r="JV112" s="33"/>
      <c r="JW112" s="33"/>
      <c r="JX112" s="33"/>
      <c r="JY112" s="33"/>
      <c r="JZ112" s="33"/>
      <c r="KA112" s="33"/>
      <c r="KB112" s="33"/>
      <c r="KC112" s="33"/>
      <c r="KD112" s="33"/>
      <c r="KE112" s="33"/>
      <c r="KF112" s="33"/>
      <c r="KG112" s="33"/>
      <c r="KH112" s="33"/>
      <c r="KI112" s="33"/>
      <c r="KJ112" s="33"/>
      <c r="KK112" s="33"/>
      <c r="KL112" s="33"/>
      <c r="KM112" s="33"/>
      <c r="KN112" s="33"/>
      <c r="KO112" s="33"/>
      <c r="KP112" s="33"/>
      <c r="KQ112" s="33"/>
      <c r="KR112" s="33"/>
      <c r="KS112" s="33"/>
      <c r="KT112" s="33"/>
      <c r="KU112" s="33"/>
      <c r="KV112" s="33"/>
      <c r="KW112" s="33"/>
      <c r="KX112" s="33"/>
      <c r="KY112" s="33"/>
      <c r="KZ112" s="33"/>
      <c r="LA112" s="33"/>
      <c r="LB112" s="33"/>
      <c r="LC112" s="33"/>
      <c r="LD112" s="33"/>
      <c r="LE112" s="33"/>
      <c r="LF112" s="33"/>
      <c r="LG112" s="33"/>
      <c r="LH112" s="33"/>
      <c r="LI112" s="33"/>
      <c r="LJ112" s="33"/>
      <c r="LK112" s="33"/>
      <c r="LL112" s="33"/>
      <c r="LM112" s="33"/>
      <c r="LN112" s="33"/>
      <c r="LO112" s="33"/>
      <c r="LP112" s="33"/>
      <c r="LQ112" s="33"/>
      <c r="LR112" s="33"/>
      <c r="LS112" s="33"/>
      <c r="LT112" s="33"/>
      <c r="LU112" s="33"/>
      <c r="LV112" s="33"/>
      <c r="LW112" s="33"/>
      <c r="LX112" s="33"/>
      <c r="LY112" s="33"/>
      <c r="LZ112" s="33"/>
      <c r="MA112" s="33"/>
      <c r="MB112" s="33"/>
      <c r="MC112" s="33"/>
      <c r="MD112" s="33"/>
      <c r="ME112" s="33"/>
      <c r="MF112" s="33"/>
      <c r="MG112" s="33"/>
      <c r="MH112" s="33"/>
      <c r="MI112" s="33"/>
      <c r="MJ112" s="33"/>
      <c r="MK112" s="33"/>
      <c r="ML112" s="33"/>
      <c r="MM112" s="33"/>
      <c r="MN112" s="33"/>
      <c r="MO112" s="33"/>
      <c r="MP112" s="33"/>
      <c r="MQ112" s="33"/>
      <c r="MR112" s="33"/>
      <c r="MS112" s="33"/>
      <c r="MT112" s="33"/>
      <c r="MU112" s="33"/>
      <c r="MV112" s="33"/>
      <c r="MW112" s="33"/>
      <c r="MX112" s="33"/>
      <c r="MY112" s="33"/>
      <c r="MZ112" s="33"/>
      <c r="NA112" s="33"/>
      <c r="NB112" s="33"/>
      <c r="NC112" s="33"/>
      <c r="ND112" s="33"/>
      <c r="NE112" s="33"/>
      <c r="NF112" s="33"/>
      <c r="NG112" s="33"/>
      <c r="NH112" s="33"/>
      <c r="NI112" s="33"/>
      <c r="NJ112" s="33"/>
      <c r="NK112" s="33"/>
      <c r="NL112" s="33"/>
      <c r="NM112" s="33"/>
      <c r="NN112" s="33"/>
      <c r="NO112" s="33"/>
      <c r="NP112" s="33"/>
      <c r="NQ112" s="33"/>
      <c r="NR112" s="33"/>
      <c r="NS112" s="33"/>
      <c r="NT112" s="33"/>
      <c r="NU112" s="33"/>
      <c r="NV112" s="33"/>
      <c r="NW112" s="33"/>
      <c r="NX112" s="33"/>
      <c r="NY112" s="33"/>
      <c r="NZ112" s="33"/>
      <c r="OA112" s="33"/>
      <c r="OB112" s="33"/>
      <c r="OC112" s="33"/>
      <c r="OD112" s="33"/>
      <c r="OE112" s="33"/>
      <c r="OF112" s="33"/>
      <c r="OG112" s="33"/>
      <c r="OH112" s="33"/>
      <c r="OI112" s="33"/>
      <c r="OJ112" s="33"/>
      <c r="OK112" s="33"/>
      <c r="OL112" s="33"/>
      <c r="OM112" s="33"/>
      <c r="ON112" s="33"/>
      <c r="OO112" s="33"/>
      <c r="OP112" s="33"/>
      <c r="OQ112" s="33"/>
      <c r="OR112" s="33"/>
      <c r="OS112" s="33"/>
      <c r="OT112" s="33"/>
      <c r="OU112" s="33"/>
      <c r="OV112" s="33"/>
      <c r="OW112" s="33"/>
      <c r="OX112" s="33"/>
      <c r="OY112" s="33"/>
      <c r="OZ112" s="33"/>
      <c r="PA112" s="33"/>
      <c r="PB112" s="33"/>
      <c r="PC112" s="33"/>
      <c r="PD112" s="33"/>
      <c r="PE112" s="33"/>
      <c r="PF112" s="33"/>
      <c r="PG112" s="33"/>
      <c r="PH112" s="33"/>
      <c r="PI112" s="33"/>
      <c r="PJ112" s="33"/>
      <c r="PK112" s="33"/>
      <c r="PL112" s="33"/>
      <c r="PM112" s="33"/>
      <c r="PN112" s="33"/>
      <c r="PO112" s="33"/>
      <c r="PP112" s="33"/>
      <c r="PQ112" s="33"/>
      <c r="PR112" s="33"/>
      <c r="PS112" s="33"/>
      <c r="PT112" s="33"/>
      <c r="PU112" s="33"/>
      <c r="PV112" s="33"/>
      <c r="PW112" s="33"/>
      <c r="PX112" s="33"/>
      <c r="PY112" s="33"/>
      <c r="PZ112" s="33"/>
      <c r="QA112" s="33"/>
      <c r="QB112" s="33"/>
      <c r="QC112" s="33"/>
      <c r="QD112" s="33"/>
      <c r="QE112" s="33"/>
      <c r="QF112" s="33"/>
      <c r="QG112" s="33"/>
      <c r="QH112" s="33"/>
      <c r="QI112" s="33"/>
      <c r="QJ112" s="33"/>
      <c r="QK112" s="33"/>
      <c r="QL112" s="33"/>
      <c r="QM112" s="33"/>
      <c r="QN112" s="33"/>
      <c r="QO112" s="33"/>
      <c r="QP112" s="33"/>
      <c r="QQ112" s="33"/>
      <c r="QR112" s="33"/>
      <c r="QS112" s="33"/>
      <c r="QT112" s="33"/>
      <c r="QU112" s="33"/>
      <c r="QV112" s="33"/>
      <c r="QW112" s="33"/>
      <c r="QX112" s="33"/>
      <c r="QY112" s="33"/>
      <c r="QZ112" s="33"/>
      <c r="RA112" s="33"/>
      <c r="RB112" s="33"/>
      <c r="RC112" s="33"/>
      <c r="RD112" s="33"/>
      <c r="RE112" s="33"/>
      <c r="RF112" s="33"/>
      <c r="RG112" s="33"/>
      <c r="RH112" s="33"/>
      <c r="RI112" s="33"/>
      <c r="RJ112" s="33"/>
      <c r="RK112" s="33"/>
      <c r="RL112" s="33"/>
      <c r="RM112" s="33"/>
      <c r="RN112" s="33"/>
      <c r="RO112" s="33"/>
      <c r="RP112" s="33"/>
      <c r="RQ112" s="33"/>
      <c r="RR112" s="33"/>
      <c r="RS112" s="33"/>
      <c r="RT112" s="33"/>
      <c r="RU112" s="33"/>
      <c r="RV112" s="33"/>
      <c r="RW112" s="33"/>
      <c r="RX112" s="33"/>
      <c r="RY112" s="33"/>
      <c r="RZ112" s="33"/>
      <c r="SA112" s="33"/>
      <c r="SB112" s="33"/>
      <c r="SC112" s="33"/>
      <c r="SD112" s="33"/>
      <c r="SE112" s="33"/>
      <c r="SF112" s="33"/>
      <c r="SG112" s="33"/>
      <c r="SH112" s="33"/>
      <c r="SI112" s="33"/>
      <c r="SJ112" s="33"/>
      <c r="SK112" s="33"/>
      <c r="SL112" s="33"/>
      <c r="SM112" s="33"/>
      <c r="SN112" s="33"/>
      <c r="SO112" s="33"/>
      <c r="SP112" s="33"/>
      <c r="SQ112" s="33"/>
      <c r="SR112" s="33"/>
      <c r="SS112" s="33"/>
      <c r="ST112" s="33"/>
      <c r="SU112" s="33"/>
      <c r="SV112" s="33"/>
      <c r="SW112" s="33"/>
      <c r="SX112" s="33"/>
      <c r="SY112" s="33"/>
      <c r="SZ112" s="33"/>
      <c r="TA112" s="33"/>
      <c r="TB112" s="33"/>
      <c r="TC112" s="33"/>
      <c r="TD112" s="33"/>
      <c r="TE112" s="33"/>
      <c r="TF112" s="33"/>
      <c r="TG112" s="33"/>
      <c r="TH112" s="33"/>
    </row>
    <row r="113" spans="1:528" s="34" customFormat="1" ht="47.25" hidden="1" customHeight="1" x14ac:dyDescent="0.25">
      <c r="A113" s="100"/>
      <c r="B113" s="113"/>
      <c r="C113" s="113"/>
      <c r="D113" s="81" t="s">
        <v>393</v>
      </c>
      <c r="E113" s="102">
        <f>E120+E130</f>
        <v>0</v>
      </c>
      <c r="F113" s="102">
        <f t="shared" ref="F113:P113" si="41">F120+F130</f>
        <v>0</v>
      </c>
      <c r="G113" s="102">
        <f t="shared" si="41"/>
        <v>0</v>
      </c>
      <c r="H113" s="102">
        <f t="shared" si="41"/>
        <v>0</v>
      </c>
      <c r="I113" s="102">
        <f t="shared" si="41"/>
        <v>0</v>
      </c>
      <c r="J113" s="102">
        <f t="shared" si="41"/>
        <v>0</v>
      </c>
      <c r="K113" s="102">
        <f t="shared" si="41"/>
        <v>0</v>
      </c>
      <c r="L113" s="102">
        <f t="shared" si="41"/>
        <v>0</v>
      </c>
      <c r="M113" s="102">
        <f t="shared" si="41"/>
        <v>0</v>
      </c>
      <c r="N113" s="102">
        <f t="shared" si="41"/>
        <v>0</v>
      </c>
      <c r="O113" s="102">
        <f t="shared" si="41"/>
        <v>0</v>
      </c>
      <c r="P113" s="102">
        <f t="shared" si="41"/>
        <v>0</v>
      </c>
      <c r="Q113" s="178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  <c r="IW113" s="33"/>
      <c r="IX113" s="33"/>
      <c r="IY113" s="33"/>
      <c r="IZ113" s="33"/>
      <c r="JA113" s="33"/>
      <c r="JB113" s="33"/>
      <c r="JC113" s="33"/>
      <c r="JD113" s="33"/>
      <c r="JE113" s="33"/>
      <c r="JF113" s="33"/>
      <c r="JG113" s="33"/>
      <c r="JH113" s="33"/>
      <c r="JI113" s="33"/>
      <c r="JJ113" s="33"/>
      <c r="JK113" s="33"/>
      <c r="JL113" s="33"/>
      <c r="JM113" s="33"/>
      <c r="JN113" s="33"/>
      <c r="JO113" s="33"/>
      <c r="JP113" s="33"/>
      <c r="JQ113" s="33"/>
      <c r="JR113" s="33"/>
      <c r="JS113" s="33"/>
      <c r="JT113" s="33"/>
      <c r="JU113" s="33"/>
      <c r="JV113" s="33"/>
      <c r="JW113" s="33"/>
      <c r="JX113" s="33"/>
      <c r="JY113" s="33"/>
      <c r="JZ113" s="33"/>
      <c r="KA113" s="33"/>
      <c r="KB113" s="33"/>
      <c r="KC113" s="33"/>
      <c r="KD113" s="33"/>
      <c r="KE113" s="33"/>
      <c r="KF113" s="33"/>
      <c r="KG113" s="33"/>
      <c r="KH113" s="33"/>
      <c r="KI113" s="33"/>
      <c r="KJ113" s="33"/>
      <c r="KK113" s="33"/>
      <c r="KL113" s="33"/>
      <c r="KM113" s="33"/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  <c r="LD113" s="33"/>
      <c r="LE113" s="33"/>
      <c r="LF113" s="33"/>
      <c r="LG113" s="33"/>
      <c r="LH113" s="33"/>
      <c r="LI113" s="33"/>
      <c r="LJ113" s="33"/>
      <c r="LK113" s="33"/>
      <c r="LL113" s="33"/>
      <c r="LM113" s="33"/>
      <c r="LN113" s="33"/>
      <c r="LO113" s="33"/>
      <c r="LP113" s="33"/>
      <c r="LQ113" s="33"/>
      <c r="LR113" s="33"/>
      <c r="LS113" s="33"/>
      <c r="LT113" s="33"/>
      <c r="LU113" s="33"/>
      <c r="LV113" s="33"/>
      <c r="LW113" s="33"/>
      <c r="LX113" s="33"/>
      <c r="LY113" s="33"/>
      <c r="LZ113" s="33"/>
      <c r="MA113" s="33"/>
      <c r="MB113" s="33"/>
      <c r="MC113" s="33"/>
      <c r="MD113" s="33"/>
      <c r="ME113" s="33"/>
      <c r="MF113" s="33"/>
      <c r="MG113" s="33"/>
      <c r="MH113" s="33"/>
      <c r="MI113" s="33"/>
      <c r="MJ113" s="33"/>
      <c r="MK113" s="33"/>
      <c r="ML113" s="33"/>
      <c r="MM113" s="33"/>
      <c r="MN113" s="33"/>
      <c r="MO113" s="33"/>
      <c r="MP113" s="33"/>
      <c r="MQ113" s="33"/>
      <c r="MR113" s="33"/>
      <c r="MS113" s="33"/>
      <c r="MT113" s="33"/>
      <c r="MU113" s="33"/>
      <c r="MV113" s="33"/>
      <c r="MW113" s="33"/>
      <c r="MX113" s="33"/>
      <c r="MY113" s="33"/>
      <c r="MZ113" s="33"/>
      <c r="NA113" s="33"/>
      <c r="NB113" s="33"/>
      <c r="NC113" s="33"/>
      <c r="ND113" s="33"/>
      <c r="NE113" s="33"/>
      <c r="NF113" s="33"/>
      <c r="NG113" s="33"/>
      <c r="NH113" s="33"/>
      <c r="NI113" s="33"/>
      <c r="NJ113" s="33"/>
      <c r="NK113" s="33"/>
      <c r="NL113" s="33"/>
      <c r="NM113" s="33"/>
      <c r="NN113" s="33"/>
      <c r="NO113" s="33"/>
      <c r="NP113" s="33"/>
      <c r="NQ113" s="33"/>
      <c r="NR113" s="33"/>
      <c r="NS113" s="33"/>
      <c r="NT113" s="33"/>
      <c r="NU113" s="33"/>
      <c r="NV113" s="33"/>
      <c r="NW113" s="33"/>
      <c r="NX113" s="33"/>
      <c r="NY113" s="33"/>
      <c r="NZ113" s="33"/>
      <c r="OA113" s="33"/>
      <c r="OB113" s="33"/>
      <c r="OC113" s="33"/>
      <c r="OD113" s="33"/>
      <c r="OE113" s="33"/>
      <c r="OF113" s="33"/>
      <c r="OG113" s="33"/>
      <c r="OH113" s="33"/>
      <c r="OI113" s="33"/>
      <c r="OJ113" s="33"/>
      <c r="OK113" s="33"/>
      <c r="OL113" s="33"/>
      <c r="OM113" s="33"/>
      <c r="ON113" s="33"/>
      <c r="OO113" s="33"/>
      <c r="OP113" s="33"/>
      <c r="OQ113" s="33"/>
      <c r="OR113" s="33"/>
      <c r="OS113" s="33"/>
      <c r="OT113" s="33"/>
      <c r="OU113" s="33"/>
      <c r="OV113" s="33"/>
      <c r="OW113" s="33"/>
      <c r="OX113" s="33"/>
      <c r="OY113" s="33"/>
      <c r="OZ113" s="33"/>
      <c r="PA113" s="33"/>
      <c r="PB113" s="33"/>
      <c r="PC113" s="33"/>
      <c r="PD113" s="33"/>
      <c r="PE113" s="33"/>
      <c r="PF113" s="33"/>
      <c r="PG113" s="33"/>
      <c r="PH113" s="33"/>
      <c r="PI113" s="33"/>
      <c r="PJ113" s="33"/>
      <c r="PK113" s="33"/>
      <c r="PL113" s="33"/>
      <c r="PM113" s="33"/>
      <c r="PN113" s="33"/>
      <c r="PO113" s="33"/>
      <c r="PP113" s="33"/>
      <c r="PQ113" s="33"/>
      <c r="PR113" s="33"/>
      <c r="PS113" s="33"/>
      <c r="PT113" s="33"/>
      <c r="PU113" s="33"/>
      <c r="PV113" s="33"/>
      <c r="PW113" s="33"/>
      <c r="PX113" s="33"/>
      <c r="PY113" s="33"/>
      <c r="PZ113" s="33"/>
      <c r="QA113" s="33"/>
      <c r="QB113" s="33"/>
      <c r="QC113" s="33"/>
      <c r="QD113" s="33"/>
      <c r="QE113" s="33"/>
      <c r="QF113" s="33"/>
      <c r="QG113" s="33"/>
      <c r="QH113" s="33"/>
      <c r="QI113" s="33"/>
      <c r="QJ113" s="33"/>
      <c r="QK113" s="33"/>
      <c r="QL113" s="33"/>
      <c r="QM113" s="33"/>
      <c r="QN113" s="33"/>
      <c r="QO113" s="33"/>
      <c r="QP113" s="33"/>
      <c r="QQ113" s="33"/>
      <c r="QR113" s="33"/>
      <c r="QS113" s="33"/>
      <c r="QT113" s="33"/>
      <c r="QU113" s="33"/>
      <c r="QV113" s="33"/>
      <c r="QW113" s="33"/>
      <c r="QX113" s="33"/>
      <c r="QY113" s="33"/>
      <c r="QZ113" s="33"/>
      <c r="RA113" s="33"/>
      <c r="RB113" s="33"/>
      <c r="RC113" s="33"/>
      <c r="RD113" s="33"/>
      <c r="RE113" s="33"/>
      <c r="RF113" s="33"/>
      <c r="RG113" s="33"/>
      <c r="RH113" s="33"/>
      <c r="RI113" s="33"/>
      <c r="RJ113" s="33"/>
      <c r="RK113" s="33"/>
      <c r="RL113" s="33"/>
      <c r="RM113" s="33"/>
      <c r="RN113" s="33"/>
      <c r="RO113" s="33"/>
      <c r="RP113" s="33"/>
      <c r="RQ113" s="33"/>
      <c r="RR113" s="33"/>
      <c r="RS113" s="33"/>
      <c r="RT113" s="33"/>
      <c r="RU113" s="33"/>
      <c r="RV113" s="33"/>
      <c r="RW113" s="33"/>
      <c r="RX113" s="33"/>
      <c r="RY113" s="33"/>
      <c r="RZ113" s="33"/>
      <c r="SA113" s="33"/>
      <c r="SB113" s="33"/>
      <c r="SC113" s="33"/>
      <c r="SD113" s="33"/>
      <c r="SE113" s="33"/>
      <c r="SF113" s="33"/>
      <c r="SG113" s="33"/>
      <c r="SH113" s="33"/>
      <c r="SI113" s="33"/>
      <c r="SJ113" s="33"/>
      <c r="SK113" s="33"/>
      <c r="SL113" s="33"/>
      <c r="SM113" s="33"/>
      <c r="SN113" s="33"/>
      <c r="SO113" s="33"/>
      <c r="SP113" s="33"/>
      <c r="SQ113" s="33"/>
      <c r="SR113" s="33"/>
      <c r="SS113" s="33"/>
      <c r="ST113" s="33"/>
      <c r="SU113" s="33"/>
      <c r="SV113" s="33"/>
      <c r="SW113" s="33"/>
      <c r="SX113" s="33"/>
      <c r="SY113" s="33"/>
      <c r="SZ113" s="33"/>
      <c r="TA113" s="33"/>
      <c r="TB113" s="33"/>
      <c r="TC113" s="33"/>
      <c r="TD113" s="33"/>
      <c r="TE113" s="33"/>
      <c r="TF113" s="33"/>
      <c r="TG113" s="33"/>
      <c r="TH113" s="33"/>
    </row>
    <row r="114" spans="1:528" s="34" customFormat="1" ht="15.75" hidden="1" customHeight="1" x14ac:dyDescent="0.25">
      <c r="A114" s="100"/>
      <c r="B114" s="113"/>
      <c r="C114" s="113"/>
      <c r="D114" s="81" t="s">
        <v>395</v>
      </c>
      <c r="E114" s="102">
        <f>E121</f>
        <v>0</v>
      </c>
      <c r="F114" s="102">
        <f t="shared" ref="F114:P114" si="42">F121</f>
        <v>0</v>
      </c>
      <c r="G114" s="102">
        <f t="shared" si="42"/>
        <v>0</v>
      </c>
      <c r="H114" s="102">
        <f t="shared" si="42"/>
        <v>0</v>
      </c>
      <c r="I114" s="102">
        <f t="shared" si="42"/>
        <v>0</v>
      </c>
      <c r="J114" s="102">
        <f t="shared" si="42"/>
        <v>0</v>
      </c>
      <c r="K114" s="102">
        <f t="shared" si="42"/>
        <v>0</v>
      </c>
      <c r="L114" s="102">
        <f t="shared" si="42"/>
        <v>0</v>
      </c>
      <c r="M114" s="102">
        <f t="shared" si="42"/>
        <v>0</v>
      </c>
      <c r="N114" s="102">
        <f t="shared" si="42"/>
        <v>0</v>
      </c>
      <c r="O114" s="102">
        <f t="shared" si="42"/>
        <v>0</v>
      </c>
      <c r="P114" s="102">
        <f t="shared" si="42"/>
        <v>0</v>
      </c>
      <c r="Q114" s="178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  <c r="TH114" s="33"/>
    </row>
    <row r="115" spans="1:528" s="34" customFormat="1" ht="63" x14ac:dyDescent="0.25">
      <c r="A115" s="100"/>
      <c r="B115" s="113"/>
      <c r="C115" s="113"/>
      <c r="D115" s="81" t="s">
        <v>394</v>
      </c>
      <c r="E115" s="102">
        <f>E128+E131</f>
        <v>7670800</v>
      </c>
      <c r="F115" s="102">
        <f t="shared" ref="F115:P115" si="43">F128+F131</f>
        <v>7670800</v>
      </c>
      <c r="G115" s="102">
        <f t="shared" si="43"/>
        <v>0</v>
      </c>
      <c r="H115" s="102">
        <f t="shared" si="43"/>
        <v>0</v>
      </c>
      <c r="I115" s="102">
        <f t="shared" si="43"/>
        <v>0</v>
      </c>
      <c r="J115" s="102">
        <f t="shared" si="43"/>
        <v>0</v>
      </c>
      <c r="K115" s="102">
        <f>K128+K131</f>
        <v>0</v>
      </c>
      <c r="L115" s="102">
        <f t="shared" si="43"/>
        <v>0</v>
      </c>
      <c r="M115" s="102">
        <f t="shared" si="43"/>
        <v>0</v>
      </c>
      <c r="N115" s="102">
        <f t="shared" si="43"/>
        <v>0</v>
      </c>
      <c r="O115" s="102">
        <f t="shared" si="43"/>
        <v>0</v>
      </c>
      <c r="P115" s="102">
        <f t="shared" si="43"/>
        <v>7670800</v>
      </c>
      <c r="Q115" s="178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</row>
    <row r="116" spans="1:528" s="34" customFormat="1" ht="15.75" x14ac:dyDescent="0.25">
      <c r="A116" s="100"/>
      <c r="B116" s="113"/>
      <c r="C116" s="113"/>
      <c r="D116" s="87" t="s">
        <v>421</v>
      </c>
      <c r="E116" s="102">
        <f>E139</f>
        <v>0</v>
      </c>
      <c r="F116" s="102">
        <f t="shared" ref="F116:P116" si="44">F139</f>
        <v>0</v>
      </c>
      <c r="G116" s="102">
        <f t="shared" si="44"/>
        <v>0</v>
      </c>
      <c r="H116" s="102">
        <f t="shared" si="44"/>
        <v>0</v>
      </c>
      <c r="I116" s="102">
        <f t="shared" si="44"/>
        <v>0</v>
      </c>
      <c r="J116" s="102">
        <f t="shared" si="44"/>
        <v>4662070.12</v>
      </c>
      <c r="K116" s="102">
        <f t="shared" si="44"/>
        <v>4662070.12</v>
      </c>
      <c r="L116" s="102">
        <f t="shared" si="44"/>
        <v>0</v>
      </c>
      <c r="M116" s="102">
        <f t="shared" si="44"/>
        <v>0</v>
      </c>
      <c r="N116" s="102">
        <f t="shared" si="44"/>
        <v>0</v>
      </c>
      <c r="O116" s="102">
        <f t="shared" si="44"/>
        <v>4662070.12</v>
      </c>
      <c r="P116" s="102">
        <f t="shared" si="44"/>
        <v>4662070.12</v>
      </c>
      <c r="Q116" s="178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</row>
    <row r="117" spans="1:528" s="22" customFormat="1" ht="48" customHeight="1" x14ac:dyDescent="0.25">
      <c r="A117" s="60" t="s">
        <v>173</v>
      </c>
      <c r="B117" s="97" t="str">
        <f>'дод 8'!A19</f>
        <v>0160</v>
      </c>
      <c r="C117" s="97" t="str">
        <f>'дод 8'!B19</f>
        <v>0111</v>
      </c>
      <c r="D117" s="36" t="s">
        <v>504</v>
      </c>
      <c r="E117" s="103">
        <f t="shared" ref="E117:E141" si="45">F117+I117</f>
        <v>2550200</v>
      </c>
      <c r="F117" s="103">
        <f>2547700+2500</f>
        <v>2550200</v>
      </c>
      <c r="G117" s="103">
        <v>1956200</v>
      </c>
      <c r="H117" s="103">
        <v>29900</v>
      </c>
      <c r="I117" s="103"/>
      <c r="J117" s="103">
        <f>L117+O117</f>
        <v>600000</v>
      </c>
      <c r="K117" s="103">
        <v>600000</v>
      </c>
      <c r="L117" s="103"/>
      <c r="M117" s="103"/>
      <c r="N117" s="103"/>
      <c r="O117" s="103">
        <v>600000</v>
      </c>
      <c r="P117" s="103">
        <f t="shared" ref="P117:P141" si="46">E117+J117</f>
        <v>3150200</v>
      </c>
      <c r="Q117" s="178">
        <v>24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  <c r="SQ117" s="23"/>
      <c r="SR117" s="23"/>
      <c r="SS117" s="23"/>
      <c r="ST117" s="23"/>
      <c r="SU117" s="23"/>
      <c r="SV117" s="23"/>
      <c r="SW117" s="23"/>
      <c r="SX117" s="23"/>
      <c r="SY117" s="23"/>
      <c r="SZ117" s="23"/>
      <c r="TA117" s="23"/>
      <c r="TB117" s="23"/>
      <c r="TC117" s="23"/>
      <c r="TD117" s="23"/>
      <c r="TE117" s="23"/>
      <c r="TF117" s="23"/>
      <c r="TG117" s="23"/>
      <c r="TH117" s="23"/>
    </row>
    <row r="118" spans="1:528" s="22" customFormat="1" ht="33" customHeight="1" x14ac:dyDescent="0.25">
      <c r="A118" s="60" t="s">
        <v>174</v>
      </c>
      <c r="B118" s="97" t="str">
        <f>'дод 8'!A71</f>
        <v>2010</v>
      </c>
      <c r="C118" s="97" t="str">
        <f>'дод 8'!B71</f>
        <v>0731</v>
      </c>
      <c r="D118" s="6" t="s">
        <v>468</v>
      </c>
      <c r="E118" s="103">
        <f t="shared" si="45"/>
        <v>34023521</v>
      </c>
      <c r="F118" s="103">
        <f>31536400+1200921+149100+497100+40000+600000</f>
        <v>34023521</v>
      </c>
      <c r="G118" s="103"/>
      <c r="H118" s="103"/>
      <c r="I118" s="117"/>
      <c r="J118" s="103">
        <f t="shared" ref="J118:J141" si="47">L118+O118</f>
        <v>38610682.82</v>
      </c>
      <c r="K118" s="103">
        <f>39000000+264000+60000-1024661+311343.82</f>
        <v>38610682.82</v>
      </c>
      <c r="L118" s="103"/>
      <c r="M118" s="103"/>
      <c r="N118" s="103"/>
      <c r="O118" s="103">
        <f>39000000+264000+60000-1024661+311343.82</f>
        <v>38610682.82</v>
      </c>
      <c r="P118" s="103">
        <f t="shared" si="46"/>
        <v>72634203.819999993</v>
      </c>
      <c r="Q118" s="178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F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N118" s="23"/>
      <c r="MO118" s="23"/>
      <c r="MP118" s="23"/>
      <c r="MQ118" s="23"/>
      <c r="MR118" s="23"/>
      <c r="MS118" s="23"/>
      <c r="MT118" s="23"/>
      <c r="MU118" s="23"/>
      <c r="MV118" s="23"/>
      <c r="MW118" s="23"/>
      <c r="MX118" s="23"/>
      <c r="MY118" s="23"/>
      <c r="MZ118" s="23"/>
      <c r="NA118" s="23"/>
      <c r="NB118" s="23"/>
      <c r="NC118" s="23"/>
      <c r="ND118" s="23"/>
      <c r="NE118" s="23"/>
      <c r="NF118" s="23"/>
      <c r="NG118" s="23"/>
      <c r="NH118" s="23"/>
      <c r="NI118" s="23"/>
      <c r="NJ118" s="23"/>
      <c r="NK118" s="23"/>
      <c r="NL118" s="23"/>
      <c r="NM118" s="23"/>
      <c r="NN118" s="23"/>
      <c r="NO118" s="23"/>
      <c r="NP118" s="23"/>
      <c r="NQ118" s="23"/>
      <c r="NR118" s="23"/>
      <c r="NS118" s="23"/>
      <c r="NT118" s="23"/>
      <c r="NU118" s="23"/>
      <c r="NV118" s="23"/>
      <c r="NW118" s="23"/>
      <c r="NX118" s="23"/>
      <c r="NY118" s="23"/>
      <c r="NZ118" s="23"/>
      <c r="OA118" s="23"/>
      <c r="OB118" s="23"/>
      <c r="OC118" s="23"/>
      <c r="OD118" s="23"/>
      <c r="OE118" s="23"/>
      <c r="OF118" s="23"/>
      <c r="OG118" s="23"/>
      <c r="OH118" s="23"/>
      <c r="OI118" s="23"/>
      <c r="OJ118" s="23"/>
      <c r="OK118" s="23"/>
      <c r="OL118" s="23"/>
      <c r="OM118" s="23"/>
      <c r="ON118" s="23"/>
      <c r="OO118" s="23"/>
      <c r="OP118" s="23"/>
      <c r="OQ118" s="23"/>
      <c r="OR118" s="23"/>
      <c r="OS118" s="23"/>
      <c r="OT118" s="23"/>
      <c r="OU118" s="23"/>
      <c r="OV118" s="23"/>
      <c r="OW118" s="23"/>
      <c r="OX118" s="23"/>
      <c r="OY118" s="23"/>
      <c r="OZ118" s="23"/>
      <c r="PA118" s="23"/>
      <c r="PB118" s="23"/>
      <c r="PC118" s="23"/>
      <c r="PD118" s="23"/>
      <c r="PE118" s="23"/>
      <c r="PF118" s="23"/>
      <c r="PG118" s="23"/>
      <c r="PH118" s="23"/>
      <c r="PI118" s="23"/>
      <c r="PJ118" s="23"/>
      <c r="PK118" s="23"/>
      <c r="PL118" s="23"/>
      <c r="PM118" s="23"/>
      <c r="PN118" s="23"/>
      <c r="PO118" s="23"/>
      <c r="PP118" s="23"/>
      <c r="PQ118" s="23"/>
      <c r="PR118" s="23"/>
      <c r="PS118" s="23"/>
      <c r="PT118" s="23"/>
      <c r="PU118" s="23"/>
      <c r="PV118" s="23"/>
      <c r="PW118" s="23"/>
      <c r="PX118" s="23"/>
      <c r="PY118" s="23"/>
      <c r="PZ118" s="23"/>
      <c r="QA118" s="23"/>
      <c r="QB118" s="23"/>
      <c r="QC118" s="23"/>
      <c r="QD118" s="23"/>
      <c r="QE118" s="23"/>
      <c r="QF118" s="23"/>
      <c r="QG118" s="23"/>
      <c r="QH118" s="23"/>
      <c r="QI118" s="23"/>
      <c r="QJ118" s="23"/>
      <c r="QK118" s="23"/>
      <c r="QL118" s="23"/>
      <c r="QM118" s="23"/>
      <c r="QN118" s="23"/>
      <c r="QO118" s="23"/>
      <c r="QP118" s="23"/>
      <c r="QQ118" s="23"/>
      <c r="QR118" s="23"/>
      <c r="QS118" s="23"/>
      <c r="QT118" s="23"/>
      <c r="QU118" s="23"/>
      <c r="QV118" s="23"/>
      <c r="QW118" s="23"/>
      <c r="QX118" s="23"/>
      <c r="QY118" s="23"/>
      <c r="QZ118" s="23"/>
      <c r="RA118" s="23"/>
      <c r="RB118" s="23"/>
      <c r="RC118" s="23"/>
      <c r="RD118" s="23"/>
      <c r="RE118" s="23"/>
      <c r="RF118" s="23"/>
      <c r="RG118" s="23"/>
      <c r="RH118" s="23"/>
      <c r="RI118" s="23"/>
      <c r="RJ118" s="23"/>
      <c r="RK118" s="23"/>
      <c r="RL118" s="23"/>
      <c r="RM118" s="23"/>
      <c r="RN118" s="23"/>
      <c r="RO118" s="23"/>
      <c r="RP118" s="23"/>
      <c r="RQ118" s="23"/>
      <c r="RR118" s="23"/>
      <c r="RS118" s="23"/>
      <c r="RT118" s="23"/>
      <c r="RU118" s="23"/>
      <c r="RV118" s="23"/>
      <c r="RW118" s="23"/>
      <c r="RX118" s="23"/>
      <c r="RY118" s="23"/>
      <c r="RZ118" s="23"/>
      <c r="SA118" s="23"/>
      <c r="SB118" s="23"/>
      <c r="SC118" s="23"/>
      <c r="SD118" s="23"/>
      <c r="SE118" s="23"/>
      <c r="SF118" s="23"/>
      <c r="SG118" s="23"/>
      <c r="SH118" s="23"/>
      <c r="SI118" s="23"/>
      <c r="SJ118" s="23"/>
      <c r="SK118" s="23"/>
      <c r="SL118" s="23"/>
      <c r="SM118" s="23"/>
      <c r="SN118" s="23"/>
      <c r="SO118" s="23"/>
      <c r="SP118" s="23"/>
      <c r="SQ118" s="23"/>
      <c r="SR118" s="23"/>
      <c r="SS118" s="23"/>
      <c r="ST118" s="23"/>
      <c r="SU118" s="23"/>
      <c r="SV118" s="23"/>
      <c r="SW118" s="23"/>
      <c r="SX118" s="23"/>
      <c r="SY118" s="23"/>
      <c r="SZ118" s="23"/>
      <c r="TA118" s="23"/>
      <c r="TB118" s="23"/>
      <c r="TC118" s="23"/>
      <c r="TD118" s="23"/>
      <c r="TE118" s="23"/>
      <c r="TF118" s="23"/>
      <c r="TG118" s="23"/>
      <c r="TH118" s="23"/>
    </row>
    <row r="119" spans="1:528" s="24" customFormat="1" ht="30" hidden="1" customHeight="1" x14ac:dyDescent="0.25">
      <c r="A119" s="88"/>
      <c r="B119" s="115"/>
      <c r="C119" s="115"/>
      <c r="D119" s="91" t="s">
        <v>392</v>
      </c>
      <c r="E119" s="105">
        <f t="shared" si="45"/>
        <v>0</v>
      </c>
      <c r="F119" s="105"/>
      <c r="G119" s="105"/>
      <c r="H119" s="105"/>
      <c r="I119" s="118"/>
      <c r="J119" s="105">
        <f t="shared" si="47"/>
        <v>0</v>
      </c>
      <c r="K119" s="105"/>
      <c r="L119" s="105"/>
      <c r="M119" s="105"/>
      <c r="N119" s="105"/>
      <c r="O119" s="105"/>
      <c r="P119" s="105">
        <f t="shared" si="46"/>
        <v>0</v>
      </c>
      <c r="Q119" s="178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  <c r="TH119" s="30"/>
    </row>
    <row r="120" spans="1:528" s="24" customFormat="1" ht="45" hidden="1" customHeight="1" x14ac:dyDescent="0.25">
      <c r="A120" s="88"/>
      <c r="B120" s="115"/>
      <c r="C120" s="115"/>
      <c r="D120" s="91" t="s">
        <v>393</v>
      </c>
      <c r="E120" s="105">
        <f t="shared" si="45"/>
        <v>0</v>
      </c>
      <c r="F120" s="105"/>
      <c r="G120" s="105"/>
      <c r="H120" s="105"/>
      <c r="I120" s="105"/>
      <c r="J120" s="105">
        <f t="shared" si="47"/>
        <v>0</v>
      </c>
      <c r="K120" s="105"/>
      <c r="L120" s="105"/>
      <c r="M120" s="105"/>
      <c r="N120" s="105"/>
      <c r="O120" s="105"/>
      <c r="P120" s="105">
        <f t="shared" si="46"/>
        <v>0</v>
      </c>
      <c r="Q120" s="178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  <c r="TH120" s="30"/>
    </row>
    <row r="121" spans="1:528" s="24" customFormat="1" ht="15" hidden="1" customHeight="1" x14ac:dyDescent="0.25">
      <c r="A121" s="88"/>
      <c r="B121" s="115"/>
      <c r="C121" s="115"/>
      <c r="D121" s="91" t="s">
        <v>395</v>
      </c>
      <c r="E121" s="105">
        <f t="shared" si="45"/>
        <v>0</v>
      </c>
      <c r="F121" s="105"/>
      <c r="G121" s="105"/>
      <c r="H121" s="105"/>
      <c r="I121" s="118"/>
      <c r="J121" s="105">
        <f t="shared" si="47"/>
        <v>0</v>
      </c>
      <c r="K121" s="105"/>
      <c r="L121" s="105"/>
      <c r="M121" s="105"/>
      <c r="N121" s="105"/>
      <c r="O121" s="105"/>
      <c r="P121" s="105">
        <f t="shared" si="46"/>
        <v>0</v>
      </c>
      <c r="Q121" s="178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  <c r="TH121" s="30"/>
    </row>
    <row r="122" spans="1:528" s="22" customFormat="1" ht="30" hidden="1" customHeight="1" x14ac:dyDescent="0.25">
      <c r="A122" s="60" t="s">
        <v>451</v>
      </c>
      <c r="B122" s="97">
        <v>2020</v>
      </c>
      <c r="C122" s="60" t="s">
        <v>452</v>
      </c>
      <c r="D122" s="61" t="str">
        <f>'дод 8'!C75</f>
        <v xml:space="preserve"> Спеціалізована стаціонарна медична допомога населенню</v>
      </c>
      <c r="E122" s="103">
        <f t="shared" si="45"/>
        <v>0</v>
      </c>
      <c r="F122" s="103"/>
      <c r="G122" s="117"/>
      <c r="H122" s="117"/>
      <c r="I122" s="117"/>
      <c r="J122" s="103">
        <f t="shared" si="47"/>
        <v>0</v>
      </c>
      <c r="K122" s="103"/>
      <c r="L122" s="103"/>
      <c r="M122" s="103"/>
      <c r="N122" s="103"/>
      <c r="O122" s="103"/>
      <c r="P122" s="103">
        <f t="shared" si="46"/>
        <v>0</v>
      </c>
      <c r="Q122" s="178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  <c r="TH122" s="23"/>
    </row>
    <row r="123" spans="1:528" s="22" customFormat="1" ht="36.75" customHeight="1" x14ac:dyDescent="0.25">
      <c r="A123" s="60" t="s">
        <v>179</v>
      </c>
      <c r="B123" s="97" t="str">
        <f>'дод 8'!A76</f>
        <v>2030</v>
      </c>
      <c r="C123" s="97" t="str">
        <f>'дод 8'!B76</f>
        <v>0733</v>
      </c>
      <c r="D123" s="61" t="s">
        <v>469</v>
      </c>
      <c r="E123" s="103">
        <f t="shared" si="45"/>
        <v>3317600</v>
      </c>
      <c r="F123" s="103">
        <v>3317600</v>
      </c>
      <c r="G123" s="119"/>
      <c r="H123" s="119"/>
      <c r="I123" s="117"/>
      <c r="J123" s="103">
        <f t="shared" si="47"/>
        <v>5100000</v>
      </c>
      <c r="K123" s="103">
        <v>5100000</v>
      </c>
      <c r="L123" s="103"/>
      <c r="M123" s="103"/>
      <c r="N123" s="103"/>
      <c r="O123" s="103">
        <v>5100000</v>
      </c>
      <c r="P123" s="103">
        <f t="shared" si="46"/>
        <v>8417600</v>
      </c>
      <c r="Q123" s="178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</row>
    <row r="124" spans="1:528" s="24" customFormat="1" ht="30" hidden="1" customHeight="1" x14ac:dyDescent="0.25">
      <c r="A124" s="88"/>
      <c r="B124" s="115"/>
      <c r="C124" s="115"/>
      <c r="D124" s="91" t="s">
        <v>392</v>
      </c>
      <c r="E124" s="105">
        <f t="shared" si="45"/>
        <v>0</v>
      </c>
      <c r="F124" s="105"/>
      <c r="G124" s="118"/>
      <c r="H124" s="118"/>
      <c r="I124" s="118"/>
      <c r="J124" s="105"/>
      <c r="K124" s="105"/>
      <c r="L124" s="105"/>
      <c r="M124" s="105"/>
      <c r="N124" s="105"/>
      <c r="O124" s="105"/>
      <c r="P124" s="105">
        <f t="shared" si="46"/>
        <v>0</v>
      </c>
      <c r="Q124" s="178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  <c r="TH124" s="30"/>
    </row>
    <row r="125" spans="1:528" s="22" customFormat="1" ht="24" customHeight="1" x14ac:dyDescent="0.25">
      <c r="A125" s="60" t="s">
        <v>178</v>
      </c>
      <c r="B125" s="97" t="str">
        <f>'дод 8'!A78</f>
        <v>2100</v>
      </c>
      <c r="C125" s="97" t="str">
        <f>'дод 8'!B78</f>
        <v>0722</v>
      </c>
      <c r="D125" s="61" t="str">
        <f>'дод 8'!C78</f>
        <v>Стоматологічна допомога населенню</v>
      </c>
      <c r="E125" s="103">
        <f t="shared" si="45"/>
        <v>7602100</v>
      </c>
      <c r="F125" s="103">
        <v>7602100</v>
      </c>
      <c r="G125" s="119"/>
      <c r="H125" s="119"/>
      <c r="I125" s="117"/>
      <c r="J125" s="103">
        <f t="shared" si="47"/>
        <v>0</v>
      </c>
      <c r="K125" s="103"/>
      <c r="L125" s="103"/>
      <c r="M125" s="103"/>
      <c r="N125" s="103"/>
      <c r="O125" s="103"/>
      <c r="P125" s="103">
        <f t="shared" si="46"/>
        <v>7602100</v>
      </c>
      <c r="Q125" s="178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  <c r="PA125" s="23"/>
      <c r="PB125" s="23"/>
      <c r="PC125" s="23"/>
      <c r="PD125" s="23"/>
      <c r="PE125" s="23"/>
      <c r="PF125" s="23"/>
      <c r="PG125" s="23"/>
      <c r="PH125" s="23"/>
      <c r="PI125" s="23"/>
      <c r="PJ125" s="23"/>
      <c r="PK125" s="23"/>
      <c r="PL125" s="23"/>
      <c r="PM125" s="23"/>
      <c r="PN125" s="23"/>
      <c r="PO125" s="23"/>
      <c r="PP125" s="23"/>
      <c r="PQ125" s="23"/>
      <c r="PR125" s="23"/>
      <c r="PS125" s="23"/>
      <c r="PT125" s="23"/>
      <c r="PU125" s="23"/>
      <c r="PV125" s="23"/>
      <c r="PW125" s="23"/>
      <c r="PX125" s="23"/>
      <c r="PY125" s="23"/>
      <c r="PZ125" s="23"/>
      <c r="QA125" s="23"/>
      <c r="QB125" s="23"/>
      <c r="QC125" s="23"/>
      <c r="QD125" s="23"/>
      <c r="QE125" s="23"/>
      <c r="QF125" s="23"/>
      <c r="QG125" s="23"/>
      <c r="QH125" s="23"/>
      <c r="QI125" s="23"/>
      <c r="QJ125" s="23"/>
      <c r="QK125" s="23"/>
      <c r="QL125" s="23"/>
      <c r="QM125" s="23"/>
      <c r="QN125" s="23"/>
      <c r="QO125" s="23"/>
      <c r="QP125" s="23"/>
      <c r="QQ125" s="23"/>
      <c r="QR125" s="23"/>
      <c r="QS125" s="23"/>
      <c r="QT125" s="23"/>
      <c r="QU125" s="23"/>
      <c r="QV125" s="23"/>
      <c r="QW125" s="23"/>
      <c r="QX125" s="23"/>
      <c r="QY125" s="23"/>
      <c r="QZ125" s="23"/>
      <c r="RA125" s="23"/>
      <c r="RB125" s="23"/>
      <c r="RC125" s="23"/>
      <c r="RD125" s="23"/>
      <c r="RE125" s="23"/>
      <c r="RF125" s="23"/>
      <c r="RG125" s="23"/>
      <c r="RH125" s="23"/>
      <c r="RI125" s="23"/>
      <c r="RJ125" s="23"/>
      <c r="RK125" s="23"/>
      <c r="RL125" s="23"/>
      <c r="RM125" s="23"/>
      <c r="RN125" s="23"/>
      <c r="RO125" s="23"/>
      <c r="RP125" s="23"/>
      <c r="RQ125" s="23"/>
      <c r="RR125" s="23"/>
      <c r="RS125" s="23"/>
      <c r="RT125" s="23"/>
      <c r="RU125" s="23"/>
      <c r="RV125" s="23"/>
      <c r="RW125" s="23"/>
      <c r="RX125" s="23"/>
      <c r="RY125" s="23"/>
      <c r="RZ125" s="23"/>
      <c r="SA125" s="23"/>
      <c r="SB125" s="23"/>
      <c r="SC125" s="23"/>
      <c r="SD125" s="23"/>
      <c r="SE125" s="23"/>
      <c r="SF125" s="23"/>
      <c r="SG125" s="23"/>
      <c r="SH125" s="23"/>
      <c r="SI125" s="23"/>
      <c r="SJ125" s="23"/>
      <c r="SK125" s="23"/>
      <c r="SL125" s="23"/>
      <c r="SM125" s="23"/>
      <c r="SN125" s="23"/>
      <c r="SO125" s="23"/>
      <c r="SP125" s="23"/>
      <c r="SQ125" s="23"/>
      <c r="SR125" s="23"/>
      <c r="SS125" s="23"/>
      <c r="ST125" s="23"/>
      <c r="SU125" s="23"/>
      <c r="SV125" s="23"/>
      <c r="SW125" s="23"/>
      <c r="SX125" s="23"/>
      <c r="SY125" s="23"/>
      <c r="SZ125" s="23"/>
      <c r="TA125" s="23"/>
      <c r="TB125" s="23"/>
      <c r="TC125" s="23"/>
      <c r="TD125" s="23"/>
      <c r="TE125" s="23"/>
      <c r="TF125" s="23"/>
      <c r="TG125" s="23"/>
      <c r="TH125" s="23"/>
    </row>
    <row r="126" spans="1:528" s="24" customFormat="1" ht="30" hidden="1" customHeight="1" x14ac:dyDescent="0.25">
      <c r="A126" s="88"/>
      <c r="B126" s="115"/>
      <c r="C126" s="115"/>
      <c r="D126" s="91" t="s">
        <v>392</v>
      </c>
      <c r="E126" s="105">
        <f t="shared" si="45"/>
        <v>0</v>
      </c>
      <c r="F126" s="105"/>
      <c r="G126" s="118"/>
      <c r="H126" s="118"/>
      <c r="I126" s="118"/>
      <c r="J126" s="105">
        <f t="shared" si="47"/>
        <v>0</v>
      </c>
      <c r="K126" s="105"/>
      <c r="L126" s="105"/>
      <c r="M126" s="105"/>
      <c r="N126" s="105"/>
      <c r="O126" s="105"/>
      <c r="P126" s="105">
        <f t="shared" si="46"/>
        <v>0</v>
      </c>
      <c r="Q126" s="178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</row>
    <row r="127" spans="1:528" s="22" customFormat="1" ht="48" customHeight="1" x14ac:dyDescent="0.25">
      <c r="A127" s="60" t="s">
        <v>177</v>
      </c>
      <c r="B127" s="97" t="str">
        <f>'дод 8'!A80</f>
        <v>2111</v>
      </c>
      <c r="C127" s="97" t="str">
        <f>'дод 8'!B80</f>
        <v>0726</v>
      </c>
      <c r="D127" s="61" t="str">
        <f>'дод 8'!C80</f>
        <v>Первинна медична допомога населенню, що надається центрами первинної медичної (медико-санітарної) допомоги</v>
      </c>
      <c r="E127" s="103">
        <f t="shared" si="45"/>
        <v>2736000</v>
      </c>
      <c r="F127" s="103">
        <f>2716000+20000</f>
        <v>2736000</v>
      </c>
      <c r="G127" s="117"/>
      <c r="H127" s="119"/>
      <c r="I127" s="117"/>
      <c r="J127" s="103">
        <f t="shared" si="47"/>
        <v>0</v>
      </c>
      <c r="K127" s="103"/>
      <c r="L127" s="103"/>
      <c r="M127" s="103"/>
      <c r="N127" s="103"/>
      <c r="O127" s="103"/>
      <c r="P127" s="103">
        <f t="shared" si="46"/>
        <v>2736000</v>
      </c>
      <c r="Q127" s="178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  <c r="TH127" s="23"/>
    </row>
    <row r="128" spans="1:528" s="24" customFormat="1" ht="63" hidden="1" customHeight="1" x14ac:dyDescent="0.25">
      <c r="A128" s="88"/>
      <c r="B128" s="115"/>
      <c r="C128" s="115"/>
      <c r="D128" s="89" t="s">
        <v>394</v>
      </c>
      <c r="E128" s="105">
        <f t="shared" si="45"/>
        <v>0</v>
      </c>
      <c r="F128" s="105"/>
      <c r="G128" s="118"/>
      <c r="H128" s="118"/>
      <c r="I128" s="118"/>
      <c r="J128" s="105">
        <f t="shared" si="47"/>
        <v>0</v>
      </c>
      <c r="K128" s="105"/>
      <c r="L128" s="105"/>
      <c r="M128" s="105"/>
      <c r="N128" s="105"/>
      <c r="O128" s="105"/>
      <c r="P128" s="105">
        <f t="shared" si="46"/>
        <v>0</v>
      </c>
      <c r="Q128" s="178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  <c r="TF128" s="30"/>
      <c r="TG128" s="30"/>
      <c r="TH128" s="30"/>
    </row>
    <row r="129" spans="1:528" s="22" customFormat="1" ht="31.5" x14ac:dyDescent="0.25">
      <c r="A129" s="60" t="s">
        <v>176</v>
      </c>
      <c r="B129" s="97">
        <f>'дод 8'!A82</f>
        <v>2144</v>
      </c>
      <c r="C129" s="97" t="str">
        <f>'дод 8'!B82</f>
        <v>0763</v>
      </c>
      <c r="D129" s="130" t="str">
        <f>'дод 8'!C82</f>
        <v>Централізовані заходи з лікування хворих на цукровий та нецукровий діабет, у т.ч. за рахунок:</v>
      </c>
      <c r="E129" s="103">
        <f t="shared" si="45"/>
        <v>7670800</v>
      </c>
      <c r="F129" s="103">
        <v>7670800</v>
      </c>
      <c r="G129" s="117"/>
      <c r="H129" s="117"/>
      <c r="I129" s="117"/>
      <c r="J129" s="103">
        <f t="shared" si="47"/>
        <v>0</v>
      </c>
      <c r="K129" s="103"/>
      <c r="L129" s="103"/>
      <c r="M129" s="103"/>
      <c r="N129" s="103"/>
      <c r="O129" s="103"/>
      <c r="P129" s="103">
        <f t="shared" si="46"/>
        <v>7670800</v>
      </c>
      <c r="Q129" s="178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  <c r="OX129" s="23"/>
      <c r="OY129" s="23"/>
      <c r="OZ129" s="23"/>
      <c r="PA129" s="23"/>
      <c r="PB129" s="23"/>
      <c r="PC129" s="23"/>
      <c r="PD129" s="23"/>
      <c r="PE129" s="23"/>
      <c r="PF129" s="23"/>
      <c r="PG129" s="23"/>
      <c r="PH129" s="23"/>
      <c r="PI129" s="23"/>
      <c r="PJ129" s="23"/>
      <c r="PK129" s="23"/>
      <c r="PL129" s="23"/>
      <c r="PM129" s="23"/>
      <c r="PN129" s="23"/>
      <c r="PO129" s="23"/>
      <c r="PP129" s="23"/>
      <c r="PQ129" s="23"/>
      <c r="PR129" s="23"/>
      <c r="PS129" s="23"/>
      <c r="PT129" s="23"/>
      <c r="PU129" s="23"/>
      <c r="PV129" s="23"/>
      <c r="PW129" s="23"/>
      <c r="PX129" s="23"/>
      <c r="PY129" s="23"/>
      <c r="PZ129" s="23"/>
      <c r="QA129" s="23"/>
      <c r="QB129" s="23"/>
      <c r="QC129" s="23"/>
      <c r="QD129" s="23"/>
      <c r="QE129" s="23"/>
      <c r="QF129" s="23"/>
      <c r="QG129" s="23"/>
      <c r="QH129" s="23"/>
      <c r="QI129" s="23"/>
      <c r="QJ129" s="23"/>
      <c r="QK129" s="23"/>
      <c r="QL129" s="23"/>
      <c r="QM129" s="23"/>
      <c r="QN129" s="23"/>
      <c r="QO129" s="23"/>
      <c r="QP129" s="23"/>
      <c r="QQ129" s="23"/>
      <c r="QR129" s="23"/>
      <c r="QS129" s="23"/>
      <c r="QT129" s="23"/>
      <c r="QU129" s="23"/>
      <c r="QV129" s="23"/>
      <c r="QW129" s="23"/>
      <c r="QX129" s="23"/>
      <c r="QY129" s="23"/>
      <c r="QZ129" s="23"/>
      <c r="RA129" s="23"/>
      <c r="RB129" s="23"/>
      <c r="RC129" s="23"/>
      <c r="RD129" s="23"/>
      <c r="RE129" s="23"/>
      <c r="RF129" s="23"/>
      <c r="RG129" s="23"/>
      <c r="RH129" s="23"/>
      <c r="RI129" s="23"/>
      <c r="RJ129" s="23"/>
      <c r="RK129" s="23"/>
      <c r="RL129" s="23"/>
      <c r="RM129" s="23"/>
      <c r="RN129" s="23"/>
      <c r="RO129" s="23"/>
      <c r="RP129" s="23"/>
      <c r="RQ129" s="23"/>
      <c r="RR129" s="23"/>
      <c r="RS129" s="23"/>
      <c r="RT129" s="23"/>
      <c r="RU129" s="23"/>
      <c r="RV129" s="23"/>
      <c r="RW129" s="23"/>
      <c r="RX129" s="23"/>
      <c r="RY129" s="23"/>
      <c r="RZ129" s="23"/>
      <c r="SA129" s="23"/>
      <c r="SB129" s="23"/>
      <c r="SC129" s="23"/>
      <c r="SD129" s="23"/>
      <c r="SE129" s="23"/>
      <c r="SF129" s="23"/>
      <c r="SG129" s="23"/>
      <c r="SH129" s="23"/>
      <c r="SI129" s="23"/>
      <c r="SJ129" s="23"/>
      <c r="SK129" s="23"/>
      <c r="SL129" s="23"/>
      <c r="SM129" s="23"/>
      <c r="SN129" s="23"/>
      <c r="SO129" s="23"/>
      <c r="SP129" s="23"/>
      <c r="SQ129" s="23"/>
      <c r="SR129" s="23"/>
      <c r="SS129" s="23"/>
      <c r="ST129" s="23"/>
      <c r="SU129" s="23"/>
      <c r="SV129" s="23"/>
      <c r="SW129" s="23"/>
      <c r="SX129" s="23"/>
      <c r="SY129" s="23"/>
      <c r="SZ129" s="23"/>
      <c r="TA129" s="23"/>
      <c r="TB129" s="23"/>
      <c r="TC129" s="23"/>
      <c r="TD129" s="23"/>
      <c r="TE129" s="23"/>
      <c r="TF129" s="23"/>
      <c r="TG129" s="23"/>
      <c r="TH129" s="23"/>
    </row>
    <row r="130" spans="1:528" s="24" customFormat="1" ht="47.25" hidden="1" customHeight="1" x14ac:dyDescent="0.25">
      <c r="A130" s="88"/>
      <c r="B130" s="115"/>
      <c r="C130" s="115"/>
      <c r="D130" s="131" t="s">
        <v>393</v>
      </c>
      <c r="E130" s="105">
        <f t="shared" si="45"/>
        <v>0</v>
      </c>
      <c r="F130" s="105"/>
      <c r="G130" s="105"/>
      <c r="H130" s="105"/>
      <c r="I130" s="105"/>
      <c r="J130" s="105">
        <f t="shared" si="47"/>
        <v>0</v>
      </c>
      <c r="K130" s="105"/>
      <c r="L130" s="105"/>
      <c r="M130" s="105"/>
      <c r="N130" s="105"/>
      <c r="O130" s="105"/>
      <c r="P130" s="105">
        <f t="shared" si="46"/>
        <v>0</v>
      </c>
      <c r="Q130" s="178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  <c r="TF130" s="30"/>
      <c r="TG130" s="30"/>
      <c r="TH130" s="30"/>
    </row>
    <row r="131" spans="1:528" s="24" customFormat="1" ht="63" x14ac:dyDescent="0.25">
      <c r="A131" s="88"/>
      <c r="B131" s="115"/>
      <c r="C131" s="115"/>
      <c r="D131" s="131" t="s">
        <v>394</v>
      </c>
      <c r="E131" s="105">
        <f t="shared" si="45"/>
        <v>7670800</v>
      </c>
      <c r="F131" s="105">
        <v>7670800</v>
      </c>
      <c r="G131" s="118"/>
      <c r="H131" s="118"/>
      <c r="I131" s="118"/>
      <c r="J131" s="105">
        <f t="shared" si="47"/>
        <v>0</v>
      </c>
      <c r="K131" s="105"/>
      <c r="L131" s="105"/>
      <c r="M131" s="105"/>
      <c r="N131" s="105"/>
      <c r="O131" s="105"/>
      <c r="P131" s="105">
        <f t="shared" si="46"/>
        <v>7670800</v>
      </c>
      <c r="Q131" s="178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  <c r="TF131" s="30"/>
      <c r="TG131" s="30"/>
      <c r="TH131" s="30"/>
    </row>
    <row r="132" spans="1:528" s="22" customFormat="1" ht="30" customHeight="1" x14ac:dyDescent="0.25">
      <c r="A132" s="60" t="s">
        <v>327</v>
      </c>
      <c r="B132" s="42" t="str">
        <f>'дод 8'!A85</f>
        <v>2151</v>
      </c>
      <c r="C132" s="42" t="str">
        <f>'дод 8'!B85</f>
        <v>0763</v>
      </c>
      <c r="D132" s="61" t="str">
        <f>'дод 8'!C85</f>
        <v>Забезпечення діяльності інших закладів у сфері охорони здоров’я</v>
      </c>
      <c r="E132" s="103">
        <f t="shared" si="45"/>
        <v>3049300</v>
      </c>
      <c r="F132" s="103">
        <v>3049300</v>
      </c>
      <c r="G132" s="119">
        <v>2387600</v>
      </c>
      <c r="H132" s="119">
        <v>48700</v>
      </c>
      <c r="I132" s="117"/>
      <c r="J132" s="103">
        <f t="shared" si="47"/>
        <v>0</v>
      </c>
      <c r="K132" s="103"/>
      <c r="L132" s="103"/>
      <c r="M132" s="103"/>
      <c r="N132" s="103"/>
      <c r="O132" s="103"/>
      <c r="P132" s="103">
        <f t="shared" si="46"/>
        <v>3049300</v>
      </c>
      <c r="Q132" s="178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  <c r="TH132" s="23"/>
    </row>
    <row r="133" spans="1:528" s="22" customFormat="1" ht="24.75" customHeight="1" x14ac:dyDescent="0.25">
      <c r="A133" s="60" t="s">
        <v>328</v>
      </c>
      <c r="B133" s="42" t="str">
        <f>'дод 8'!A86</f>
        <v>2152</v>
      </c>
      <c r="C133" s="42" t="str">
        <f>'дод 8'!B86</f>
        <v>0763</v>
      </c>
      <c r="D133" s="36" t="str">
        <f>'дод 8'!C86</f>
        <v>Інші програми та заходи у сфері охорони здоров’я</v>
      </c>
      <c r="E133" s="103">
        <f>F133+I133</f>
        <v>19783800</v>
      </c>
      <c r="F133" s="103">
        <f>22283800-2000000-500000</f>
        <v>19783800</v>
      </c>
      <c r="G133" s="103"/>
      <c r="H133" s="103"/>
      <c r="I133" s="103"/>
      <c r="J133" s="103">
        <f t="shared" si="47"/>
        <v>23031354</v>
      </c>
      <c r="K133" s="103">
        <f>19737500+2000000+793854+500000</f>
        <v>23031354</v>
      </c>
      <c r="L133" s="103"/>
      <c r="M133" s="103"/>
      <c r="N133" s="103"/>
      <c r="O133" s="103">
        <f>19737500+2000000+793854+500000</f>
        <v>23031354</v>
      </c>
      <c r="P133" s="103">
        <f t="shared" si="46"/>
        <v>42815154</v>
      </c>
      <c r="Q133" s="178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F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  <c r="MJ133" s="23"/>
      <c r="MK133" s="23"/>
      <c r="ML133" s="23"/>
      <c r="MM133" s="23"/>
      <c r="MN133" s="23"/>
      <c r="MO133" s="23"/>
      <c r="MP133" s="23"/>
      <c r="MQ133" s="23"/>
      <c r="MR133" s="23"/>
      <c r="MS133" s="23"/>
      <c r="MT133" s="23"/>
      <c r="MU133" s="23"/>
      <c r="MV133" s="23"/>
      <c r="MW133" s="23"/>
      <c r="MX133" s="23"/>
      <c r="MY133" s="23"/>
      <c r="MZ133" s="23"/>
      <c r="NA133" s="23"/>
      <c r="NB133" s="23"/>
      <c r="NC133" s="23"/>
      <c r="ND133" s="23"/>
      <c r="NE133" s="23"/>
      <c r="NF133" s="23"/>
      <c r="NG133" s="23"/>
      <c r="NH133" s="23"/>
      <c r="NI133" s="23"/>
      <c r="NJ133" s="23"/>
      <c r="NK133" s="23"/>
      <c r="NL133" s="23"/>
      <c r="NM133" s="23"/>
      <c r="NN133" s="23"/>
      <c r="NO133" s="23"/>
      <c r="NP133" s="23"/>
      <c r="NQ133" s="23"/>
      <c r="NR133" s="23"/>
      <c r="NS133" s="23"/>
      <c r="NT133" s="23"/>
      <c r="NU133" s="23"/>
      <c r="NV133" s="23"/>
      <c r="NW133" s="23"/>
      <c r="NX133" s="23"/>
      <c r="NY133" s="23"/>
      <c r="NZ133" s="23"/>
      <c r="OA133" s="23"/>
      <c r="OB133" s="23"/>
      <c r="OC133" s="23"/>
      <c r="OD133" s="23"/>
      <c r="OE133" s="23"/>
      <c r="OF133" s="23"/>
      <c r="OG133" s="23"/>
      <c r="OH133" s="23"/>
      <c r="OI133" s="23"/>
      <c r="OJ133" s="23"/>
      <c r="OK133" s="23"/>
      <c r="OL133" s="23"/>
      <c r="OM133" s="23"/>
      <c r="ON133" s="23"/>
      <c r="OO133" s="23"/>
      <c r="OP133" s="23"/>
      <c r="OQ133" s="23"/>
      <c r="OR133" s="23"/>
      <c r="OS133" s="23"/>
      <c r="OT133" s="23"/>
      <c r="OU133" s="23"/>
      <c r="OV133" s="23"/>
      <c r="OW133" s="23"/>
      <c r="OX133" s="23"/>
      <c r="OY133" s="23"/>
      <c r="OZ133" s="23"/>
      <c r="PA133" s="23"/>
      <c r="PB133" s="23"/>
      <c r="PC133" s="23"/>
      <c r="PD133" s="23"/>
      <c r="PE133" s="23"/>
      <c r="PF133" s="23"/>
      <c r="PG133" s="23"/>
      <c r="PH133" s="23"/>
      <c r="PI133" s="23"/>
      <c r="PJ133" s="23"/>
      <c r="PK133" s="23"/>
      <c r="PL133" s="23"/>
      <c r="PM133" s="23"/>
      <c r="PN133" s="23"/>
      <c r="PO133" s="23"/>
      <c r="PP133" s="23"/>
      <c r="PQ133" s="23"/>
      <c r="PR133" s="23"/>
      <c r="PS133" s="23"/>
      <c r="PT133" s="23"/>
      <c r="PU133" s="23"/>
      <c r="PV133" s="23"/>
      <c r="PW133" s="23"/>
      <c r="PX133" s="23"/>
      <c r="PY133" s="23"/>
      <c r="PZ133" s="23"/>
      <c r="QA133" s="23"/>
      <c r="QB133" s="23"/>
      <c r="QC133" s="23"/>
      <c r="QD133" s="23"/>
      <c r="QE133" s="23"/>
      <c r="QF133" s="23"/>
      <c r="QG133" s="23"/>
      <c r="QH133" s="23"/>
      <c r="QI133" s="23"/>
      <c r="QJ133" s="23"/>
      <c r="QK133" s="23"/>
      <c r="QL133" s="23"/>
      <c r="QM133" s="23"/>
      <c r="QN133" s="23"/>
      <c r="QO133" s="23"/>
      <c r="QP133" s="23"/>
      <c r="QQ133" s="23"/>
      <c r="QR133" s="23"/>
      <c r="QS133" s="23"/>
      <c r="QT133" s="23"/>
      <c r="QU133" s="23"/>
      <c r="QV133" s="23"/>
      <c r="QW133" s="23"/>
      <c r="QX133" s="23"/>
      <c r="QY133" s="23"/>
      <c r="QZ133" s="23"/>
      <c r="RA133" s="23"/>
      <c r="RB133" s="23"/>
      <c r="RC133" s="23"/>
      <c r="RD133" s="23"/>
      <c r="RE133" s="23"/>
      <c r="RF133" s="23"/>
      <c r="RG133" s="23"/>
      <c r="RH133" s="23"/>
      <c r="RI133" s="23"/>
      <c r="RJ133" s="23"/>
      <c r="RK133" s="23"/>
      <c r="RL133" s="23"/>
      <c r="RM133" s="23"/>
      <c r="RN133" s="23"/>
      <c r="RO133" s="23"/>
      <c r="RP133" s="23"/>
      <c r="RQ133" s="23"/>
      <c r="RR133" s="23"/>
      <c r="RS133" s="23"/>
      <c r="RT133" s="23"/>
      <c r="RU133" s="23"/>
      <c r="RV133" s="23"/>
      <c r="RW133" s="23"/>
      <c r="RX133" s="23"/>
      <c r="RY133" s="23"/>
      <c r="RZ133" s="23"/>
      <c r="SA133" s="23"/>
      <c r="SB133" s="23"/>
      <c r="SC133" s="23"/>
      <c r="SD133" s="23"/>
      <c r="SE133" s="23"/>
      <c r="SF133" s="23"/>
      <c r="SG133" s="23"/>
      <c r="SH133" s="23"/>
      <c r="SI133" s="23"/>
      <c r="SJ133" s="23"/>
      <c r="SK133" s="23"/>
      <c r="SL133" s="23"/>
      <c r="SM133" s="23"/>
      <c r="SN133" s="23"/>
      <c r="SO133" s="23"/>
      <c r="SP133" s="23"/>
      <c r="SQ133" s="23"/>
      <c r="SR133" s="23"/>
      <c r="SS133" s="23"/>
      <c r="ST133" s="23"/>
      <c r="SU133" s="23"/>
      <c r="SV133" s="23"/>
      <c r="SW133" s="23"/>
      <c r="SX133" s="23"/>
      <c r="SY133" s="23"/>
      <c r="SZ133" s="23"/>
      <c r="TA133" s="23"/>
      <c r="TB133" s="23"/>
      <c r="TC133" s="23"/>
      <c r="TD133" s="23"/>
      <c r="TE133" s="23"/>
      <c r="TF133" s="23"/>
      <c r="TG133" s="23"/>
      <c r="TH133" s="23"/>
    </row>
    <row r="134" spans="1:528" s="22" customFormat="1" ht="24.75" customHeight="1" x14ac:dyDescent="0.25">
      <c r="A134" s="60" t="s">
        <v>418</v>
      </c>
      <c r="B134" s="42">
        <v>7322</v>
      </c>
      <c r="C134" s="107" t="s">
        <v>113</v>
      </c>
      <c r="D134" s="157" t="s">
        <v>574</v>
      </c>
      <c r="E134" s="103">
        <f>F134+I134</f>
        <v>0</v>
      </c>
      <c r="F134" s="103"/>
      <c r="G134" s="103"/>
      <c r="H134" s="103"/>
      <c r="I134" s="103"/>
      <c r="J134" s="103">
        <f t="shared" si="47"/>
        <v>27003372</v>
      </c>
      <c r="K134" s="103">
        <f>20000000+378711+1600000+3000000+1000000+1024661</f>
        <v>27003372</v>
      </c>
      <c r="L134" s="103"/>
      <c r="M134" s="103"/>
      <c r="N134" s="103"/>
      <c r="O134" s="103">
        <f>20000000+378711+1600000+3000000+1000000+1024661</f>
        <v>27003372</v>
      </c>
      <c r="P134" s="103">
        <f t="shared" si="46"/>
        <v>27003372</v>
      </c>
      <c r="Q134" s="178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</row>
    <row r="135" spans="1:528" s="22" customFormat="1" ht="47.25" x14ac:dyDescent="0.25">
      <c r="A135" s="60" t="s">
        <v>375</v>
      </c>
      <c r="B135" s="42">
        <f>'дод 8'!A165</f>
        <v>7361</v>
      </c>
      <c r="C135" s="42" t="str">
        <f>'дод 8'!B165</f>
        <v>0490</v>
      </c>
      <c r="D135" s="36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135" s="103">
        <f t="shared" si="45"/>
        <v>0</v>
      </c>
      <c r="F135" s="103"/>
      <c r="G135" s="103"/>
      <c r="H135" s="103"/>
      <c r="I135" s="103"/>
      <c r="J135" s="103">
        <f t="shared" si="47"/>
        <v>4289000</v>
      </c>
      <c r="K135" s="103">
        <f>2289000+2000000</f>
        <v>4289000</v>
      </c>
      <c r="L135" s="103"/>
      <c r="M135" s="103"/>
      <c r="N135" s="103"/>
      <c r="O135" s="103">
        <f>2289000+2000000</f>
        <v>4289000</v>
      </c>
      <c r="P135" s="103">
        <f t="shared" si="46"/>
        <v>4289000</v>
      </c>
      <c r="Q135" s="178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N135" s="23"/>
      <c r="MO135" s="23"/>
      <c r="MP135" s="23"/>
      <c r="MQ135" s="23"/>
      <c r="MR135" s="23"/>
      <c r="MS135" s="23"/>
      <c r="MT135" s="23"/>
      <c r="MU135" s="23"/>
      <c r="MV135" s="23"/>
      <c r="MW135" s="23"/>
      <c r="MX135" s="23"/>
      <c r="MY135" s="23"/>
      <c r="MZ135" s="23"/>
      <c r="NA135" s="23"/>
      <c r="NB135" s="23"/>
      <c r="NC135" s="23"/>
      <c r="ND135" s="23"/>
      <c r="NE135" s="23"/>
      <c r="NF135" s="23"/>
      <c r="NG135" s="23"/>
      <c r="NH135" s="23"/>
      <c r="NI135" s="23"/>
      <c r="NJ135" s="23"/>
      <c r="NK135" s="23"/>
      <c r="NL135" s="23"/>
      <c r="NM135" s="23"/>
      <c r="NN135" s="23"/>
      <c r="NO135" s="23"/>
      <c r="NP135" s="23"/>
      <c r="NQ135" s="23"/>
      <c r="NR135" s="23"/>
      <c r="NS135" s="23"/>
      <c r="NT135" s="23"/>
      <c r="NU135" s="23"/>
      <c r="NV135" s="23"/>
      <c r="NW135" s="23"/>
      <c r="NX135" s="23"/>
      <c r="NY135" s="23"/>
      <c r="NZ135" s="23"/>
      <c r="OA135" s="23"/>
      <c r="OB135" s="23"/>
      <c r="OC135" s="23"/>
      <c r="OD135" s="23"/>
      <c r="OE135" s="23"/>
      <c r="OF135" s="23"/>
      <c r="OG135" s="23"/>
      <c r="OH135" s="23"/>
      <c r="OI135" s="23"/>
      <c r="OJ135" s="23"/>
      <c r="OK135" s="23"/>
      <c r="OL135" s="23"/>
      <c r="OM135" s="23"/>
      <c r="ON135" s="23"/>
      <c r="OO135" s="23"/>
      <c r="OP135" s="23"/>
      <c r="OQ135" s="23"/>
      <c r="OR135" s="23"/>
      <c r="OS135" s="23"/>
      <c r="OT135" s="23"/>
      <c r="OU135" s="23"/>
      <c r="OV135" s="23"/>
      <c r="OW135" s="23"/>
      <c r="OX135" s="23"/>
      <c r="OY135" s="23"/>
      <c r="OZ135" s="23"/>
      <c r="PA135" s="23"/>
      <c r="PB135" s="23"/>
      <c r="PC135" s="23"/>
      <c r="PD135" s="23"/>
      <c r="PE135" s="23"/>
      <c r="PF135" s="23"/>
      <c r="PG135" s="23"/>
      <c r="PH135" s="23"/>
      <c r="PI135" s="23"/>
      <c r="PJ135" s="23"/>
      <c r="PK135" s="23"/>
      <c r="PL135" s="23"/>
      <c r="PM135" s="23"/>
      <c r="PN135" s="23"/>
      <c r="PO135" s="23"/>
      <c r="PP135" s="23"/>
      <c r="PQ135" s="23"/>
      <c r="PR135" s="23"/>
      <c r="PS135" s="23"/>
      <c r="PT135" s="23"/>
      <c r="PU135" s="23"/>
      <c r="PV135" s="23"/>
      <c r="PW135" s="23"/>
      <c r="PX135" s="23"/>
      <c r="PY135" s="23"/>
      <c r="PZ135" s="23"/>
      <c r="QA135" s="23"/>
      <c r="QB135" s="23"/>
      <c r="QC135" s="23"/>
      <c r="QD135" s="23"/>
      <c r="QE135" s="23"/>
      <c r="QF135" s="23"/>
      <c r="QG135" s="23"/>
      <c r="QH135" s="23"/>
      <c r="QI135" s="23"/>
      <c r="QJ135" s="23"/>
      <c r="QK135" s="23"/>
      <c r="QL135" s="23"/>
      <c r="QM135" s="23"/>
      <c r="QN135" s="23"/>
      <c r="QO135" s="23"/>
      <c r="QP135" s="23"/>
      <c r="QQ135" s="23"/>
      <c r="QR135" s="23"/>
      <c r="QS135" s="23"/>
      <c r="QT135" s="23"/>
      <c r="QU135" s="23"/>
      <c r="QV135" s="23"/>
      <c r="QW135" s="23"/>
      <c r="QX135" s="23"/>
      <c r="QY135" s="23"/>
      <c r="QZ135" s="23"/>
      <c r="RA135" s="23"/>
      <c r="RB135" s="23"/>
      <c r="RC135" s="23"/>
      <c r="RD135" s="23"/>
      <c r="RE135" s="23"/>
      <c r="RF135" s="23"/>
      <c r="RG135" s="23"/>
      <c r="RH135" s="23"/>
      <c r="RI135" s="23"/>
      <c r="RJ135" s="23"/>
      <c r="RK135" s="23"/>
      <c r="RL135" s="23"/>
      <c r="RM135" s="23"/>
      <c r="RN135" s="23"/>
      <c r="RO135" s="23"/>
      <c r="RP135" s="23"/>
      <c r="RQ135" s="23"/>
      <c r="RR135" s="23"/>
      <c r="RS135" s="23"/>
      <c r="RT135" s="23"/>
      <c r="RU135" s="23"/>
      <c r="RV135" s="23"/>
      <c r="RW135" s="23"/>
      <c r="RX135" s="23"/>
      <c r="RY135" s="23"/>
      <c r="RZ135" s="23"/>
      <c r="SA135" s="23"/>
      <c r="SB135" s="23"/>
      <c r="SC135" s="23"/>
      <c r="SD135" s="23"/>
      <c r="SE135" s="23"/>
      <c r="SF135" s="23"/>
      <c r="SG135" s="23"/>
      <c r="SH135" s="23"/>
      <c r="SI135" s="23"/>
      <c r="SJ135" s="23"/>
      <c r="SK135" s="23"/>
      <c r="SL135" s="23"/>
      <c r="SM135" s="23"/>
      <c r="SN135" s="23"/>
      <c r="SO135" s="23"/>
      <c r="SP135" s="23"/>
      <c r="SQ135" s="23"/>
      <c r="SR135" s="23"/>
      <c r="SS135" s="23"/>
      <c r="ST135" s="23"/>
      <c r="SU135" s="23"/>
      <c r="SV135" s="23"/>
      <c r="SW135" s="23"/>
      <c r="SX135" s="23"/>
      <c r="SY135" s="23"/>
      <c r="SZ135" s="23"/>
      <c r="TA135" s="23"/>
      <c r="TB135" s="23"/>
      <c r="TC135" s="23"/>
      <c r="TD135" s="23"/>
      <c r="TE135" s="23"/>
      <c r="TF135" s="23"/>
      <c r="TG135" s="23"/>
      <c r="TH135" s="23"/>
    </row>
    <row r="136" spans="1:528" s="22" customFormat="1" ht="47.25" hidden="1" customHeight="1" x14ac:dyDescent="0.25">
      <c r="A136" s="60" t="s">
        <v>425</v>
      </c>
      <c r="B136" s="42">
        <v>7363</v>
      </c>
      <c r="C136" s="107" t="s">
        <v>84</v>
      </c>
      <c r="D136" s="61" t="s">
        <v>400</v>
      </c>
      <c r="E136" s="103">
        <f t="shared" si="45"/>
        <v>0</v>
      </c>
      <c r="F136" s="103"/>
      <c r="G136" s="103"/>
      <c r="H136" s="103"/>
      <c r="I136" s="103"/>
      <c r="J136" s="103">
        <f t="shared" si="47"/>
        <v>0</v>
      </c>
      <c r="K136" s="103"/>
      <c r="L136" s="103"/>
      <c r="M136" s="103"/>
      <c r="N136" s="103"/>
      <c r="O136" s="103"/>
      <c r="P136" s="103">
        <f t="shared" si="46"/>
        <v>0</v>
      </c>
      <c r="Q136" s="178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  <c r="TH136" s="23"/>
    </row>
    <row r="137" spans="1:528" s="22" customFormat="1" ht="47.25" hidden="1" customHeight="1" x14ac:dyDescent="0.25">
      <c r="A137" s="60"/>
      <c r="B137" s="42"/>
      <c r="C137" s="42"/>
      <c r="D137" s="91" t="s">
        <v>390</v>
      </c>
      <c r="E137" s="105">
        <f t="shared" si="45"/>
        <v>0</v>
      </c>
      <c r="F137" s="105"/>
      <c r="G137" s="105"/>
      <c r="H137" s="105"/>
      <c r="I137" s="105"/>
      <c r="J137" s="105">
        <f t="shared" si="47"/>
        <v>0</v>
      </c>
      <c r="K137" s="105"/>
      <c r="L137" s="105"/>
      <c r="M137" s="105"/>
      <c r="N137" s="105"/>
      <c r="O137" s="105"/>
      <c r="P137" s="105">
        <f t="shared" si="46"/>
        <v>0</v>
      </c>
      <c r="Q137" s="178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</row>
    <row r="138" spans="1:528" s="22" customFormat="1" ht="18.75" customHeight="1" x14ac:dyDescent="0.25">
      <c r="A138" s="60" t="s">
        <v>175</v>
      </c>
      <c r="B138" s="97" t="str">
        <f>'дод 8'!A187</f>
        <v>7640</v>
      </c>
      <c r="C138" s="97" t="str">
        <f>'дод 8'!B187</f>
        <v>0470</v>
      </c>
      <c r="D138" s="61" t="s">
        <v>420</v>
      </c>
      <c r="E138" s="103">
        <f t="shared" si="45"/>
        <v>121500</v>
      </c>
      <c r="F138" s="103">
        <v>121500</v>
      </c>
      <c r="G138" s="103"/>
      <c r="H138" s="103"/>
      <c r="I138" s="103"/>
      <c r="J138" s="103">
        <f t="shared" si="47"/>
        <v>10527570.120000001</v>
      </c>
      <c r="K138" s="103">
        <f>7336970+3190600.12</f>
        <v>10527570.120000001</v>
      </c>
      <c r="L138" s="103"/>
      <c r="M138" s="103"/>
      <c r="N138" s="103"/>
      <c r="O138" s="103">
        <f>7336970+3190600.12</f>
        <v>10527570.120000001</v>
      </c>
      <c r="P138" s="103">
        <f t="shared" si="46"/>
        <v>10649070.120000001</v>
      </c>
      <c r="Q138" s="178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  <c r="TH138" s="23"/>
    </row>
    <row r="139" spans="1:528" s="24" customFormat="1" ht="15" customHeight="1" x14ac:dyDescent="0.25">
      <c r="A139" s="88"/>
      <c r="B139" s="115"/>
      <c r="C139" s="115"/>
      <c r="D139" s="89" t="s">
        <v>421</v>
      </c>
      <c r="E139" s="105">
        <f t="shared" si="45"/>
        <v>0</v>
      </c>
      <c r="F139" s="105"/>
      <c r="G139" s="105"/>
      <c r="H139" s="105"/>
      <c r="I139" s="105"/>
      <c r="J139" s="105">
        <f t="shared" si="47"/>
        <v>4662070.12</v>
      </c>
      <c r="K139" s="105">
        <f>1471470+3190600.12</f>
        <v>4662070.12</v>
      </c>
      <c r="L139" s="105"/>
      <c r="M139" s="105"/>
      <c r="N139" s="105"/>
      <c r="O139" s="105">
        <f>1471470+3190600.12</f>
        <v>4662070.12</v>
      </c>
      <c r="P139" s="105">
        <f t="shared" si="46"/>
        <v>4662070.12</v>
      </c>
      <c r="Q139" s="178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  <c r="TH139" s="30"/>
    </row>
    <row r="140" spans="1:528" s="22" customFormat="1" ht="45" hidden="1" customHeight="1" x14ac:dyDescent="0.25">
      <c r="A140" s="60" t="s">
        <v>363</v>
      </c>
      <c r="B140" s="97">
        <v>7700</v>
      </c>
      <c r="C140" s="60" t="s">
        <v>95</v>
      </c>
      <c r="D140" s="61" t="s">
        <v>364</v>
      </c>
      <c r="E140" s="103">
        <f t="shared" si="45"/>
        <v>0</v>
      </c>
      <c r="F140" s="103"/>
      <c r="G140" s="103"/>
      <c r="H140" s="103"/>
      <c r="I140" s="103"/>
      <c r="J140" s="103">
        <f t="shared" si="47"/>
        <v>0</v>
      </c>
      <c r="K140" s="103"/>
      <c r="L140" s="103"/>
      <c r="M140" s="103"/>
      <c r="N140" s="103"/>
      <c r="O140" s="103">
        <f>630000-630000</f>
        <v>0</v>
      </c>
      <c r="P140" s="103">
        <f t="shared" si="46"/>
        <v>0</v>
      </c>
      <c r="Q140" s="178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  <c r="TH140" s="23"/>
    </row>
    <row r="141" spans="1:528" s="22" customFormat="1" ht="15.75" x14ac:dyDescent="0.25">
      <c r="A141" s="60" t="s">
        <v>435</v>
      </c>
      <c r="B141" s="97">
        <v>9770</v>
      </c>
      <c r="C141" s="60" t="s">
        <v>46</v>
      </c>
      <c r="D141" s="61" t="s">
        <v>436</v>
      </c>
      <c r="E141" s="103">
        <f t="shared" si="45"/>
        <v>0</v>
      </c>
      <c r="F141" s="103"/>
      <c r="G141" s="103"/>
      <c r="H141" s="103"/>
      <c r="I141" s="103"/>
      <c r="J141" s="103">
        <f t="shared" si="47"/>
        <v>2000000</v>
      </c>
      <c r="K141" s="103">
        <v>2000000</v>
      </c>
      <c r="L141" s="103"/>
      <c r="M141" s="103"/>
      <c r="N141" s="103"/>
      <c r="O141" s="103">
        <v>2000000</v>
      </c>
      <c r="P141" s="103">
        <f t="shared" si="46"/>
        <v>2000000</v>
      </c>
      <c r="Q141" s="178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  <c r="TH141" s="23"/>
    </row>
    <row r="142" spans="1:528" s="27" customFormat="1" ht="36" customHeight="1" x14ac:dyDescent="0.25">
      <c r="A142" s="114" t="s">
        <v>180</v>
      </c>
      <c r="B142" s="116"/>
      <c r="C142" s="116"/>
      <c r="D142" s="111" t="s">
        <v>39</v>
      </c>
      <c r="E142" s="99">
        <f>E143</f>
        <v>194313699.35000002</v>
      </c>
      <c r="F142" s="99">
        <f t="shared" ref="F142:J142" si="48">F143</f>
        <v>194313699.35000002</v>
      </c>
      <c r="G142" s="99">
        <f t="shared" si="48"/>
        <v>60937100</v>
      </c>
      <c r="H142" s="99">
        <f t="shared" si="48"/>
        <v>1330100</v>
      </c>
      <c r="I142" s="99">
        <f t="shared" si="48"/>
        <v>0</v>
      </c>
      <c r="J142" s="99">
        <f t="shared" si="48"/>
        <v>969200</v>
      </c>
      <c r="K142" s="99">
        <f t="shared" ref="K142" si="49">K143</f>
        <v>873000</v>
      </c>
      <c r="L142" s="99">
        <f t="shared" ref="L142" si="50">L143</f>
        <v>96200</v>
      </c>
      <c r="M142" s="99">
        <f t="shared" ref="M142" si="51">M143</f>
        <v>75000</v>
      </c>
      <c r="N142" s="99">
        <f t="shared" ref="N142" si="52">N143</f>
        <v>0</v>
      </c>
      <c r="O142" s="99">
        <f t="shared" ref="O142:P142" si="53">O143</f>
        <v>873000</v>
      </c>
      <c r="P142" s="99">
        <f t="shared" si="53"/>
        <v>195282899.35000002</v>
      </c>
      <c r="Q142" s="178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  <c r="IU142" s="32"/>
      <c r="IV142" s="32"/>
      <c r="IW142" s="32"/>
      <c r="IX142" s="32"/>
      <c r="IY142" s="32"/>
      <c r="IZ142" s="32"/>
      <c r="JA142" s="32"/>
      <c r="JB142" s="32"/>
      <c r="JC142" s="32"/>
      <c r="JD142" s="32"/>
      <c r="JE142" s="32"/>
      <c r="JF142" s="32"/>
      <c r="JG142" s="32"/>
      <c r="JH142" s="32"/>
      <c r="JI142" s="32"/>
      <c r="JJ142" s="32"/>
      <c r="JK142" s="32"/>
      <c r="JL142" s="32"/>
      <c r="JM142" s="32"/>
      <c r="JN142" s="32"/>
      <c r="JO142" s="32"/>
      <c r="JP142" s="32"/>
      <c r="JQ142" s="32"/>
      <c r="JR142" s="32"/>
      <c r="JS142" s="32"/>
      <c r="JT142" s="32"/>
      <c r="JU142" s="32"/>
      <c r="JV142" s="32"/>
      <c r="JW142" s="32"/>
      <c r="JX142" s="32"/>
      <c r="JY142" s="32"/>
      <c r="JZ142" s="32"/>
      <c r="KA142" s="32"/>
      <c r="KB142" s="32"/>
      <c r="KC142" s="32"/>
      <c r="KD142" s="32"/>
      <c r="KE142" s="32"/>
      <c r="KF142" s="32"/>
      <c r="KG142" s="32"/>
      <c r="KH142" s="32"/>
      <c r="KI142" s="32"/>
      <c r="KJ142" s="32"/>
      <c r="KK142" s="32"/>
      <c r="KL142" s="32"/>
      <c r="KM142" s="32"/>
      <c r="KN142" s="32"/>
      <c r="KO142" s="32"/>
      <c r="KP142" s="32"/>
      <c r="KQ142" s="32"/>
      <c r="KR142" s="32"/>
      <c r="KS142" s="32"/>
      <c r="KT142" s="32"/>
      <c r="KU142" s="32"/>
      <c r="KV142" s="32"/>
      <c r="KW142" s="32"/>
      <c r="KX142" s="32"/>
      <c r="KY142" s="32"/>
      <c r="KZ142" s="32"/>
      <c r="LA142" s="32"/>
      <c r="LB142" s="32"/>
      <c r="LC142" s="32"/>
      <c r="LD142" s="32"/>
      <c r="LE142" s="32"/>
      <c r="LF142" s="32"/>
      <c r="LG142" s="32"/>
      <c r="LH142" s="32"/>
      <c r="LI142" s="32"/>
      <c r="LJ142" s="32"/>
      <c r="LK142" s="32"/>
      <c r="LL142" s="32"/>
      <c r="LM142" s="32"/>
      <c r="LN142" s="32"/>
      <c r="LO142" s="32"/>
      <c r="LP142" s="32"/>
      <c r="LQ142" s="32"/>
      <c r="LR142" s="32"/>
      <c r="LS142" s="32"/>
      <c r="LT142" s="32"/>
      <c r="LU142" s="32"/>
      <c r="LV142" s="32"/>
      <c r="LW142" s="32"/>
      <c r="LX142" s="32"/>
      <c r="LY142" s="32"/>
      <c r="LZ142" s="32"/>
      <c r="MA142" s="32"/>
      <c r="MB142" s="32"/>
      <c r="MC142" s="32"/>
      <c r="MD142" s="32"/>
      <c r="ME142" s="32"/>
      <c r="MF142" s="32"/>
      <c r="MG142" s="32"/>
      <c r="MH142" s="32"/>
      <c r="MI142" s="32"/>
      <c r="MJ142" s="32"/>
      <c r="MK142" s="32"/>
      <c r="ML142" s="32"/>
      <c r="MM142" s="32"/>
      <c r="MN142" s="32"/>
      <c r="MO142" s="32"/>
      <c r="MP142" s="32"/>
      <c r="MQ142" s="32"/>
      <c r="MR142" s="32"/>
      <c r="MS142" s="32"/>
      <c r="MT142" s="32"/>
      <c r="MU142" s="32"/>
      <c r="MV142" s="32"/>
      <c r="MW142" s="32"/>
      <c r="MX142" s="32"/>
      <c r="MY142" s="32"/>
      <c r="MZ142" s="32"/>
      <c r="NA142" s="32"/>
      <c r="NB142" s="32"/>
      <c r="NC142" s="32"/>
      <c r="ND142" s="32"/>
      <c r="NE142" s="32"/>
      <c r="NF142" s="32"/>
      <c r="NG142" s="32"/>
      <c r="NH142" s="32"/>
      <c r="NI142" s="32"/>
      <c r="NJ142" s="32"/>
      <c r="NK142" s="32"/>
      <c r="NL142" s="32"/>
      <c r="NM142" s="32"/>
      <c r="NN142" s="32"/>
      <c r="NO142" s="32"/>
      <c r="NP142" s="32"/>
      <c r="NQ142" s="32"/>
      <c r="NR142" s="32"/>
      <c r="NS142" s="32"/>
      <c r="NT142" s="32"/>
      <c r="NU142" s="32"/>
      <c r="NV142" s="32"/>
      <c r="NW142" s="32"/>
      <c r="NX142" s="32"/>
      <c r="NY142" s="32"/>
      <c r="NZ142" s="32"/>
      <c r="OA142" s="32"/>
      <c r="OB142" s="32"/>
      <c r="OC142" s="32"/>
      <c r="OD142" s="32"/>
      <c r="OE142" s="32"/>
      <c r="OF142" s="32"/>
      <c r="OG142" s="32"/>
      <c r="OH142" s="32"/>
      <c r="OI142" s="32"/>
      <c r="OJ142" s="32"/>
      <c r="OK142" s="32"/>
      <c r="OL142" s="32"/>
      <c r="OM142" s="32"/>
      <c r="ON142" s="32"/>
      <c r="OO142" s="32"/>
      <c r="OP142" s="32"/>
      <c r="OQ142" s="32"/>
      <c r="OR142" s="32"/>
      <c r="OS142" s="32"/>
      <c r="OT142" s="32"/>
      <c r="OU142" s="32"/>
      <c r="OV142" s="32"/>
      <c r="OW142" s="32"/>
      <c r="OX142" s="32"/>
      <c r="OY142" s="32"/>
      <c r="OZ142" s="32"/>
      <c r="PA142" s="32"/>
      <c r="PB142" s="32"/>
      <c r="PC142" s="32"/>
      <c r="PD142" s="32"/>
      <c r="PE142" s="32"/>
      <c r="PF142" s="32"/>
      <c r="PG142" s="32"/>
      <c r="PH142" s="32"/>
      <c r="PI142" s="32"/>
      <c r="PJ142" s="32"/>
      <c r="PK142" s="32"/>
      <c r="PL142" s="32"/>
      <c r="PM142" s="32"/>
      <c r="PN142" s="32"/>
      <c r="PO142" s="32"/>
      <c r="PP142" s="32"/>
      <c r="PQ142" s="32"/>
      <c r="PR142" s="32"/>
      <c r="PS142" s="32"/>
      <c r="PT142" s="32"/>
      <c r="PU142" s="32"/>
      <c r="PV142" s="32"/>
      <c r="PW142" s="32"/>
      <c r="PX142" s="32"/>
      <c r="PY142" s="32"/>
      <c r="PZ142" s="32"/>
      <c r="QA142" s="32"/>
      <c r="QB142" s="32"/>
      <c r="QC142" s="32"/>
      <c r="QD142" s="32"/>
      <c r="QE142" s="32"/>
      <c r="QF142" s="32"/>
      <c r="QG142" s="32"/>
      <c r="QH142" s="32"/>
      <c r="QI142" s="32"/>
      <c r="QJ142" s="32"/>
      <c r="QK142" s="32"/>
      <c r="QL142" s="32"/>
      <c r="QM142" s="32"/>
      <c r="QN142" s="32"/>
      <c r="QO142" s="32"/>
      <c r="QP142" s="32"/>
      <c r="QQ142" s="32"/>
      <c r="QR142" s="32"/>
      <c r="QS142" s="32"/>
      <c r="QT142" s="32"/>
      <c r="QU142" s="32"/>
      <c r="QV142" s="32"/>
      <c r="QW142" s="32"/>
      <c r="QX142" s="32"/>
      <c r="QY142" s="32"/>
      <c r="QZ142" s="32"/>
      <c r="RA142" s="32"/>
      <c r="RB142" s="32"/>
      <c r="RC142" s="32"/>
      <c r="RD142" s="32"/>
      <c r="RE142" s="32"/>
      <c r="RF142" s="32"/>
      <c r="RG142" s="32"/>
      <c r="RH142" s="32"/>
      <c r="RI142" s="32"/>
      <c r="RJ142" s="32"/>
      <c r="RK142" s="32"/>
      <c r="RL142" s="32"/>
      <c r="RM142" s="32"/>
      <c r="RN142" s="32"/>
      <c r="RO142" s="32"/>
      <c r="RP142" s="32"/>
      <c r="RQ142" s="32"/>
      <c r="RR142" s="32"/>
      <c r="RS142" s="32"/>
      <c r="RT142" s="32"/>
      <c r="RU142" s="32"/>
      <c r="RV142" s="32"/>
      <c r="RW142" s="32"/>
      <c r="RX142" s="32"/>
      <c r="RY142" s="32"/>
      <c r="RZ142" s="32"/>
      <c r="SA142" s="32"/>
      <c r="SB142" s="32"/>
      <c r="SC142" s="32"/>
      <c r="SD142" s="32"/>
      <c r="SE142" s="32"/>
      <c r="SF142" s="32"/>
      <c r="SG142" s="32"/>
      <c r="SH142" s="32"/>
      <c r="SI142" s="32"/>
      <c r="SJ142" s="32"/>
      <c r="SK142" s="32"/>
      <c r="SL142" s="32"/>
      <c r="SM142" s="32"/>
      <c r="SN142" s="32"/>
      <c r="SO142" s="32"/>
      <c r="SP142" s="32"/>
      <c r="SQ142" s="32"/>
      <c r="SR142" s="32"/>
      <c r="SS142" s="32"/>
      <c r="ST142" s="32"/>
      <c r="SU142" s="32"/>
      <c r="SV142" s="32"/>
      <c r="SW142" s="32"/>
      <c r="SX142" s="32"/>
      <c r="SY142" s="32"/>
      <c r="SZ142" s="32"/>
      <c r="TA142" s="32"/>
      <c r="TB142" s="32"/>
      <c r="TC142" s="32"/>
      <c r="TD142" s="32"/>
      <c r="TE142" s="32"/>
      <c r="TF142" s="32"/>
      <c r="TG142" s="32"/>
      <c r="TH142" s="32"/>
    </row>
    <row r="143" spans="1:528" s="34" customFormat="1" ht="32.25" customHeight="1" x14ac:dyDescent="0.25">
      <c r="A143" s="100" t="s">
        <v>181</v>
      </c>
      <c r="B143" s="113"/>
      <c r="C143" s="113"/>
      <c r="D143" s="81" t="s">
        <v>396</v>
      </c>
      <c r="E143" s="102">
        <f>E147+E148+E149+E150+E151+E153+E154+E155+E157+E159+E160+E161+E163+E165+E166+E167+E168+E169+E170+E172+E174+E175+E177+E178</f>
        <v>194313699.35000002</v>
      </c>
      <c r="F143" s="102">
        <f>F147+F148+F149+F150+F151+F153+F154+F155+F157+F159+F160+F161+F163+F165+F166+F167+F168+F169+F170+F172+F174+F175+F177+F178</f>
        <v>194313699.35000002</v>
      </c>
      <c r="G143" s="102">
        <f t="shared" ref="G143:O143" si="54">G147+G148+G149+G150+G151+G153+G154+G155+G157+G159+G160+G161+G163+G165+G166+G167+G168+G169+G170+G172+G174+G175+G177+G178</f>
        <v>60937100</v>
      </c>
      <c r="H143" s="102">
        <f t="shared" si="54"/>
        <v>1330100</v>
      </c>
      <c r="I143" s="102">
        <f t="shared" si="54"/>
        <v>0</v>
      </c>
      <c r="J143" s="102">
        <f t="shared" si="54"/>
        <v>969200</v>
      </c>
      <c r="K143" s="102">
        <f t="shared" si="54"/>
        <v>873000</v>
      </c>
      <c r="L143" s="102">
        <f t="shared" si="54"/>
        <v>96200</v>
      </c>
      <c r="M143" s="102">
        <f t="shared" si="54"/>
        <v>75000</v>
      </c>
      <c r="N143" s="102">
        <f t="shared" si="54"/>
        <v>0</v>
      </c>
      <c r="O143" s="102">
        <f t="shared" si="54"/>
        <v>873000</v>
      </c>
      <c r="P143" s="102">
        <f>P147+P148+P149+P150+P151+P153+P154+P155+P157+P159+P160+P161+P163+P165+P166+P167+P168+P169+P170+P172+P174+P175+P177+P178</f>
        <v>195282899.35000002</v>
      </c>
      <c r="Q143" s="178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  <c r="TF143" s="33"/>
      <c r="TG143" s="33"/>
      <c r="TH143" s="33"/>
    </row>
    <row r="144" spans="1:528" s="34" customFormat="1" ht="275.25" hidden="1" customHeight="1" x14ac:dyDescent="0.25">
      <c r="A144" s="100"/>
      <c r="B144" s="113"/>
      <c r="C144" s="113"/>
      <c r="D144" s="81" t="str">
        <f>'дод 8'!C88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4" s="102">
        <f>E171</f>
        <v>0</v>
      </c>
      <c r="F144" s="102">
        <f>L171</f>
        <v>0</v>
      </c>
      <c r="G144" s="102">
        <f t="shared" ref="G144:P144" si="55">G171</f>
        <v>0</v>
      </c>
      <c r="H144" s="102">
        <f t="shared" si="55"/>
        <v>0</v>
      </c>
      <c r="I144" s="102">
        <f t="shared" si="55"/>
        <v>0</v>
      </c>
      <c r="J144" s="102">
        <f t="shared" si="55"/>
        <v>0</v>
      </c>
      <c r="K144" s="102">
        <f t="shared" si="55"/>
        <v>0</v>
      </c>
      <c r="L144" s="102">
        <f t="shared" si="55"/>
        <v>0</v>
      </c>
      <c r="M144" s="102">
        <f t="shared" si="55"/>
        <v>0</v>
      </c>
      <c r="N144" s="102">
        <f t="shared" si="55"/>
        <v>0</v>
      </c>
      <c r="O144" s="102">
        <f t="shared" si="55"/>
        <v>0</v>
      </c>
      <c r="P144" s="102">
        <f t="shared" si="55"/>
        <v>0</v>
      </c>
      <c r="Q144" s="178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  <c r="TF144" s="33"/>
      <c r="TG144" s="33"/>
      <c r="TH144" s="33"/>
    </row>
    <row r="145" spans="1:528" s="34" customFormat="1" ht="255" hidden="1" customHeight="1" x14ac:dyDescent="0.25">
      <c r="A145" s="100"/>
      <c r="B145" s="113"/>
      <c r="C145" s="113"/>
      <c r="D145" s="81" t="str">
        <f>'дод 8'!C89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5" s="102">
        <f>E173</f>
        <v>0</v>
      </c>
      <c r="F145" s="102">
        <f t="shared" ref="F145:P145" si="56">F173</f>
        <v>0</v>
      </c>
      <c r="G145" s="102">
        <f t="shared" si="56"/>
        <v>0</v>
      </c>
      <c r="H145" s="102">
        <f t="shared" si="56"/>
        <v>0</v>
      </c>
      <c r="I145" s="102">
        <f t="shared" si="56"/>
        <v>0</v>
      </c>
      <c r="J145" s="102">
        <f t="shared" si="56"/>
        <v>0</v>
      </c>
      <c r="K145" s="102">
        <f t="shared" si="56"/>
        <v>0</v>
      </c>
      <c r="L145" s="102">
        <f t="shared" si="56"/>
        <v>0</v>
      </c>
      <c r="M145" s="102">
        <f t="shared" si="56"/>
        <v>0</v>
      </c>
      <c r="N145" s="102">
        <f t="shared" si="56"/>
        <v>0</v>
      </c>
      <c r="O145" s="102">
        <f t="shared" si="56"/>
        <v>0</v>
      </c>
      <c r="P145" s="102">
        <f t="shared" si="56"/>
        <v>0</v>
      </c>
      <c r="Q145" s="178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  <c r="QA145" s="33"/>
      <c r="QB145" s="33"/>
      <c r="QC145" s="33"/>
      <c r="QD145" s="33"/>
      <c r="QE145" s="33"/>
      <c r="QF145" s="33"/>
      <c r="QG145" s="33"/>
      <c r="QH145" s="33"/>
      <c r="QI145" s="33"/>
      <c r="QJ145" s="33"/>
      <c r="QK145" s="33"/>
      <c r="QL145" s="33"/>
      <c r="QM145" s="33"/>
      <c r="QN145" s="33"/>
      <c r="QO145" s="33"/>
      <c r="QP145" s="33"/>
      <c r="QQ145" s="33"/>
      <c r="QR145" s="33"/>
      <c r="QS145" s="33"/>
      <c r="QT145" s="33"/>
      <c r="QU145" s="33"/>
      <c r="QV145" s="33"/>
      <c r="QW145" s="33"/>
      <c r="QX145" s="33"/>
      <c r="QY145" s="33"/>
      <c r="QZ145" s="33"/>
      <c r="RA145" s="33"/>
      <c r="RB145" s="33"/>
      <c r="RC145" s="33"/>
      <c r="RD145" s="33"/>
      <c r="RE145" s="33"/>
      <c r="RF145" s="33"/>
      <c r="RG145" s="33"/>
      <c r="RH145" s="33"/>
      <c r="RI145" s="33"/>
      <c r="RJ145" s="33"/>
      <c r="RK145" s="33"/>
      <c r="RL145" s="33"/>
      <c r="RM145" s="33"/>
      <c r="RN145" s="33"/>
      <c r="RO145" s="33"/>
      <c r="RP145" s="33"/>
      <c r="RQ145" s="33"/>
      <c r="RR145" s="33"/>
      <c r="RS145" s="33"/>
      <c r="RT145" s="33"/>
      <c r="RU145" s="33"/>
      <c r="RV145" s="33"/>
      <c r="RW145" s="33"/>
      <c r="RX145" s="33"/>
      <c r="RY145" s="33"/>
      <c r="RZ145" s="33"/>
      <c r="SA145" s="33"/>
      <c r="SB145" s="33"/>
      <c r="SC145" s="33"/>
      <c r="SD145" s="33"/>
      <c r="SE145" s="33"/>
      <c r="SF145" s="33"/>
      <c r="SG145" s="33"/>
      <c r="SH145" s="33"/>
      <c r="SI145" s="33"/>
      <c r="SJ145" s="33"/>
      <c r="SK145" s="33"/>
      <c r="SL145" s="33"/>
      <c r="SM145" s="33"/>
      <c r="SN145" s="33"/>
      <c r="SO145" s="33"/>
      <c r="SP145" s="33"/>
      <c r="SQ145" s="33"/>
      <c r="SR145" s="33"/>
      <c r="SS145" s="33"/>
      <c r="ST145" s="33"/>
      <c r="SU145" s="33"/>
      <c r="SV145" s="33"/>
      <c r="SW145" s="33"/>
      <c r="SX145" s="33"/>
      <c r="SY145" s="33"/>
      <c r="SZ145" s="33"/>
      <c r="TA145" s="33"/>
      <c r="TB145" s="33"/>
      <c r="TC145" s="33"/>
      <c r="TD145" s="33"/>
      <c r="TE145" s="33"/>
      <c r="TF145" s="33"/>
      <c r="TG145" s="33"/>
      <c r="TH145" s="33"/>
    </row>
    <row r="146" spans="1:528" s="34" customFormat="1" ht="15.75" x14ac:dyDescent="0.25">
      <c r="A146" s="100"/>
      <c r="B146" s="113"/>
      <c r="C146" s="113"/>
      <c r="D146" s="81" t="s">
        <v>397</v>
      </c>
      <c r="E146" s="102">
        <f>E152+E156+E158+E162+E164+E176</f>
        <v>4847050.24</v>
      </c>
      <c r="F146" s="102">
        <f t="shared" ref="F146:P146" si="57">F152+F156+F158+F162+F164+F176</f>
        <v>4847050.24</v>
      </c>
      <c r="G146" s="102">
        <f t="shared" si="57"/>
        <v>0</v>
      </c>
      <c r="H146" s="102">
        <f t="shared" si="57"/>
        <v>0</v>
      </c>
      <c r="I146" s="102">
        <f t="shared" si="57"/>
        <v>0</v>
      </c>
      <c r="J146" s="102">
        <f t="shared" si="57"/>
        <v>0</v>
      </c>
      <c r="K146" s="102">
        <f t="shared" si="57"/>
        <v>0</v>
      </c>
      <c r="L146" s="102">
        <f t="shared" si="57"/>
        <v>0</v>
      </c>
      <c r="M146" s="102">
        <f t="shared" si="57"/>
        <v>0</v>
      </c>
      <c r="N146" s="102">
        <f t="shared" si="57"/>
        <v>0</v>
      </c>
      <c r="O146" s="102">
        <f t="shared" si="57"/>
        <v>0</v>
      </c>
      <c r="P146" s="102">
        <f t="shared" si="57"/>
        <v>4847050.24</v>
      </c>
      <c r="Q146" s="178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  <c r="TF146" s="33"/>
      <c r="TG146" s="33"/>
      <c r="TH146" s="33"/>
    </row>
    <row r="147" spans="1:528" s="22" customFormat="1" ht="45.75" customHeight="1" x14ac:dyDescent="0.25">
      <c r="A147" s="60" t="s">
        <v>182</v>
      </c>
      <c r="B147" s="97" t="str">
        <f>'дод 8'!A19</f>
        <v>0160</v>
      </c>
      <c r="C147" s="97" t="str">
        <f>'дод 8'!B19</f>
        <v>0111</v>
      </c>
      <c r="D147" s="36" t="s">
        <v>504</v>
      </c>
      <c r="E147" s="103">
        <f t="shared" ref="E147:E178" si="58">F147+I147</f>
        <v>55362100</v>
      </c>
      <c r="F147" s="103">
        <f>55404100-2500-39500</f>
        <v>55362100</v>
      </c>
      <c r="G147" s="103">
        <v>43270200</v>
      </c>
      <c r="H147" s="103">
        <v>762000</v>
      </c>
      <c r="I147" s="103"/>
      <c r="J147" s="103">
        <f>L147+O147</f>
        <v>68000</v>
      </c>
      <c r="K147" s="103">
        <v>68000</v>
      </c>
      <c r="L147" s="103"/>
      <c r="M147" s="103"/>
      <c r="N147" s="103"/>
      <c r="O147" s="103">
        <v>68000</v>
      </c>
      <c r="P147" s="103">
        <f t="shared" ref="P147:P178" si="59">E147+J147</f>
        <v>55430100</v>
      </c>
      <c r="Q147" s="178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  <c r="TH147" s="23"/>
    </row>
    <row r="148" spans="1:528" s="22" customFormat="1" ht="23.25" customHeight="1" x14ac:dyDescent="0.25">
      <c r="A148" s="60" t="s">
        <v>555</v>
      </c>
      <c r="B148" s="60" t="s">
        <v>46</v>
      </c>
      <c r="C148" s="60" t="s">
        <v>95</v>
      </c>
      <c r="D148" s="36" t="s">
        <v>244</v>
      </c>
      <c r="E148" s="103">
        <f t="shared" si="58"/>
        <v>39500</v>
      </c>
      <c r="F148" s="103">
        <v>39500</v>
      </c>
      <c r="G148" s="103"/>
      <c r="H148" s="103"/>
      <c r="I148" s="103"/>
      <c r="J148" s="103">
        <f>L148+O148</f>
        <v>0</v>
      </c>
      <c r="K148" s="103"/>
      <c r="L148" s="103"/>
      <c r="M148" s="103"/>
      <c r="N148" s="103"/>
      <c r="O148" s="103"/>
      <c r="P148" s="103">
        <f t="shared" si="59"/>
        <v>39500</v>
      </c>
      <c r="Q148" s="178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  <c r="TH148" s="23"/>
    </row>
    <row r="149" spans="1:528" s="23" customFormat="1" ht="36" customHeight="1" x14ac:dyDescent="0.25">
      <c r="A149" s="60" t="s">
        <v>183</v>
      </c>
      <c r="B149" s="97" t="str">
        <f>'дод 8'!A91</f>
        <v>3031</v>
      </c>
      <c r="C149" s="97" t="str">
        <f>'дод 8'!B91</f>
        <v>1030</v>
      </c>
      <c r="D149" s="61" t="str">
        <f>'дод 8'!C91</f>
        <v>Надання інших пільг окремим категоріям громадян відповідно до законодавства</v>
      </c>
      <c r="E149" s="103">
        <f t="shared" si="58"/>
        <v>604900</v>
      </c>
      <c r="F149" s="103">
        <v>604900</v>
      </c>
      <c r="G149" s="103"/>
      <c r="H149" s="103"/>
      <c r="I149" s="103"/>
      <c r="J149" s="103">
        <f t="shared" ref="J149:J173" si="60">L149+O149</f>
        <v>0</v>
      </c>
      <c r="K149" s="103"/>
      <c r="L149" s="103"/>
      <c r="M149" s="103"/>
      <c r="N149" s="103"/>
      <c r="O149" s="103"/>
      <c r="P149" s="103">
        <f t="shared" si="59"/>
        <v>604900</v>
      </c>
      <c r="Q149" s="178"/>
    </row>
    <row r="150" spans="1:528" s="23" customFormat="1" ht="33" customHeight="1" x14ac:dyDescent="0.25">
      <c r="A150" s="60" t="s">
        <v>184</v>
      </c>
      <c r="B150" s="97" t="str">
        <f>'дод 8'!A92</f>
        <v>3032</v>
      </c>
      <c r="C150" s="97" t="str">
        <f>'дод 8'!B92</f>
        <v>1070</v>
      </c>
      <c r="D150" s="61" t="str">
        <f>'дод 8'!C92</f>
        <v>Надання пільг окремим категоріям громадян з оплати послуг зв'язку</v>
      </c>
      <c r="E150" s="103">
        <f t="shared" si="58"/>
        <v>1129230</v>
      </c>
      <c r="F150" s="103">
        <f>1150000-20770</f>
        <v>1129230</v>
      </c>
      <c r="G150" s="103"/>
      <c r="H150" s="103"/>
      <c r="I150" s="103"/>
      <c r="J150" s="103">
        <f t="shared" si="60"/>
        <v>0</v>
      </c>
      <c r="K150" s="103"/>
      <c r="L150" s="103"/>
      <c r="M150" s="103"/>
      <c r="N150" s="103"/>
      <c r="O150" s="103"/>
      <c r="P150" s="103">
        <f t="shared" si="59"/>
        <v>1129230</v>
      </c>
      <c r="Q150" s="178"/>
    </row>
    <row r="151" spans="1:528" s="23" customFormat="1" ht="48.75" customHeight="1" x14ac:dyDescent="0.25">
      <c r="A151" s="60" t="s">
        <v>354</v>
      </c>
      <c r="B151" s="97" t="str">
        <f>'дод 8'!A93</f>
        <v>3033</v>
      </c>
      <c r="C151" s="97" t="str">
        <f>'дод 8'!B93</f>
        <v>1070</v>
      </c>
      <c r="D151" s="61" t="str">
        <f>'дод 8'!C93</f>
        <v>Компенсаційні виплати на пільговий проїзд автомобільним транспортом окремим категоріям громадян</v>
      </c>
      <c r="E151" s="103">
        <f t="shared" si="58"/>
        <v>23088451.240000002</v>
      </c>
      <c r="F151" s="103">
        <f>3342111.24+19700200+44220+1920</f>
        <v>23088451.240000002</v>
      </c>
      <c r="G151" s="103"/>
      <c r="H151" s="103"/>
      <c r="I151" s="103"/>
      <c r="J151" s="103">
        <f t="shared" si="60"/>
        <v>0</v>
      </c>
      <c r="K151" s="103"/>
      <c r="L151" s="103"/>
      <c r="M151" s="103"/>
      <c r="N151" s="103"/>
      <c r="O151" s="103"/>
      <c r="P151" s="103">
        <f t="shared" si="59"/>
        <v>23088451.240000002</v>
      </c>
      <c r="Q151" s="178"/>
    </row>
    <row r="152" spans="1:528" s="30" customFormat="1" ht="20.25" customHeight="1" x14ac:dyDescent="0.25">
      <c r="A152" s="88"/>
      <c r="B152" s="115"/>
      <c r="C152" s="115"/>
      <c r="D152" s="89" t="s">
        <v>395</v>
      </c>
      <c r="E152" s="105">
        <f t="shared" si="58"/>
        <v>3388251.24</v>
      </c>
      <c r="F152" s="105">
        <f>3342111.24+44220+1920</f>
        <v>3388251.24</v>
      </c>
      <c r="G152" s="105"/>
      <c r="H152" s="105"/>
      <c r="I152" s="105"/>
      <c r="J152" s="105">
        <f t="shared" si="60"/>
        <v>0</v>
      </c>
      <c r="K152" s="105"/>
      <c r="L152" s="105"/>
      <c r="M152" s="105"/>
      <c r="N152" s="105"/>
      <c r="O152" s="105"/>
      <c r="P152" s="105">
        <f t="shared" si="59"/>
        <v>3388251.24</v>
      </c>
      <c r="Q152" s="178"/>
    </row>
    <row r="153" spans="1:528" s="23" customFormat="1" ht="35.25" customHeight="1" x14ac:dyDescent="0.25">
      <c r="A153" s="60" t="s">
        <v>326</v>
      </c>
      <c r="B153" s="97" t="str">
        <f>'дод 8'!A95</f>
        <v>3035</v>
      </c>
      <c r="C153" s="97" t="str">
        <f>'дод 8'!B95</f>
        <v>1070</v>
      </c>
      <c r="D153" s="61" t="str">
        <f>'дод 8'!C95</f>
        <v>Компенсаційні виплати за пільговий проїзд окремих категорій громадян на залізничному транспорті</v>
      </c>
      <c r="E153" s="103">
        <f t="shared" si="58"/>
        <v>1500000</v>
      </c>
      <c r="F153" s="103">
        <v>1500000</v>
      </c>
      <c r="G153" s="103"/>
      <c r="H153" s="103"/>
      <c r="I153" s="103"/>
      <c r="J153" s="103">
        <f t="shared" si="60"/>
        <v>0</v>
      </c>
      <c r="K153" s="103"/>
      <c r="L153" s="103"/>
      <c r="M153" s="103"/>
      <c r="N153" s="103"/>
      <c r="O153" s="103"/>
      <c r="P153" s="103">
        <f t="shared" si="59"/>
        <v>1500000</v>
      </c>
      <c r="Q153" s="178"/>
    </row>
    <row r="154" spans="1:528" s="23" customFormat="1" ht="36" customHeight="1" x14ac:dyDescent="0.25">
      <c r="A154" s="60" t="s">
        <v>185</v>
      </c>
      <c r="B154" s="97" t="str">
        <f>'дод 8'!A96</f>
        <v>3036</v>
      </c>
      <c r="C154" s="97" t="str">
        <f>'дод 8'!B96</f>
        <v>1070</v>
      </c>
      <c r="D154" s="61" t="str">
        <f>'дод 8'!C96</f>
        <v>Компенсаційні виплати на пільговий проїзд електротранспортом окремим категоріям громадян</v>
      </c>
      <c r="E154" s="103">
        <f t="shared" si="58"/>
        <v>37333000</v>
      </c>
      <c r="F154" s="103">
        <v>37333000</v>
      </c>
      <c r="G154" s="103"/>
      <c r="H154" s="103"/>
      <c r="I154" s="103"/>
      <c r="J154" s="103">
        <f t="shared" si="60"/>
        <v>0</v>
      </c>
      <c r="K154" s="103"/>
      <c r="L154" s="103"/>
      <c r="M154" s="103"/>
      <c r="N154" s="103"/>
      <c r="O154" s="103"/>
      <c r="P154" s="103">
        <f t="shared" si="59"/>
        <v>37333000</v>
      </c>
      <c r="Q154" s="178"/>
    </row>
    <row r="155" spans="1:528" s="22" customFormat="1" ht="47.25" x14ac:dyDescent="0.25">
      <c r="A155" s="60" t="s">
        <v>352</v>
      </c>
      <c r="B155" s="97" t="str">
        <f>'дод 8'!A97</f>
        <v>3050</v>
      </c>
      <c r="C155" s="97" t="str">
        <f>'дод 8'!B97</f>
        <v>1070</v>
      </c>
      <c r="D155" s="61" t="str">
        <f>'дод 8'!C97</f>
        <v>Пільгове медичне обслуговування осіб, які постраждали внаслідок Чорнобильської катастрофи, у т.ч. за рахунок:</v>
      </c>
      <c r="E155" s="103">
        <f t="shared" si="58"/>
        <v>667500</v>
      </c>
      <c r="F155" s="103">
        <v>667500</v>
      </c>
      <c r="G155" s="103"/>
      <c r="H155" s="103"/>
      <c r="I155" s="103"/>
      <c r="J155" s="103">
        <f t="shared" si="60"/>
        <v>0</v>
      </c>
      <c r="K155" s="103"/>
      <c r="L155" s="103"/>
      <c r="M155" s="103"/>
      <c r="N155" s="103"/>
      <c r="O155" s="103"/>
      <c r="P155" s="103">
        <f t="shared" si="59"/>
        <v>667500</v>
      </c>
      <c r="Q155" s="178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  <c r="TH155" s="23"/>
    </row>
    <row r="156" spans="1:528" s="24" customFormat="1" ht="15.75" x14ac:dyDescent="0.25">
      <c r="A156" s="88"/>
      <c r="B156" s="115"/>
      <c r="C156" s="115"/>
      <c r="D156" s="89" t="s">
        <v>395</v>
      </c>
      <c r="E156" s="105">
        <f t="shared" si="58"/>
        <v>667500</v>
      </c>
      <c r="F156" s="105">
        <v>667500</v>
      </c>
      <c r="G156" s="105"/>
      <c r="H156" s="105"/>
      <c r="I156" s="105"/>
      <c r="J156" s="105">
        <f t="shared" si="60"/>
        <v>0</v>
      </c>
      <c r="K156" s="105"/>
      <c r="L156" s="105"/>
      <c r="M156" s="105"/>
      <c r="N156" s="105"/>
      <c r="O156" s="105"/>
      <c r="P156" s="105">
        <f t="shared" si="59"/>
        <v>667500</v>
      </c>
      <c r="Q156" s="178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  <c r="TF156" s="30"/>
      <c r="TG156" s="30"/>
      <c r="TH156" s="30"/>
    </row>
    <row r="157" spans="1:528" s="22" customFormat="1" ht="36.75" customHeight="1" x14ac:dyDescent="0.25">
      <c r="A157" s="60" t="s">
        <v>353</v>
      </c>
      <c r="B157" s="97" t="str">
        <f>'дод 8'!A99</f>
        <v>3090</v>
      </c>
      <c r="C157" s="97" t="str">
        <f>'дод 8'!B99</f>
        <v>1030</v>
      </c>
      <c r="D157" s="61" t="str">
        <f>'дод 8'!C99</f>
        <v>Видатки на поховання учасників бойових дій та осіб з інвалідністю внаслідок війни, у т.ч. за рахунок:</v>
      </c>
      <c r="E157" s="103">
        <f t="shared" si="58"/>
        <v>245000</v>
      </c>
      <c r="F157" s="103">
        <v>245000</v>
      </c>
      <c r="G157" s="103"/>
      <c r="H157" s="103"/>
      <c r="I157" s="103"/>
      <c r="J157" s="103">
        <f t="shared" si="60"/>
        <v>0</v>
      </c>
      <c r="K157" s="103"/>
      <c r="L157" s="103"/>
      <c r="M157" s="103"/>
      <c r="N157" s="103"/>
      <c r="O157" s="103"/>
      <c r="P157" s="103">
        <f t="shared" si="59"/>
        <v>245000</v>
      </c>
      <c r="Q157" s="178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  <c r="TH157" s="23"/>
    </row>
    <row r="158" spans="1:528" s="24" customFormat="1" ht="15.75" x14ac:dyDescent="0.25">
      <c r="A158" s="88"/>
      <c r="B158" s="115"/>
      <c r="C158" s="115"/>
      <c r="D158" s="89" t="s">
        <v>395</v>
      </c>
      <c r="E158" s="105">
        <f t="shared" si="58"/>
        <v>245000</v>
      </c>
      <c r="F158" s="105">
        <v>245000</v>
      </c>
      <c r="G158" s="105"/>
      <c r="H158" s="105"/>
      <c r="I158" s="105"/>
      <c r="J158" s="105">
        <f t="shared" si="60"/>
        <v>0</v>
      </c>
      <c r="K158" s="105"/>
      <c r="L158" s="105"/>
      <c r="M158" s="105"/>
      <c r="N158" s="105"/>
      <c r="O158" s="105"/>
      <c r="P158" s="105">
        <f t="shared" si="59"/>
        <v>245000</v>
      </c>
      <c r="Q158" s="178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30"/>
      <c r="KG158" s="30"/>
      <c r="KH158" s="30"/>
      <c r="KI158" s="30"/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30"/>
      <c r="KU158" s="30"/>
      <c r="KV158" s="30"/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  <c r="LU158" s="30"/>
      <c r="LV158" s="30"/>
      <c r="LW158" s="30"/>
      <c r="LX158" s="30"/>
      <c r="LY158" s="30"/>
      <c r="LZ158" s="30"/>
      <c r="MA158" s="30"/>
      <c r="MB158" s="30"/>
      <c r="MC158" s="30"/>
      <c r="MD158" s="30"/>
      <c r="ME158" s="30"/>
      <c r="MF158" s="30"/>
      <c r="MG158" s="30"/>
      <c r="MH158" s="30"/>
      <c r="MI158" s="30"/>
      <c r="MJ158" s="30"/>
      <c r="MK158" s="30"/>
      <c r="ML158" s="30"/>
      <c r="MM158" s="30"/>
      <c r="MN158" s="30"/>
      <c r="MO158" s="30"/>
      <c r="MP158" s="30"/>
      <c r="MQ158" s="30"/>
      <c r="MR158" s="30"/>
      <c r="MS158" s="30"/>
      <c r="MT158" s="30"/>
      <c r="MU158" s="30"/>
      <c r="MV158" s="30"/>
      <c r="MW158" s="30"/>
      <c r="MX158" s="30"/>
      <c r="MY158" s="30"/>
      <c r="MZ158" s="30"/>
      <c r="NA158" s="30"/>
      <c r="NB158" s="30"/>
      <c r="NC158" s="30"/>
      <c r="ND158" s="30"/>
      <c r="NE158" s="30"/>
      <c r="NF158" s="30"/>
      <c r="NG158" s="30"/>
      <c r="NH158" s="30"/>
      <c r="NI158" s="30"/>
      <c r="NJ158" s="30"/>
      <c r="NK158" s="30"/>
      <c r="NL158" s="30"/>
      <c r="NM158" s="30"/>
      <c r="NN158" s="30"/>
      <c r="NO158" s="30"/>
      <c r="NP158" s="30"/>
      <c r="NQ158" s="30"/>
      <c r="NR158" s="30"/>
      <c r="NS158" s="30"/>
      <c r="NT158" s="30"/>
      <c r="NU158" s="30"/>
      <c r="NV158" s="30"/>
      <c r="NW158" s="30"/>
      <c r="NX158" s="30"/>
      <c r="NY158" s="30"/>
      <c r="NZ158" s="30"/>
      <c r="OA158" s="30"/>
      <c r="OB158" s="30"/>
      <c r="OC158" s="30"/>
      <c r="OD158" s="30"/>
      <c r="OE158" s="30"/>
      <c r="OF158" s="30"/>
      <c r="OG158" s="30"/>
      <c r="OH158" s="30"/>
      <c r="OI158" s="30"/>
      <c r="OJ158" s="30"/>
      <c r="OK158" s="30"/>
      <c r="OL158" s="30"/>
      <c r="OM158" s="30"/>
      <c r="ON158" s="30"/>
      <c r="OO158" s="30"/>
      <c r="OP158" s="30"/>
      <c r="OQ158" s="30"/>
      <c r="OR158" s="30"/>
      <c r="OS158" s="30"/>
      <c r="OT158" s="30"/>
      <c r="OU158" s="30"/>
      <c r="OV158" s="30"/>
      <c r="OW158" s="30"/>
      <c r="OX158" s="30"/>
      <c r="OY158" s="30"/>
      <c r="OZ158" s="30"/>
      <c r="PA158" s="30"/>
      <c r="PB158" s="30"/>
      <c r="PC158" s="30"/>
      <c r="PD158" s="30"/>
      <c r="PE158" s="30"/>
      <c r="PF158" s="30"/>
      <c r="PG158" s="30"/>
      <c r="PH158" s="30"/>
      <c r="PI158" s="30"/>
      <c r="PJ158" s="30"/>
      <c r="PK158" s="30"/>
      <c r="PL158" s="30"/>
      <c r="PM158" s="30"/>
      <c r="PN158" s="30"/>
      <c r="PO158" s="30"/>
      <c r="PP158" s="30"/>
      <c r="PQ158" s="30"/>
      <c r="PR158" s="30"/>
      <c r="PS158" s="30"/>
      <c r="PT158" s="30"/>
      <c r="PU158" s="30"/>
      <c r="PV158" s="30"/>
      <c r="PW158" s="30"/>
      <c r="PX158" s="30"/>
      <c r="PY158" s="30"/>
      <c r="PZ158" s="30"/>
      <c r="QA158" s="30"/>
      <c r="QB158" s="30"/>
      <c r="QC158" s="30"/>
      <c r="QD158" s="30"/>
      <c r="QE158" s="30"/>
      <c r="QF158" s="30"/>
      <c r="QG158" s="30"/>
      <c r="QH158" s="30"/>
      <c r="QI158" s="30"/>
      <c r="QJ158" s="30"/>
      <c r="QK158" s="30"/>
      <c r="QL158" s="30"/>
      <c r="QM158" s="30"/>
      <c r="QN158" s="30"/>
      <c r="QO158" s="30"/>
      <c r="QP158" s="30"/>
      <c r="QQ158" s="30"/>
      <c r="QR158" s="30"/>
      <c r="QS158" s="30"/>
      <c r="QT158" s="30"/>
      <c r="QU158" s="30"/>
      <c r="QV158" s="30"/>
      <c r="QW158" s="30"/>
      <c r="QX158" s="30"/>
      <c r="QY158" s="30"/>
      <c r="QZ158" s="30"/>
      <c r="RA158" s="30"/>
      <c r="RB158" s="30"/>
      <c r="RC158" s="30"/>
      <c r="RD158" s="30"/>
      <c r="RE158" s="30"/>
      <c r="RF158" s="30"/>
      <c r="RG158" s="30"/>
      <c r="RH158" s="30"/>
      <c r="RI158" s="30"/>
      <c r="RJ158" s="30"/>
      <c r="RK158" s="30"/>
      <c r="RL158" s="30"/>
      <c r="RM158" s="30"/>
      <c r="RN158" s="30"/>
      <c r="RO158" s="30"/>
      <c r="RP158" s="30"/>
      <c r="RQ158" s="30"/>
      <c r="RR158" s="30"/>
      <c r="RS158" s="30"/>
      <c r="RT158" s="30"/>
      <c r="RU158" s="30"/>
      <c r="RV158" s="30"/>
      <c r="RW158" s="30"/>
      <c r="RX158" s="30"/>
      <c r="RY158" s="30"/>
      <c r="RZ158" s="30"/>
      <c r="SA158" s="30"/>
      <c r="SB158" s="30"/>
      <c r="SC158" s="30"/>
      <c r="SD158" s="30"/>
      <c r="SE158" s="30"/>
      <c r="SF158" s="30"/>
      <c r="SG158" s="30"/>
      <c r="SH158" s="30"/>
      <c r="SI158" s="30"/>
      <c r="SJ158" s="30"/>
      <c r="SK158" s="30"/>
      <c r="SL158" s="30"/>
      <c r="SM158" s="30"/>
      <c r="SN158" s="30"/>
      <c r="SO158" s="30"/>
      <c r="SP158" s="30"/>
      <c r="SQ158" s="30"/>
      <c r="SR158" s="30"/>
      <c r="SS158" s="30"/>
      <c r="ST158" s="30"/>
      <c r="SU158" s="30"/>
      <c r="SV158" s="30"/>
      <c r="SW158" s="30"/>
      <c r="SX158" s="30"/>
      <c r="SY158" s="30"/>
      <c r="SZ158" s="30"/>
      <c r="TA158" s="30"/>
      <c r="TB158" s="30"/>
      <c r="TC158" s="30"/>
      <c r="TD158" s="30"/>
      <c r="TE158" s="30"/>
      <c r="TF158" s="30"/>
      <c r="TG158" s="30"/>
      <c r="TH158" s="30"/>
    </row>
    <row r="159" spans="1:528" s="22" customFormat="1" ht="64.5" customHeight="1" x14ac:dyDescent="0.25">
      <c r="A159" s="60" t="s">
        <v>186</v>
      </c>
      <c r="B159" s="97" t="str">
        <f>'дод 8'!A101</f>
        <v>3104</v>
      </c>
      <c r="C159" s="97" t="str">
        <f>'дод 8'!B101</f>
        <v>1020</v>
      </c>
      <c r="D159" s="61" t="str">
        <f>'дод 8'!C101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9" s="103">
        <f t="shared" si="58"/>
        <v>17434450</v>
      </c>
      <c r="F159" s="103">
        <f>17394450+20000+20000</f>
        <v>17434450</v>
      </c>
      <c r="G159" s="103">
        <v>13551350</v>
      </c>
      <c r="H159" s="103">
        <f>208050+26750</f>
        <v>234800</v>
      </c>
      <c r="I159" s="103"/>
      <c r="J159" s="103">
        <f t="shared" si="60"/>
        <v>96200</v>
      </c>
      <c r="K159" s="103"/>
      <c r="L159" s="103">
        <v>96200</v>
      </c>
      <c r="M159" s="103">
        <v>75000</v>
      </c>
      <c r="N159" s="103"/>
      <c r="O159" s="103"/>
      <c r="P159" s="103">
        <f t="shared" si="59"/>
        <v>17530650</v>
      </c>
      <c r="Q159" s="178">
        <v>25</v>
      </c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  <c r="TH159" s="23"/>
    </row>
    <row r="160" spans="1:528" s="22" customFormat="1" ht="81.75" customHeight="1" x14ac:dyDescent="0.25">
      <c r="A160" s="60" t="s">
        <v>187</v>
      </c>
      <c r="B160" s="97" t="str">
        <f>'дод 8'!A107</f>
        <v>3160</v>
      </c>
      <c r="C160" s="97">
        <f>'дод 8'!B107</f>
        <v>1010</v>
      </c>
      <c r="D160" s="61" t="str">
        <f>'дод 8'!C107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0" s="103">
        <f t="shared" si="58"/>
        <v>2500000</v>
      </c>
      <c r="F160" s="103">
        <v>2500000</v>
      </c>
      <c r="G160" s="103"/>
      <c r="H160" s="103"/>
      <c r="I160" s="103"/>
      <c r="J160" s="103">
        <f t="shared" si="60"/>
        <v>0</v>
      </c>
      <c r="K160" s="103"/>
      <c r="L160" s="103"/>
      <c r="M160" s="103"/>
      <c r="N160" s="103"/>
      <c r="O160" s="103"/>
      <c r="P160" s="103">
        <f t="shared" si="59"/>
        <v>2500000</v>
      </c>
      <c r="Q160" s="178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</row>
    <row r="161" spans="1:528" s="22" customFormat="1" ht="63" x14ac:dyDescent="0.25">
      <c r="A161" s="60" t="s">
        <v>355</v>
      </c>
      <c r="B161" s="97" t="str">
        <f>'дод 8'!A108</f>
        <v>3171</v>
      </c>
      <c r="C161" s="97">
        <f>'дод 8'!B108</f>
        <v>1010</v>
      </c>
      <c r="D161" s="61" t="str">
        <f>'дод 8'!C108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61" s="103">
        <f t="shared" si="58"/>
        <v>198209</v>
      </c>
      <c r="F161" s="103">
        <v>198209</v>
      </c>
      <c r="G161" s="103"/>
      <c r="H161" s="103"/>
      <c r="I161" s="103"/>
      <c r="J161" s="103">
        <f t="shared" si="60"/>
        <v>0</v>
      </c>
      <c r="K161" s="103"/>
      <c r="L161" s="103"/>
      <c r="M161" s="103"/>
      <c r="N161" s="103"/>
      <c r="O161" s="103"/>
      <c r="P161" s="103">
        <f t="shared" si="59"/>
        <v>198209</v>
      </c>
      <c r="Q161" s="178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  <c r="TH161" s="23"/>
    </row>
    <row r="162" spans="1:528" s="24" customFormat="1" ht="15.75" x14ac:dyDescent="0.25">
      <c r="A162" s="88"/>
      <c r="B162" s="115"/>
      <c r="C162" s="115"/>
      <c r="D162" s="89" t="s">
        <v>395</v>
      </c>
      <c r="E162" s="105">
        <f t="shared" si="58"/>
        <v>198209</v>
      </c>
      <c r="F162" s="105">
        <v>198209</v>
      </c>
      <c r="G162" s="105"/>
      <c r="H162" s="105"/>
      <c r="I162" s="105"/>
      <c r="J162" s="105">
        <f t="shared" si="60"/>
        <v>0</v>
      </c>
      <c r="K162" s="105"/>
      <c r="L162" s="105"/>
      <c r="M162" s="105"/>
      <c r="N162" s="105"/>
      <c r="O162" s="105"/>
      <c r="P162" s="105">
        <f t="shared" si="59"/>
        <v>198209</v>
      </c>
      <c r="Q162" s="178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  <c r="TF162" s="30"/>
      <c r="TG162" s="30"/>
      <c r="TH162" s="30"/>
    </row>
    <row r="163" spans="1:528" s="22" customFormat="1" ht="31.5" x14ac:dyDescent="0.25">
      <c r="A163" s="60" t="s">
        <v>356</v>
      </c>
      <c r="B163" s="97" t="str">
        <f>'дод 8'!A110</f>
        <v>3172</v>
      </c>
      <c r="C163" s="97">
        <f>'дод 8'!B110</f>
        <v>1010</v>
      </c>
      <c r="D163" s="61" t="s">
        <v>408</v>
      </c>
      <c r="E163" s="103">
        <f t="shared" si="58"/>
        <v>90</v>
      </c>
      <c r="F163" s="103">
        <v>90</v>
      </c>
      <c r="G163" s="103"/>
      <c r="H163" s="103"/>
      <c r="I163" s="103"/>
      <c r="J163" s="103">
        <f t="shared" si="60"/>
        <v>0</v>
      </c>
      <c r="K163" s="103"/>
      <c r="L163" s="103"/>
      <c r="M163" s="103"/>
      <c r="N163" s="103"/>
      <c r="O163" s="103"/>
      <c r="P163" s="103">
        <f t="shared" si="59"/>
        <v>90</v>
      </c>
      <c r="Q163" s="178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</row>
    <row r="164" spans="1:528" s="24" customFormat="1" ht="15.75" x14ac:dyDescent="0.25">
      <c r="A164" s="88"/>
      <c r="B164" s="115"/>
      <c r="C164" s="115"/>
      <c r="D164" s="89" t="s">
        <v>395</v>
      </c>
      <c r="E164" s="105">
        <f t="shared" si="58"/>
        <v>90</v>
      </c>
      <c r="F164" s="105">
        <v>90</v>
      </c>
      <c r="G164" s="105"/>
      <c r="H164" s="105"/>
      <c r="I164" s="105"/>
      <c r="J164" s="105">
        <f t="shared" si="60"/>
        <v>0</v>
      </c>
      <c r="K164" s="105"/>
      <c r="L164" s="105"/>
      <c r="M164" s="105"/>
      <c r="N164" s="105"/>
      <c r="O164" s="105"/>
      <c r="P164" s="105">
        <f t="shared" si="59"/>
        <v>90</v>
      </c>
      <c r="Q164" s="178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30"/>
      <c r="NY164" s="30"/>
      <c r="NZ164" s="30"/>
      <c r="OA164" s="30"/>
      <c r="OB164" s="30"/>
      <c r="OC164" s="30"/>
      <c r="OD164" s="30"/>
      <c r="OE164" s="30"/>
      <c r="OF164" s="30"/>
      <c r="OG164" s="30"/>
      <c r="OH164" s="30"/>
      <c r="OI164" s="30"/>
      <c r="OJ164" s="30"/>
      <c r="OK164" s="30"/>
      <c r="OL164" s="30"/>
      <c r="OM164" s="30"/>
      <c r="ON164" s="30"/>
      <c r="OO164" s="30"/>
      <c r="OP164" s="30"/>
      <c r="OQ164" s="30"/>
      <c r="OR164" s="30"/>
      <c r="OS164" s="30"/>
      <c r="OT164" s="30"/>
      <c r="OU164" s="30"/>
      <c r="OV164" s="30"/>
      <c r="OW164" s="30"/>
      <c r="OX164" s="30"/>
      <c r="OY164" s="30"/>
      <c r="OZ164" s="30"/>
      <c r="PA164" s="30"/>
      <c r="PB164" s="30"/>
      <c r="PC164" s="30"/>
      <c r="PD164" s="30"/>
      <c r="PE164" s="30"/>
      <c r="PF164" s="30"/>
      <c r="PG164" s="30"/>
      <c r="PH164" s="30"/>
      <c r="PI164" s="30"/>
      <c r="PJ164" s="30"/>
      <c r="PK164" s="30"/>
      <c r="PL164" s="30"/>
      <c r="PM164" s="30"/>
      <c r="PN164" s="30"/>
      <c r="PO164" s="30"/>
      <c r="PP164" s="30"/>
      <c r="PQ164" s="30"/>
      <c r="PR164" s="30"/>
      <c r="PS164" s="30"/>
      <c r="PT164" s="30"/>
      <c r="PU164" s="30"/>
      <c r="PV164" s="30"/>
      <c r="PW164" s="30"/>
      <c r="PX164" s="30"/>
      <c r="PY164" s="30"/>
      <c r="PZ164" s="30"/>
      <c r="QA164" s="30"/>
      <c r="QB164" s="30"/>
      <c r="QC164" s="30"/>
      <c r="QD164" s="30"/>
      <c r="QE164" s="30"/>
      <c r="QF164" s="30"/>
      <c r="QG164" s="30"/>
      <c r="QH164" s="30"/>
      <c r="QI164" s="30"/>
      <c r="QJ164" s="30"/>
      <c r="QK164" s="30"/>
      <c r="QL164" s="30"/>
      <c r="QM164" s="30"/>
      <c r="QN164" s="30"/>
      <c r="QO164" s="30"/>
      <c r="QP164" s="30"/>
      <c r="QQ164" s="30"/>
      <c r="QR164" s="30"/>
      <c r="QS164" s="30"/>
      <c r="QT164" s="30"/>
      <c r="QU164" s="30"/>
      <c r="QV164" s="30"/>
      <c r="QW164" s="30"/>
      <c r="QX164" s="30"/>
      <c r="QY164" s="30"/>
      <c r="QZ164" s="30"/>
      <c r="RA164" s="30"/>
      <c r="RB164" s="30"/>
      <c r="RC164" s="30"/>
      <c r="RD164" s="30"/>
      <c r="RE164" s="30"/>
      <c r="RF164" s="30"/>
      <c r="RG164" s="30"/>
      <c r="RH164" s="30"/>
      <c r="RI164" s="30"/>
      <c r="RJ164" s="30"/>
      <c r="RK164" s="30"/>
      <c r="RL164" s="30"/>
      <c r="RM164" s="30"/>
      <c r="RN164" s="30"/>
      <c r="RO164" s="30"/>
      <c r="RP164" s="30"/>
      <c r="RQ164" s="30"/>
      <c r="RR164" s="30"/>
      <c r="RS164" s="30"/>
      <c r="RT164" s="30"/>
      <c r="RU164" s="30"/>
      <c r="RV164" s="30"/>
      <c r="RW164" s="30"/>
      <c r="RX164" s="30"/>
      <c r="RY164" s="30"/>
      <c r="RZ164" s="30"/>
      <c r="SA164" s="30"/>
      <c r="SB164" s="30"/>
      <c r="SC164" s="30"/>
      <c r="SD164" s="30"/>
      <c r="SE164" s="30"/>
      <c r="SF164" s="30"/>
      <c r="SG164" s="30"/>
      <c r="SH164" s="30"/>
      <c r="SI164" s="30"/>
      <c r="SJ164" s="30"/>
      <c r="SK164" s="30"/>
      <c r="SL164" s="30"/>
      <c r="SM164" s="30"/>
      <c r="SN164" s="30"/>
      <c r="SO164" s="30"/>
      <c r="SP164" s="30"/>
      <c r="SQ164" s="30"/>
      <c r="SR164" s="30"/>
      <c r="SS164" s="30"/>
      <c r="ST164" s="30"/>
      <c r="SU164" s="30"/>
      <c r="SV164" s="30"/>
      <c r="SW164" s="30"/>
      <c r="SX164" s="30"/>
      <c r="SY164" s="30"/>
      <c r="SZ164" s="30"/>
      <c r="TA164" s="30"/>
      <c r="TB164" s="30"/>
      <c r="TC164" s="30"/>
      <c r="TD164" s="30"/>
      <c r="TE164" s="30"/>
      <c r="TF164" s="30"/>
      <c r="TG164" s="30"/>
      <c r="TH164" s="30"/>
    </row>
    <row r="165" spans="1:528" s="22" customFormat="1" ht="78.75" x14ac:dyDescent="0.25">
      <c r="A165" s="60" t="s">
        <v>188</v>
      </c>
      <c r="B165" s="97" t="str">
        <f>'дод 8'!A112</f>
        <v>3180</v>
      </c>
      <c r="C165" s="97" t="str">
        <f>'дод 8'!B112</f>
        <v>1060</v>
      </c>
      <c r="D165" s="61" t="str">
        <f>'дод 8'!C112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65" s="103">
        <f t="shared" si="58"/>
        <v>2213520</v>
      </c>
      <c r="F165" s="103">
        <v>2213520</v>
      </c>
      <c r="G165" s="103"/>
      <c r="H165" s="103"/>
      <c r="I165" s="103"/>
      <c r="J165" s="103">
        <f t="shared" si="60"/>
        <v>0</v>
      </c>
      <c r="K165" s="103"/>
      <c r="L165" s="103"/>
      <c r="M165" s="103"/>
      <c r="N165" s="103"/>
      <c r="O165" s="103"/>
      <c r="P165" s="103">
        <f t="shared" si="59"/>
        <v>2213520</v>
      </c>
      <c r="Q165" s="178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</row>
    <row r="166" spans="1:528" s="22" customFormat="1" ht="31.5" customHeight="1" x14ac:dyDescent="0.25">
      <c r="A166" s="60" t="s">
        <v>310</v>
      </c>
      <c r="B166" s="97" t="str">
        <f>'дод 8'!A113</f>
        <v>3191</v>
      </c>
      <c r="C166" s="97" t="str">
        <f>'дод 8'!B113</f>
        <v>1030</v>
      </c>
      <c r="D166" s="61" t="str">
        <f>'дод 8'!C113</f>
        <v>Інші видатки на соціальний захист ветеранів війни та праці</v>
      </c>
      <c r="E166" s="103">
        <f t="shared" si="58"/>
        <v>2089960</v>
      </c>
      <c r="F166" s="103">
        <v>2089960</v>
      </c>
      <c r="G166" s="103"/>
      <c r="H166" s="103"/>
      <c r="I166" s="103"/>
      <c r="J166" s="103">
        <f t="shared" si="60"/>
        <v>0</v>
      </c>
      <c r="K166" s="103"/>
      <c r="L166" s="103"/>
      <c r="M166" s="103"/>
      <c r="N166" s="103"/>
      <c r="O166" s="103"/>
      <c r="P166" s="103">
        <f t="shared" si="59"/>
        <v>2089960</v>
      </c>
      <c r="Q166" s="178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  <c r="TH166" s="23"/>
    </row>
    <row r="167" spans="1:528" s="22" customFormat="1" ht="47.25" x14ac:dyDescent="0.25">
      <c r="A167" s="60" t="s">
        <v>311</v>
      </c>
      <c r="B167" s="97" t="str">
        <f>'дод 8'!A114</f>
        <v>3192</v>
      </c>
      <c r="C167" s="97" t="str">
        <f>'дод 8'!B114</f>
        <v>1030</v>
      </c>
      <c r="D167" s="61" t="s">
        <v>512</v>
      </c>
      <c r="E167" s="103">
        <f t="shared" si="58"/>
        <v>2250688</v>
      </c>
      <c r="F167" s="103">
        <v>2250688</v>
      </c>
      <c r="G167" s="103"/>
      <c r="H167" s="103"/>
      <c r="I167" s="103"/>
      <c r="J167" s="103">
        <f t="shared" si="60"/>
        <v>0</v>
      </c>
      <c r="K167" s="103"/>
      <c r="L167" s="103"/>
      <c r="M167" s="103"/>
      <c r="N167" s="103"/>
      <c r="O167" s="103"/>
      <c r="P167" s="103">
        <f t="shared" si="59"/>
        <v>2250688</v>
      </c>
      <c r="Q167" s="178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  <c r="TH167" s="23"/>
    </row>
    <row r="168" spans="1:528" s="22" customFormat="1" ht="34.5" customHeight="1" x14ac:dyDescent="0.25">
      <c r="A168" s="60" t="s">
        <v>189</v>
      </c>
      <c r="B168" s="97" t="str">
        <f>'дод 8'!A115</f>
        <v>3200</v>
      </c>
      <c r="C168" s="97" t="str">
        <f>'дод 8'!B115</f>
        <v>1090</v>
      </c>
      <c r="D168" s="61" t="str">
        <f>'дод 8'!C115</f>
        <v>Забезпечення обробки інформації з нарахування та виплати допомог і компенсацій</v>
      </c>
      <c r="E168" s="103">
        <f t="shared" si="58"/>
        <v>92000</v>
      </c>
      <c r="F168" s="103">
        <v>92000</v>
      </c>
      <c r="G168" s="103"/>
      <c r="H168" s="103"/>
      <c r="I168" s="103"/>
      <c r="J168" s="103">
        <f t="shared" si="60"/>
        <v>0</v>
      </c>
      <c r="K168" s="103"/>
      <c r="L168" s="103"/>
      <c r="M168" s="103"/>
      <c r="N168" s="103"/>
      <c r="O168" s="103"/>
      <c r="P168" s="103">
        <f t="shared" si="59"/>
        <v>92000</v>
      </c>
      <c r="Q168" s="178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</row>
    <row r="169" spans="1:528" s="22" customFormat="1" ht="19.5" customHeight="1" x14ac:dyDescent="0.25">
      <c r="A169" s="107" t="s">
        <v>312</v>
      </c>
      <c r="B169" s="42" t="str">
        <f>'дод 8'!A116</f>
        <v>3210</v>
      </c>
      <c r="C169" s="42" t="str">
        <f>'дод 8'!B116</f>
        <v>1050</v>
      </c>
      <c r="D169" s="36" t="str">
        <f>'дод 8'!C116</f>
        <v>Організація та проведення громадських робіт</v>
      </c>
      <c r="E169" s="103">
        <f t="shared" si="58"/>
        <v>50000</v>
      </c>
      <c r="F169" s="103">
        <v>50000</v>
      </c>
      <c r="G169" s="103">
        <v>40900</v>
      </c>
      <c r="H169" s="103"/>
      <c r="I169" s="103"/>
      <c r="J169" s="103">
        <f t="shared" si="60"/>
        <v>0</v>
      </c>
      <c r="K169" s="103"/>
      <c r="L169" s="103"/>
      <c r="M169" s="103"/>
      <c r="N169" s="103"/>
      <c r="O169" s="103"/>
      <c r="P169" s="103">
        <f t="shared" si="59"/>
        <v>50000</v>
      </c>
      <c r="Q169" s="178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</row>
    <row r="170" spans="1:528" s="22" customFormat="1" ht="225" hidden="1" customHeight="1" x14ac:dyDescent="0.25">
      <c r="A170" s="107" t="s">
        <v>444</v>
      </c>
      <c r="B170" s="42">
        <v>3221</v>
      </c>
      <c r="C170" s="107" t="s">
        <v>54</v>
      </c>
      <c r="D170" s="36" t="str">
        <f>'дод 8'!C117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0" s="103">
        <f t="shared" si="58"/>
        <v>0</v>
      </c>
      <c r="F170" s="120"/>
      <c r="G170" s="103"/>
      <c r="H170" s="103"/>
      <c r="I170" s="103"/>
      <c r="J170" s="103">
        <f t="shared" si="60"/>
        <v>0</v>
      </c>
      <c r="K170" s="103"/>
      <c r="L170" s="103"/>
      <c r="M170" s="103"/>
      <c r="N170" s="103"/>
      <c r="O170" s="103"/>
      <c r="P170" s="103">
        <f t="shared" si="59"/>
        <v>0</v>
      </c>
      <c r="Q170" s="178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</row>
    <row r="171" spans="1:528" s="24" customFormat="1" ht="255.75" hidden="1" customHeight="1" x14ac:dyDescent="0.25">
      <c r="A171" s="109"/>
      <c r="B171" s="92"/>
      <c r="C171" s="109"/>
      <c r="D171" s="91" t="str">
        <f>'дод 8'!C88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1" s="103">
        <f t="shared" si="58"/>
        <v>0</v>
      </c>
      <c r="F171" s="121"/>
      <c r="G171" s="105"/>
      <c r="H171" s="105"/>
      <c r="I171" s="105"/>
      <c r="J171" s="103">
        <f t="shared" si="60"/>
        <v>0</v>
      </c>
      <c r="K171" s="105"/>
      <c r="L171" s="105"/>
      <c r="M171" s="105"/>
      <c r="N171" s="105"/>
      <c r="O171" s="105"/>
      <c r="P171" s="105">
        <f t="shared" si="59"/>
        <v>0</v>
      </c>
      <c r="Q171" s="178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  <c r="IX171" s="30"/>
      <c r="IY171" s="30"/>
      <c r="IZ171" s="30"/>
      <c r="JA171" s="30"/>
      <c r="JB171" s="30"/>
      <c r="JC171" s="30"/>
      <c r="JD171" s="30"/>
      <c r="JE171" s="30"/>
      <c r="JF171" s="30"/>
      <c r="JG171" s="30"/>
      <c r="JH171" s="30"/>
      <c r="JI171" s="30"/>
      <c r="JJ171" s="30"/>
      <c r="JK171" s="30"/>
      <c r="JL171" s="30"/>
      <c r="JM171" s="30"/>
      <c r="JN171" s="30"/>
      <c r="JO171" s="30"/>
      <c r="JP171" s="30"/>
      <c r="JQ171" s="30"/>
      <c r="JR171" s="30"/>
      <c r="JS171" s="30"/>
      <c r="JT171" s="30"/>
      <c r="JU171" s="30"/>
      <c r="JV171" s="30"/>
      <c r="JW171" s="30"/>
      <c r="JX171" s="30"/>
      <c r="JY171" s="30"/>
      <c r="JZ171" s="30"/>
      <c r="KA171" s="30"/>
      <c r="KB171" s="30"/>
      <c r="KC171" s="30"/>
      <c r="KD171" s="30"/>
      <c r="KE171" s="30"/>
      <c r="KF171" s="30"/>
      <c r="KG171" s="30"/>
      <c r="KH171" s="30"/>
      <c r="KI171" s="30"/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30"/>
      <c r="KU171" s="30"/>
      <c r="KV171" s="30"/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/>
      <c r="LJ171" s="30"/>
      <c r="LK171" s="30"/>
      <c r="LL171" s="30"/>
      <c r="LM171" s="30"/>
      <c r="LN171" s="30"/>
      <c r="LO171" s="30"/>
      <c r="LP171" s="30"/>
      <c r="LQ171" s="30"/>
      <c r="LR171" s="30"/>
      <c r="LS171" s="30"/>
      <c r="LT171" s="30"/>
      <c r="LU171" s="30"/>
      <c r="LV171" s="30"/>
      <c r="LW171" s="30"/>
      <c r="LX171" s="30"/>
      <c r="LY171" s="30"/>
      <c r="LZ171" s="30"/>
      <c r="MA171" s="30"/>
      <c r="MB171" s="30"/>
      <c r="MC171" s="30"/>
      <c r="MD171" s="30"/>
      <c r="ME171" s="30"/>
      <c r="MF171" s="30"/>
      <c r="MG171" s="30"/>
      <c r="MH171" s="30"/>
      <c r="MI171" s="30"/>
      <c r="MJ171" s="30"/>
      <c r="MK171" s="30"/>
      <c r="ML171" s="30"/>
      <c r="MM171" s="30"/>
      <c r="MN171" s="30"/>
      <c r="MO171" s="30"/>
      <c r="MP171" s="30"/>
      <c r="MQ171" s="30"/>
      <c r="MR171" s="30"/>
      <c r="MS171" s="30"/>
      <c r="MT171" s="30"/>
      <c r="MU171" s="30"/>
      <c r="MV171" s="30"/>
      <c r="MW171" s="30"/>
      <c r="MX171" s="30"/>
      <c r="MY171" s="30"/>
      <c r="MZ171" s="30"/>
      <c r="NA171" s="30"/>
      <c r="NB171" s="30"/>
      <c r="NC171" s="30"/>
      <c r="ND171" s="30"/>
      <c r="NE171" s="30"/>
      <c r="NF171" s="30"/>
      <c r="NG171" s="30"/>
      <c r="NH171" s="30"/>
      <c r="NI171" s="30"/>
      <c r="NJ171" s="30"/>
      <c r="NK171" s="30"/>
      <c r="NL171" s="30"/>
      <c r="NM171" s="30"/>
      <c r="NN171" s="30"/>
      <c r="NO171" s="30"/>
      <c r="NP171" s="30"/>
      <c r="NQ171" s="30"/>
      <c r="NR171" s="30"/>
      <c r="NS171" s="30"/>
      <c r="NT171" s="30"/>
      <c r="NU171" s="30"/>
      <c r="NV171" s="30"/>
      <c r="NW171" s="30"/>
      <c r="NX171" s="30"/>
      <c r="NY171" s="30"/>
      <c r="NZ171" s="30"/>
      <c r="OA171" s="30"/>
      <c r="OB171" s="30"/>
      <c r="OC171" s="30"/>
      <c r="OD171" s="30"/>
      <c r="OE171" s="30"/>
      <c r="OF171" s="30"/>
      <c r="OG171" s="30"/>
      <c r="OH171" s="30"/>
      <c r="OI171" s="30"/>
      <c r="OJ171" s="30"/>
      <c r="OK171" s="30"/>
      <c r="OL171" s="30"/>
      <c r="OM171" s="30"/>
      <c r="ON171" s="30"/>
      <c r="OO171" s="30"/>
      <c r="OP171" s="30"/>
      <c r="OQ171" s="30"/>
      <c r="OR171" s="30"/>
      <c r="OS171" s="30"/>
      <c r="OT171" s="30"/>
      <c r="OU171" s="30"/>
      <c r="OV171" s="30"/>
      <c r="OW171" s="30"/>
      <c r="OX171" s="30"/>
      <c r="OY171" s="30"/>
      <c r="OZ171" s="30"/>
      <c r="PA171" s="30"/>
      <c r="PB171" s="30"/>
      <c r="PC171" s="30"/>
      <c r="PD171" s="30"/>
      <c r="PE171" s="30"/>
      <c r="PF171" s="30"/>
      <c r="PG171" s="30"/>
      <c r="PH171" s="30"/>
      <c r="PI171" s="30"/>
      <c r="PJ171" s="30"/>
      <c r="PK171" s="30"/>
      <c r="PL171" s="30"/>
      <c r="PM171" s="30"/>
      <c r="PN171" s="30"/>
      <c r="PO171" s="30"/>
      <c r="PP171" s="30"/>
      <c r="PQ171" s="30"/>
      <c r="PR171" s="30"/>
      <c r="PS171" s="30"/>
      <c r="PT171" s="30"/>
      <c r="PU171" s="30"/>
      <c r="PV171" s="30"/>
      <c r="PW171" s="30"/>
      <c r="PX171" s="30"/>
      <c r="PY171" s="30"/>
      <c r="PZ171" s="30"/>
      <c r="QA171" s="30"/>
      <c r="QB171" s="30"/>
      <c r="QC171" s="30"/>
      <c r="QD171" s="30"/>
      <c r="QE171" s="30"/>
      <c r="QF171" s="30"/>
      <c r="QG171" s="30"/>
      <c r="QH171" s="30"/>
      <c r="QI171" s="30"/>
      <c r="QJ171" s="30"/>
      <c r="QK171" s="30"/>
      <c r="QL171" s="30"/>
      <c r="QM171" s="30"/>
      <c r="QN171" s="30"/>
      <c r="QO171" s="30"/>
      <c r="QP171" s="30"/>
      <c r="QQ171" s="30"/>
      <c r="QR171" s="30"/>
      <c r="QS171" s="30"/>
      <c r="QT171" s="30"/>
      <c r="QU171" s="30"/>
      <c r="QV171" s="30"/>
      <c r="QW171" s="30"/>
      <c r="QX171" s="30"/>
      <c r="QY171" s="30"/>
      <c r="QZ171" s="30"/>
      <c r="RA171" s="30"/>
      <c r="RB171" s="30"/>
      <c r="RC171" s="30"/>
      <c r="RD171" s="30"/>
      <c r="RE171" s="30"/>
      <c r="RF171" s="30"/>
      <c r="RG171" s="30"/>
      <c r="RH171" s="30"/>
      <c r="RI171" s="30"/>
      <c r="RJ171" s="30"/>
      <c r="RK171" s="30"/>
      <c r="RL171" s="30"/>
      <c r="RM171" s="30"/>
      <c r="RN171" s="30"/>
      <c r="RO171" s="30"/>
      <c r="RP171" s="30"/>
      <c r="RQ171" s="30"/>
      <c r="RR171" s="30"/>
      <c r="RS171" s="30"/>
      <c r="RT171" s="30"/>
      <c r="RU171" s="30"/>
      <c r="RV171" s="30"/>
      <c r="RW171" s="30"/>
      <c r="RX171" s="30"/>
      <c r="RY171" s="30"/>
      <c r="RZ171" s="30"/>
      <c r="SA171" s="30"/>
      <c r="SB171" s="30"/>
      <c r="SC171" s="30"/>
      <c r="SD171" s="30"/>
      <c r="SE171" s="30"/>
      <c r="SF171" s="30"/>
      <c r="SG171" s="30"/>
      <c r="SH171" s="30"/>
      <c r="SI171" s="30"/>
      <c r="SJ171" s="30"/>
      <c r="SK171" s="30"/>
      <c r="SL171" s="30"/>
      <c r="SM171" s="30"/>
      <c r="SN171" s="30"/>
      <c r="SO171" s="30"/>
      <c r="SP171" s="30"/>
      <c r="SQ171" s="30"/>
      <c r="SR171" s="30"/>
      <c r="SS171" s="30"/>
      <c r="ST171" s="30"/>
      <c r="SU171" s="30"/>
      <c r="SV171" s="30"/>
      <c r="SW171" s="30"/>
      <c r="SX171" s="30"/>
      <c r="SY171" s="30"/>
      <c r="SZ171" s="30"/>
      <c r="TA171" s="30"/>
      <c r="TB171" s="30"/>
      <c r="TC171" s="30"/>
      <c r="TD171" s="30"/>
      <c r="TE171" s="30"/>
      <c r="TF171" s="30"/>
      <c r="TG171" s="30"/>
      <c r="TH171" s="30"/>
    </row>
    <row r="172" spans="1:528" s="22" customFormat="1" ht="174.75" hidden="1" customHeight="1" x14ac:dyDescent="0.25">
      <c r="A172" s="107" t="s">
        <v>443</v>
      </c>
      <c r="B172" s="42">
        <v>3223</v>
      </c>
      <c r="C172" s="107" t="s">
        <v>54</v>
      </c>
      <c r="D172" s="36" t="str">
        <f>'дод 8'!C119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2" s="103">
        <f t="shared" si="58"/>
        <v>0</v>
      </c>
      <c r="F172" s="103"/>
      <c r="G172" s="103"/>
      <c r="H172" s="103"/>
      <c r="I172" s="103"/>
      <c r="J172" s="103">
        <f t="shared" si="60"/>
        <v>0</v>
      </c>
      <c r="K172" s="103"/>
      <c r="L172" s="103"/>
      <c r="M172" s="103"/>
      <c r="N172" s="103"/>
      <c r="O172" s="103"/>
      <c r="P172" s="103">
        <f t="shared" si="59"/>
        <v>0</v>
      </c>
      <c r="Q172" s="178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</row>
    <row r="173" spans="1:528" s="24" customFormat="1" ht="216" hidden="1" customHeight="1" x14ac:dyDescent="0.25">
      <c r="A173" s="109"/>
      <c r="B173" s="92"/>
      <c r="C173" s="109"/>
      <c r="D173" s="91" t="str">
        <f>'дод 8'!C120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3" s="105">
        <f t="shared" si="58"/>
        <v>0</v>
      </c>
      <c r="F173" s="105"/>
      <c r="G173" s="105"/>
      <c r="H173" s="105"/>
      <c r="I173" s="105"/>
      <c r="J173" s="105">
        <f t="shared" si="60"/>
        <v>0</v>
      </c>
      <c r="K173" s="105"/>
      <c r="L173" s="105"/>
      <c r="M173" s="105"/>
      <c r="N173" s="105"/>
      <c r="O173" s="105"/>
      <c r="P173" s="105">
        <f t="shared" si="59"/>
        <v>0</v>
      </c>
      <c r="Q173" s="178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30"/>
      <c r="JA173" s="30"/>
      <c r="JB173" s="30"/>
      <c r="JC173" s="30"/>
      <c r="JD173" s="30"/>
      <c r="JE173" s="30"/>
      <c r="JF173" s="30"/>
      <c r="JG173" s="30"/>
      <c r="JH173" s="30"/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  <c r="LU173" s="30"/>
      <c r="LV173" s="30"/>
      <c r="LW173" s="30"/>
      <c r="LX173" s="30"/>
      <c r="LY173" s="30"/>
      <c r="LZ173" s="30"/>
      <c r="MA173" s="30"/>
      <c r="MB173" s="30"/>
      <c r="MC173" s="30"/>
      <c r="MD173" s="30"/>
      <c r="ME173" s="30"/>
      <c r="MF173" s="30"/>
      <c r="MG173" s="30"/>
      <c r="MH173" s="30"/>
      <c r="MI173" s="30"/>
      <c r="MJ173" s="30"/>
      <c r="MK173" s="30"/>
      <c r="ML173" s="30"/>
      <c r="MM173" s="30"/>
      <c r="MN173" s="30"/>
      <c r="MO173" s="30"/>
      <c r="MP173" s="30"/>
      <c r="MQ173" s="30"/>
      <c r="MR173" s="30"/>
      <c r="MS173" s="30"/>
      <c r="MT173" s="30"/>
      <c r="MU173" s="30"/>
      <c r="MV173" s="30"/>
      <c r="MW173" s="30"/>
      <c r="MX173" s="30"/>
      <c r="MY173" s="30"/>
      <c r="MZ173" s="30"/>
      <c r="NA173" s="30"/>
      <c r="NB173" s="30"/>
      <c r="NC173" s="30"/>
      <c r="ND173" s="30"/>
      <c r="NE173" s="30"/>
      <c r="NF173" s="30"/>
      <c r="NG173" s="30"/>
      <c r="NH173" s="30"/>
      <c r="NI173" s="30"/>
      <c r="NJ173" s="30"/>
      <c r="NK173" s="30"/>
      <c r="NL173" s="30"/>
      <c r="NM173" s="30"/>
      <c r="NN173" s="30"/>
      <c r="NO173" s="30"/>
      <c r="NP173" s="30"/>
      <c r="NQ173" s="30"/>
      <c r="NR173" s="30"/>
      <c r="NS173" s="30"/>
      <c r="NT173" s="30"/>
      <c r="NU173" s="30"/>
      <c r="NV173" s="30"/>
      <c r="NW173" s="30"/>
      <c r="NX173" s="30"/>
      <c r="NY173" s="30"/>
      <c r="NZ173" s="30"/>
      <c r="OA173" s="30"/>
      <c r="OB173" s="30"/>
      <c r="OC173" s="30"/>
      <c r="OD173" s="30"/>
      <c r="OE173" s="30"/>
      <c r="OF173" s="30"/>
      <c r="OG173" s="30"/>
      <c r="OH173" s="30"/>
      <c r="OI173" s="30"/>
      <c r="OJ173" s="30"/>
      <c r="OK173" s="30"/>
      <c r="OL173" s="30"/>
      <c r="OM173" s="30"/>
      <c r="ON173" s="30"/>
      <c r="OO173" s="30"/>
      <c r="OP173" s="30"/>
      <c r="OQ173" s="30"/>
      <c r="OR173" s="30"/>
      <c r="OS173" s="30"/>
      <c r="OT173" s="30"/>
      <c r="OU173" s="30"/>
      <c r="OV173" s="30"/>
      <c r="OW173" s="30"/>
      <c r="OX173" s="30"/>
      <c r="OY173" s="30"/>
      <c r="OZ173" s="30"/>
      <c r="PA173" s="30"/>
      <c r="PB173" s="30"/>
      <c r="PC173" s="30"/>
      <c r="PD173" s="30"/>
      <c r="PE173" s="30"/>
      <c r="PF173" s="30"/>
      <c r="PG173" s="30"/>
      <c r="PH173" s="30"/>
      <c r="PI173" s="30"/>
      <c r="PJ173" s="30"/>
      <c r="PK173" s="30"/>
      <c r="PL173" s="30"/>
      <c r="PM173" s="30"/>
      <c r="PN173" s="30"/>
      <c r="PO173" s="30"/>
      <c r="PP173" s="30"/>
      <c r="PQ173" s="30"/>
      <c r="PR173" s="30"/>
      <c r="PS173" s="30"/>
      <c r="PT173" s="30"/>
      <c r="PU173" s="30"/>
      <c r="PV173" s="30"/>
      <c r="PW173" s="30"/>
      <c r="PX173" s="30"/>
      <c r="PY173" s="30"/>
      <c r="PZ173" s="30"/>
      <c r="QA173" s="30"/>
      <c r="QB173" s="30"/>
      <c r="QC173" s="30"/>
      <c r="QD173" s="30"/>
      <c r="QE173" s="30"/>
      <c r="QF173" s="30"/>
      <c r="QG173" s="30"/>
      <c r="QH173" s="30"/>
      <c r="QI173" s="30"/>
      <c r="QJ173" s="30"/>
      <c r="QK173" s="30"/>
      <c r="QL173" s="30"/>
      <c r="QM173" s="30"/>
      <c r="QN173" s="30"/>
      <c r="QO173" s="30"/>
      <c r="QP173" s="30"/>
      <c r="QQ173" s="30"/>
      <c r="QR173" s="30"/>
      <c r="QS173" s="30"/>
      <c r="QT173" s="30"/>
      <c r="QU173" s="30"/>
      <c r="QV173" s="30"/>
      <c r="QW173" s="30"/>
      <c r="QX173" s="30"/>
      <c r="QY173" s="30"/>
      <c r="QZ173" s="30"/>
      <c r="RA173" s="30"/>
      <c r="RB173" s="30"/>
      <c r="RC173" s="30"/>
      <c r="RD173" s="30"/>
      <c r="RE173" s="30"/>
      <c r="RF173" s="30"/>
      <c r="RG173" s="30"/>
      <c r="RH173" s="30"/>
      <c r="RI173" s="30"/>
      <c r="RJ173" s="30"/>
      <c r="RK173" s="30"/>
      <c r="RL173" s="30"/>
      <c r="RM173" s="30"/>
      <c r="RN173" s="30"/>
      <c r="RO173" s="30"/>
      <c r="RP173" s="30"/>
      <c r="RQ173" s="30"/>
      <c r="RR173" s="30"/>
      <c r="RS173" s="30"/>
      <c r="RT173" s="30"/>
      <c r="RU173" s="30"/>
      <c r="RV173" s="30"/>
      <c r="RW173" s="30"/>
      <c r="RX173" s="30"/>
      <c r="RY173" s="30"/>
      <c r="RZ173" s="30"/>
      <c r="SA173" s="30"/>
      <c r="SB173" s="30"/>
      <c r="SC173" s="30"/>
      <c r="SD173" s="30"/>
      <c r="SE173" s="30"/>
      <c r="SF173" s="30"/>
      <c r="SG173" s="30"/>
      <c r="SH173" s="30"/>
      <c r="SI173" s="30"/>
      <c r="SJ173" s="30"/>
      <c r="SK173" s="30"/>
      <c r="SL173" s="30"/>
      <c r="SM173" s="30"/>
      <c r="SN173" s="30"/>
      <c r="SO173" s="30"/>
      <c r="SP173" s="30"/>
      <c r="SQ173" s="30"/>
      <c r="SR173" s="30"/>
      <c r="SS173" s="30"/>
      <c r="ST173" s="30"/>
      <c r="SU173" s="30"/>
      <c r="SV173" s="30"/>
      <c r="SW173" s="30"/>
      <c r="SX173" s="30"/>
      <c r="SY173" s="30"/>
      <c r="SZ173" s="30"/>
      <c r="TA173" s="30"/>
      <c r="TB173" s="30"/>
      <c r="TC173" s="30"/>
      <c r="TD173" s="30"/>
      <c r="TE173" s="30"/>
      <c r="TF173" s="30"/>
      <c r="TG173" s="30"/>
      <c r="TH173" s="30"/>
    </row>
    <row r="174" spans="1:528" s="22" customFormat="1" ht="31.5" customHeight="1" x14ac:dyDescent="0.25">
      <c r="A174" s="60" t="s">
        <v>309</v>
      </c>
      <c r="B174" s="97" t="str">
        <f>'дод 8'!A121</f>
        <v>3241</v>
      </c>
      <c r="C174" s="97" t="str">
        <f>'дод 8'!B121</f>
        <v>1090</v>
      </c>
      <c r="D174" s="61" t="str">
        <f>'дод 8'!C121</f>
        <v>Забезпечення діяльності інших закладів у сфері соціального захисту і соціального забезпечення</v>
      </c>
      <c r="E174" s="103">
        <f t="shared" si="58"/>
        <v>6653708.5599999996</v>
      </c>
      <c r="F174" s="103">
        <f>6615708.56+38000</f>
        <v>6653708.5599999996</v>
      </c>
      <c r="G174" s="103">
        <v>4074650</v>
      </c>
      <c r="H174" s="103">
        <v>333300</v>
      </c>
      <c r="I174" s="103"/>
      <c r="J174" s="103">
        <f t="shared" ref="J174:J178" si="61">L174+O174</f>
        <v>360000</v>
      </c>
      <c r="K174" s="103">
        <v>360000</v>
      </c>
      <c r="L174" s="103"/>
      <c r="M174" s="103"/>
      <c r="N174" s="103"/>
      <c r="O174" s="103">
        <v>360000</v>
      </c>
      <c r="P174" s="103">
        <f t="shared" si="59"/>
        <v>7013708.5599999996</v>
      </c>
      <c r="Q174" s="178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</row>
    <row r="175" spans="1:528" s="22" customFormat="1" ht="33" customHeight="1" x14ac:dyDescent="0.25">
      <c r="A175" s="60" t="s">
        <v>357</v>
      </c>
      <c r="B175" s="97" t="str">
        <f>'дод 8'!A122</f>
        <v>3242</v>
      </c>
      <c r="C175" s="97" t="str">
        <f>'дод 8'!B122</f>
        <v>1090</v>
      </c>
      <c r="D175" s="61" t="s">
        <v>526</v>
      </c>
      <c r="E175" s="103">
        <f t="shared" si="58"/>
        <v>38361392.549999997</v>
      </c>
      <c r="F175" s="103">
        <f>34325670+76000+12000+250000+1652252.55+881000+791200+57000+20770+189500+106000</f>
        <v>38361392.549999997</v>
      </c>
      <c r="G175" s="103"/>
      <c r="H175" s="103"/>
      <c r="I175" s="103"/>
      <c r="J175" s="103">
        <f t="shared" si="61"/>
        <v>45000</v>
      </c>
      <c r="K175" s="103">
        <v>45000</v>
      </c>
      <c r="L175" s="103"/>
      <c r="M175" s="103"/>
      <c r="N175" s="103"/>
      <c r="O175" s="103">
        <v>45000</v>
      </c>
      <c r="P175" s="103">
        <f t="shared" si="59"/>
        <v>38406392.549999997</v>
      </c>
      <c r="Q175" s="178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</row>
    <row r="176" spans="1:528" s="24" customFormat="1" ht="15" customHeight="1" x14ac:dyDescent="0.25">
      <c r="A176" s="88"/>
      <c r="B176" s="115"/>
      <c r="C176" s="115"/>
      <c r="D176" s="89" t="s">
        <v>395</v>
      </c>
      <c r="E176" s="105">
        <f t="shared" si="58"/>
        <v>348000</v>
      </c>
      <c r="F176" s="105">
        <f>336000+12000</f>
        <v>348000</v>
      </c>
      <c r="G176" s="105"/>
      <c r="H176" s="105"/>
      <c r="I176" s="105"/>
      <c r="J176" s="105">
        <f t="shared" si="61"/>
        <v>0</v>
      </c>
      <c r="K176" s="105"/>
      <c r="L176" s="105"/>
      <c r="M176" s="105"/>
      <c r="N176" s="105"/>
      <c r="O176" s="105"/>
      <c r="P176" s="105">
        <f t="shared" si="59"/>
        <v>348000</v>
      </c>
      <c r="Q176" s="178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  <c r="TH176" s="30"/>
    </row>
    <row r="177" spans="1:528" s="22" customFormat="1" ht="18.75" x14ac:dyDescent="0.25">
      <c r="A177" s="60" t="s">
        <v>419</v>
      </c>
      <c r="B177" s="97">
        <v>7323</v>
      </c>
      <c r="C177" s="60" t="s">
        <v>113</v>
      </c>
      <c r="D177" s="158" t="s">
        <v>575</v>
      </c>
      <c r="E177" s="103">
        <f t="shared" si="58"/>
        <v>0</v>
      </c>
      <c r="F177" s="103"/>
      <c r="G177" s="103"/>
      <c r="H177" s="103"/>
      <c r="I177" s="103"/>
      <c r="J177" s="103">
        <f t="shared" si="61"/>
        <v>400000</v>
      </c>
      <c r="K177" s="103">
        <v>400000</v>
      </c>
      <c r="L177" s="103"/>
      <c r="M177" s="103"/>
      <c r="N177" s="103"/>
      <c r="O177" s="103">
        <v>400000</v>
      </c>
      <c r="P177" s="103">
        <f t="shared" si="59"/>
        <v>400000</v>
      </c>
      <c r="Q177" s="178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</row>
    <row r="178" spans="1:528" s="22" customFormat="1" ht="22.5" customHeight="1" x14ac:dyDescent="0.25">
      <c r="A178" s="60" t="s">
        <v>267</v>
      </c>
      <c r="B178" s="97" t="str">
        <f>'дод 8'!A224</f>
        <v>9770</v>
      </c>
      <c r="C178" s="97" t="str">
        <f>'дод 8'!B224</f>
        <v>0180</v>
      </c>
      <c r="D178" s="61" t="str">
        <f>'дод 8'!C224</f>
        <v>Інші субвенції з місцевого бюджету</v>
      </c>
      <c r="E178" s="103">
        <f t="shared" si="58"/>
        <v>2500000</v>
      </c>
      <c r="F178" s="103">
        <v>2500000</v>
      </c>
      <c r="G178" s="103"/>
      <c r="H178" s="103"/>
      <c r="I178" s="103"/>
      <c r="J178" s="103">
        <f t="shared" si="61"/>
        <v>0</v>
      </c>
      <c r="K178" s="103"/>
      <c r="L178" s="103"/>
      <c r="M178" s="103"/>
      <c r="N178" s="103"/>
      <c r="O178" s="103"/>
      <c r="P178" s="103">
        <f t="shared" si="59"/>
        <v>2500000</v>
      </c>
      <c r="Q178" s="178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  <c r="TH178" s="23"/>
    </row>
    <row r="179" spans="1:528" s="27" customFormat="1" ht="31.5" x14ac:dyDescent="0.25">
      <c r="A179" s="110" t="s">
        <v>190</v>
      </c>
      <c r="B179" s="39"/>
      <c r="C179" s="39"/>
      <c r="D179" s="111" t="s">
        <v>365</v>
      </c>
      <c r="E179" s="99">
        <f>E180</f>
        <v>5869080</v>
      </c>
      <c r="F179" s="99">
        <f t="shared" ref="F179:J179" si="62">F180</f>
        <v>5869080</v>
      </c>
      <c r="G179" s="99">
        <f t="shared" si="62"/>
        <v>4491300</v>
      </c>
      <c r="H179" s="99">
        <f t="shared" si="62"/>
        <v>51600</v>
      </c>
      <c r="I179" s="99">
        <f t="shared" si="62"/>
        <v>0</v>
      </c>
      <c r="J179" s="99">
        <f t="shared" si="62"/>
        <v>0</v>
      </c>
      <c r="K179" s="99">
        <f t="shared" ref="K179" si="63">K180</f>
        <v>0</v>
      </c>
      <c r="L179" s="99">
        <f t="shared" ref="L179" si="64">L180</f>
        <v>0</v>
      </c>
      <c r="M179" s="99">
        <f t="shared" ref="M179" si="65">M180</f>
        <v>0</v>
      </c>
      <c r="N179" s="99">
        <f t="shared" ref="N179" si="66">N180</f>
        <v>0</v>
      </c>
      <c r="O179" s="99">
        <f t="shared" ref="O179:P179" si="67">O180</f>
        <v>0</v>
      </c>
      <c r="P179" s="99">
        <f t="shared" si="67"/>
        <v>5869080</v>
      </c>
      <c r="Q179" s="178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  <c r="IT179" s="32"/>
      <c r="IU179" s="32"/>
      <c r="IV179" s="32"/>
      <c r="IW179" s="32"/>
      <c r="IX179" s="32"/>
      <c r="IY179" s="32"/>
      <c r="IZ179" s="32"/>
      <c r="JA179" s="32"/>
      <c r="JB179" s="32"/>
      <c r="JC179" s="32"/>
      <c r="JD179" s="32"/>
      <c r="JE179" s="32"/>
      <c r="JF179" s="32"/>
      <c r="JG179" s="32"/>
      <c r="JH179" s="32"/>
      <c r="JI179" s="32"/>
      <c r="JJ179" s="32"/>
      <c r="JK179" s="32"/>
      <c r="JL179" s="32"/>
      <c r="JM179" s="32"/>
      <c r="JN179" s="32"/>
      <c r="JO179" s="32"/>
      <c r="JP179" s="32"/>
      <c r="JQ179" s="32"/>
      <c r="JR179" s="32"/>
      <c r="JS179" s="32"/>
      <c r="JT179" s="32"/>
      <c r="JU179" s="32"/>
      <c r="JV179" s="32"/>
      <c r="JW179" s="32"/>
      <c r="JX179" s="32"/>
      <c r="JY179" s="32"/>
      <c r="JZ179" s="32"/>
      <c r="KA179" s="32"/>
      <c r="KB179" s="32"/>
      <c r="KC179" s="32"/>
      <c r="KD179" s="32"/>
      <c r="KE179" s="32"/>
      <c r="KF179" s="32"/>
      <c r="KG179" s="32"/>
      <c r="KH179" s="32"/>
      <c r="KI179" s="32"/>
      <c r="KJ179" s="32"/>
      <c r="KK179" s="32"/>
      <c r="KL179" s="32"/>
      <c r="KM179" s="32"/>
      <c r="KN179" s="32"/>
      <c r="KO179" s="32"/>
      <c r="KP179" s="32"/>
      <c r="KQ179" s="32"/>
      <c r="KR179" s="32"/>
      <c r="KS179" s="32"/>
      <c r="KT179" s="32"/>
      <c r="KU179" s="32"/>
      <c r="KV179" s="32"/>
      <c r="KW179" s="32"/>
      <c r="KX179" s="32"/>
      <c r="KY179" s="32"/>
      <c r="KZ179" s="32"/>
      <c r="LA179" s="32"/>
      <c r="LB179" s="32"/>
      <c r="LC179" s="32"/>
      <c r="LD179" s="32"/>
      <c r="LE179" s="32"/>
      <c r="LF179" s="32"/>
      <c r="LG179" s="32"/>
      <c r="LH179" s="32"/>
      <c r="LI179" s="32"/>
      <c r="LJ179" s="32"/>
      <c r="LK179" s="32"/>
      <c r="LL179" s="32"/>
      <c r="LM179" s="32"/>
      <c r="LN179" s="32"/>
      <c r="LO179" s="32"/>
      <c r="LP179" s="32"/>
      <c r="LQ179" s="32"/>
      <c r="LR179" s="32"/>
      <c r="LS179" s="32"/>
      <c r="LT179" s="32"/>
      <c r="LU179" s="32"/>
      <c r="LV179" s="32"/>
      <c r="LW179" s="32"/>
      <c r="LX179" s="32"/>
      <c r="LY179" s="32"/>
      <c r="LZ179" s="32"/>
      <c r="MA179" s="32"/>
      <c r="MB179" s="32"/>
      <c r="MC179" s="32"/>
      <c r="MD179" s="32"/>
      <c r="ME179" s="32"/>
      <c r="MF179" s="32"/>
      <c r="MG179" s="32"/>
      <c r="MH179" s="32"/>
      <c r="MI179" s="32"/>
      <c r="MJ179" s="32"/>
      <c r="MK179" s="32"/>
      <c r="ML179" s="32"/>
      <c r="MM179" s="32"/>
      <c r="MN179" s="32"/>
      <c r="MO179" s="32"/>
      <c r="MP179" s="32"/>
      <c r="MQ179" s="32"/>
      <c r="MR179" s="32"/>
      <c r="MS179" s="32"/>
      <c r="MT179" s="32"/>
      <c r="MU179" s="32"/>
      <c r="MV179" s="32"/>
      <c r="MW179" s="32"/>
      <c r="MX179" s="32"/>
      <c r="MY179" s="32"/>
      <c r="MZ179" s="32"/>
      <c r="NA179" s="32"/>
      <c r="NB179" s="32"/>
      <c r="NC179" s="32"/>
      <c r="ND179" s="32"/>
      <c r="NE179" s="32"/>
      <c r="NF179" s="32"/>
      <c r="NG179" s="32"/>
      <c r="NH179" s="32"/>
      <c r="NI179" s="32"/>
      <c r="NJ179" s="32"/>
      <c r="NK179" s="32"/>
      <c r="NL179" s="32"/>
      <c r="NM179" s="32"/>
      <c r="NN179" s="32"/>
      <c r="NO179" s="32"/>
      <c r="NP179" s="32"/>
      <c r="NQ179" s="32"/>
      <c r="NR179" s="32"/>
      <c r="NS179" s="32"/>
      <c r="NT179" s="32"/>
      <c r="NU179" s="32"/>
      <c r="NV179" s="32"/>
      <c r="NW179" s="32"/>
      <c r="NX179" s="32"/>
      <c r="NY179" s="32"/>
      <c r="NZ179" s="32"/>
      <c r="OA179" s="32"/>
      <c r="OB179" s="32"/>
      <c r="OC179" s="32"/>
      <c r="OD179" s="32"/>
      <c r="OE179" s="32"/>
      <c r="OF179" s="32"/>
      <c r="OG179" s="32"/>
      <c r="OH179" s="32"/>
      <c r="OI179" s="32"/>
      <c r="OJ179" s="32"/>
      <c r="OK179" s="32"/>
      <c r="OL179" s="32"/>
      <c r="OM179" s="32"/>
      <c r="ON179" s="32"/>
      <c r="OO179" s="32"/>
      <c r="OP179" s="32"/>
      <c r="OQ179" s="32"/>
      <c r="OR179" s="32"/>
      <c r="OS179" s="32"/>
      <c r="OT179" s="32"/>
      <c r="OU179" s="32"/>
      <c r="OV179" s="32"/>
      <c r="OW179" s="32"/>
      <c r="OX179" s="32"/>
      <c r="OY179" s="32"/>
      <c r="OZ179" s="32"/>
      <c r="PA179" s="32"/>
      <c r="PB179" s="32"/>
      <c r="PC179" s="32"/>
      <c r="PD179" s="32"/>
      <c r="PE179" s="32"/>
      <c r="PF179" s="32"/>
      <c r="PG179" s="32"/>
      <c r="PH179" s="32"/>
      <c r="PI179" s="32"/>
      <c r="PJ179" s="32"/>
      <c r="PK179" s="32"/>
      <c r="PL179" s="32"/>
      <c r="PM179" s="32"/>
      <c r="PN179" s="32"/>
      <c r="PO179" s="32"/>
      <c r="PP179" s="32"/>
      <c r="PQ179" s="32"/>
      <c r="PR179" s="32"/>
      <c r="PS179" s="32"/>
      <c r="PT179" s="32"/>
      <c r="PU179" s="32"/>
      <c r="PV179" s="32"/>
      <c r="PW179" s="32"/>
      <c r="PX179" s="32"/>
      <c r="PY179" s="32"/>
      <c r="PZ179" s="32"/>
      <c r="QA179" s="32"/>
      <c r="QB179" s="32"/>
      <c r="QC179" s="32"/>
      <c r="QD179" s="32"/>
      <c r="QE179" s="32"/>
      <c r="QF179" s="32"/>
      <c r="QG179" s="32"/>
      <c r="QH179" s="32"/>
      <c r="QI179" s="32"/>
      <c r="QJ179" s="32"/>
      <c r="QK179" s="32"/>
      <c r="QL179" s="32"/>
      <c r="QM179" s="32"/>
      <c r="QN179" s="32"/>
      <c r="QO179" s="32"/>
      <c r="QP179" s="32"/>
      <c r="QQ179" s="32"/>
      <c r="QR179" s="32"/>
      <c r="QS179" s="32"/>
      <c r="QT179" s="32"/>
      <c r="QU179" s="32"/>
      <c r="QV179" s="32"/>
      <c r="QW179" s="32"/>
      <c r="QX179" s="32"/>
      <c r="QY179" s="32"/>
      <c r="QZ179" s="32"/>
      <c r="RA179" s="32"/>
      <c r="RB179" s="32"/>
      <c r="RC179" s="32"/>
      <c r="RD179" s="32"/>
      <c r="RE179" s="32"/>
      <c r="RF179" s="32"/>
      <c r="RG179" s="32"/>
      <c r="RH179" s="32"/>
      <c r="RI179" s="32"/>
      <c r="RJ179" s="32"/>
      <c r="RK179" s="32"/>
      <c r="RL179" s="32"/>
      <c r="RM179" s="32"/>
      <c r="RN179" s="32"/>
      <c r="RO179" s="32"/>
      <c r="RP179" s="32"/>
      <c r="RQ179" s="32"/>
      <c r="RR179" s="32"/>
      <c r="RS179" s="32"/>
      <c r="RT179" s="32"/>
      <c r="RU179" s="32"/>
      <c r="RV179" s="32"/>
      <c r="RW179" s="32"/>
      <c r="RX179" s="32"/>
      <c r="RY179" s="32"/>
      <c r="RZ179" s="32"/>
      <c r="SA179" s="32"/>
      <c r="SB179" s="32"/>
      <c r="SC179" s="32"/>
      <c r="SD179" s="32"/>
      <c r="SE179" s="32"/>
      <c r="SF179" s="32"/>
      <c r="SG179" s="32"/>
      <c r="SH179" s="32"/>
      <c r="SI179" s="32"/>
      <c r="SJ179" s="32"/>
      <c r="SK179" s="32"/>
      <c r="SL179" s="32"/>
      <c r="SM179" s="32"/>
      <c r="SN179" s="32"/>
      <c r="SO179" s="32"/>
      <c r="SP179" s="32"/>
      <c r="SQ179" s="32"/>
      <c r="SR179" s="32"/>
      <c r="SS179" s="32"/>
      <c r="ST179" s="32"/>
      <c r="SU179" s="32"/>
      <c r="SV179" s="32"/>
      <c r="SW179" s="32"/>
      <c r="SX179" s="32"/>
      <c r="SY179" s="32"/>
      <c r="SZ179" s="32"/>
      <c r="TA179" s="32"/>
      <c r="TB179" s="32"/>
      <c r="TC179" s="32"/>
      <c r="TD179" s="32"/>
      <c r="TE179" s="32"/>
      <c r="TF179" s="32"/>
      <c r="TG179" s="32"/>
      <c r="TH179" s="32"/>
    </row>
    <row r="180" spans="1:528" s="34" customFormat="1" ht="29.25" customHeight="1" x14ac:dyDescent="0.25">
      <c r="A180" s="112" t="s">
        <v>191</v>
      </c>
      <c r="B180" s="78"/>
      <c r="C180" s="78"/>
      <c r="D180" s="81" t="s">
        <v>365</v>
      </c>
      <c r="E180" s="102">
        <f>E182+E183+E184+E185</f>
        <v>5869080</v>
      </c>
      <c r="F180" s="102">
        <f t="shared" ref="F180:P180" si="68">F182+F183+F184+F185</f>
        <v>5869080</v>
      </c>
      <c r="G180" s="102">
        <f t="shared" si="68"/>
        <v>4491300</v>
      </c>
      <c r="H180" s="102">
        <f t="shared" si="68"/>
        <v>51600</v>
      </c>
      <c r="I180" s="102">
        <f t="shared" si="68"/>
        <v>0</v>
      </c>
      <c r="J180" s="102">
        <f t="shared" si="68"/>
        <v>0</v>
      </c>
      <c r="K180" s="102">
        <f t="shared" si="68"/>
        <v>0</v>
      </c>
      <c r="L180" s="102">
        <f t="shared" si="68"/>
        <v>0</v>
      </c>
      <c r="M180" s="102">
        <f t="shared" si="68"/>
        <v>0</v>
      </c>
      <c r="N180" s="102">
        <f t="shared" si="68"/>
        <v>0</v>
      </c>
      <c r="O180" s="102">
        <f t="shared" si="68"/>
        <v>0</v>
      </c>
      <c r="P180" s="102">
        <f t="shared" si="68"/>
        <v>5869080</v>
      </c>
      <c r="Q180" s="178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  <c r="TF180" s="33"/>
      <c r="TG180" s="33"/>
      <c r="TH180" s="33"/>
    </row>
    <row r="181" spans="1:528" s="34" customFormat="1" ht="120" hidden="1" customHeight="1" x14ac:dyDescent="0.25">
      <c r="A181" s="112"/>
      <c r="B181" s="78"/>
      <c r="C181" s="78"/>
      <c r="D181" s="81" t="s">
        <v>449</v>
      </c>
      <c r="E181" s="102">
        <f>E186</f>
        <v>0</v>
      </c>
      <c r="F181" s="102">
        <f t="shared" ref="F181:P181" si="69">F186</f>
        <v>0</v>
      </c>
      <c r="G181" s="102">
        <f t="shared" si="69"/>
        <v>0</v>
      </c>
      <c r="H181" s="102">
        <f t="shared" si="69"/>
        <v>0</v>
      </c>
      <c r="I181" s="102">
        <f t="shared" si="69"/>
        <v>0</v>
      </c>
      <c r="J181" s="102">
        <f t="shared" si="69"/>
        <v>0</v>
      </c>
      <c r="K181" s="102">
        <f t="shared" si="69"/>
        <v>0</v>
      </c>
      <c r="L181" s="102">
        <f t="shared" si="69"/>
        <v>0</v>
      </c>
      <c r="M181" s="102">
        <f t="shared" si="69"/>
        <v>0</v>
      </c>
      <c r="N181" s="102">
        <f t="shared" si="69"/>
        <v>0</v>
      </c>
      <c r="O181" s="102">
        <f t="shared" si="69"/>
        <v>0</v>
      </c>
      <c r="P181" s="102">
        <f t="shared" si="69"/>
        <v>0</v>
      </c>
      <c r="Q181" s="178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  <c r="TF181" s="33"/>
      <c r="TG181" s="33"/>
      <c r="TH181" s="33"/>
    </row>
    <row r="182" spans="1:528" s="22" customFormat="1" ht="47.25" x14ac:dyDescent="0.25">
      <c r="A182" s="60" t="s">
        <v>192</v>
      </c>
      <c r="B182" s="97" t="str">
        <f>'дод 8'!A19</f>
        <v>0160</v>
      </c>
      <c r="C182" s="97" t="str">
        <f>'дод 8'!B19</f>
        <v>0111</v>
      </c>
      <c r="D182" s="36" t="s">
        <v>504</v>
      </c>
      <c r="E182" s="103">
        <f>F182+I182</f>
        <v>5701700</v>
      </c>
      <c r="F182" s="103">
        <f>5689700+12000</f>
        <v>5701700</v>
      </c>
      <c r="G182" s="103">
        <v>4491300</v>
      </c>
      <c r="H182" s="103">
        <v>51600</v>
      </c>
      <c r="I182" s="103"/>
      <c r="J182" s="103">
        <f>L182+O182</f>
        <v>0</v>
      </c>
      <c r="K182" s="103">
        <f>12000-12000</f>
        <v>0</v>
      </c>
      <c r="L182" s="103"/>
      <c r="M182" s="103"/>
      <c r="N182" s="103"/>
      <c r="O182" s="103">
        <f>12000-12000</f>
        <v>0</v>
      </c>
      <c r="P182" s="103">
        <f>E182+J182</f>
        <v>5701700</v>
      </c>
      <c r="Q182" s="178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</row>
    <row r="183" spans="1:528" s="22" customFormat="1" ht="63" x14ac:dyDescent="0.25">
      <c r="A183" s="60" t="s">
        <v>336</v>
      </c>
      <c r="B183" s="97">
        <v>3111</v>
      </c>
      <c r="C183" s="97">
        <v>1040</v>
      </c>
      <c r="D183" s="36" t="str">
        <f>'дод 8'!C102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83" s="103">
        <f>F183+I183</f>
        <v>71140</v>
      </c>
      <c r="F183" s="103">
        <f>50000+21140</f>
        <v>71140</v>
      </c>
      <c r="G183" s="103"/>
      <c r="H183" s="103"/>
      <c r="I183" s="103"/>
      <c r="J183" s="103">
        <f t="shared" ref="J183:J186" si="70">L183+O183</f>
        <v>0</v>
      </c>
      <c r="K183" s="103">
        <f>21140-21140</f>
        <v>0</v>
      </c>
      <c r="L183" s="103"/>
      <c r="M183" s="103"/>
      <c r="N183" s="103"/>
      <c r="O183" s="103">
        <f>21140-21140</f>
        <v>0</v>
      </c>
      <c r="P183" s="103">
        <f>E183+J183</f>
        <v>71140</v>
      </c>
      <c r="Q183" s="178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  <c r="TH183" s="23"/>
    </row>
    <row r="184" spans="1:528" s="22" customFormat="1" ht="31.5" customHeight="1" x14ac:dyDescent="0.25">
      <c r="A184" s="60" t="s">
        <v>193</v>
      </c>
      <c r="B184" s="97" t="str">
        <f>'дод 8'!A103</f>
        <v>3112</v>
      </c>
      <c r="C184" s="97" t="str">
        <f>'дод 8'!B103</f>
        <v>1040</v>
      </c>
      <c r="D184" s="61" t="str">
        <f>'дод 8'!C103</f>
        <v>Заходи державної політики з питань дітей та їх соціального захисту</v>
      </c>
      <c r="E184" s="103">
        <f>F184+I184</f>
        <v>96240</v>
      </c>
      <c r="F184" s="103">
        <v>96240</v>
      </c>
      <c r="G184" s="103"/>
      <c r="H184" s="103"/>
      <c r="I184" s="103"/>
      <c r="J184" s="103">
        <f t="shared" si="70"/>
        <v>0</v>
      </c>
      <c r="K184" s="103"/>
      <c r="L184" s="103"/>
      <c r="M184" s="103"/>
      <c r="N184" s="103"/>
      <c r="O184" s="103"/>
      <c r="P184" s="103">
        <f>E184+J184</f>
        <v>96240</v>
      </c>
      <c r="Q184" s="178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  <c r="TH184" s="23"/>
    </row>
    <row r="185" spans="1:528" s="22" customFormat="1" ht="75" hidden="1" customHeight="1" x14ac:dyDescent="0.25">
      <c r="A185" s="60" t="s">
        <v>440</v>
      </c>
      <c r="B185" s="97">
        <v>6083</v>
      </c>
      <c r="C185" s="60" t="s">
        <v>69</v>
      </c>
      <c r="D185" s="11" t="s">
        <v>441</v>
      </c>
      <c r="E185" s="103">
        <f>F185+I185</f>
        <v>0</v>
      </c>
      <c r="F185" s="103"/>
      <c r="G185" s="103"/>
      <c r="H185" s="103"/>
      <c r="I185" s="103"/>
      <c r="J185" s="103">
        <f t="shared" si="70"/>
        <v>0</v>
      </c>
      <c r="K185" s="103"/>
      <c r="L185" s="103"/>
      <c r="M185" s="103"/>
      <c r="N185" s="103"/>
      <c r="O185" s="103"/>
      <c r="P185" s="103">
        <f>E185+J185</f>
        <v>0</v>
      </c>
      <c r="Q185" s="178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  <c r="TH185" s="23"/>
    </row>
    <row r="186" spans="1:528" s="24" customFormat="1" ht="120" hidden="1" customHeight="1" x14ac:dyDescent="0.25">
      <c r="A186" s="88"/>
      <c r="B186" s="115"/>
      <c r="C186" s="88"/>
      <c r="D186" s="94" t="s">
        <v>449</v>
      </c>
      <c r="E186" s="103">
        <f>F186+I186</f>
        <v>0</v>
      </c>
      <c r="F186" s="105"/>
      <c r="G186" s="105"/>
      <c r="H186" s="105"/>
      <c r="I186" s="105"/>
      <c r="J186" s="103">
        <f t="shared" si="70"/>
        <v>0</v>
      </c>
      <c r="K186" s="105"/>
      <c r="L186" s="105"/>
      <c r="M186" s="105"/>
      <c r="N186" s="105"/>
      <c r="O186" s="105"/>
      <c r="P186" s="103">
        <f>E186+J186</f>
        <v>0</v>
      </c>
      <c r="Q186" s="178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  <c r="TG186" s="30"/>
      <c r="TH186" s="30"/>
    </row>
    <row r="187" spans="1:528" s="27" customFormat="1" ht="22.5" customHeight="1" x14ac:dyDescent="0.25">
      <c r="A187" s="114" t="s">
        <v>27</v>
      </c>
      <c r="B187" s="116"/>
      <c r="C187" s="116"/>
      <c r="D187" s="111" t="s">
        <v>337</v>
      </c>
      <c r="E187" s="99">
        <f>E188</f>
        <v>81404960</v>
      </c>
      <c r="F187" s="99">
        <f t="shared" ref="F187:J187" si="71">F188</f>
        <v>81404960</v>
      </c>
      <c r="G187" s="99">
        <f t="shared" si="71"/>
        <v>62366800</v>
      </c>
      <c r="H187" s="99">
        <f t="shared" si="71"/>
        <v>1929560</v>
      </c>
      <c r="I187" s="99">
        <f t="shared" si="71"/>
        <v>0</v>
      </c>
      <c r="J187" s="99">
        <f t="shared" si="71"/>
        <v>5493100</v>
      </c>
      <c r="K187" s="99">
        <f t="shared" ref="K187" si="72">K188</f>
        <v>2733000</v>
      </c>
      <c r="L187" s="99">
        <f t="shared" ref="L187" si="73">L188</f>
        <v>2756970</v>
      </c>
      <c r="M187" s="99">
        <f t="shared" ref="M187" si="74">M188</f>
        <v>2239004</v>
      </c>
      <c r="N187" s="99">
        <f t="shared" ref="N187" si="75">N188</f>
        <v>3300</v>
      </c>
      <c r="O187" s="99">
        <f t="shared" ref="O187:P187" si="76">O188</f>
        <v>2736130</v>
      </c>
      <c r="P187" s="99">
        <f t="shared" si="76"/>
        <v>86898060</v>
      </c>
      <c r="Q187" s="178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  <c r="IW187" s="32"/>
      <c r="IX187" s="32"/>
      <c r="IY187" s="32"/>
      <c r="IZ187" s="32"/>
      <c r="JA187" s="32"/>
      <c r="JB187" s="32"/>
      <c r="JC187" s="32"/>
      <c r="JD187" s="32"/>
      <c r="JE187" s="32"/>
      <c r="JF187" s="32"/>
      <c r="JG187" s="32"/>
      <c r="JH187" s="32"/>
      <c r="JI187" s="32"/>
      <c r="JJ187" s="32"/>
      <c r="JK187" s="32"/>
      <c r="JL187" s="32"/>
      <c r="JM187" s="32"/>
      <c r="JN187" s="32"/>
      <c r="JO187" s="32"/>
      <c r="JP187" s="32"/>
      <c r="JQ187" s="32"/>
      <c r="JR187" s="32"/>
      <c r="JS187" s="32"/>
      <c r="JT187" s="32"/>
      <c r="JU187" s="32"/>
      <c r="JV187" s="32"/>
      <c r="JW187" s="32"/>
      <c r="JX187" s="32"/>
      <c r="JY187" s="32"/>
      <c r="JZ187" s="32"/>
      <c r="KA187" s="32"/>
      <c r="KB187" s="32"/>
      <c r="KC187" s="32"/>
      <c r="KD187" s="32"/>
      <c r="KE187" s="32"/>
      <c r="KF187" s="32"/>
      <c r="KG187" s="32"/>
      <c r="KH187" s="32"/>
      <c r="KI187" s="32"/>
      <c r="KJ187" s="32"/>
      <c r="KK187" s="32"/>
      <c r="KL187" s="32"/>
      <c r="KM187" s="32"/>
      <c r="KN187" s="32"/>
      <c r="KO187" s="32"/>
      <c r="KP187" s="32"/>
      <c r="KQ187" s="32"/>
      <c r="KR187" s="32"/>
      <c r="KS187" s="32"/>
      <c r="KT187" s="32"/>
      <c r="KU187" s="32"/>
      <c r="KV187" s="32"/>
      <c r="KW187" s="32"/>
      <c r="KX187" s="32"/>
      <c r="KY187" s="32"/>
      <c r="KZ187" s="32"/>
      <c r="LA187" s="32"/>
      <c r="LB187" s="32"/>
      <c r="LC187" s="32"/>
      <c r="LD187" s="32"/>
      <c r="LE187" s="32"/>
      <c r="LF187" s="32"/>
      <c r="LG187" s="32"/>
      <c r="LH187" s="32"/>
      <c r="LI187" s="32"/>
      <c r="LJ187" s="32"/>
      <c r="LK187" s="32"/>
      <c r="LL187" s="32"/>
      <c r="LM187" s="32"/>
      <c r="LN187" s="32"/>
      <c r="LO187" s="32"/>
      <c r="LP187" s="32"/>
      <c r="LQ187" s="32"/>
      <c r="LR187" s="32"/>
      <c r="LS187" s="32"/>
      <c r="LT187" s="32"/>
      <c r="LU187" s="32"/>
      <c r="LV187" s="32"/>
      <c r="LW187" s="32"/>
      <c r="LX187" s="32"/>
      <c r="LY187" s="32"/>
      <c r="LZ187" s="32"/>
      <c r="MA187" s="32"/>
      <c r="MB187" s="32"/>
      <c r="MC187" s="32"/>
      <c r="MD187" s="32"/>
      <c r="ME187" s="32"/>
      <c r="MF187" s="32"/>
      <c r="MG187" s="32"/>
      <c r="MH187" s="32"/>
      <c r="MI187" s="32"/>
      <c r="MJ187" s="32"/>
      <c r="MK187" s="32"/>
      <c r="ML187" s="32"/>
      <c r="MM187" s="32"/>
      <c r="MN187" s="32"/>
      <c r="MO187" s="32"/>
      <c r="MP187" s="32"/>
      <c r="MQ187" s="32"/>
      <c r="MR187" s="32"/>
      <c r="MS187" s="32"/>
      <c r="MT187" s="32"/>
      <c r="MU187" s="32"/>
      <c r="MV187" s="32"/>
      <c r="MW187" s="32"/>
      <c r="MX187" s="32"/>
      <c r="MY187" s="32"/>
      <c r="MZ187" s="32"/>
      <c r="NA187" s="32"/>
      <c r="NB187" s="32"/>
      <c r="NC187" s="32"/>
      <c r="ND187" s="32"/>
      <c r="NE187" s="32"/>
      <c r="NF187" s="32"/>
      <c r="NG187" s="32"/>
      <c r="NH187" s="32"/>
      <c r="NI187" s="32"/>
      <c r="NJ187" s="32"/>
      <c r="NK187" s="32"/>
      <c r="NL187" s="32"/>
      <c r="NM187" s="32"/>
      <c r="NN187" s="32"/>
      <c r="NO187" s="32"/>
      <c r="NP187" s="32"/>
      <c r="NQ187" s="32"/>
      <c r="NR187" s="32"/>
      <c r="NS187" s="32"/>
      <c r="NT187" s="32"/>
      <c r="NU187" s="32"/>
      <c r="NV187" s="32"/>
      <c r="NW187" s="32"/>
      <c r="NX187" s="32"/>
      <c r="NY187" s="32"/>
      <c r="NZ187" s="32"/>
      <c r="OA187" s="32"/>
      <c r="OB187" s="32"/>
      <c r="OC187" s="32"/>
      <c r="OD187" s="32"/>
      <c r="OE187" s="32"/>
      <c r="OF187" s="32"/>
      <c r="OG187" s="32"/>
      <c r="OH187" s="32"/>
      <c r="OI187" s="32"/>
      <c r="OJ187" s="32"/>
      <c r="OK187" s="32"/>
      <c r="OL187" s="32"/>
      <c r="OM187" s="32"/>
      <c r="ON187" s="32"/>
      <c r="OO187" s="32"/>
      <c r="OP187" s="32"/>
      <c r="OQ187" s="32"/>
      <c r="OR187" s="32"/>
      <c r="OS187" s="32"/>
      <c r="OT187" s="32"/>
      <c r="OU187" s="32"/>
      <c r="OV187" s="32"/>
      <c r="OW187" s="32"/>
      <c r="OX187" s="32"/>
      <c r="OY187" s="32"/>
      <c r="OZ187" s="32"/>
      <c r="PA187" s="32"/>
      <c r="PB187" s="32"/>
      <c r="PC187" s="32"/>
      <c r="PD187" s="32"/>
      <c r="PE187" s="32"/>
      <c r="PF187" s="32"/>
      <c r="PG187" s="32"/>
      <c r="PH187" s="32"/>
      <c r="PI187" s="32"/>
      <c r="PJ187" s="32"/>
      <c r="PK187" s="32"/>
      <c r="PL187" s="32"/>
      <c r="PM187" s="32"/>
      <c r="PN187" s="32"/>
      <c r="PO187" s="32"/>
      <c r="PP187" s="32"/>
      <c r="PQ187" s="32"/>
      <c r="PR187" s="32"/>
      <c r="PS187" s="32"/>
      <c r="PT187" s="32"/>
      <c r="PU187" s="32"/>
      <c r="PV187" s="32"/>
      <c r="PW187" s="32"/>
      <c r="PX187" s="32"/>
      <c r="PY187" s="32"/>
      <c r="PZ187" s="32"/>
      <c r="QA187" s="32"/>
      <c r="QB187" s="32"/>
      <c r="QC187" s="32"/>
      <c r="QD187" s="32"/>
      <c r="QE187" s="32"/>
      <c r="QF187" s="32"/>
      <c r="QG187" s="32"/>
      <c r="QH187" s="32"/>
      <c r="QI187" s="32"/>
      <c r="QJ187" s="32"/>
      <c r="QK187" s="32"/>
      <c r="QL187" s="32"/>
      <c r="QM187" s="32"/>
      <c r="QN187" s="32"/>
      <c r="QO187" s="32"/>
      <c r="QP187" s="32"/>
      <c r="QQ187" s="32"/>
      <c r="QR187" s="32"/>
      <c r="QS187" s="32"/>
      <c r="QT187" s="32"/>
      <c r="QU187" s="32"/>
      <c r="QV187" s="32"/>
      <c r="QW187" s="32"/>
      <c r="QX187" s="32"/>
      <c r="QY187" s="32"/>
      <c r="QZ187" s="32"/>
      <c r="RA187" s="32"/>
      <c r="RB187" s="32"/>
      <c r="RC187" s="32"/>
      <c r="RD187" s="32"/>
      <c r="RE187" s="32"/>
      <c r="RF187" s="32"/>
      <c r="RG187" s="32"/>
      <c r="RH187" s="32"/>
      <c r="RI187" s="32"/>
      <c r="RJ187" s="32"/>
      <c r="RK187" s="32"/>
      <c r="RL187" s="32"/>
      <c r="RM187" s="32"/>
      <c r="RN187" s="32"/>
      <c r="RO187" s="32"/>
      <c r="RP187" s="32"/>
      <c r="RQ187" s="32"/>
      <c r="RR187" s="32"/>
      <c r="RS187" s="32"/>
      <c r="RT187" s="32"/>
      <c r="RU187" s="32"/>
      <c r="RV187" s="32"/>
      <c r="RW187" s="32"/>
      <c r="RX187" s="32"/>
      <c r="RY187" s="32"/>
      <c r="RZ187" s="32"/>
      <c r="SA187" s="32"/>
      <c r="SB187" s="32"/>
      <c r="SC187" s="32"/>
      <c r="SD187" s="32"/>
      <c r="SE187" s="32"/>
      <c r="SF187" s="32"/>
      <c r="SG187" s="32"/>
      <c r="SH187" s="32"/>
      <c r="SI187" s="32"/>
      <c r="SJ187" s="32"/>
      <c r="SK187" s="32"/>
      <c r="SL187" s="32"/>
      <c r="SM187" s="32"/>
      <c r="SN187" s="32"/>
      <c r="SO187" s="32"/>
      <c r="SP187" s="32"/>
      <c r="SQ187" s="32"/>
      <c r="SR187" s="32"/>
      <c r="SS187" s="32"/>
      <c r="ST187" s="32"/>
      <c r="SU187" s="32"/>
      <c r="SV187" s="32"/>
      <c r="SW187" s="32"/>
      <c r="SX187" s="32"/>
      <c r="SY187" s="32"/>
      <c r="SZ187" s="32"/>
      <c r="TA187" s="32"/>
      <c r="TB187" s="32"/>
      <c r="TC187" s="32"/>
      <c r="TD187" s="32"/>
      <c r="TE187" s="32"/>
      <c r="TF187" s="32"/>
      <c r="TG187" s="32"/>
      <c r="TH187" s="32"/>
    </row>
    <row r="188" spans="1:528" s="34" customFormat="1" ht="21.75" customHeight="1" x14ac:dyDescent="0.25">
      <c r="A188" s="100" t="s">
        <v>194</v>
      </c>
      <c r="B188" s="113"/>
      <c r="C188" s="113"/>
      <c r="D188" s="81" t="s">
        <v>337</v>
      </c>
      <c r="E188" s="102">
        <f t="shared" ref="E188:P188" si="77">E189+E190+E191+E193+E194++E196+E192+E195+E197</f>
        <v>81404960</v>
      </c>
      <c r="F188" s="102">
        <f t="shared" si="77"/>
        <v>81404960</v>
      </c>
      <c r="G188" s="102">
        <f t="shared" si="77"/>
        <v>62366800</v>
      </c>
      <c r="H188" s="102">
        <f t="shared" si="77"/>
        <v>1929560</v>
      </c>
      <c r="I188" s="102">
        <f t="shared" si="77"/>
        <v>0</v>
      </c>
      <c r="J188" s="102">
        <f t="shared" si="77"/>
        <v>5493100</v>
      </c>
      <c r="K188" s="102">
        <f t="shared" si="77"/>
        <v>2733000</v>
      </c>
      <c r="L188" s="102">
        <f t="shared" si="77"/>
        <v>2756970</v>
      </c>
      <c r="M188" s="102">
        <f t="shared" si="77"/>
        <v>2239004</v>
      </c>
      <c r="N188" s="102">
        <f t="shared" si="77"/>
        <v>3300</v>
      </c>
      <c r="O188" s="102">
        <f t="shared" si="77"/>
        <v>2736130</v>
      </c>
      <c r="P188" s="102">
        <f t="shared" si="77"/>
        <v>86898060</v>
      </c>
      <c r="Q188" s="178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  <c r="QA188" s="33"/>
      <c r="QB188" s="33"/>
      <c r="QC188" s="33"/>
      <c r="QD188" s="33"/>
      <c r="QE188" s="33"/>
      <c r="QF188" s="33"/>
      <c r="QG188" s="33"/>
      <c r="QH188" s="33"/>
      <c r="QI188" s="33"/>
      <c r="QJ188" s="33"/>
      <c r="QK188" s="33"/>
      <c r="QL188" s="33"/>
      <c r="QM188" s="33"/>
      <c r="QN188" s="33"/>
      <c r="QO188" s="33"/>
      <c r="QP188" s="33"/>
      <c r="QQ188" s="33"/>
      <c r="QR188" s="33"/>
      <c r="QS188" s="33"/>
      <c r="QT188" s="33"/>
      <c r="QU188" s="33"/>
      <c r="QV188" s="33"/>
      <c r="QW188" s="33"/>
      <c r="QX188" s="33"/>
      <c r="QY188" s="33"/>
      <c r="QZ188" s="33"/>
      <c r="RA188" s="33"/>
      <c r="RB188" s="33"/>
      <c r="RC188" s="33"/>
      <c r="RD188" s="33"/>
      <c r="RE188" s="33"/>
      <c r="RF188" s="33"/>
      <c r="RG188" s="33"/>
      <c r="RH188" s="33"/>
      <c r="RI188" s="33"/>
      <c r="RJ188" s="33"/>
      <c r="RK188" s="33"/>
      <c r="RL188" s="33"/>
      <c r="RM188" s="33"/>
      <c r="RN188" s="33"/>
      <c r="RO188" s="33"/>
      <c r="RP188" s="33"/>
      <c r="RQ188" s="33"/>
      <c r="RR188" s="33"/>
      <c r="RS188" s="33"/>
      <c r="RT188" s="33"/>
      <c r="RU188" s="33"/>
      <c r="RV188" s="33"/>
      <c r="RW188" s="33"/>
      <c r="RX188" s="33"/>
      <c r="RY188" s="33"/>
      <c r="RZ188" s="33"/>
      <c r="SA188" s="33"/>
      <c r="SB188" s="33"/>
      <c r="SC188" s="33"/>
      <c r="SD188" s="33"/>
      <c r="SE188" s="33"/>
      <c r="SF188" s="33"/>
      <c r="SG188" s="33"/>
      <c r="SH188" s="33"/>
      <c r="SI188" s="33"/>
      <c r="SJ188" s="33"/>
      <c r="SK188" s="33"/>
      <c r="SL188" s="33"/>
      <c r="SM188" s="33"/>
      <c r="SN188" s="33"/>
      <c r="SO188" s="33"/>
      <c r="SP188" s="33"/>
      <c r="SQ188" s="33"/>
      <c r="SR188" s="33"/>
      <c r="SS188" s="33"/>
      <c r="ST188" s="33"/>
      <c r="SU188" s="33"/>
      <c r="SV188" s="33"/>
      <c r="SW188" s="33"/>
      <c r="SX188" s="33"/>
      <c r="SY188" s="33"/>
      <c r="SZ188" s="33"/>
      <c r="TA188" s="33"/>
      <c r="TB188" s="33"/>
      <c r="TC188" s="33"/>
      <c r="TD188" s="33"/>
      <c r="TE188" s="33"/>
      <c r="TF188" s="33"/>
      <c r="TG188" s="33"/>
      <c r="TH188" s="33"/>
    </row>
    <row r="189" spans="1:528" s="22" customFormat="1" ht="47.25" x14ac:dyDescent="0.25">
      <c r="A189" s="60" t="s">
        <v>141</v>
      </c>
      <c r="B189" s="97" t="str">
        <f>'дод 8'!A19</f>
        <v>0160</v>
      </c>
      <c r="C189" s="97" t="str">
        <f>'дод 8'!B19</f>
        <v>0111</v>
      </c>
      <c r="D189" s="36" t="s">
        <v>504</v>
      </c>
      <c r="E189" s="103">
        <f t="shared" ref="E189:E197" si="78">F189+I189</f>
        <v>2163700</v>
      </c>
      <c r="F189" s="103">
        <v>2163700</v>
      </c>
      <c r="G189" s="103">
        <v>1695500</v>
      </c>
      <c r="H189" s="103">
        <v>18000</v>
      </c>
      <c r="I189" s="103"/>
      <c r="J189" s="103">
        <f>L189+O189</f>
        <v>0</v>
      </c>
      <c r="K189" s="103"/>
      <c r="L189" s="103"/>
      <c r="M189" s="103"/>
      <c r="N189" s="103"/>
      <c r="O189" s="103"/>
      <c r="P189" s="103">
        <f t="shared" ref="P189:P197" si="79">E189+J189</f>
        <v>2163700</v>
      </c>
      <c r="Q189" s="178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  <c r="TH189" s="23"/>
    </row>
    <row r="190" spans="1:528" s="22" customFormat="1" ht="19.5" customHeight="1" x14ac:dyDescent="0.25">
      <c r="A190" s="60" t="s">
        <v>519</v>
      </c>
      <c r="B190" s="97">
        <v>1080</v>
      </c>
      <c r="C190" s="60" t="s">
        <v>58</v>
      </c>
      <c r="D190" s="61" t="s">
        <v>520</v>
      </c>
      <c r="E190" s="103">
        <f t="shared" si="78"/>
        <v>50737500</v>
      </c>
      <c r="F190" s="103">
        <f>50652500+65000+20000</f>
        <v>50737500</v>
      </c>
      <c r="G190" s="103">
        <v>40594000</v>
      </c>
      <c r="H190" s="103">
        <f>612300</f>
        <v>612300</v>
      </c>
      <c r="I190" s="103"/>
      <c r="J190" s="103">
        <f t="shared" ref="J190:J197" si="80">L190+O190</f>
        <v>2729100</v>
      </c>
      <c r="K190" s="103"/>
      <c r="L190" s="103">
        <v>2725970</v>
      </c>
      <c r="M190" s="103">
        <v>2226904</v>
      </c>
      <c r="N190" s="103"/>
      <c r="O190" s="103">
        <v>3130</v>
      </c>
      <c r="P190" s="103">
        <f t="shared" si="79"/>
        <v>53466600</v>
      </c>
      <c r="Q190" s="178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</row>
    <row r="191" spans="1:528" s="22" customFormat="1" ht="21" customHeight="1" x14ac:dyDescent="0.25">
      <c r="A191" s="60" t="s">
        <v>195</v>
      </c>
      <c r="B191" s="97" t="str">
        <f>'дод 8'!A125</f>
        <v>4030</v>
      </c>
      <c r="C191" s="97" t="str">
        <f>'дод 8'!B125</f>
        <v>0824</v>
      </c>
      <c r="D191" s="61" t="str">
        <f>'дод 8'!C125</f>
        <v>Забезпечення діяльності бібліотек</v>
      </c>
      <c r="E191" s="103">
        <f t="shared" si="78"/>
        <v>22816900</v>
      </c>
      <c r="F191" s="103">
        <f>22627900+77000+112000</f>
        <v>22816900</v>
      </c>
      <c r="G191" s="103">
        <v>16852700</v>
      </c>
      <c r="H191" s="103">
        <v>1133500</v>
      </c>
      <c r="I191" s="103"/>
      <c r="J191" s="103">
        <f t="shared" si="80"/>
        <v>245000</v>
      </c>
      <c r="K191" s="103">
        <f>195000+20000+5000</f>
        <v>220000</v>
      </c>
      <c r="L191" s="103">
        <v>25000</v>
      </c>
      <c r="M191" s="103">
        <v>12100</v>
      </c>
      <c r="N191" s="103"/>
      <c r="O191" s="103">
        <f>195000+20000+5000</f>
        <v>220000</v>
      </c>
      <c r="P191" s="103">
        <f t="shared" si="79"/>
        <v>23061900</v>
      </c>
      <c r="Q191" s="178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  <c r="TH191" s="23"/>
    </row>
    <row r="192" spans="1:528" s="22" customFormat="1" ht="48.75" customHeight="1" x14ac:dyDescent="0.25">
      <c r="A192" s="60">
        <v>1014060</v>
      </c>
      <c r="B192" s="97" t="str">
        <f>'дод 8'!A126</f>
        <v>4060</v>
      </c>
      <c r="C192" s="97" t="str">
        <f>'дод 8'!B126</f>
        <v>0828</v>
      </c>
      <c r="D192" s="61" t="str">
        <f>'дод 8'!C126</f>
        <v>Забезпечення діяльності палаців i будинків культури, клубів, центрів дозвілля та iнших клубних закладів</v>
      </c>
      <c r="E192" s="103">
        <f t="shared" si="78"/>
        <v>2195460</v>
      </c>
      <c r="F192" s="103">
        <f>2160300+15160+20000</f>
        <v>2195460</v>
      </c>
      <c r="G192" s="103">
        <v>1531600</v>
      </c>
      <c r="H192" s="103">
        <f>115700+15160</f>
        <v>130860</v>
      </c>
      <c r="I192" s="103"/>
      <c r="J192" s="103">
        <f t="shared" si="80"/>
        <v>46000</v>
      </c>
      <c r="K192" s="103">
        <v>40000</v>
      </c>
      <c r="L192" s="103">
        <v>6000</v>
      </c>
      <c r="M192" s="103"/>
      <c r="N192" s="103">
        <v>3300</v>
      </c>
      <c r="O192" s="103">
        <v>40000</v>
      </c>
      <c r="P192" s="103">
        <f t="shared" si="79"/>
        <v>2241460</v>
      </c>
      <c r="Q192" s="178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  <c r="TH192" s="23"/>
    </row>
    <row r="193" spans="1:528" s="24" customFormat="1" ht="33.75" customHeight="1" x14ac:dyDescent="0.25">
      <c r="A193" s="60">
        <v>1014081</v>
      </c>
      <c r="B193" s="97" t="str">
        <f>'дод 8'!A127</f>
        <v>4081</v>
      </c>
      <c r="C193" s="97" t="str">
        <f>'дод 8'!B127</f>
        <v>0829</v>
      </c>
      <c r="D193" s="61" t="str">
        <f>'дод 8'!C127</f>
        <v>Забезпечення діяльності інших закладів в галузі культури і мистецтва</v>
      </c>
      <c r="E193" s="103">
        <f t="shared" si="78"/>
        <v>2206400</v>
      </c>
      <c r="F193" s="103">
        <v>2206400</v>
      </c>
      <c r="G193" s="103">
        <v>1693000</v>
      </c>
      <c r="H193" s="103">
        <v>34900</v>
      </c>
      <c r="I193" s="103"/>
      <c r="J193" s="103">
        <f t="shared" si="80"/>
        <v>23000</v>
      </c>
      <c r="K193" s="103">
        <v>23000</v>
      </c>
      <c r="L193" s="103"/>
      <c r="M193" s="103"/>
      <c r="N193" s="103"/>
      <c r="O193" s="103">
        <v>23000</v>
      </c>
      <c r="P193" s="103">
        <f t="shared" si="79"/>
        <v>2229400</v>
      </c>
      <c r="Q193" s="178">
        <v>26</v>
      </c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  <c r="TF193" s="30"/>
      <c r="TG193" s="30"/>
      <c r="TH193" s="30"/>
    </row>
    <row r="194" spans="1:528" s="24" customFormat="1" ht="25.5" customHeight="1" x14ac:dyDescent="0.25">
      <c r="A194" s="60">
        <v>1014082</v>
      </c>
      <c r="B194" s="97" t="str">
        <f>'дод 8'!A128</f>
        <v>4082</v>
      </c>
      <c r="C194" s="97" t="str">
        <f>'дод 8'!B128</f>
        <v>0829</v>
      </c>
      <c r="D194" s="61" t="str">
        <f>'дод 8'!C128</f>
        <v>Інші заходи в галузі культури і мистецтва</v>
      </c>
      <c r="E194" s="103">
        <f t="shared" si="78"/>
        <v>1285000</v>
      </c>
      <c r="F194" s="103">
        <f>1100000+100000+85000</f>
        <v>1285000</v>
      </c>
      <c r="G194" s="103"/>
      <c r="H194" s="103"/>
      <c r="I194" s="103"/>
      <c r="J194" s="103">
        <f t="shared" si="80"/>
        <v>0</v>
      </c>
      <c r="K194" s="103"/>
      <c r="L194" s="103"/>
      <c r="M194" s="103"/>
      <c r="N194" s="103"/>
      <c r="O194" s="103"/>
      <c r="P194" s="103">
        <f t="shared" si="79"/>
        <v>1285000</v>
      </c>
      <c r="Q194" s="178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/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30"/>
      <c r="MW194" s="30"/>
      <c r="MX194" s="30"/>
      <c r="MY194" s="30"/>
      <c r="MZ194" s="30"/>
      <c r="NA194" s="30"/>
      <c r="NB194" s="30"/>
      <c r="NC194" s="30"/>
      <c r="ND194" s="30"/>
      <c r="NE194" s="30"/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30"/>
      <c r="NY194" s="30"/>
      <c r="NZ194" s="30"/>
      <c r="OA194" s="30"/>
      <c r="OB194" s="30"/>
      <c r="OC194" s="30"/>
      <c r="OD194" s="30"/>
      <c r="OE194" s="30"/>
      <c r="OF194" s="30"/>
      <c r="OG194" s="30"/>
      <c r="OH194" s="30"/>
      <c r="OI194" s="30"/>
      <c r="OJ194" s="30"/>
      <c r="OK194" s="30"/>
      <c r="OL194" s="30"/>
      <c r="OM194" s="30"/>
      <c r="ON194" s="30"/>
      <c r="OO194" s="30"/>
      <c r="OP194" s="30"/>
      <c r="OQ194" s="30"/>
      <c r="OR194" s="30"/>
      <c r="OS194" s="30"/>
      <c r="OT194" s="30"/>
      <c r="OU194" s="30"/>
      <c r="OV194" s="30"/>
      <c r="OW194" s="30"/>
      <c r="OX194" s="30"/>
      <c r="OY194" s="30"/>
      <c r="OZ194" s="30"/>
      <c r="PA194" s="30"/>
      <c r="PB194" s="30"/>
      <c r="PC194" s="30"/>
      <c r="PD194" s="30"/>
      <c r="PE194" s="30"/>
      <c r="PF194" s="30"/>
      <c r="PG194" s="30"/>
      <c r="PH194" s="30"/>
      <c r="PI194" s="30"/>
      <c r="PJ194" s="30"/>
      <c r="PK194" s="30"/>
      <c r="PL194" s="30"/>
      <c r="PM194" s="30"/>
      <c r="PN194" s="30"/>
      <c r="PO194" s="30"/>
      <c r="PP194" s="30"/>
      <c r="PQ194" s="30"/>
      <c r="PR194" s="30"/>
      <c r="PS194" s="30"/>
      <c r="PT194" s="30"/>
      <c r="PU194" s="30"/>
      <c r="PV194" s="30"/>
      <c r="PW194" s="30"/>
      <c r="PX194" s="30"/>
      <c r="PY194" s="30"/>
      <c r="PZ194" s="30"/>
      <c r="QA194" s="30"/>
      <c r="QB194" s="30"/>
      <c r="QC194" s="30"/>
      <c r="QD194" s="30"/>
      <c r="QE194" s="30"/>
      <c r="QF194" s="30"/>
      <c r="QG194" s="30"/>
      <c r="QH194" s="30"/>
      <c r="QI194" s="30"/>
      <c r="QJ194" s="30"/>
      <c r="QK194" s="30"/>
      <c r="QL194" s="30"/>
      <c r="QM194" s="30"/>
      <c r="QN194" s="30"/>
      <c r="QO194" s="30"/>
      <c r="QP194" s="30"/>
      <c r="QQ194" s="30"/>
      <c r="QR194" s="30"/>
      <c r="QS194" s="30"/>
      <c r="QT194" s="30"/>
      <c r="QU194" s="30"/>
      <c r="QV194" s="30"/>
      <c r="QW194" s="30"/>
      <c r="QX194" s="30"/>
      <c r="QY194" s="30"/>
      <c r="QZ194" s="30"/>
      <c r="RA194" s="30"/>
      <c r="RB194" s="30"/>
      <c r="RC194" s="30"/>
      <c r="RD194" s="30"/>
      <c r="RE194" s="30"/>
      <c r="RF194" s="30"/>
      <c r="RG194" s="30"/>
      <c r="RH194" s="30"/>
      <c r="RI194" s="30"/>
      <c r="RJ194" s="30"/>
      <c r="RK194" s="30"/>
      <c r="RL194" s="30"/>
      <c r="RM194" s="30"/>
      <c r="RN194" s="30"/>
      <c r="RO194" s="30"/>
      <c r="RP194" s="30"/>
      <c r="RQ194" s="30"/>
      <c r="RR194" s="30"/>
      <c r="RS194" s="30"/>
      <c r="RT194" s="30"/>
      <c r="RU194" s="30"/>
      <c r="RV194" s="30"/>
      <c r="RW194" s="30"/>
      <c r="RX194" s="30"/>
      <c r="RY194" s="30"/>
      <c r="RZ194" s="30"/>
      <c r="SA194" s="30"/>
      <c r="SB194" s="30"/>
      <c r="SC194" s="30"/>
      <c r="SD194" s="30"/>
      <c r="SE194" s="30"/>
      <c r="SF194" s="30"/>
      <c r="SG194" s="30"/>
      <c r="SH194" s="30"/>
      <c r="SI194" s="30"/>
      <c r="SJ194" s="30"/>
      <c r="SK194" s="30"/>
      <c r="SL194" s="30"/>
      <c r="SM194" s="30"/>
      <c r="SN194" s="30"/>
      <c r="SO194" s="30"/>
      <c r="SP194" s="30"/>
      <c r="SQ194" s="30"/>
      <c r="SR194" s="30"/>
      <c r="SS194" s="30"/>
      <c r="ST194" s="30"/>
      <c r="SU194" s="30"/>
      <c r="SV194" s="30"/>
      <c r="SW194" s="30"/>
      <c r="SX194" s="30"/>
      <c r="SY194" s="30"/>
      <c r="SZ194" s="30"/>
      <c r="TA194" s="30"/>
      <c r="TB194" s="30"/>
      <c r="TC194" s="30"/>
      <c r="TD194" s="30"/>
      <c r="TE194" s="30"/>
      <c r="TF194" s="30"/>
      <c r="TG194" s="30"/>
      <c r="TH194" s="30"/>
    </row>
    <row r="195" spans="1:528" s="24" customFormat="1" ht="25.5" customHeight="1" x14ac:dyDescent="0.25">
      <c r="A195" s="60" t="s">
        <v>460</v>
      </c>
      <c r="B195" s="60" t="s">
        <v>461</v>
      </c>
      <c r="C195" s="60" t="s">
        <v>113</v>
      </c>
      <c r="D195" s="157" t="s">
        <v>576</v>
      </c>
      <c r="E195" s="103">
        <f t="shared" si="78"/>
        <v>0</v>
      </c>
      <c r="F195" s="103"/>
      <c r="G195" s="103"/>
      <c r="H195" s="103"/>
      <c r="I195" s="103"/>
      <c r="J195" s="103">
        <f t="shared" si="80"/>
        <v>950000</v>
      </c>
      <c r="K195" s="103">
        <v>950000</v>
      </c>
      <c r="L195" s="103"/>
      <c r="M195" s="103"/>
      <c r="N195" s="103"/>
      <c r="O195" s="103">
        <v>950000</v>
      </c>
      <c r="P195" s="103">
        <f t="shared" si="79"/>
        <v>950000</v>
      </c>
      <c r="Q195" s="178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  <c r="TG195" s="30"/>
      <c r="TH195" s="30"/>
    </row>
    <row r="196" spans="1:528" s="22" customFormat="1" ht="22.5" customHeight="1" x14ac:dyDescent="0.25">
      <c r="A196" s="60" t="s">
        <v>147</v>
      </c>
      <c r="B196" s="97" t="str">
        <f>'дод 8'!A187</f>
        <v>7640</v>
      </c>
      <c r="C196" s="97" t="str">
        <f>'дод 8'!B187</f>
        <v>0470</v>
      </c>
      <c r="D196" s="61" t="s">
        <v>424</v>
      </c>
      <c r="E196" s="103">
        <f t="shared" si="78"/>
        <v>0</v>
      </c>
      <c r="F196" s="103"/>
      <c r="G196" s="103"/>
      <c r="H196" s="103"/>
      <c r="I196" s="103"/>
      <c r="J196" s="103">
        <f t="shared" si="80"/>
        <v>1500000</v>
      </c>
      <c r="K196" s="103">
        <v>1500000</v>
      </c>
      <c r="L196" s="103"/>
      <c r="M196" s="103"/>
      <c r="N196" s="103"/>
      <c r="O196" s="103">
        <v>1500000</v>
      </c>
      <c r="P196" s="103">
        <f t="shared" si="79"/>
        <v>1500000</v>
      </c>
      <c r="Q196" s="178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</row>
    <row r="197" spans="1:528" s="22" customFormat="1" ht="22.5" hidden="1" customHeight="1" x14ac:dyDescent="0.25">
      <c r="A197" s="60">
        <v>1018340</v>
      </c>
      <c r="B197" s="97" t="str">
        <f>'дод 8'!A209</f>
        <v>8340</v>
      </c>
      <c r="C197" s="97" t="str">
        <f>'дод 8'!B209</f>
        <v>0540</v>
      </c>
      <c r="D197" s="122" t="str">
        <f>'дод 8'!C209</f>
        <v>Природоохоронні заходи за рахунок цільових фондів</v>
      </c>
      <c r="E197" s="103">
        <f t="shared" si="78"/>
        <v>0</v>
      </c>
      <c r="F197" s="103"/>
      <c r="G197" s="103"/>
      <c r="H197" s="103"/>
      <c r="I197" s="103"/>
      <c r="J197" s="103">
        <f t="shared" si="80"/>
        <v>0</v>
      </c>
      <c r="K197" s="103"/>
      <c r="L197" s="103"/>
      <c r="M197" s="103"/>
      <c r="N197" s="103"/>
      <c r="O197" s="103"/>
      <c r="P197" s="103">
        <f t="shared" si="79"/>
        <v>0</v>
      </c>
      <c r="Q197" s="178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</row>
    <row r="198" spans="1:528" s="27" customFormat="1" ht="34.5" customHeight="1" x14ac:dyDescent="0.25">
      <c r="A198" s="114" t="s">
        <v>196</v>
      </c>
      <c r="B198" s="116"/>
      <c r="C198" s="116"/>
      <c r="D198" s="111" t="s">
        <v>33</v>
      </c>
      <c r="E198" s="99">
        <f>E199</f>
        <v>293814649.66000003</v>
      </c>
      <c r="F198" s="99">
        <f t="shared" ref="F198:J198" si="81">F199</f>
        <v>263114649.66000003</v>
      </c>
      <c r="G198" s="99">
        <f t="shared" si="81"/>
        <v>11274000</v>
      </c>
      <c r="H198" s="99">
        <f t="shared" si="81"/>
        <v>33968060</v>
      </c>
      <c r="I198" s="99">
        <f t="shared" si="81"/>
        <v>30700000</v>
      </c>
      <c r="J198" s="99">
        <f t="shared" si="81"/>
        <v>163660514.72999996</v>
      </c>
      <c r="K198" s="99">
        <f t="shared" ref="K198" si="82">K199</f>
        <v>156841348.15999997</v>
      </c>
      <c r="L198" s="99">
        <f t="shared" ref="L198" si="83">L199</f>
        <v>1740086.57</v>
      </c>
      <c r="M198" s="99">
        <f t="shared" ref="M198" si="84">M199</f>
        <v>0</v>
      </c>
      <c r="N198" s="99">
        <f t="shared" ref="N198" si="85">N199</f>
        <v>0</v>
      </c>
      <c r="O198" s="99">
        <f t="shared" ref="O198:P198" si="86">O199</f>
        <v>161920428.15999997</v>
      </c>
      <c r="P198" s="99">
        <f t="shared" si="86"/>
        <v>457475164.38999993</v>
      </c>
      <c r="Q198" s="178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  <c r="IT198" s="32"/>
      <c r="IU198" s="32"/>
      <c r="IV198" s="32"/>
      <c r="IW198" s="32"/>
      <c r="IX198" s="32"/>
      <c r="IY198" s="32"/>
      <c r="IZ198" s="32"/>
      <c r="JA198" s="32"/>
      <c r="JB198" s="32"/>
      <c r="JC198" s="32"/>
      <c r="JD198" s="32"/>
      <c r="JE198" s="32"/>
      <c r="JF198" s="32"/>
      <c r="JG198" s="32"/>
      <c r="JH198" s="32"/>
      <c r="JI198" s="32"/>
      <c r="JJ198" s="32"/>
      <c r="JK198" s="32"/>
      <c r="JL198" s="32"/>
      <c r="JM198" s="32"/>
      <c r="JN198" s="32"/>
      <c r="JO198" s="32"/>
      <c r="JP198" s="32"/>
      <c r="JQ198" s="32"/>
      <c r="JR198" s="32"/>
      <c r="JS198" s="32"/>
      <c r="JT198" s="32"/>
      <c r="JU198" s="32"/>
      <c r="JV198" s="32"/>
      <c r="JW198" s="32"/>
      <c r="JX198" s="32"/>
      <c r="JY198" s="32"/>
      <c r="JZ198" s="32"/>
      <c r="KA198" s="32"/>
      <c r="KB198" s="32"/>
      <c r="KC198" s="32"/>
      <c r="KD198" s="32"/>
      <c r="KE198" s="32"/>
      <c r="KF198" s="32"/>
      <c r="KG198" s="32"/>
      <c r="KH198" s="32"/>
      <c r="KI198" s="32"/>
      <c r="KJ198" s="32"/>
      <c r="KK198" s="32"/>
      <c r="KL198" s="32"/>
      <c r="KM198" s="32"/>
      <c r="KN198" s="32"/>
      <c r="KO198" s="32"/>
      <c r="KP198" s="32"/>
      <c r="KQ198" s="32"/>
      <c r="KR198" s="32"/>
      <c r="KS198" s="32"/>
      <c r="KT198" s="32"/>
      <c r="KU198" s="32"/>
      <c r="KV198" s="32"/>
      <c r="KW198" s="32"/>
      <c r="KX198" s="32"/>
      <c r="KY198" s="32"/>
      <c r="KZ198" s="32"/>
      <c r="LA198" s="32"/>
      <c r="LB198" s="32"/>
      <c r="LC198" s="32"/>
      <c r="LD198" s="32"/>
      <c r="LE198" s="32"/>
      <c r="LF198" s="32"/>
      <c r="LG198" s="32"/>
      <c r="LH198" s="32"/>
      <c r="LI198" s="32"/>
      <c r="LJ198" s="32"/>
      <c r="LK198" s="32"/>
      <c r="LL198" s="32"/>
      <c r="LM198" s="32"/>
      <c r="LN198" s="32"/>
      <c r="LO198" s="32"/>
      <c r="LP198" s="32"/>
      <c r="LQ198" s="32"/>
      <c r="LR198" s="32"/>
      <c r="LS198" s="32"/>
      <c r="LT198" s="32"/>
      <c r="LU198" s="32"/>
      <c r="LV198" s="32"/>
      <c r="LW198" s="32"/>
      <c r="LX198" s="32"/>
      <c r="LY198" s="32"/>
      <c r="LZ198" s="32"/>
      <c r="MA198" s="32"/>
      <c r="MB198" s="32"/>
      <c r="MC198" s="32"/>
      <c r="MD198" s="32"/>
      <c r="ME198" s="32"/>
      <c r="MF198" s="32"/>
      <c r="MG198" s="32"/>
      <c r="MH198" s="32"/>
      <c r="MI198" s="32"/>
      <c r="MJ198" s="32"/>
      <c r="MK198" s="32"/>
      <c r="ML198" s="32"/>
      <c r="MM198" s="32"/>
      <c r="MN198" s="32"/>
      <c r="MO198" s="32"/>
      <c r="MP198" s="32"/>
      <c r="MQ198" s="32"/>
      <c r="MR198" s="32"/>
      <c r="MS198" s="32"/>
      <c r="MT198" s="32"/>
      <c r="MU198" s="32"/>
      <c r="MV198" s="32"/>
      <c r="MW198" s="32"/>
      <c r="MX198" s="32"/>
      <c r="MY198" s="32"/>
      <c r="MZ198" s="32"/>
      <c r="NA198" s="32"/>
      <c r="NB198" s="32"/>
      <c r="NC198" s="32"/>
      <c r="ND198" s="32"/>
      <c r="NE198" s="32"/>
      <c r="NF198" s="32"/>
      <c r="NG198" s="32"/>
      <c r="NH198" s="32"/>
      <c r="NI198" s="32"/>
      <c r="NJ198" s="32"/>
      <c r="NK198" s="32"/>
      <c r="NL198" s="32"/>
      <c r="NM198" s="32"/>
      <c r="NN198" s="32"/>
      <c r="NO198" s="32"/>
      <c r="NP198" s="32"/>
      <c r="NQ198" s="32"/>
      <c r="NR198" s="32"/>
      <c r="NS198" s="32"/>
      <c r="NT198" s="32"/>
      <c r="NU198" s="32"/>
      <c r="NV198" s="32"/>
      <c r="NW198" s="32"/>
      <c r="NX198" s="32"/>
      <c r="NY198" s="32"/>
      <c r="NZ198" s="32"/>
      <c r="OA198" s="32"/>
      <c r="OB198" s="32"/>
      <c r="OC198" s="32"/>
      <c r="OD198" s="32"/>
      <c r="OE198" s="32"/>
      <c r="OF198" s="32"/>
      <c r="OG198" s="32"/>
      <c r="OH198" s="32"/>
      <c r="OI198" s="32"/>
      <c r="OJ198" s="32"/>
      <c r="OK198" s="32"/>
      <c r="OL198" s="32"/>
      <c r="OM198" s="32"/>
      <c r="ON198" s="32"/>
      <c r="OO198" s="32"/>
      <c r="OP198" s="32"/>
      <c r="OQ198" s="32"/>
      <c r="OR198" s="32"/>
      <c r="OS198" s="32"/>
      <c r="OT198" s="32"/>
      <c r="OU198" s="32"/>
      <c r="OV198" s="32"/>
      <c r="OW198" s="32"/>
      <c r="OX198" s="32"/>
      <c r="OY198" s="32"/>
      <c r="OZ198" s="32"/>
      <c r="PA198" s="32"/>
      <c r="PB198" s="32"/>
      <c r="PC198" s="32"/>
      <c r="PD198" s="32"/>
      <c r="PE198" s="32"/>
      <c r="PF198" s="32"/>
      <c r="PG198" s="32"/>
      <c r="PH198" s="32"/>
      <c r="PI198" s="32"/>
      <c r="PJ198" s="32"/>
      <c r="PK198" s="32"/>
      <c r="PL198" s="32"/>
      <c r="PM198" s="32"/>
      <c r="PN198" s="32"/>
      <c r="PO198" s="32"/>
      <c r="PP198" s="32"/>
      <c r="PQ198" s="32"/>
      <c r="PR198" s="32"/>
      <c r="PS198" s="32"/>
      <c r="PT198" s="32"/>
      <c r="PU198" s="32"/>
      <c r="PV198" s="32"/>
      <c r="PW198" s="32"/>
      <c r="PX198" s="32"/>
      <c r="PY198" s="32"/>
      <c r="PZ198" s="32"/>
      <c r="QA198" s="32"/>
      <c r="QB198" s="32"/>
      <c r="QC198" s="32"/>
      <c r="QD198" s="32"/>
      <c r="QE198" s="32"/>
      <c r="QF198" s="32"/>
      <c r="QG198" s="32"/>
      <c r="QH198" s="32"/>
      <c r="QI198" s="32"/>
      <c r="QJ198" s="32"/>
      <c r="QK198" s="32"/>
      <c r="QL198" s="32"/>
      <c r="QM198" s="32"/>
      <c r="QN198" s="32"/>
      <c r="QO198" s="32"/>
      <c r="QP198" s="32"/>
      <c r="QQ198" s="32"/>
      <c r="QR198" s="32"/>
      <c r="QS198" s="32"/>
      <c r="QT198" s="32"/>
      <c r="QU198" s="32"/>
      <c r="QV198" s="32"/>
      <c r="QW198" s="32"/>
      <c r="QX198" s="32"/>
      <c r="QY198" s="32"/>
      <c r="QZ198" s="32"/>
      <c r="RA198" s="32"/>
      <c r="RB198" s="32"/>
      <c r="RC198" s="32"/>
      <c r="RD198" s="32"/>
      <c r="RE198" s="32"/>
      <c r="RF198" s="32"/>
      <c r="RG198" s="32"/>
      <c r="RH198" s="32"/>
      <c r="RI198" s="32"/>
      <c r="RJ198" s="32"/>
      <c r="RK198" s="32"/>
      <c r="RL198" s="32"/>
      <c r="RM198" s="32"/>
      <c r="RN198" s="32"/>
      <c r="RO198" s="32"/>
      <c r="RP198" s="32"/>
      <c r="RQ198" s="32"/>
      <c r="RR198" s="32"/>
      <c r="RS198" s="32"/>
      <c r="RT198" s="32"/>
      <c r="RU198" s="32"/>
      <c r="RV198" s="32"/>
      <c r="RW198" s="32"/>
      <c r="RX198" s="32"/>
      <c r="RY198" s="32"/>
      <c r="RZ198" s="32"/>
      <c r="SA198" s="32"/>
      <c r="SB198" s="32"/>
      <c r="SC198" s="32"/>
      <c r="SD198" s="32"/>
      <c r="SE198" s="32"/>
      <c r="SF198" s="32"/>
      <c r="SG198" s="32"/>
      <c r="SH198" s="32"/>
      <c r="SI198" s="32"/>
      <c r="SJ198" s="32"/>
      <c r="SK198" s="32"/>
      <c r="SL198" s="32"/>
      <c r="SM198" s="32"/>
      <c r="SN198" s="32"/>
      <c r="SO198" s="32"/>
      <c r="SP198" s="32"/>
      <c r="SQ198" s="32"/>
      <c r="SR198" s="32"/>
      <c r="SS198" s="32"/>
      <c r="ST198" s="32"/>
      <c r="SU198" s="32"/>
      <c r="SV198" s="32"/>
      <c r="SW198" s="32"/>
      <c r="SX198" s="32"/>
      <c r="SY198" s="32"/>
      <c r="SZ198" s="32"/>
      <c r="TA198" s="32"/>
      <c r="TB198" s="32"/>
      <c r="TC198" s="32"/>
      <c r="TD198" s="32"/>
      <c r="TE198" s="32"/>
      <c r="TF198" s="32"/>
      <c r="TG198" s="32"/>
      <c r="TH198" s="32"/>
    </row>
    <row r="199" spans="1:528" s="34" customFormat="1" ht="36.75" customHeight="1" x14ac:dyDescent="0.25">
      <c r="A199" s="100" t="s">
        <v>197</v>
      </c>
      <c r="B199" s="113"/>
      <c r="C199" s="113"/>
      <c r="D199" s="81" t="s">
        <v>398</v>
      </c>
      <c r="E199" s="102">
        <f>E204+E205+E206+E207+E208+E209+E210+E211+E212+E213+E214+E215+E217+E216+E219+E224+E225+E226+E228+E231+E232+E218+E221+E230+E229</f>
        <v>293814649.66000003</v>
      </c>
      <c r="F199" s="102">
        <f t="shared" ref="F199:P199" si="87">F204+F205+F206+F207+F208+F209+F210+F211+F212+F213+F214+F215+F217+F216+F219+F224+F225+F226+F228+F231+F232+F218+F221+F230+F229</f>
        <v>263114649.66000003</v>
      </c>
      <c r="G199" s="102">
        <f t="shared" si="87"/>
        <v>11274000</v>
      </c>
      <c r="H199" s="102">
        <f t="shared" si="87"/>
        <v>33968060</v>
      </c>
      <c r="I199" s="102">
        <f t="shared" si="87"/>
        <v>30700000</v>
      </c>
      <c r="J199" s="102">
        <f t="shared" si="87"/>
        <v>163660514.72999996</v>
      </c>
      <c r="K199" s="102">
        <f t="shared" si="87"/>
        <v>156841348.15999997</v>
      </c>
      <c r="L199" s="102">
        <f t="shared" si="87"/>
        <v>1740086.57</v>
      </c>
      <c r="M199" s="102">
        <f t="shared" si="87"/>
        <v>0</v>
      </c>
      <c r="N199" s="102">
        <f t="shared" si="87"/>
        <v>0</v>
      </c>
      <c r="O199" s="102">
        <f t="shared" si="87"/>
        <v>161920428.15999997</v>
      </c>
      <c r="P199" s="102">
        <f t="shared" si="87"/>
        <v>457475164.38999993</v>
      </c>
      <c r="Q199" s="178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  <c r="IW199" s="33"/>
      <c r="IX199" s="33"/>
      <c r="IY199" s="33"/>
      <c r="IZ199" s="33"/>
      <c r="JA199" s="33"/>
      <c r="JB199" s="33"/>
      <c r="JC199" s="33"/>
      <c r="JD199" s="33"/>
      <c r="JE199" s="33"/>
      <c r="JF199" s="33"/>
      <c r="JG199" s="33"/>
      <c r="JH199" s="33"/>
      <c r="JI199" s="33"/>
      <c r="JJ199" s="33"/>
      <c r="JK199" s="33"/>
      <c r="JL199" s="33"/>
      <c r="JM199" s="33"/>
      <c r="JN199" s="33"/>
      <c r="JO199" s="33"/>
      <c r="JP199" s="33"/>
      <c r="JQ199" s="33"/>
      <c r="JR199" s="33"/>
      <c r="JS199" s="33"/>
      <c r="JT199" s="33"/>
      <c r="JU199" s="33"/>
      <c r="JV199" s="33"/>
      <c r="JW199" s="33"/>
      <c r="JX199" s="33"/>
      <c r="JY199" s="33"/>
      <c r="JZ199" s="33"/>
      <c r="KA199" s="33"/>
      <c r="KB199" s="33"/>
      <c r="KC199" s="33"/>
      <c r="KD199" s="33"/>
      <c r="KE199" s="33"/>
      <c r="KF199" s="33"/>
      <c r="KG199" s="33"/>
      <c r="KH199" s="33"/>
      <c r="KI199" s="33"/>
      <c r="KJ199" s="33"/>
      <c r="KK199" s="33"/>
      <c r="KL199" s="33"/>
      <c r="KM199" s="33"/>
      <c r="KN199" s="33"/>
      <c r="KO199" s="33"/>
      <c r="KP199" s="33"/>
      <c r="KQ199" s="33"/>
      <c r="KR199" s="33"/>
      <c r="KS199" s="33"/>
      <c r="KT199" s="33"/>
      <c r="KU199" s="33"/>
      <c r="KV199" s="33"/>
      <c r="KW199" s="33"/>
      <c r="KX199" s="33"/>
      <c r="KY199" s="33"/>
      <c r="KZ199" s="33"/>
      <c r="LA199" s="33"/>
      <c r="LB199" s="33"/>
      <c r="LC199" s="33"/>
      <c r="LD199" s="33"/>
      <c r="LE199" s="33"/>
      <c r="LF199" s="33"/>
      <c r="LG199" s="33"/>
      <c r="LH199" s="33"/>
      <c r="LI199" s="33"/>
      <c r="LJ199" s="33"/>
      <c r="LK199" s="33"/>
      <c r="LL199" s="33"/>
      <c r="LM199" s="33"/>
      <c r="LN199" s="33"/>
      <c r="LO199" s="33"/>
      <c r="LP199" s="33"/>
      <c r="LQ199" s="33"/>
      <c r="LR199" s="33"/>
      <c r="LS199" s="33"/>
      <c r="LT199" s="33"/>
      <c r="LU199" s="33"/>
      <c r="LV199" s="33"/>
      <c r="LW199" s="33"/>
      <c r="LX199" s="33"/>
      <c r="LY199" s="33"/>
      <c r="LZ199" s="33"/>
      <c r="MA199" s="33"/>
      <c r="MB199" s="33"/>
      <c r="MC199" s="33"/>
      <c r="MD199" s="33"/>
      <c r="ME199" s="33"/>
      <c r="MF199" s="33"/>
      <c r="MG199" s="33"/>
      <c r="MH199" s="33"/>
      <c r="MI199" s="33"/>
      <c r="MJ199" s="33"/>
      <c r="MK199" s="33"/>
      <c r="ML199" s="33"/>
      <c r="MM199" s="33"/>
      <c r="MN199" s="33"/>
      <c r="MO199" s="33"/>
      <c r="MP199" s="33"/>
      <c r="MQ199" s="33"/>
      <c r="MR199" s="33"/>
      <c r="MS199" s="33"/>
      <c r="MT199" s="33"/>
      <c r="MU199" s="33"/>
      <c r="MV199" s="33"/>
      <c r="MW199" s="33"/>
      <c r="MX199" s="33"/>
      <c r="MY199" s="33"/>
      <c r="MZ199" s="33"/>
      <c r="NA199" s="33"/>
      <c r="NB199" s="33"/>
      <c r="NC199" s="33"/>
      <c r="ND199" s="33"/>
      <c r="NE199" s="33"/>
      <c r="NF199" s="33"/>
      <c r="NG199" s="33"/>
      <c r="NH199" s="33"/>
      <c r="NI199" s="33"/>
      <c r="NJ199" s="33"/>
      <c r="NK199" s="33"/>
      <c r="NL199" s="33"/>
      <c r="NM199" s="33"/>
      <c r="NN199" s="33"/>
      <c r="NO199" s="33"/>
      <c r="NP199" s="33"/>
      <c r="NQ199" s="33"/>
      <c r="NR199" s="33"/>
      <c r="NS199" s="33"/>
      <c r="NT199" s="33"/>
      <c r="NU199" s="33"/>
      <c r="NV199" s="33"/>
      <c r="NW199" s="33"/>
      <c r="NX199" s="33"/>
      <c r="NY199" s="33"/>
      <c r="NZ199" s="33"/>
      <c r="OA199" s="33"/>
      <c r="OB199" s="33"/>
      <c r="OC199" s="33"/>
      <c r="OD199" s="33"/>
      <c r="OE199" s="33"/>
      <c r="OF199" s="33"/>
      <c r="OG199" s="33"/>
      <c r="OH199" s="33"/>
      <c r="OI199" s="33"/>
      <c r="OJ199" s="33"/>
      <c r="OK199" s="33"/>
      <c r="OL199" s="33"/>
      <c r="OM199" s="33"/>
      <c r="ON199" s="33"/>
      <c r="OO199" s="33"/>
      <c r="OP199" s="33"/>
      <c r="OQ199" s="33"/>
      <c r="OR199" s="33"/>
      <c r="OS199" s="33"/>
      <c r="OT199" s="33"/>
      <c r="OU199" s="33"/>
      <c r="OV199" s="33"/>
      <c r="OW199" s="33"/>
      <c r="OX199" s="33"/>
      <c r="OY199" s="33"/>
      <c r="OZ199" s="33"/>
      <c r="PA199" s="33"/>
      <c r="PB199" s="33"/>
      <c r="PC199" s="33"/>
      <c r="PD199" s="33"/>
      <c r="PE199" s="33"/>
      <c r="PF199" s="33"/>
      <c r="PG199" s="33"/>
      <c r="PH199" s="33"/>
      <c r="PI199" s="33"/>
      <c r="PJ199" s="33"/>
      <c r="PK199" s="33"/>
      <c r="PL199" s="33"/>
      <c r="PM199" s="33"/>
      <c r="PN199" s="33"/>
      <c r="PO199" s="33"/>
      <c r="PP199" s="33"/>
      <c r="PQ199" s="33"/>
      <c r="PR199" s="33"/>
      <c r="PS199" s="33"/>
      <c r="PT199" s="33"/>
      <c r="PU199" s="33"/>
      <c r="PV199" s="33"/>
      <c r="PW199" s="33"/>
      <c r="PX199" s="33"/>
      <c r="PY199" s="33"/>
      <c r="PZ199" s="33"/>
      <c r="QA199" s="33"/>
      <c r="QB199" s="33"/>
      <c r="QC199" s="33"/>
      <c r="QD199" s="33"/>
      <c r="QE199" s="33"/>
      <c r="QF199" s="33"/>
      <c r="QG199" s="33"/>
      <c r="QH199" s="33"/>
      <c r="QI199" s="33"/>
      <c r="QJ199" s="33"/>
      <c r="QK199" s="33"/>
      <c r="QL199" s="33"/>
      <c r="QM199" s="33"/>
      <c r="QN199" s="33"/>
      <c r="QO199" s="33"/>
      <c r="QP199" s="33"/>
      <c r="QQ199" s="33"/>
      <c r="QR199" s="33"/>
      <c r="QS199" s="33"/>
      <c r="QT199" s="33"/>
      <c r="QU199" s="33"/>
      <c r="QV199" s="33"/>
      <c r="QW199" s="33"/>
      <c r="QX199" s="33"/>
      <c r="QY199" s="33"/>
      <c r="QZ199" s="33"/>
      <c r="RA199" s="33"/>
      <c r="RB199" s="33"/>
      <c r="RC199" s="33"/>
      <c r="RD199" s="33"/>
      <c r="RE199" s="33"/>
      <c r="RF199" s="33"/>
      <c r="RG199" s="33"/>
      <c r="RH199" s="33"/>
      <c r="RI199" s="33"/>
      <c r="RJ199" s="33"/>
      <c r="RK199" s="33"/>
      <c r="RL199" s="33"/>
      <c r="RM199" s="33"/>
      <c r="RN199" s="33"/>
      <c r="RO199" s="33"/>
      <c r="RP199" s="33"/>
      <c r="RQ199" s="33"/>
      <c r="RR199" s="33"/>
      <c r="RS199" s="33"/>
      <c r="RT199" s="33"/>
      <c r="RU199" s="33"/>
      <c r="RV199" s="33"/>
      <c r="RW199" s="33"/>
      <c r="RX199" s="33"/>
      <c r="RY199" s="33"/>
      <c r="RZ199" s="33"/>
      <c r="SA199" s="33"/>
      <c r="SB199" s="33"/>
      <c r="SC199" s="33"/>
      <c r="SD199" s="33"/>
      <c r="SE199" s="33"/>
      <c r="SF199" s="33"/>
      <c r="SG199" s="33"/>
      <c r="SH199" s="33"/>
      <c r="SI199" s="33"/>
      <c r="SJ199" s="33"/>
      <c r="SK199" s="33"/>
      <c r="SL199" s="33"/>
      <c r="SM199" s="33"/>
      <c r="SN199" s="33"/>
      <c r="SO199" s="33"/>
      <c r="SP199" s="33"/>
      <c r="SQ199" s="33"/>
      <c r="SR199" s="33"/>
      <c r="SS199" s="33"/>
      <c r="ST199" s="33"/>
      <c r="SU199" s="33"/>
      <c r="SV199" s="33"/>
      <c r="SW199" s="33"/>
      <c r="SX199" s="33"/>
      <c r="SY199" s="33"/>
      <c r="SZ199" s="33"/>
      <c r="TA199" s="33"/>
      <c r="TB199" s="33"/>
      <c r="TC199" s="33"/>
      <c r="TD199" s="33"/>
      <c r="TE199" s="33"/>
      <c r="TF199" s="33"/>
      <c r="TG199" s="33"/>
      <c r="TH199" s="33"/>
    </row>
    <row r="200" spans="1:528" s="34" customFormat="1" ht="45" hidden="1" customHeight="1" x14ac:dyDescent="0.25">
      <c r="A200" s="100"/>
      <c r="B200" s="113"/>
      <c r="C200" s="113"/>
      <c r="D200" s="81" t="s">
        <v>390</v>
      </c>
      <c r="E200" s="102">
        <f>E220</f>
        <v>0</v>
      </c>
      <c r="F200" s="102">
        <f t="shared" ref="F200:P200" si="88">F220</f>
        <v>0</v>
      </c>
      <c r="G200" s="102">
        <f t="shared" si="88"/>
        <v>0</v>
      </c>
      <c r="H200" s="102">
        <f t="shared" si="88"/>
        <v>0</v>
      </c>
      <c r="I200" s="102">
        <f t="shared" si="88"/>
        <v>0</v>
      </c>
      <c r="J200" s="102">
        <f t="shared" si="88"/>
        <v>0</v>
      </c>
      <c r="K200" s="102">
        <f t="shared" si="88"/>
        <v>0</v>
      </c>
      <c r="L200" s="102">
        <f t="shared" si="88"/>
        <v>0</v>
      </c>
      <c r="M200" s="102">
        <f t="shared" si="88"/>
        <v>0</v>
      </c>
      <c r="N200" s="102">
        <f t="shared" si="88"/>
        <v>0</v>
      </c>
      <c r="O200" s="102">
        <f t="shared" si="88"/>
        <v>0</v>
      </c>
      <c r="P200" s="102">
        <f t="shared" si="88"/>
        <v>0</v>
      </c>
      <c r="Q200" s="178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  <c r="IW200" s="33"/>
      <c r="IX200" s="33"/>
      <c r="IY200" s="33"/>
      <c r="IZ200" s="33"/>
      <c r="JA200" s="33"/>
      <c r="JB200" s="33"/>
      <c r="JC200" s="33"/>
      <c r="JD200" s="33"/>
      <c r="JE200" s="33"/>
      <c r="JF200" s="33"/>
      <c r="JG200" s="33"/>
      <c r="JH200" s="33"/>
      <c r="JI200" s="33"/>
      <c r="JJ200" s="33"/>
      <c r="JK200" s="33"/>
      <c r="JL200" s="33"/>
      <c r="JM200" s="33"/>
      <c r="JN200" s="33"/>
      <c r="JO200" s="33"/>
      <c r="JP200" s="33"/>
      <c r="JQ200" s="33"/>
      <c r="JR200" s="33"/>
      <c r="JS200" s="33"/>
      <c r="JT200" s="33"/>
      <c r="JU200" s="33"/>
      <c r="JV200" s="33"/>
      <c r="JW200" s="33"/>
      <c r="JX200" s="33"/>
      <c r="JY200" s="33"/>
      <c r="JZ200" s="33"/>
      <c r="KA200" s="33"/>
      <c r="KB200" s="33"/>
      <c r="KC200" s="33"/>
      <c r="KD200" s="33"/>
      <c r="KE200" s="33"/>
      <c r="KF200" s="33"/>
      <c r="KG200" s="33"/>
      <c r="KH200" s="33"/>
      <c r="KI200" s="33"/>
      <c r="KJ200" s="33"/>
      <c r="KK200" s="33"/>
      <c r="KL200" s="33"/>
      <c r="KM200" s="33"/>
      <c r="KN200" s="33"/>
      <c r="KO200" s="33"/>
      <c r="KP200" s="33"/>
      <c r="KQ200" s="33"/>
      <c r="KR200" s="33"/>
      <c r="KS200" s="33"/>
      <c r="KT200" s="33"/>
      <c r="KU200" s="33"/>
      <c r="KV200" s="33"/>
      <c r="KW200" s="33"/>
      <c r="KX200" s="33"/>
      <c r="KY200" s="33"/>
      <c r="KZ200" s="33"/>
      <c r="LA200" s="33"/>
      <c r="LB200" s="33"/>
      <c r="LC200" s="33"/>
      <c r="LD200" s="33"/>
      <c r="LE200" s="33"/>
      <c r="LF200" s="33"/>
      <c r="LG200" s="33"/>
      <c r="LH200" s="33"/>
      <c r="LI200" s="33"/>
      <c r="LJ200" s="33"/>
      <c r="LK200" s="33"/>
      <c r="LL200" s="33"/>
      <c r="LM200" s="33"/>
      <c r="LN200" s="33"/>
      <c r="LO200" s="33"/>
      <c r="LP200" s="33"/>
      <c r="LQ200" s="33"/>
      <c r="LR200" s="33"/>
      <c r="LS200" s="33"/>
      <c r="LT200" s="33"/>
      <c r="LU200" s="33"/>
      <c r="LV200" s="33"/>
      <c r="LW200" s="33"/>
      <c r="LX200" s="33"/>
      <c r="LY200" s="33"/>
      <c r="LZ200" s="33"/>
      <c r="MA200" s="33"/>
      <c r="MB200" s="33"/>
      <c r="MC200" s="33"/>
      <c r="MD200" s="33"/>
      <c r="ME200" s="33"/>
      <c r="MF200" s="33"/>
      <c r="MG200" s="33"/>
      <c r="MH200" s="33"/>
      <c r="MI200" s="33"/>
      <c r="MJ200" s="33"/>
      <c r="MK200" s="33"/>
      <c r="ML200" s="33"/>
      <c r="MM200" s="33"/>
      <c r="MN200" s="33"/>
      <c r="MO200" s="33"/>
      <c r="MP200" s="33"/>
      <c r="MQ200" s="33"/>
      <c r="MR200" s="33"/>
      <c r="MS200" s="33"/>
      <c r="MT200" s="33"/>
      <c r="MU200" s="33"/>
      <c r="MV200" s="33"/>
      <c r="MW200" s="33"/>
      <c r="MX200" s="33"/>
      <c r="MY200" s="33"/>
      <c r="MZ200" s="33"/>
      <c r="NA200" s="33"/>
      <c r="NB200" s="33"/>
      <c r="NC200" s="33"/>
      <c r="ND200" s="33"/>
      <c r="NE200" s="33"/>
      <c r="NF200" s="33"/>
      <c r="NG200" s="33"/>
      <c r="NH200" s="33"/>
      <c r="NI200" s="33"/>
      <c r="NJ200" s="33"/>
      <c r="NK200" s="33"/>
      <c r="NL200" s="33"/>
      <c r="NM200" s="33"/>
      <c r="NN200" s="33"/>
      <c r="NO200" s="33"/>
      <c r="NP200" s="33"/>
      <c r="NQ200" s="33"/>
      <c r="NR200" s="33"/>
      <c r="NS200" s="33"/>
      <c r="NT200" s="33"/>
      <c r="NU200" s="33"/>
      <c r="NV200" s="33"/>
      <c r="NW200" s="33"/>
      <c r="NX200" s="33"/>
      <c r="NY200" s="33"/>
      <c r="NZ200" s="33"/>
      <c r="OA200" s="33"/>
      <c r="OB200" s="33"/>
      <c r="OC200" s="33"/>
      <c r="OD200" s="33"/>
      <c r="OE200" s="33"/>
      <c r="OF200" s="33"/>
      <c r="OG200" s="33"/>
      <c r="OH200" s="33"/>
      <c r="OI200" s="33"/>
      <c r="OJ200" s="33"/>
      <c r="OK200" s="33"/>
      <c r="OL200" s="33"/>
      <c r="OM200" s="33"/>
      <c r="ON200" s="33"/>
      <c r="OO200" s="33"/>
      <c r="OP200" s="33"/>
      <c r="OQ200" s="33"/>
      <c r="OR200" s="33"/>
      <c r="OS200" s="33"/>
      <c r="OT200" s="33"/>
      <c r="OU200" s="33"/>
      <c r="OV200" s="33"/>
      <c r="OW200" s="33"/>
      <c r="OX200" s="33"/>
      <c r="OY200" s="33"/>
      <c r="OZ200" s="33"/>
      <c r="PA200" s="33"/>
      <c r="PB200" s="33"/>
      <c r="PC200" s="33"/>
      <c r="PD200" s="33"/>
      <c r="PE200" s="33"/>
      <c r="PF200" s="33"/>
      <c r="PG200" s="33"/>
      <c r="PH200" s="33"/>
      <c r="PI200" s="33"/>
      <c r="PJ200" s="33"/>
      <c r="PK200" s="33"/>
      <c r="PL200" s="33"/>
      <c r="PM200" s="33"/>
      <c r="PN200" s="33"/>
      <c r="PO200" s="33"/>
      <c r="PP200" s="33"/>
      <c r="PQ200" s="33"/>
      <c r="PR200" s="33"/>
      <c r="PS200" s="33"/>
      <c r="PT200" s="33"/>
      <c r="PU200" s="33"/>
      <c r="PV200" s="33"/>
      <c r="PW200" s="33"/>
      <c r="PX200" s="33"/>
      <c r="PY200" s="33"/>
      <c r="PZ200" s="33"/>
      <c r="QA200" s="33"/>
      <c r="QB200" s="33"/>
      <c r="QC200" s="33"/>
      <c r="QD200" s="33"/>
      <c r="QE200" s="33"/>
      <c r="QF200" s="33"/>
      <c r="QG200" s="33"/>
      <c r="QH200" s="33"/>
      <c r="QI200" s="33"/>
      <c r="QJ200" s="33"/>
      <c r="QK200" s="33"/>
      <c r="QL200" s="33"/>
      <c r="QM200" s="33"/>
      <c r="QN200" s="33"/>
      <c r="QO200" s="33"/>
      <c r="QP200" s="33"/>
      <c r="QQ200" s="33"/>
      <c r="QR200" s="33"/>
      <c r="QS200" s="33"/>
      <c r="QT200" s="33"/>
      <c r="QU200" s="33"/>
      <c r="QV200" s="33"/>
      <c r="QW200" s="33"/>
      <c r="QX200" s="33"/>
      <c r="QY200" s="33"/>
      <c r="QZ200" s="33"/>
      <c r="RA200" s="33"/>
      <c r="RB200" s="33"/>
      <c r="RC200" s="33"/>
      <c r="RD200" s="33"/>
      <c r="RE200" s="33"/>
      <c r="RF200" s="33"/>
      <c r="RG200" s="33"/>
      <c r="RH200" s="33"/>
      <c r="RI200" s="33"/>
      <c r="RJ200" s="33"/>
      <c r="RK200" s="33"/>
      <c r="RL200" s="33"/>
      <c r="RM200" s="33"/>
      <c r="RN200" s="33"/>
      <c r="RO200" s="33"/>
      <c r="RP200" s="33"/>
      <c r="RQ200" s="33"/>
      <c r="RR200" s="33"/>
      <c r="RS200" s="33"/>
      <c r="RT200" s="33"/>
      <c r="RU200" s="33"/>
      <c r="RV200" s="33"/>
      <c r="RW200" s="33"/>
      <c r="RX200" s="33"/>
      <c r="RY200" s="33"/>
      <c r="RZ200" s="33"/>
      <c r="SA200" s="33"/>
      <c r="SB200" s="33"/>
      <c r="SC200" s="33"/>
      <c r="SD200" s="33"/>
      <c r="SE200" s="33"/>
      <c r="SF200" s="33"/>
      <c r="SG200" s="33"/>
      <c r="SH200" s="33"/>
      <c r="SI200" s="33"/>
      <c r="SJ200" s="33"/>
      <c r="SK200" s="33"/>
      <c r="SL200" s="33"/>
      <c r="SM200" s="33"/>
      <c r="SN200" s="33"/>
      <c r="SO200" s="33"/>
      <c r="SP200" s="33"/>
      <c r="SQ200" s="33"/>
      <c r="SR200" s="33"/>
      <c r="SS200" s="33"/>
      <c r="ST200" s="33"/>
      <c r="SU200" s="33"/>
      <c r="SV200" s="33"/>
      <c r="SW200" s="33"/>
      <c r="SX200" s="33"/>
      <c r="SY200" s="33"/>
      <c r="SZ200" s="33"/>
      <c r="TA200" s="33"/>
      <c r="TB200" s="33"/>
      <c r="TC200" s="33"/>
      <c r="TD200" s="33"/>
      <c r="TE200" s="33"/>
      <c r="TF200" s="33"/>
      <c r="TG200" s="33"/>
      <c r="TH200" s="33"/>
    </row>
    <row r="201" spans="1:528" s="34" customFormat="1" ht="96.75" hidden="1" customHeight="1" x14ac:dyDescent="0.25">
      <c r="A201" s="100"/>
      <c r="B201" s="113"/>
      <c r="C201" s="113"/>
      <c r="D201" s="81" t="s">
        <v>399</v>
      </c>
      <c r="E201" s="102">
        <f>E222</f>
        <v>0</v>
      </c>
      <c r="F201" s="102">
        <f t="shared" ref="F201:P201" si="89">F222</f>
        <v>0</v>
      </c>
      <c r="G201" s="102">
        <f t="shared" si="89"/>
        <v>0</v>
      </c>
      <c r="H201" s="102">
        <f t="shared" si="89"/>
        <v>0</v>
      </c>
      <c r="I201" s="102">
        <f t="shared" si="89"/>
        <v>0</v>
      </c>
      <c r="J201" s="102">
        <f t="shared" si="89"/>
        <v>0</v>
      </c>
      <c r="K201" s="102">
        <f t="shared" si="89"/>
        <v>0</v>
      </c>
      <c r="L201" s="102">
        <f t="shared" si="89"/>
        <v>0</v>
      </c>
      <c r="M201" s="102">
        <f t="shared" si="89"/>
        <v>0</v>
      </c>
      <c r="N201" s="102">
        <f t="shared" si="89"/>
        <v>0</v>
      </c>
      <c r="O201" s="102">
        <f t="shared" si="89"/>
        <v>0</v>
      </c>
      <c r="P201" s="102">
        <f t="shared" si="89"/>
        <v>0</v>
      </c>
      <c r="Q201" s="178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  <c r="IW201" s="33"/>
      <c r="IX201" s="33"/>
      <c r="IY201" s="33"/>
      <c r="IZ201" s="33"/>
      <c r="JA201" s="33"/>
      <c r="JB201" s="33"/>
      <c r="JC201" s="33"/>
      <c r="JD201" s="33"/>
      <c r="JE201" s="33"/>
      <c r="JF201" s="33"/>
      <c r="JG201" s="33"/>
      <c r="JH201" s="33"/>
      <c r="JI201" s="33"/>
      <c r="JJ201" s="33"/>
      <c r="JK201" s="33"/>
      <c r="JL201" s="33"/>
      <c r="JM201" s="33"/>
      <c r="JN201" s="33"/>
      <c r="JO201" s="33"/>
      <c r="JP201" s="33"/>
      <c r="JQ201" s="33"/>
      <c r="JR201" s="33"/>
      <c r="JS201" s="33"/>
      <c r="JT201" s="33"/>
      <c r="JU201" s="33"/>
      <c r="JV201" s="33"/>
      <c r="JW201" s="33"/>
      <c r="JX201" s="33"/>
      <c r="JY201" s="33"/>
      <c r="JZ201" s="33"/>
      <c r="KA201" s="33"/>
      <c r="KB201" s="33"/>
      <c r="KC201" s="33"/>
      <c r="KD201" s="33"/>
      <c r="KE201" s="33"/>
      <c r="KF201" s="33"/>
      <c r="KG201" s="33"/>
      <c r="KH201" s="33"/>
      <c r="KI201" s="33"/>
      <c r="KJ201" s="33"/>
      <c r="KK201" s="33"/>
      <c r="KL201" s="33"/>
      <c r="KM201" s="33"/>
      <c r="KN201" s="33"/>
      <c r="KO201" s="33"/>
      <c r="KP201" s="33"/>
      <c r="KQ201" s="33"/>
      <c r="KR201" s="33"/>
      <c r="KS201" s="33"/>
      <c r="KT201" s="33"/>
      <c r="KU201" s="33"/>
      <c r="KV201" s="33"/>
      <c r="KW201" s="33"/>
      <c r="KX201" s="33"/>
      <c r="KY201" s="33"/>
      <c r="KZ201" s="33"/>
      <c r="LA201" s="33"/>
      <c r="LB201" s="33"/>
      <c r="LC201" s="33"/>
      <c r="LD201" s="33"/>
      <c r="LE201" s="33"/>
      <c r="LF201" s="33"/>
      <c r="LG201" s="33"/>
      <c r="LH201" s="33"/>
      <c r="LI201" s="33"/>
      <c r="LJ201" s="33"/>
      <c r="LK201" s="33"/>
      <c r="LL201" s="33"/>
      <c r="LM201" s="33"/>
      <c r="LN201" s="33"/>
      <c r="LO201" s="33"/>
      <c r="LP201" s="33"/>
      <c r="LQ201" s="33"/>
      <c r="LR201" s="33"/>
      <c r="LS201" s="33"/>
      <c r="LT201" s="33"/>
      <c r="LU201" s="33"/>
      <c r="LV201" s="33"/>
      <c r="LW201" s="33"/>
      <c r="LX201" s="33"/>
      <c r="LY201" s="33"/>
      <c r="LZ201" s="33"/>
      <c r="MA201" s="33"/>
      <c r="MB201" s="33"/>
      <c r="MC201" s="33"/>
      <c r="MD201" s="33"/>
      <c r="ME201" s="33"/>
      <c r="MF201" s="33"/>
      <c r="MG201" s="33"/>
      <c r="MH201" s="33"/>
      <c r="MI201" s="33"/>
      <c r="MJ201" s="33"/>
      <c r="MK201" s="33"/>
      <c r="ML201" s="33"/>
      <c r="MM201" s="33"/>
      <c r="MN201" s="33"/>
      <c r="MO201" s="33"/>
      <c r="MP201" s="33"/>
      <c r="MQ201" s="33"/>
      <c r="MR201" s="33"/>
      <c r="MS201" s="33"/>
      <c r="MT201" s="33"/>
      <c r="MU201" s="33"/>
      <c r="MV201" s="33"/>
      <c r="MW201" s="33"/>
      <c r="MX201" s="33"/>
      <c r="MY201" s="33"/>
      <c r="MZ201" s="33"/>
      <c r="NA201" s="33"/>
      <c r="NB201" s="33"/>
      <c r="NC201" s="33"/>
      <c r="ND201" s="33"/>
      <c r="NE201" s="33"/>
      <c r="NF201" s="33"/>
      <c r="NG201" s="33"/>
      <c r="NH201" s="33"/>
      <c r="NI201" s="33"/>
      <c r="NJ201" s="33"/>
      <c r="NK201" s="33"/>
      <c r="NL201" s="33"/>
      <c r="NM201" s="33"/>
      <c r="NN201" s="33"/>
      <c r="NO201" s="33"/>
      <c r="NP201" s="33"/>
      <c r="NQ201" s="33"/>
      <c r="NR201" s="33"/>
      <c r="NS201" s="33"/>
      <c r="NT201" s="33"/>
      <c r="NU201" s="33"/>
      <c r="NV201" s="33"/>
      <c r="NW201" s="33"/>
      <c r="NX201" s="33"/>
      <c r="NY201" s="33"/>
      <c r="NZ201" s="33"/>
      <c r="OA201" s="33"/>
      <c r="OB201" s="33"/>
      <c r="OC201" s="33"/>
      <c r="OD201" s="33"/>
      <c r="OE201" s="33"/>
      <c r="OF201" s="33"/>
      <c r="OG201" s="33"/>
      <c r="OH201" s="33"/>
      <c r="OI201" s="33"/>
      <c r="OJ201" s="33"/>
      <c r="OK201" s="33"/>
      <c r="OL201" s="33"/>
      <c r="OM201" s="33"/>
      <c r="ON201" s="33"/>
      <c r="OO201" s="33"/>
      <c r="OP201" s="33"/>
      <c r="OQ201" s="33"/>
      <c r="OR201" s="33"/>
      <c r="OS201" s="33"/>
      <c r="OT201" s="33"/>
      <c r="OU201" s="33"/>
      <c r="OV201" s="33"/>
      <c r="OW201" s="33"/>
      <c r="OX201" s="33"/>
      <c r="OY201" s="33"/>
      <c r="OZ201" s="33"/>
      <c r="PA201" s="33"/>
      <c r="PB201" s="33"/>
      <c r="PC201" s="33"/>
      <c r="PD201" s="33"/>
      <c r="PE201" s="33"/>
      <c r="PF201" s="33"/>
      <c r="PG201" s="33"/>
      <c r="PH201" s="33"/>
      <c r="PI201" s="33"/>
      <c r="PJ201" s="33"/>
      <c r="PK201" s="33"/>
      <c r="PL201" s="33"/>
      <c r="PM201" s="33"/>
      <c r="PN201" s="33"/>
      <c r="PO201" s="33"/>
      <c r="PP201" s="33"/>
      <c r="PQ201" s="33"/>
      <c r="PR201" s="33"/>
      <c r="PS201" s="33"/>
      <c r="PT201" s="33"/>
      <c r="PU201" s="33"/>
      <c r="PV201" s="33"/>
      <c r="PW201" s="33"/>
      <c r="PX201" s="33"/>
      <c r="PY201" s="33"/>
      <c r="PZ201" s="33"/>
      <c r="QA201" s="33"/>
      <c r="QB201" s="33"/>
      <c r="QC201" s="33"/>
      <c r="QD201" s="33"/>
      <c r="QE201" s="33"/>
      <c r="QF201" s="33"/>
      <c r="QG201" s="33"/>
      <c r="QH201" s="33"/>
      <c r="QI201" s="33"/>
      <c r="QJ201" s="33"/>
      <c r="QK201" s="33"/>
      <c r="QL201" s="33"/>
      <c r="QM201" s="33"/>
      <c r="QN201" s="33"/>
      <c r="QO201" s="33"/>
      <c r="QP201" s="33"/>
      <c r="QQ201" s="33"/>
      <c r="QR201" s="33"/>
      <c r="QS201" s="33"/>
      <c r="QT201" s="33"/>
      <c r="QU201" s="33"/>
      <c r="QV201" s="33"/>
      <c r="QW201" s="33"/>
      <c r="QX201" s="33"/>
      <c r="QY201" s="33"/>
      <c r="QZ201" s="33"/>
      <c r="RA201" s="33"/>
      <c r="RB201" s="33"/>
      <c r="RC201" s="33"/>
      <c r="RD201" s="33"/>
      <c r="RE201" s="33"/>
      <c r="RF201" s="33"/>
      <c r="RG201" s="33"/>
      <c r="RH201" s="33"/>
      <c r="RI201" s="33"/>
      <c r="RJ201" s="33"/>
      <c r="RK201" s="33"/>
      <c r="RL201" s="33"/>
      <c r="RM201" s="33"/>
      <c r="RN201" s="33"/>
      <c r="RO201" s="33"/>
      <c r="RP201" s="33"/>
      <c r="RQ201" s="33"/>
      <c r="RR201" s="33"/>
      <c r="RS201" s="33"/>
      <c r="RT201" s="33"/>
      <c r="RU201" s="33"/>
      <c r="RV201" s="33"/>
      <c r="RW201" s="33"/>
      <c r="RX201" s="33"/>
      <c r="RY201" s="33"/>
      <c r="RZ201" s="33"/>
      <c r="SA201" s="33"/>
      <c r="SB201" s="33"/>
      <c r="SC201" s="33"/>
      <c r="SD201" s="33"/>
      <c r="SE201" s="33"/>
      <c r="SF201" s="33"/>
      <c r="SG201" s="33"/>
      <c r="SH201" s="33"/>
      <c r="SI201" s="33"/>
      <c r="SJ201" s="33"/>
      <c r="SK201" s="33"/>
      <c r="SL201" s="33"/>
      <c r="SM201" s="33"/>
      <c r="SN201" s="33"/>
      <c r="SO201" s="33"/>
      <c r="SP201" s="33"/>
      <c r="SQ201" s="33"/>
      <c r="SR201" s="33"/>
      <c r="SS201" s="33"/>
      <c r="ST201" s="33"/>
      <c r="SU201" s="33"/>
      <c r="SV201" s="33"/>
      <c r="SW201" s="33"/>
      <c r="SX201" s="33"/>
      <c r="SY201" s="33"/>
      <c r="SZ201" s="33"/>
      <c r="TA201" s="33"/>
      <c r="TB201" s="33"/>
      <c r="TC201" s="33"/>
      <c r="TD201" s="33"/>
      <c r="TE201" s="33"/>
      <c r="TF201" s="33"/>
      <c r="TG201" s="33"/>
      <c r="TH201" s="33"/>
    </row>
    <row r="202" spans="1:528" s="34" customFormat="1" ht="78.75" x14ac:dyDescent="0.25">
      <c r="A202" s="100"/>
      <c r="B202" s="113"/>
      <c r="C202" s="113"/>
      <c r="D202" s="81" t="s">
        <v>563</v>
      </c>
      <c r="E202" s="102">
        <f>E223</f>
        <v>1527346</v>
      </c>
      <c r="F202" s="102">
        <f t="shared" ref="F202:P202" si="90">F223</f>
        <v>1527346</v>
      </c>
      <c r="G202" s="102">
        <f t="shared" si="90"/>
        <v>0</v>
      </c>
      <c r="H202" s="102">
        <f t="shared" si="90"/>
        <v>0</v>
      </c>
      <c r="I202" s="102">
        <f t="shared" si="90"/>
        <v>0</v>
      </c>
      <c r="J202" s="102">
        <f t="shared" si="90"/>
        <v>0</v>
      </c>
      <c r="K202" s="102">
        <f t="shared" si="90"/>
        <v>0</v>
      </c>
      <c r="L202" s="102">
        <f t="shared" si="90"/>
        <v>0</v>
      </c>
      <c r="M202" s="102">
        <f t="shared" si="90"/>
        <v>0</v>
      </c>
      <c r="N202" s="102">
        <f t="shared" si="90"/>
        <v>0</v>
      </c>
      <c r="O202" s="102">
        <f t="shared" si="90"/>
        <v>0</v>
      </c>
      <c r="P202" s="102">
        <f t="shared" si="90"/>
        <v>1527346</v>
      </c>
      <c r="Q202" s="178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  <c r="IW202" s="33"/>
      <c r="IX202" s="33"/>
      <c r="IY202" s="33"/>
      <c r="IZ202" s="33"/>
      <c r="JA202" s="33"/>
      <c r="JB202" s="33"/>
      <c r="JC202" s="33"/>
      <c r="JD202" s="33"/>
      <c r="JE202" s="33"/>
      <c r="JF202" s="33"/>
      <c r="JG202" s="33"/>
      <c r="JH202" s="33"/>
      <c r="JI202" s="33"/>
      <c r="JJ202" s="33"/>
      <c r="JK202" s="33"/>
      <c r="JL202" s="33"/>
      <c r="JM202" s="33"/>
      <c r="JN202" s="33"/>
      <c r="JO202" s="33"/>
      <c r="JP202" s="33"/>
      <c r="JQ202" s="33"/>
      <c r="JR202" s="33"/>
      <c r="JS202" s="33"/>
      <c r="JT202" s="33"/>
      <c r="JU202" s="33"/>
      <c r="JV202" s="33"/>
      <c r="JW202" s="33"/>
      <c r="JX202" s="33"/>
      <c r="JY202" s="33"/>
      <c r="JZ202" s="33"/>
      <c r="KA202" s="33"/>
      <c r="KB202" s="33"/>
      <c r="KC202" s="33"/>
      <c r="KD202" s="33"/>
      <c r="KE202" s="33"/>
      <c r="KF202" s="33"/>
      <c r="KG202" s="33"/>
      <c r="KH202" s="33"/>
      <c r="KI202" s="33"/>
      <c r="KJ202" s="33"/>
      <c r="KK202" s="33"/>
      <c r="KL202" s="33"/>
      <c r="KM202" s="33"/>
      <c r="KN202" s="33"/>
      <c r="KO202" s="33"/>
      <c r="KP202" s="33"/>
      <c r="KQ202" s="33"/>
      <c r="KR202" s="33"/>
      <c r="KS202" s="33"/>
      <c r="KT202" s="33"/>
      <c r="KU202" s="33"/>
      <c r="KV202" s="33"/>
      <c r="KW202" s="33"/>
      <c r="KX202" s="33"/>
      <c r="KY202" s="33"/>
      <c r="KZ202" s="33"/>
      <c r="LA202" s="33"/>
      <c r="LB202" s="33"/>
      <c r="LC202" s="33"/>
      <c r="LD202" s="33"/>
      <c r="LE202" s="33"/>
      <c r="LF202" s="33"/>
      <c r="LG202" s="33"/>
      <c r="LH202" s="33"/>
      <c r="LI202" s="33"/>
      <c r="LJ202" s="33"/>
      <c r="LK202" s="33"/>
      <c r="LL202" s="33"/>
      <c r="LM202" s="33"/>
      <c r="LN202" s="33"/>
      <c r="LO202" s="33"/>
      <c r="LP202" s="33"/>
      <c r="LQ202" s="33"/>
      <c r="LR202" s="33"/>
      <c r="LS202" s="33"/>
      <c r="LT202" s="33"/>
      <c r="LU202" s="33"/>
      <c r="LV202" s="33"/>
      <c r="LW202" s="33"/>
      <c r="LX202" s="33"/>
      <c r="LY202" s="33"/>
      <c r="LZ202" s="33"/>
      <c r="MA202" s="33"/>
      <c r="MB202" s="33"/>
      <c r="MC202" s="33"/>
      <c r="MD202" s="33"/>
      <c r="ME202" s="33"/>
      <c r="MF202" s="33"/>
      <c r="MG202" s="33"/>
      <c r="MH202" s="33"/>
      <c r="MI202" s="33"/>
      <c r="MJ202" s="33"/>
      <c r="MK202" s="33"/>
      <c r="ML202" s="33"/>
      <c r="MM202" s="33"/>
      <c r="MN202" s="33"/>
      <c r="MO202" s="33"/>
      <c r="MP202" s="33"/>
      <c r="MQ202" s="33"/>
      <c r="MR202" s="33"/>
      <c r="MS202" s="33"/>
      <c r="MT202" s="33"/>
      <c r="MU202" s="33"/>
      <c r="MV202" s="33"/>
      <c r="MW202" s="33"/>
      <c r="MX202" s="33"/>
      <c r="MY202" s="33"/>
      <c r="MZ202" s="33"/>
      <c r="NA202" s="33"/>
      <c r="NB202" s="33"/>
      <c r="NC202" s="33"/>
      <c r="ND202" s="33"/>
      <c r="NE202" s="33"/>
      <c r="NF202" s="33"/>
      <c r="NG202" s="33"/>
      <c r="NH202" s="33"/>
      <c r="NI202" s="33"/>
      <c r="NJ202" s="33"/>
      <c r="NK202" s="33"/>
      <c r="NL202" s="33"/>
      <c r="NM202" s="33"/>
      <c r="NN202" s="33"/>
      <c r="NO202" s="33"/>
      <c r="NP202" s="33"/>
      <c r="NQ202" s="33"/>
      <c r="NR202" s="33"/>
      <c r="NS202" s="33"/>
      <c r="NT202" s="33"/>
      <c r="NU202" s="33"/>
      <c r="NV202" s="33"/>
      <c r="NW202" s="33"/>
      <c r="NX202" s="33"/>
      <c r="NY202" s="33"/>
      <c r="NZ202" s="33"/>
      <c r="OA202" s="33"/>
      <c r="OB202" s="33"/>
      <c r="OC202" s="33"/>
      <c r="OD202" s="33"/>
      <c r="OE202" s="33"/>
      <c r="OF202" s="33"/>
      <c r="OG202" s="33"/>
      <c r="OH202" s="33"/>
      <c r="OI202" s="33"/>
      <c r="OJ202" s="33"/>
      <c r="OK202" s="33"/>
      <c r="OL202" s="33"/>
      <c r="OM202" s="33"/>
      <c r="ON202" s="33"/>
      <c r="OO202" s="33"/>
      <c r="OP202" s="33"/>
      <c r="OQ202" s="33"/>
      <c r="OR202" s="33"/>
      <c r="OS202" s="33"/>
      <c r="OT202" s="33"/>
      <c r="OU202" s="33"/>
      <c r="OV202" s="33"/>
      <c r="OW202" s="33"/>
      <c r="OX202" s="33"/>
      <c r="OY202" s="33"/>
      <c r="OZ202" s="33"/>
      <c r="PA202" s="33"/>
      <c r="PB202" s="33"/>
      <c r="PC202" s="33"/>
      <c r="PD202" s="33"/>
      <c r="PE202" s="33"/>
      <c r="PF202" s="33"/>
      <c r="PG202" s="33"/>
      <c r="PH202" s="33"/>
      <c r="PI202" s="33"/>
      <c r="PJ202" s="33"/>
      <c r="PK202" s="33"/>
      <c r="PL202" s="33"/>
      <c r="PM202" s="33"/>
      <c r="PN202" s="33"/>
      <c r="PO202" s="33"/>
      <c r="PP202" s="33"/>
      <c r="PQ202" s="33"/>
      <c r="PR202" s="33"/>
      <c r="PS202" s="33"/>
      <c r="PT202" s="33"/>
      <c r="PU202" s="33"/>
      <c r="PV202" s="33"/>
      <c r="PW202" s="33"/>
      <c r="PX202" s="33"/>
      <c r="PY202" s="33"/>
      <c r="PZ202" s="33"/>
      <c r="QA202" s="33"/>
      <c r="QB202" s="33"/>
      <c r="QC202" s="33"/>
      <c r="QD202" s="33"/>
      <c r="QE202" s="33"/>
      <c r="QF202" s="33"/>
      <c r="QG202" s="33"/>
      <c r="QH202" s="33"/>
      <c r="QI202" s="33"/>
      <c r="QJ202" s="33"/>
      <c r="QK202" s="33"/>
      <c r="QL202" s="33"/>
      <c r="QM202" s="33"/>
      <c r="QN202" s="33"/>
      <c r="QO202" s="33"/>
      <c r="QP202" s="33"/>
      <c r="QQ202" s="33"/>
      <c r="QR202" s="33"/>
      <c r="QS202" s="33"/>
      <c r="QT202" s="33"/>
      <c r="QU202" s="33"/>
      <c r="QV202" s="33"/>
      <c r="QW202" s="33"/>
      <c r="QX202" s="33"/>
      <c r="QY202" s="33"/>
      <c r="QZ202" s="33"/>
      <c r="RA202" s="33"/>
      <c r="RB202" s="33"/>
      <c r="RC202" s="33"/>
      <c r="RD202" s="33"/>
      <c r="RE202" s="33"/>
      <c r="RF202" s="33"/>
      <c r="RG202" s="33"/>
      <c r="RH202" s="33"/>
      <c r="RI202" s="33"/>
      <c r="RJ202" s="33"/>
      <c r="RK202" s="33"/>
      <c r="RL202" s="33"/>
      <c r="RM202" s="33"/>
      <c r="RN202" s="33"/>
      <c r="RO202" s="33"/>
      <c r="RP202" s="33"/>
      <c r="RQ202" s="33"/>
      <c r="RR202" s="33"/>
      <c r="RS202" s="33"/>
      <c r="RT202" s="33"/>
      <c r="RU202" s="33"/>
      <c r="RV202" s="33"/>
      <c r="RW202" s="33"/>
      <c r="RX202" s="33"/>
      <c r="RY202" s="33"/>
      <c r="RZ202" s="33"/>
      <c r="SA202" s="33"/>
      <c r="SB202" s="33"/>
      <c r="SC202" s="33"/>
      <c r="SD202" s="33"/>
      <c r="SE202" s="33"/>
      <c r="SF202" s="33"/>
      <c r="SG202" s="33"/>
      <c r="SH202" s="33"/>
      <c r="SI202" s="33"/>
      <c r="SJ202" s="33"/>
      <c r="SK202" s="33"/>
      <c r="SL202" s="33"/>
      <c r="SM202" s="33"/>
      <c r="SN202" s="33"/>
      <c r="SO202" s="33"/>
      <c r="SP202" s="33"/>
      <c r="SQ202" s="33"/>
      <c r="SR202" s="33"/>
      <c r="SS202" s="33"/>
      <c r="ST202" s="33"/>
      <c r="SU202" s="33"/>
      <c r="SV202" s="33"/>
      <c r="SW202" s="33"/>
      <c r="SX202" s="33"/>
      <c r="SY202" s="33"/>
      <c r="SZ202" s="33"/>
      <c r="TA202" s="33"/>
      <c r="TB202" s="33"/>
      <c r="TC202" s="33"/>
      <c r="TD202" s="33"/>
      <c r="TE202" s="33"/>
      <c r="TF202" s="33"/>
      <c r="TG202" s="33"/>
      <c r="TH202" s="33"/>
    </row>
    <row r="203" spans="1:528" s="34" customFormat="1" ht="15.75" x14ac:dyDescent="0.25">
      <c r="A203" s="100"/>
      <c r="B203" s="113"/>
      <c r="C203" s="113"/>
      <c r="D203" s="87" t="s">
        <v>421</v>
      </c>
      <c r="E203" s="102">
        <f>E227</f>
        <v>0</v>
      </c>
      <c r="F203" s="102">
        <f t="shared" ref="F203:P203" si="91">F227</f>
        <v>0</v>
      </c>
      <c r="G203" s="102">
        <f t="shared" si="91"/>
        <v>0</v>
      </c>
      <c r="H203" s="102">
        <f t="shared" si="91"/>
        <v>0</v>
      </c>
      <c r="I203" s="102">
        <f t="shared" si="91"/>
        <v>0</v>
      </c>
      <c r="J203" s="102">
        <f t="shared" si="91"/>
        <v>26250000</v>
      </c>
      <c r="K203" s="102">
        <f t="shared" si="91"/>
        <v>26250000</v>
      </c>
      <c r="L203" s="102">
        <f t="shared" si="91"/>
        <v>0</v>
      </c>
      <c r="M203" s="102">
        <f t="shared" si="91"/>
        <v>0</v>
      </c>
      <c r="N203" s="102">
        <f t="shared" si="91"/>
        <v>0</v>
      </c>
      <c r="O203" s="102">
        <f t="shared" si="91"/>
        <v>26250000</v>
      </c>
      <c r="P203" s="102">
        <f t="shared" si="91"/>
        <v>26250000</v>
      </c>
      <c r="Q203" s="178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33"/>
      <c r="NA203" s="33"/>
      <c r="NB203" s="33"/>
      <c r="NC203" s="33"/>
      <c r="ND203" s="33"/>
      <c r="NE203" s="33"/>
      <c r="NF203" s="33"/>
      <c r="NG203" s="33"/>
      <c r="NH203" s="33"/>
      <c r="NI203" s="33"/>
      <c r="NJ203" s="33"/>
      <c r="NK203" s="33"/>
      <c r="NL203" s="33"/>
      <c r="NM203" s="33"/>
      <c r="NN203" s="33"/>
      <c r="NO203" s="33"/>
      <c r="NP203" s="33"/>
      <c r="NQ203" s="33"/>
      <c r="NR203" s="33"/>
      <c r="NS203" s="33"/>
      <c r="NT203" s="33"/>
      <c r="NU203" s="33"/>
      <c r="NV203" s="33"/>
      <c r="NW203" s="33"/>
      <c r="NX203" s="33"/>
      <c r="NY203" s="33"/>
      <c r="NZ203" s="33"/>
      <c r="OA203" s="33"/>
      <c r="OB203" s="33"/>
      <c r="OC203" s="33"/>
      <c r="OD203" s="33"/>
      <c r="OE203" s="33"/>
      <c r="OF203" s="33"/>
      <c r="OG203" s="33"/>
      <c r="OH203" s="33"/>
      <c r="OI203" s="33"/>
      <c r="OJ203" s="33"/>
      <c r="OK203" s="33"/>
      <c r="OL203" s="33"/>
      <c r="OM203" s="33"/>
      <c r="ON203" s="33"/>
      <c r="OO203" s="33"/>
      <c r="OP203" s="33"/>
      <c r="OQ203" s="33"/>
      <c r="OR203" s="33"/>
      <c r="OS203" s="33"/>
      <c r="OT203" s="33"/>
      <c r="OU203" s="33"/>
      <c r="OV203" s="33"/>
      <c r="OW203" s="33"/>
      <c r="OX203" s="33"/>
      <c r="OY203" s="33"/>
      <c r="OZ203" s="33"/>
      <c r="PA203" s="33"/>
      <c r="PB203" s="33"/>
      <c r="PC203" s="33"/>
      <c r="PD203" s="33"/>
      <c r="PE203" s="33"/>
      <c r="PF203" s="33"/>
      <c r="PG203" s="33"/>
      <c r="PH203" s="33"/>
      <c r="PI203" s="33"/>
      <c r="PJ203" s="33"/>
      <c r="PK203" s="33"/>
      <c r="PL203" s="33"/>
      <c r="PM203" s="33"/>
      <c r="PN203" s="33"/>
      <c r="PO203" s="33"/>
      <c r="PP203" s="33"/>
      <c r="PQ203" s="33"/>
      <c r="PR203" s="33"/>
      <c r="PS203" s="33"/>
      <c r="PT203" s="33"/>
      <c r="PU203" s="33"/>
      <c r="PV203" s="33"/>
      <c r="PW203" s="33"/>
      <c r="PX203" s="33"/>
      <c r="PY203" s="33"/>
      <c r="PZ203" s="33"/>
      <c r="QA203" s="33"/>
      <c r="QB203" s="33"/>
      <c r="QC203" s="33"/>
      <c r="QD203" s="33"/>
      <c r="QE203" s="33"/>
      <c r="QF203" s="33"/>
      <c r="QG203" s="33"/>
      <c r="QH203" s="33"/>
      <c r="QI203" s="33"/>
      <c r="QJ203" s="33"/>
      <c r="QK203" s="33"/>
      <c r="QL203" s="33"/>
      <c r="QM203" s="33"/>
      <c r="QN203" s="33"/>
      <c r="QO203" s="33"/>
      <c r="QP203" s="33"/>
      <c r="QQ203" s="33"/>
      <c r="QR203" s="33"/>
      <c r="QS203" s="33"/>
      <c r="QT203" s="33"/>
      <c r="QU203" s="33"/>
      <c r="QV203" s="33"/>
      <c r="QW203" s="33"/>
      <c r="QX203" s="33"/>
      <c r="QY203" s="33"/>
      <c r="QZ203" s="33"/>
      <c r="RA203" s="33"/>
      <c r="RB203" s="33"/>
      <c r="RC203" s="33"/>
      <c r="RD203" s="33"/>
      <c r="RE203" s="33"/>
      <c r="RF203" s="33"/>
      <c r="RG203" s="33"/>
      <c r="RH203" s="33"/>
      <c r="RI203" s="33"/>
      <c r="RJ203" s="33"/>
      <c r="RK203" s="33"/>
      <c r="RL203" s="33"/>
      <c r="RM203" s="33"/>
      <c r="RN203" s="33"/>
      <c r="RO203" s="33"/>
      <c r="RP203" s="33"/>
      <c r="RQ203" s="33"/>
      <c r="RR203" s="33"/>
      <c r="RS203" s="33"/>
      <c r="RT203" s="33"/>
      <c r="RU203" s="33"/>
      <c r="RV203" s="33"/>
      <c r="RW203" s="33"/>
      <c r="RX203" s="33"/>
      <c r="RY203" s="33"/>
      <c r="RZ203" s="33"/>
      <c r="SA203" s="33"/>
      <c r="SB203" s="33"/>
      <c r="SC203" s="33"/>
      <c r="SD203" s="33"/>
      <c r="SE203" s="33"/>
      <c r="SF203" s="33"/>
      <c r="SG203" s="33"/>
      <c r="SH203" s="33"/>
      <c r="SI203" s="33"/>
      <c r="SJ203" s="33"/>
      <c r="SK203" s="33"/>
      <c r="SL203" s="33"/>
      <c r="SM203" s="33"/>
      <c r="SN203" s="33"/>
      <c r="SO203" s="33"/>
      <c r="SP203" s="33"/>
      <c r="SQ203" s="33"/>
      <c r="SR203" s="33"/>
      <c r="SS203" s="33"/>
      <c r="ST203" s="33"/>
      <c r="SU203" s="33"/>
      <c r="SV203" s="33"/>
      <c r="SW203" s="33"/>
      <c r="SX203" s="33"/>
      <c r="SY203" s="33"/>
      <c r="SZ203" s="33"/>
      <c r="TA203" s="33"/>
      <c r="TB203" s="33"/>
      <c r="TC203" s="33"/>
      <c r="TD203" s="33"/>
      <c r="TE203" s="33"/>
      <c r="TF203" s="33"/>
      <c r="TG203" s="33"/>
      <c r="TH203" s="33"/>
    </row>
    <row r="204" spans="1:528" s="22" customFormat="1" ht="47.25" x14ac:dyDescent="0.25">
      <c r="A204" s="60" t="s">
        <v>198</v>
      </c>
      <c r="B204" s="60" t="str">
        <f>'дод 8'!A19</f>
        <v>0160</v>
      </c>
      <c r="C204" s="60" t="str">
        <f>'дод 8'!B19</f>
        <v>0111</v>
      </c>
      <c r="D204" s="98" t="s">
        <v>504</v>
      </c>
      <c r="E204" s="103">
        <f t="shared" ref="E204:E232" si="92">F204+I204</f>
        <v>14436900</v>
      </c>
      <c r="F204" s="103">
        <v>14436900</v>
      </c>
      <c r="G204" s="103">
        <v>11274000</v>
      </c>
      <c r="H204" s="103">
        <v>203100</v>
      </c>
      <c r="I204" s="103"/>
      <c r="J204" s="103">
        <f>L204+O204</f>
        <v>0</v>
      </c>
      <c r="K204" s="103"/>
      <c r="L204" s="103"/>
      <c r="M204" s="103"/>
      <c r="N204" s="103"/>
      <c r="O204" s="103"/>
      <c r="P204" s="103">
        <f t="shared" ref="P204:P232" si="93">E204+J204</f>
        <v>14436900</v>
      </c>
      <c r="Q204" s="178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  <c r="TH204" s="23"/>
    </row>
    <row r="205" spans="1:528" s="22" customFormat="1" ht="15.75" x14ac:dyDescent="0.25">
      <c r="A205" s="60" t="s">
        <v>566</v>
      </c>
      <c r="B205" s="60" t="s">
        <v>46</v>
      </c>
      <c r="C205" s="60" t="s">
        <v>95</v>
      </c>
      <c r="D205" s="98" t="s">
        <v>244</v>
      </c>
      <c r="E205" s="103">
        <f t="shared" si="92"/>
        <v>1000000</v>
      </c>
      <c r="F205" s="103">
        <v>1000000</v>
      </c>
      <c r="G205" s="103"/>
      <c r="H205" s="103"/>
      <c r="I205" s="103"/>
      <c r="J205" s="103">
        <f>L205+O205</f>
        <v>0</v>
      </c>
      <c r="K205" s="103"/>
      <c r="L205" s="103"/>
      <c r="M205" s="103"/>
      <c r="N205" s="103"/>
      <c r="O205" s="103"/>
      <c r="P205" s="103">
        <f t="shared" si="93"/>
        <v>1000000</v>
      </c>
      <c r="Q205" s="178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  <c r="TG205" s="23"/>
      <c r="TH205" s="23"/>
    </row>
    <row r="206" spans="1:528" s="22" customFormat="1" ht="19.5" customHeight="1" x14ac:dyDescent="0.25">
      <c r="A206" s="107" t="s">
        <v>304</v>
      </c>
      <c r="B206" s="42" t="str">
        <f>'дод 8'!A116</f>
        <v>3210</v>
      </c>
      <c r="C206" s="42" t="str">
        <f>'дод 8'!B116</f>
        <v>1050</v>
      </c>
      <c r="D206" s="36" t="str">
        <f>'дод 8'!C116</f>
        <v>Організація та проведення громадських робіт</v>
      </c>
      <c r="E206" s="103">
        <f t="shared" si="92"/>
        <v>200000</v>
      </c>
      <c r="F206" s="103">
        <v>200000</v>
      </c>
      <c r="G206" s="103"/>
      <c r="H206" s="103"/>
      <c r="I206" s="103"/>
      <c r="J206" s="103">
        <f t="shared" ref="J206:J232" si="94">L206+O206</f>
        <v>0</v>
      </c>
      <c r="K206" s="103"/>
      <c r="L206" s="103"/>
      <c r="M206" s="103"/>
      <c r="N206" s="103"/>
      <c r="O206" s="103"/>
      <c r="P206" s="103">
        <f t="shared" si="93"/>
        <v>200000</v>
      </c>
      <c r="Q206" s="178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  <c r="TH206" s="23"/>
    </row>
    <row r="207" spans="1:528" s="22" customFormat="1" ht="33.75" customHeight="1" x14ac:dyDescent="0.25">
      <c r="A207" s="60" t="s">
        <v>199</v>
      </c>
      <c r="B207" s="97" t="str">
        <f>'дод 8'!A138</f>
        <v>6011</v>
      </c>
      <c r="C207" s="97" t="str">
        <f>'дод 8'!B138</f>
        <v>0610</v>
      </c>
      <c r="D207" s="61" t="str">
        <f>'дод 8'!C138</f>
        <v>Експлуатація та технічне обслуговування житлового фонду</v>
      </c>
      <c r="E207" s="103">
        <f t="shared" si="92"/>
        <v>0</v>
      </c>
      <c r="F207" s="103"/>
      <c r="G207" s="103"/>
      <c r="H207" s="103"/>
      <c r="I207" s="103"/>
      <c r="J207" s="103">
        <f t="shared" si="94"/>
        <v>8225522</v>
      </c>
      <c r="K207" s="103">
        <f>7054092-807126.65+807126.65+172300+40000+154400+169950+593700+23900-19300</f>
        <v>8189042</v>
      </c>
      <c r="L207" s="103"/>
      <c r="M207" s="103"/>
      <c r="N207" s="103"/>
      <c r="O207" s="103">
        <f>7090572-807126.65+807126.65+172300+40000+154400+169950+593700+23900-19300</f>
        <v>8225522</v>
      </c>
      <c r="P207" s="103">
        <f t="shared" si="93"/>
        <v>8225522</v>
      </c>
      <c r="Q207" s="178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  <c r="TH207" s="23"/>
    </row>
    <row r="208" spans="1:528" s="22" customFormat="1" ht="31.5" x14ac:dyDescent="0.25">
      <c r="A208" s="60" t="s">
        <v>200</v>
      </c>
      <c r="B208" s="97" t="str">
        <f>'дод 8'!A139</f>
        <v>6013</v>
      </c>
      <c r="C208" s="97" t="str">
        <f>'дод 8'!B139</f>
        <v>0620</v>
      </c>
      <c r="D208" s="61" t="str">
        <f>'дод 8'!C139</f>
        <v>Забезпечення діяльності водопровідно-каналізаційного господарства</v>
      </c>
      <c r="E208" s="103">
        <f t="shared" si="92"/>
        <v>29274040</v>
      </c>
      <c r="F208" s="103">
        <f>3610000-3000000+164040</f>
        <v>774040</v>
      </c>
      <c r="G208" s="103"/>
      <c r="H208" s="103"/>
      <c r="I208" s="103">
        <f>25250000-100000+3350000</f>
        <v>28500000</v>
      </c>
      <c r="J208" s="103">
        <f t="shared" si="94"/>
        <v>230000</v>
      </c>
      <c r="K208" s="103">
        <v>230000</v>
      </c>
      <c r="L208" s="103"/>
      <c r="M208" s="103"/>
      <c r="N208" s="103"/>
      <c r="O208" s="103">
        <v>230000</v>
      </c>
      <c r="P208" s="103">
        <f t="shared" si="93"/>
        <v>29504040</v>
      </c>
      <c r="Q208" s="178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  <c r="TH208" s="23"/>
    </row>
    <row r="209" spans="1:528" s="22" customFormat="1" ht="30" customHeight="1" x14ac:dyDescent="0.25">
      <c r="A209" s="60" t="s">
        <v>261</v>
      </c>
      <c r="B209" s="97" t="str">
        <f>'дод 8'!A140</f>
        <v>6015</v>
      </c>
      <c r="C209" s="97" t="str">
        <f>'дод 8'!B140</f>
        <v>0620</v>
      </c>
      <c r="D209" s="61" t="str">
        <f>'дод 8'!C140</f>
        <v>Забезпечення надійної та безперебійної експлуатації ліфтів</v>
      </c>
      <c r="E209" s="103">
        <f t="shared" si="92"/>
        <v>107980</v>
      </c>
      <c r="F209" s="103">
        <f>99980+8000</f>
        <v>107980</v>
      </c>
      <c r="G209" s="103"/>
      <c r="H209" s="103"/>
      <c r="I209" s="103"/>
      <c r="J209" s="103">
        <f t="shared" si="94"/>
        <v>13661600</v>
      </c>
      <c r="K209" s="103">
        <f>6600000-96212+96212+4439600+1450000+700000+590000+232000-200000-200000</f>
        <v>13611600</v>
      </c>
      <c r="L209" s="103"/>
      <c r="M209" s="103"/>
      <c r="N209" s="103"/>
      <c r="O209" s="103">
        <f>6650000-96212+96212+4439600+1450000+700000+590000+232000-200000-200000</f>
        <v>13661600</v>
      </c>
      <c r="P209" s="103">
        <f t="shared" si="93"/>
        <v>13769580</v>
      </c>
      <c r="Q209" s="178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  <c r="TH209" s="23"/>
    </row>
    <row r="210" spans="1:528" s="22" customFormat="1" ht="32.25" customHeight="1" x14ac:dyDescent="0.25">
      <c r="A210" s="60" t="s">
        <v>264</v>
      </c>
      <c r="B210" s="97" t="str">
        <f>'дод 8'!A141</f>
        <v>6017</v>
      </c>
      <c r="C210" s="97" t="str">
        <f>'дод 8'!B141</f>
        <v>0620</v>
      </c>
      <c r="D210" s="61" t="str">
        <f>'дод 8'!C141</f>
        <v>Інша діяльність, пов’язана з експлуатацією об’єктів житлово-комунального господарства</v>
      </c>
      <c r="E210" s="103">
        <f t="shared" si="92"/>
        <v>100000</v>
      </c>
      <c r="F210" s="103">
        <v>100000</v>
      </c>
      <c r="G210" s="103"/>
      <c r="H210" s="103"/>
      <c r="I210" s="103"/>
      <c r="J210" s="103">
        <f t="shared" si="94"/>
        <v>0</v>
      </c>
      <c r="K210" s="103"/>
      <c r="L210" s="103"/>
      <c r="M210" s="103"/>
      <c r="N210" s="103"/>
      <c r="O210" s="103"/>
      <c r="P210" s="103">
        <f t="shared" si="93"/>
        <v>100000</v>
      </c>
      <c r="Q210" s="178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</row>
    <row r="211" spans="1:528" s="22" customFormat="1" ht="47.25" x14ac:dyDescent="0.25">
      <c r="A211" s="60" t="s">
        <v>201</v>
      </c>
      <c r="B211" s="97" t="str">
        <f>'дод 8'!A142</f>
        <v>6020</v>
      </c>
      <c r="C211" s="97" t="str">
        <f>'дод 8'!B142</f>
        <v>0620</v>
      </c>
      <c r="D211" s="61" t="str">
        <f>'дод 8'!C142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1" s="103">
        <f t="shared" si="92"/>
        <v>300000</v>
      </c>
      <c r="F211" s="103"/>
      <c r="G211" s="103"/>
      <c r="H211" s="103"/>
      <c r="I211" s="103">
        <v>300000</v>
      </c>
      <c r="J211" s="103">
        <f t="shared" si="94"/>
        <v>0</v>
      </c>
      <c r="K211" s="103"/>
      <c r="L211" s="103"/>
      <c r="M211" s="103"/>
      <c r="N211" s="103"/>
      <c r="O211" s="103"/>
      <c r="P211" s="103">
        <f t="shared" si="93"/>
        <v>300000</v>
      </c>
      <c r="Q211" s="178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</row>
    <row r="212" spans="1:528" s="22" customFormat="1" ht="21.75" customHeight="1" x14ac:dyDescent="0.25">
      <c r="A212" s="60" t="s">
        <v>202</v>
      </c>
      <c r="B212" s="97" t="str">
        <f>'дод 8'!A143</f>
        <v>6030</v>
      </c>
      <c r="C212" s="97" t="str">
        <f>'дод 8'!B143</f>
        <v>0620</v>
      </c>
      <c r="D212" s="61" t="str">
        <f>'дод 8'!C143</f>
        <v>Організація благоустрою населених пунктів</v>
      </c>
      <c r="E212" s="103">
        <f t="shared" si="92"/>
        <v>217542596.33000001</v>
      </c>
      <c r="F212" s="103">
        <f>220864874.13-7011318-49900-211983.47+990000+100000+72800+872900-100000-18473.69+60000-45080.64-164040+1592924+340394+200000-50500</f>
        <v>217442596.33000001</v>
      </c>
      <c r="G212" s="103"/>
      <c r="H212" s="103">
        <f>34504500-600000-164040</f>
        <v>33740460</v>
      </c>
      <c r="I212" s="103">
        <v>100000</v>
      </c>
      <c r="J212" s="103">
        <f t="shared" si="94"/>
        <v>36061084.579999991</v>
      </c>
      <c r="K212" s="103">
        <f>28422020-300000+7011318-1359437.09+1978809.98+72800-72800+129900+18473.69-60000+170000+50000</f>
        <v>36061084.579999991</v>
      </c>
      <c r="L212" s="117"/>
      <c r="M212" s="103"/>
      <c r="N212" s="103"/>
      <c r="O212" s="103">
        <f>28422020-300000+7011318-1359437.09+1978809.98+72800-72800+129900+18473.69-60000+170000+50000</f>
        <v>36061084.579999991</v>
      </c>
      <c r="P212" s="103">
        <f t="shared" si="93"/>
        <v>253603680.91</v>
      </c>
      <c r="Q212" s="178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  <c r="TH212" s="23"/>
    </row>
    <row r="213" spans="1:528" s="22" customFormat="1" ht="31.5" customHeight="1" x14ac:dyDescent="0.25">
      <c r="A213" s="60" t="s">
        <v>254</v>
      </c>
      <c r="B213" s="97" t="str">
        <f>'дод 8'!A147</f>
        <v>6090</v>
      </c>
      <c r="C213" s="97" t="str">
        <f>'дод 8'!B147</f>
        <v>0640</v>
      </c>
      <c r="D213" s="61" t="str">
        <f>'дод 8'!C147</f>
        <v>Інша діяльність у сфері житлово-комунального господарства</v>
      </c>
      <c r="E213" s="103">
        <f t="shared" si="92"/>
        <v>26448293.460000001</v>
      </c>
      <c r="F213" s="103">
        <f>47773888-76000+38050-9241451.18+49000-200000-6163260-25000-20000+45080.64-300000-4102174-1899640+200000+19300+50500</f>
        <v>26148293.460000001</v>
      </c>
      <c r="G213" s="103"/>
      <c r="H213" s="103">
        <v>24500</v>
      </c>
      <c r="I213" s="103">
        <v>300000</v>
      </c>
      <c r="J213" s="103">
        <f t="shared" si="94"/>
        <v>1785000</v>
      </c>
      <c r="K213" s="103"/>
      <c r="L213" s="103"/>
      <c r="M213" s="103"/>
      <c r="N213" s="103"/>
      <c r="O213" s="103">
        <v>1785000</v>
      </c>
      <c r="P213" s="103">
        <f t="shared" si="93"/>
        <v>28233293.460000001</v>
      </c>
      <c r="Q213" s="178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</row>
    <row r="214" spans="1:528" s="22" customFormat="1" ht="34.5" x14ac:dyDescent="0.25">
      <c r="A214" s="60" t="s">
        <v>273</v>
      </c>
      <c r="B214" s="97" t="str">
        <f>'дод 8'!A156</f>
        <v>7310</v>
      </c>
      <c r="C214" s="97" t="str">
        <f>'дод 8'!B156</f>
        <v>0443</v>
      </c>
      <c r="D214" s="157" t="s">
        <v>577</v>
      </c>
      <c r="E214" s="103">
        <f t="shared" si="92"/>
        <v>0</v>
      </c>
      <c r="F214" s="103"/>
      <c r="G214" s="103"/>
      <c r="H214" s="103"/>
      <c r="I214" s="103"/>
      <c r="J214" s="103">
        <f t="shared" si="94"/>
        <v>20178513</v>
      </c>
      <c r="K214" s="103">
        <f>19836513+300000-38050+50000+200000-169950</f>
        <v>20178513</v>
      </c>
      <c r="L214" s="103"/>
      <c r="M214" s="103"/>
      <c r="N214" s="103"/>
      <c r="O214" s="103">
        <f>19836513+300000-38050+50000+200000-169950</f>
        <v>20178513</v>
      </c>
      <c r="P214" s="103">
        <f t="shared" si="93"/>
        <v>20178513</v>
      </c>
      <c r="Q214" s="178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</row>
    <row r="215" spans="1:528" s="22" customFormat="1" ht="20.25" customHeight="1" x14ac:dyDescent="0.25">
      <c r="A215" s="60" t="s">
        <v>275</v>
      </c>
      <c r="B215" s="97" t="str">
        <f>'дод 8'!A162</f>
        <v>7330</v>
      </c>
      <c r="C215" s="97" t="str">
        <f>'дод 8'!B162</f>
        <v>0443</v>
      </c>
      <c r="D215" s="157" t="s">
        <v>572</v>
      </c>
      <c r="E215" s="103">
        <f t="shared" si="92"/>
        <v>0</v>
      </c>
      <c r="F215" s="103"/>
      <c r="G215" s="103"/>
      <c r="H215" s="103"/>
      <c r="I215" s="103"/>
      <c r="J215" s="103">
        <f t="shared" si="94"/>
        <v>21531108.579999998</v>
      </c>
      <c r="K215" s="103">
        <f>22088598+49900-407389.42-200000</f>
        <v>21531108.579999998</v>
      </c>
      <c r="L215" s="103"/>
      <c r="M215" s="103"/>
      <c r="N215" s="103"/>
      <c r="O215" s="103">
        <f>22088598+49900-407389.42-200000</f>
        <v>21531108.579999998</v>
      </c>
      <c r="P215" s="103">
        <f t="shared" si="93"/>
        <v>21531108.579999998</v>
      </c>
      <c r="Q215" s="178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  <c r="TH215" s="23"/>
    </row>
    <row r="216" spans="1:528" s="22" customFormat="1" ht="29.25" customHeight="1" x14ac:dyDescent="0.25">
      <c r="A216" s="60" t="s">
        <v>203</v>
      </c>
      <c r="B216" s="97">
        <v>7340</v>
      </c>
      <c r="C216" s="97" t="str">
        <f>'дод 8'!B161</f>
        <v>0443</v>
      </c>
      <c r="D216" s="61" t="str">
        <f>'дод 8'!C163</f>
        <v>Проектування, реставрація та охорона пам'яток архітектури</v>
      </c>
      <c r="E216" s="103">
        <f t="shared" ref="E216" si="95">F216+I216</f>
        <v>0</v>
      </c>
      <c r="F216" s="103"/>
      <c r="G216" s="103"/>
      <c r="H216" s="103"/>
      <c r="I216" s="103"/>
      <c r="J216" s="103">
        <f t="shared" ref="J216" si="96">L216+O216</f>
        <v>3250000</v>
      </c>
      <c r="K216" s="103">
        <f>3250000</f>
        <v>3250000</v>
      </c>
      <c r="L216" s="103"/>
      <c r="M216" s="103"/>
      <c r="N216" s="103"/>
      <c r="O216" s="103">
        <f>3250000</f>
        <v>3250000</v>
      </c>
      <c r="P216" s="103">
        <f t="shared" ref="P216" si="97">E216+J216</f>
        <v>3250000</v>
      </c>
      <c r="Q216" s="178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  <c r="TH216" s="23"/>
    </row>
    <row r="217" spans="1:528" s="22" customFormat="1" ht="49.5" hidden="1" customHeight="1" x14ac:dyDescent="0.25">
      <c r="A217" s="60" t="s">
        <v>372</v>
      </c>
      <c r="B217" s="97">
        <f>'дод 8'!A165</f>
        <v>7361</v>
      </c>
      <c r="C217" s="97" t="str">
        <f>'дод 8'!B165</f>
        <v>0490</v>
      </c>
      <c r="D217" s="61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217" s="103">
        <f t="shared" si="92"/>
        <v>0</v>
      </c>
      <c r="F217" s="103"/>
      <c r="G217" s="103"/>
      <c r="H217" s="103"/>
      <c r="I217" s="103"/>
      <c r="J217" s="103">
        <f t="shared" si="94"/>
        <v>0</v>
      </c>
      <c r="K217" s="103"/>
      <c r="L217" s="103"/>
      <c r="M217" s="103"/>
      <c r="N217" s="103"/>
      <c r="O217" s="103"/>
      <c r="P217" s="103">
        <f t="shared" si="93"/>
        <v>0</v>
      </c>
      <c r="Q217" s="178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</row>
    <row r="218" spans="1:528" s="22" customFormat="1" ht="30" hidden="1" customHeight="1" x14ac:dyDescent="0.25">
      <c r="A218" s="60">
        <v>1217362</v>
      </c>
      <c r="B218" s="97">
        <f>'дод 8'!A166</f>
        <v>7362</v>
      </c>
      <c r="C218" s="97" t="str">
        <f>'дод 8'!B166</f>
        <v>0490</v>
      </c>
      <c r="D218" s="61" t="str">
        <f>'дод 8'!C166</f>
        <v>Виконання інвестиційних проектів в рамках підтримки розвитку об'єднаних територіальних громад</v>
      </c>
      <c r="E218" s="103">
        <f t="shared" si="92"/>
        <v>0</v>
      </c>
      <c r="F218" s="103"/>
      <c r="G218" s="103"/>
      <c r="H218" s="103"/>
      <c r="I218" s="103"/>
      <c r="J218" s="103">
        <f t="shared" si="94"/>
        <v>0</v>
      </c>
      <c r="K218" s="103"/>
      <c r="L218" s="103"/>
      <c r="M218" s="103"/>
      <c r="N218" s="103"/>
      <c r="O218" s="103"/>
      <c r="P218" s="103">
        <f t="shared" si="93"/>
        <v>0</v>
      </c>
      <c r="Q218" s="178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  <c r="TH218" s="23"/>
    </row>
    <row r="219" spans="1:528" s="22" customFormat="1" ht="45" hidden="1" customHeight="1" x14ac:dyDescent="0.25">
      <c r="A219" s="60" t="s">
        <v>370</v>
      </c>
      <c r="B219" s="97">
        <v>7363</v>
      </c>
      <c r="C219" s="37" t="s">
        <v>84</v>
      </c>
      <c r="D219" s="36" t="s">
        <v>400</v>
      </c>
      <c r="E219" s="103">
        <f t="shared" si="92"/>
        <v>0</v>
      </c>
      <c r="F219" s="103"/>
      <c r="G219" s="103"/>
      <c r="H219" s="103"/>
      <c r="I219" s="103"/>
      <c r="J219" s="103">
        <f t="shared" si="94"/>
        <v>0</v>
      </c>
      <c r="K219" s="103"/>
      <c r="L219" s="103"/>
      <c r="M219" s="103"/>
      <c r="N219" s="103"/>
      <c r="O219" s="103"/>
      <c r="P219" s="103">
        <f t="shared" si="93"/>
        <v>0</v>
      </c>
      <c r="Q219" s="178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  <c r="TH219" s="23"/>
    </row>
    <row r="220" spans="1:528" s="24" customFormat="1" ht="45" hidden="1" customHeight="1" x14ac:dyDescent="0.25">
      <c r="A220" s="88"/>
      <c r="B220" s="115"/>
      <c r="C220" s="115"/>
      <c r="D220" s="91" t="s">
        <v>390</v>
      </c>
      <c r="E220" s="105">
        <f t="shared" si="92"/>
        <v>0</v>
      </c>
      <c r="F220" s="105"/>
      <c r="G220" s="105"/>
      <c r="H220" s="105"/>
      <c r="I220" s="105"/>
      <c r="J220" s="105">
        <f t="shared" si="94"/>
        <v>0</v>
      </c>
      <c r="K220" s="105"/>
      <c r="L220" s="105"/>
      <c r="M220" s="105"/>
      <c r="N220" s="105"/>
      <c r="O220" s="105"/>
      <c r="P220" s="105">
        <f t="shared" si="93"/>
        <v>0</v>
      </c>
      <c r="Q220" s="178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  <c r="SQ220" s="30"/>
      <c r="SR220" s="30"/>
      <c r="SS220" s="30"/>
      <c r="ST220" s="30"/>
      <c r="SU220" s="30"/>
      <c r="SV220" s="30"/>
      <c r="SW220" s="30"/>
      <c r="SX220" s="30"/>
      <c r="SY220" s="30"/>
      <c r="SZ220" s="30"/>
      <c r="TA220" s="30"/>
      <c r="TB220" s="30"/>
      <c r="TC220" s="30"/>
      <c r="TD220" s="30"/>
      <c r="TE220" s="30"/>
      <c r="TF220" s="30"/>
      <c r="TG220" s="30"/>
      <c r="TH220" s="30"/>
    </row>
    <row r="221" spans="1:528" s="22" customFormat="1" ht="47.25" x14ac:dyDescent="0.25">
      <c r="A221" s="60" t="s">
        <v>376</v>
      </c>
      <c r="B221" s="97">
        <f>'дод 8'!A176</f>
        <v>7462</v>
      </c>
      <c r="C221" s="60" t="s">
        <v>402</v>
      </c>
      <c r="D221" s="122" t="s">
        <v>401</v>
      </c>
      <c r="E221" s="103">
        <f t="shared" ref="E221:E224" si="98">F221+I221</f>
        <v>1527346</v>
      </c>
      <c r="F221" s="103">
        <v>1527346</v>
      </c>
      <c r="G221" s="103"/>
      <c r="H221" s="103"/>
      <c r="I221" s="103"/>
      <c r="J221" s="103">
        <f t="shared" ref="J221:J224" si="99">L221+O221</f>
        <v>0</v>
      </c>
      <c r="K221" s="103"/>
      <c r="L221" s="103"/>
      <c r="M221" s="103"/>
      <c r="N221" s="103"/>
      <c r="O221" s="103"/>
      <c r="P221" s="103">
        <f t="shared" ref="P221:P224" si="100">E221+J221</f>
        <v>1527346</v>
      </c>
      <c r="Q221" s="178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  <c r="TH221" s="23"/>
    </row>
    <row r="222" spans="1:528" s="24" customFormat="1" ht="110.25" hidden="1" customHeight="1" x14ac:dyDescent="0.25">
      <c r="A222" s="88"/>
      <c r="B222" s="115"/>
      <c r="C222" s="115"/>
      <c r="D222" s="91" t="s">
        <v>399</v>
      </c>
      <c r="E222" s="105">
        <f t="shared" si="98"/>
        <v>0</v>
      </c>
      <c r="F222" s="105"/>
      <c r="G222" s="105"/>
      <c r="H222" s="105"/>
      <c r="I222" s="105"/>
      <c r="J222" s="105">
        <f t="shared" si="99"/>
        <v>0</v>
      </c>
      <c r="K222" s="105"/>
      <c r="L222" s="105"/>
      <c r="M222" s="105"/>
      <c r="N222" s="105"/>
      <c r="O222" s="105"/>
      <c r="P222" s="105">
        <f t="shared" si="100"/>
        <v>0</v>
      </c>
      <c r="Q222" s="178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  <c r="SQ222" s="30"/>
      <c r="SR222" s="30"/>
      <c r="SS222" s="30"/>
      <c r="ST222" s="30"/>
      <c r="SU222" s="30"/>
      <c r="SV222" s="30"/>
      <c r="SW222" s="30"/>
      <c r="SX222" s="30"/>
      <c r="SY222" s="30"/>
      <c r="SZ222" s="30"/>
      <c r="TA222" s="30"/>
      <c r="TB222" s="30"/>
      <c r="TC222" s="30"/>
      <c r="TD222" s="30"/>
      <c r="TE222" s="30"/>
      <c r="TF222" s="30"/>
      <c r="TG222" s="30"/>
      <c r="TH222" s="30"/>
    </row>
    <row r="223" spans="1:528" s="24" customFormat="1" ht="78.75" x14ac:dyDescent="0.25">
      <c r="A223" s="88"/>
      <c r="B223" s="115"/>
      <c r="C223" s="115"/>
      <c r="D223" s="91" t="s">
        <v>563</v>
      </c>
      <c r="E223" s="105">
        <f t="shared" si="98"/>
        <v>1527346</v>
      </c>
      <c r="F223" s="105">
        <v>1527346</v>
      </c>
      <c r="G223" s="105"/>
      <c r="H223" s="105"/>
      <c r="I223" s="105"/>
      <c r="J223" s="105">
        <f t="shared" si="99"/>
        <v>0</v>
      </c>
      <c r="K223" s="105"/>
      <c r="L223" s="105"/>
      <c r="M223" s="105"/>
      <c r="N223" s="105"/>
      <c r="O223" s="105"/>
      <c r="P223" s="105">
        <f t="shared" si="100"/>
        <v>1527346</v>
      </c>
      <c r="Q223" s="178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  <c r="IW223" s="30"/>
      <c r="IX223" s="30"/>
      <c r="IY223" s="30"/>
      <c r="IZ223" s="30"/>
      <c r="JA223" s="30"/>
      <c r="JB223" s="30"/>
      <c r="JC223" s="30"/>
      <c r="JD223" s="30"/>
      <c r="JE223" s="30"/>
      <c r="JF223" s="30"/>
      <c r="JG223" s="30"/>
      <c r="JH223" s="30"/>
      <c r="JI223" s="30"/>
      <c r="JJ223" s="30"/>
      <c r="JK223" s="30"/>
      <c r="JL223" s="30"/>
      <c r="JM223" s="30"/>
      <c r="JN223" s="30"/>
      <c r="JO223" s="30"/>
      <c r="JP223" s="30"/>
      <c r="JQ223" s="30"/>
      <c r="JR223" s="30"/>
      <c r="JS223" s="30"/>
      <c r="JT223" s="30"/>
      <c r="JU223" s="30"/>
      <c r="JV223" s="30"/>
      <c r="JW223" s="30"/>
      <c r="JX223" s="30"/>
      <c r="JY223" s="30"/>
      <c r="JZ223" s="30"/>
      <c r="KA223" s="30"/>
      <c r="KB223" s="30"/>
      <c r="KC223" s="30"/>
      <c r="KD223" s="30"/>
      <c r="KE223" s="30"/>
      <c r="KF223" s="30"/>
      <c r="KG223" s="30"/>
      <c r="KH223" s="30"/>
      <c r="KI223" s="30"/>
      <c r="KJ223" s="30"/>
      <c r="KK223" s="30"/>
      <c r="KL223" s="30"/>
      <c r="KM223" s="30"/>
      <c r="KN223" s="30"/>
      <c r="KO223" s="30"/>
      <c r="KP223" s="30"/>
      <c r="KQ223" s="30"/>
      <c r="KR223" s="30"/>
      <c r="KS223" s="30"/>
      <c r="KT223" s="30"/>
      <c r="KU223" s="30"/>
      <c r="KV223" s="30"/>
      <c r="KW223" s="30"/>
      <c r="KX223" s="30"/>
      <c r="KY223" s="30"/>
      <c r="KZ223" s="30"/>
      <c r="LA223" s="30"/>
      <c r="LB223" s="30"/>
      <c r="LC223" s="30"/>
      <c r="LD223" s="30"/>
      <c r="LE223" s="30"/>
      <c r="LF223" s="30"/>
      <c r="LG223" s="30"/>
      <c r="LH223" s="30"/>
      <c r="LI223" s="30"/>
      <c r="LJ223" s="30"/>
      <c r="LK223" s="30"/>
      <c r="LL223" s="30"/>
      <c r="LM223" s="30"/>
      <c r="LN223" s="30"/>
      <c r="LO223" s="30"/>
      <c r="LP223" s="30"/>
      <c r="LQ223" s="30"/>
      <c r="LR223" s="30"/>
      <c r="LS223" s="30"/>
      <c r="LT223" s="30"/>
      <c r="LU223" s="30"/>
      <c r="LV223" s="30"/>
      <c r="LW223" s="30"/>
      <c r="LX223" s="30"/>
      <c r="LY223" s="30"/>
      <c r="LZ223" s="30"/>
      <c r="MA223" s="30"/>
      <c r="MB223" s="30"/>
      <c r="MC223" s="30"/>
      <c r="MD223" s="30"/>
      <c r="ME223" s="30"/>
      <c r="MF223" s="30"/>
      <c r="MG223" s="30"/>
      <c r="MH223" s="30"/>
      <c r="MI223" s="30"/>
      <c r="MJ223" s="30"/>
      <c r="MK223" s="30"/>
      <c r="ML223" s="30"/>
      <c r="MM223" s="30"/>
      <c r="MN223" s="30"/>
      <c r="MO223" s="30"/>
      <c r="MP223" s="30"/>
      <c r="MQ223" s="30"/>
      <c r="MR223" s="30"/>
      <c r="MS223" s="30"/>
      <c r="MT223" s="30"/>
      <c r="MU223" s="30"/>
      <c r="MV223" s="30"/>
      <c r="MW223" s="30"/>
      <c r="MX223" s="30"/>
      <c r="MY223" s="30"/>
      <c r="MZ223" s="30"/>
      <c r="NA223" s="30"/>
      <c r="NB223" s="30"/>
      <c r="NC223" s="30"/>
      <c r="ND223" s="30"/>
      <c r="NE223" s="30"/>
      <c r="NF223" s="30"/>
      <c r="NG223" s="30"/>
      <c r="NH223" s="30"/>
      <c r="NI223" s="30"/>
      <c r="NJ223" s="30"/>
      <c r="NK223" s="30"/>
      <c r="NL223" s="30"/>
      <c r="NM223" s="30"/>
      <c r="NN223" s="30"/>
      <c r="NO223" s="30"/>
      <c r="NP223" s="30"/>
      <c r="NQ223" s="30"/>
      <c r="NR223" s="30"/>
      <c r="NS223" s="30"/>
      <c r="NT223" s="30"/>
      <c r="NU223" s="30"/>
      <c r="NV223" s="30"/>
      <c r="NW223" s="30"/>
      <c r="NX223" s="30"/>
      <c r="NY223" s="30"/>
      <c r="NZ223" s="30"/>
      <c r="OA223" s="30"/>
      <c r="OB223" s="30"/>
      <c r="OC223" s="30"/>
      <c r="OD223" s="30"/>
      <c r="OE223" s="30"/>
      <c r="OF223" s="30"/>
      <c r="OG223" s="30"/>
      <c r="OH223" s="30"/>
      <c r="OI223" s="30"/>
      <c r="OJ223" s="30"/>
      <c r="OK223" s="30"/>
      <c r="OL223" s="30"/>
      <c r="OM223" s="30"/>
      <c r="ON223" s="30"/>
      <c r="OO223" s="30"/>
      <c r="OP223" s="30"/>
      <c r="OQ223" s="30"/>
      <c r="OR223" s="30"/>
      <c r="OS223" s="30"/>
      <c r="OT223" s="30"/>
      <c r="OU223" s="30"/>
      <c r="OV223" s="30"/>
      <c r="OW223" s="30"/>
      <c r="OX223" s="30"/>
      <c r="OY223" s="30"/>
      <c r="OZ223" s="30"/>
      <c r="PA223" s="30"/>
      <c r="PB223" s="30"/>
      <c r="PC223" s="30"/>
      <c r="PD223" s="30"/>
      <c r="PE223" s="30"/>
      <c r="PF223" s="30"/>
      <c r="PG223" s="30"/>
      <c r="PH223" s="30"/>
      <c r="PI223" s="30"/>
      <c r="PJ223" s="30"/>
      <c r="PK223" s="30"/>
      <c r="PL223" s="30"/>
      <c r="PM223" s="30"/>
      <c r="PN223" s="30"/>
      <c r="PO223" s="30"/>
      <c r="PP223" s="30"/>
      <c r="PQ223" s="30"/>
      <c r="PR223" s="30"/>
      <c r="PS223" s="30"/>
      <c r="PT223" s="30"/>
      <c r="PU223" s="30"/>
      <c r="PV223" s="30"/>
      <c r="PW223" s="30"/>
      <c r="PX223" s="30"/>
      <c r="PY223" s="30"/>
      <c r="PZ223" s="30"/>
      <c r="QA223" s="30"/>
      <c r="QB223" s="30"/>
      <c r="QC223" s="30"/>
      <c r="QD223" s="30"/>
      <c r="QE223" s="30"/>
      <c r="QF223" s="30"/>
      <c r="QG223" s="30"/>
      <c r="QH223" s="30"/>
      <c r="QI223" s="30"/>
      <c r="QJ223" s="30"/>
      <c r="QK223" s="30"/>
      <c r="QL223" s="30"/>
      <c r="QM223" s="30"/>
      <c r="QN223" s="30"/>
      <c r="QO223" s="30"/>
      <c r="QP223" s="30"/>
      <c r="QQ223" s="30"/>
      <c r="QR223" s="30"/>
      <c r="QS223" s="30"/>
      <c r="QT223" s="30"/>
      <c r="QU223" s="30"/>
      <c r="QV223" s="30"/>
      <c r="QW223" s="30"/>
      <c r="QX223" s="30"/>
      <c r="QY223" s="30"/>
      <c r="QZ223" s="30"/>
      <c r="RA223" s="30"/>
      <c r="RB223" s="30"/>
      <c r="RC223" s="30"/>
      <c r="RD223" s="30"/>
      <c r="RE223" s="30"/>
      <c r="RF223" s="30"/>
      <c r="RG223" s="30"/>
      <c r="RH223" s="30"/>
      <c r="RI223" s="30"/>
      <c r="RJ223" s="30"/>
      <c r="RK223" s="30"/>
      <c r="RL223" s="30"/>
      <c r="RM223" s="30"/>
      <c r="RN223" s="30"/>
      <c r="RO223" s="30"/>
      <c r="RP223" s="30"/>
      <c r="RQ223" s="30"/>
      <c r="RR223" s="30"/>
      <c r="RS223" s="30"/>
      <c r="RT223" s="30"/>
      <c r="RU223" s="30"/>
      <c r="RV223" s="30"/>
      <c r="RW223" s="30"/>
      <c r="RX223" s="30"/>
      <c r="RY223" s="30"/>
      <c r="RZ223" s="30"/>
      <c r="SA223" s="30"/>
      <c r="SB223" s="30"/>
      <c r="SC223" s="30"/>
      <c r="SD223" s="30"/>
      <c r="SE223" s="30"/>
      <c r="SF223" s="30"/>
      <c r="SG223" s="30"/>
      <c r="SH223" s="30"/>
      <c r="SI223" s="30"/>
      <c r="SJ223" s="30"/>
      <c r="SK223" s="30"/>
      <c r="SL223" s="30"/>
      <c r="SM223" s="30"/>
      <c r="SN223" s="30"/>
      <c r="SO223" s="30"/>
      <c r="SP223" s="30"/>
      <c r="SQ223" s="30"/>
      <c r="SR223" s="30"/>
      <c r="SS223" s="30"/>
      <c r="ST223" s="30"/>
      <c r="SU223" s="30"/>
      <c r="SV223" s="30"/>
      <c r="SW223" s="30"/>
      <c r="SX223" s="30"/>
      <c r="SY223" s="30"/>
      <c r="SZ223" s="30"/>
      <c r="TA223" s="30"/>
      <c r="TB223" s="30"/>
      <c r="TC223" s="30"/>
      <c r="TD223" s="30"/>
      <c r="TE223" s="30"/>
      <c r="TF223" s="30"/>
      <c r="TG223" s="30"/>
      <c r="TH223" s="30"/>
    </row>
    <row r="224" spans="1:528" s="24" customFormat="1" ht="31.5" hidden="1" x14ac:dyDescent="0.25">
      <c r="A224" s="60" t="s">
        <v>431</v>
      </c>
      <c r="B224" s="97">
        <v>7530</v>
      </c>
      <c r="C224" s="60" t="s">
        <v>238</v>
      </c>
      <c r="D224" s="98" t="s">
        <v>236</v>
      </c>
      <c r="E224" s="103">
        <f t="shared" si="98"/>
        <v>0</v>
      </c>
      <c r="F224" s="103"/>
      <c r="G224" s="105"/>
      <c r="H224" s="105"/>
      <c r="I224" s="105"/>
      <c r="J224" s="103">
        <f t="shared" si="99"/>
        <v>0</v>
      </c>
      <c r="K224" s="103"/>
      <c r="L224" s="103"/>
      <c r="M224" s="103"/>
      <c r="N224" s="103"/>
      <c r="O224" s="103"/>
      <c r="P224" s="103">
        <f t="shared" si="100"/>
        <v>0</v>
      </c>
      <c r="Q224" s="178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  <c r="IW224" s="30"/>
      <c r="IX224" s="30"/>
      <c r="IY224" s="30"/>
      <c r="IZ224" s="30"/>
      <c r="JA224" s="30"/>
      <c r="JB224" s="30"/>
      <c r="JC224" s="30"/>
      <c r="JD224" s="30"/>
      <c r="JE224" s="30"/>
      <c r="JF224" s="30"/>
      <c r="JG224" s="30"/>
      <c r="JH224" s="30"/>
      <c r="JI224" s="30"/>
      <c r="JJ224" s="30"/>
      <c r="JK224" s="30"/>
      <c r="JL224" s="30"/>
      <c r="JM224" s="30"/>
      <c r="JN224" s="30"/>
      <c r="JO224" s="30"/>
      <c r="JP224" s="30"/>
      <c r="JQ224" s="30"/>
      <c r="JR224" s="30"/>
      <c r="JS224" s="30"/>
      <c r="JT224" s="30"/>
      <c r="JU224" s="30"/>
      <c r="JV224" s="30"/>
      <c r="JW224" s="30"/>
      <c r="JX224" s="30"/>
      <c r="JY224" s="30"/>
      <c r="JZ224" s="30"/>
      <c r="KA224" s="30"/>
      <c r="KB224" s="30"/>
      <c r="KC224" s="30"/>
      <c r="KD224" s="30"/>
      <c r="KE224" s="30"/>
      <c r="KF224" s="30"/>
      <c r="KG224" s="30"/>
      <c r="KH224" s="30"/>
      <c r="KI224" s="30"/>
      <c r="KJ224" s="30"/>
      <c r="KK224" s="30"/>
      <c r="KL224" s="30"/>
      <c r="KM224" s="30"/>
      <c r="KN224" s="30"/>
      <c r="KO224" s="30"/>
      <c r="KP224" s="30"/>
      <c r="KQ224" s="30"/>
      <c r="KR224" s="30"/>
      <c r="KS224" s="30"/>
      <c r="KT224" s="30"/>
      <c r="KU224" s="30"/>
      <c r="KV224" s="30"/>
      <c r="KW224" s="30"/>
      <c r="KX224" s="30"/>
      <c r="KY224" s="30"/>
      <c r="KZ224" s="30"/>
      <c r="LA224" s="30"/>
      <c r="LB224" s="30"/>
      <c r="LC224" s="30"/>
      <c r="LD224" s="30"/>
      <c r="LE224" s="30"/>
      <c r="LF224" s="30"/>
      <c r="LG224" s="30"/>
      <c r="LH224" s="30"/>
      <c r="LI224" s="30"/>
      <c r="LJ224" s="30"/>
      <c r="LK224" s="30"/>
      <c r="LL224" s="30"/>
      <c r="LM224" s="30"/>
      <c r="LN224" s="30"/>
      <c r="LO224" s="30"/>
      <c r="LP224" s="30"/>
      <c r="LQ224" s="30"/>
      <c r="LR224" s="30"/>
      <c r="LS224" s="30"/>
      <c r="LT224" s="30"/>
      <c r="LU224" s="30"/>
      <c r="LV224" s="30"/>
      <c r="LW224" s="30"/>
      <c r="LX224" s="30"/>
      <c r="LY224" s="30"/>
      <c r="LZ224" s="30"/>
      <c r="MA224" s="30"/>
      <c r="MB224" s="30"/>
      <c r="MC224" s="30"/>
      <c r="MD224" s="30"/>
      <c r="ME224" s="30"/>
      <c r="MF224" s="30"/>
      <c r="MG224" s="30"/>
      <c r="MH224" s="30"/>
      <c r="MI224" s="30"/>
      <c r="MJ224" s="30"/>
      <c r="MK224" s="30"/>
      <c r="ML224" s="30"/>
      <c r="MM224" s="30"/>
      <c r="MN224" s="30"/>
      <c r="MO224" s="30"/>
      <c r="MP224" s="30"/>
      <c r="MQ224" s="30"/>
      <c r="MR224" s="30"/>
      <c r="MS224" s="30"/>
      <c r="MT224" s="30"/>
      <c r="MU224" s="30"/>
      <c r="MV224" s="30"/>
      <c r="MW224" s="30"/>
      <c r="MX224" s="30"/>
      <c r="MY224" s="30"/>
      <c r="MZ224" s="30"/>
      <c r="NA224" s="30"/>
      <c r="NB224" s="30"/>
      <c r="NC224" s="30"/>
      <c r="ND224" s="30"/>
      <c r="NE224" s="30"/>
      <c r="NF224" s="30"/>
      <c r="NG224" s="30"/>
      <c r="NH224" s="30"/>
      <c r="NI224" s="30"/>
      <c r="NJ224" s="30"/>
      <c r="NK224" s="30"/>
      <c r="NL224" s="30"/>
      <c r="NM224" s="30"/>
      <c r="NN224" s="30"/>
      <c r="NO224" s="30"/>
      <c r="NP224" s="30"/>
      <c r="NQ224" s="30"/>
      <c r="NR224" s="30"/>
      <c r="NS224" s="30"/>
      <c r="NT224" s="30"/>
      <c r="NU224" s="30"/>
      <c r="NV224" s="30"/>
      <c r="NW224" s="30"/>
      <c r="NX224" s="30"/>
      <c r="NY224" s="30"/>
      <c r="NZ224" s="30"/>
      <c r="OA224" s="30"/>
      <c r="OB224" s="30"/>
      <c r="OC224" s="30"/>
      <c r="OD224" s="30"/>
      <c r="OE224" s="30"/>
      <c r="OF224" s="30"/>
      <c r="OG224" s="30"/>
      <c r="OH224" s="30"/>
      <c r="OI224" s="30"/>
      <c r="OJ224" s="30"/>
      <c r="OK224" s="30"/>
      <c r="OL224" s="30"/>
      <c r="OM224" s="30"/>
      <c r="ON224" s="30"/>
      <c r="OO224" s="30"/>
      <c r="OP224" s="30"/>
      <c r="OQ224" s="30"/>
      <c r="OR224" s="30"/>
      <c r="OS224" s="30"/>
      <c r="OT224" s="30"/>
      <c r="OU224" s="30"/>
      <c r="OV224" s="30"/>
      <c r="OW224" s="30"/>
      <c r="OX224" s="30"/>
      <c r="OY224" s="30"/>
      <c r="OZ224" s="30"/>
      <c r="PA224" s="30"/>
      <c r="PB224" s="30"/>
      <c r="PC224" s="30"/>
      <c r="PD224" s="30"/>
      <c r="PE224" s="30"/>
      <c r="PF224" s="30"/>
      <c r="PG224" s="30"/>
      <c r="PH224" s="30"/>
      <c r="PI224" s="30"/>
      <c r="PJ224" s="30"/>
      <c r="PK224" s="30"/>
      <c r="PL224" s="30"/>
      <c r="PM224" s="30"/>
      <c r="PN224" s="30"/>
      <c r="PO224" s="30"/>
      <c r="PP224" s="30"/>
      <c r="PQ224" s="30"/>
      <c r="PR224" s="30"/>
      <c r="PS224" s="30"/>
      <c r="PT224" s="30"/>
      <c r="PU224" s="30"/>
      <c r="PV224" s="30"/>
      <c r="PW224" s="30"/>
      <c r="PX224" s="30"/>
      <c r="PY224" s="30"/>
      <c r="PZ224" s="30"/>
      <c r="QA224" s="30"/>
      <c r="QB224" s="30"/>
      <c r="QC224" s="30"/>
      <c r="QD224" s="30"/>
      <c r="QE224" s="30"/>
      <c r="QF224" s="30"/>
      <c r="QG224" s="30"/>
      <c r="QH224" s="30"/>
      <c r="QI224" s="30"/>
      <c r="QJ224" s="30"/>
      <c r="QK224" s="30"/>
      <c r="QL224" s="30"/>
      <c r="QM224" s="30"/>
      <c r="QN224" s="30"/>
      <c r="QO224" s="30"/>
      <c r="QP224" s="30"/>
      <c r="QQ224" s="30"/>
      <c r="QR224" s="30"/>
      <c r="QS224" s="30"/>
      <c r="QT224" s="30"/>
      <c r="QU224" s="30"/>
      <c r="QV224" s="30"/>
      <c r="QW224" s="30"/>
      <c r="QX224" s="30"/>
      <c r="QY224" s="30"/>
      <c r="QZ224" s="30"/>
      <c r="RA224" s="30"/>
      <c r="RB224" s="30"/>
      <c r="RC224" s="30"/>
      <c r="RD224" s="30"/>
      <c r="RE224" s="30"/>
      <c r="RF224" s="30"/>
      <c r="RG224" s="30"/>
      <c r="RH224" s="30"/>
      <c r="RI224" s="30"/>
      <c r="RJ224" s="30"/>
      <c r="RK224" s="30"/>
      <c r="RL224" s="30"/>
      <c r="RM224" s="30"/>
      <c r="RN224" s="30"/>
      <c r="RO224" s="30"/>
      <c r="RP224" s="30"/>
      <c r="RQ224" s="30"/>
      <c r="RR224" s="30"/>
      <c r="RS224" s="30"/>
      <c r="RT224" s="30"/>
      <c r="RU224" s="30"/>
      <c r="RV224" s="30"/>
      <c r="RW224" s="30"/>
      <c r="RX224" s="30"/>
      <c r="RY224" s="30"/>
      <c r="RZ224" s="30"/>
      <c r="SA224" s="30"/>
      <c r="SB224" s="30"/>
      <c r="SC224" s="30"/>
      <c r="SD224" s="30"/>
      <c r="SE224" s="30"/>
      <c r="SF224" s="30"/>
      <c r="SG224" s="30"/>
      <c r="SH224" s="30"/>
      <c r="SI224" s="30"/>
      <c r="SJ224" s="30"/>
      <c r="SK224" s="30"/>
      <c r="SL224" s="30"/>
      <c r="SM224" s="30"/>
      <c r="SN224" s="30"/>
      <c r="SO224" s="30"/>
      <c r="SP224" s="30"/>
      <c r="SQ224" s="30"/>
      <c r="SR224" s="30"/>
      <c r="SS224" s="30"/>
      <c r="ST224" s="30"/>
      <c r="SU224" s="30"/>
      <c r="SV224" s="30"/>
      <c r="SW224" s="30"/>
      <c r="SX224" s="30"/>
      <c r="SY224" s="30"/>
      <c r="SZ224" s="30"/>
      <c r="TA224" s="30"/>
      <c r="TB224" s="30"/>
      <c r="TC224" s="30"/>
      <c r="TD224" s="30"/>
      <c r="TE224" s="30"/>
      <c r="TF224" s="30"/>
      <c r="TG224" s="30"/>
      <c r="TH224" s="30"/>
    </row>
    <row r="225" spans="1:528" s="22" customFormat="1" ht="20.25" customHeight="1" x14ac:dyDescent="0.25">
      <c r="A225" s="60" t="s">
        <v>204</v>
      </c>
      <c r="B225" s="97" t="str">
        <f>'дод 8'!A187</f>
        <v>7640</v>
      </c>
      <c r="C225" s="97" t="str">
        <f>'дод 8'!B187</f>
        <v>0470</v>
      </c>
      <c r="D225" s="61" t="s">
        <v>424</v>
      </c>
      <c r="E225" s="103">
        <f t="shared" si="92"/>
        <v>2200000</v>
      </c>
      <c r="F225" s="103">
        <v>700000</v>
      </c>
      <c r="G225" s="103"/>
      <c r="H225" s="103"/>
      <c r="I225" s="103">
        <v>1500000</v>
      </c>
      <c r="J225" s="103">
        <f t="shared" si="94"/>
        <v>0</v>
      </c>
      <c r="K225" s="103"/>
      <c r="L225" s="103"/>
      <c r="M225" s="103"/>
      <c r="N225" s="103"/>
      <c r="O225" s="103"/>
      <c r="P225" s="103">
        <f t="shared" si="93"/>
        <v>2200000</v>
      </c>
      <c r="Q225" s="178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</row>
    <row r="226" spans="1:528" s="22" customFormat="1" ht="30" customHeight="1" x14ac:dyDescent="0.25">
      <c r="A226" s="60" t="s">
        <v>333</v>
      </c>
      <c r="B226" s="97" t="str">
        <f>'дод 8'!A191</f>
        <v>7670</v>
      </c>
      <c r="C226" s="97" t="str">
        <f>'дод 8'!B191</f>
        <v>0490</v>
      </c>
      <c r="D226" s="61" t="str">
        <f>'дод 8'!C191</f>
        <v>Внески до статутного капіталу суб’єктів господарювання, у т. ч. за рахунок:</v>
      </c>
      <c r="E226" s="103">
        <f t="shared" si="92"/>
        <v>0</v>
      </c>
      <c r="F226" s="103"/>
      <c r="G226" s="103"/>
      <c r="H226" s="103"/>
      <c r="I226" s="103"/>
      <c r="J226" s="103">
        <f t="shared" si="94"/>
        <v>46790000</v>
      </c>
      <c r="K226" s="103">
        <v>46790000</v>
      </c>
      <c r="L226" s="103"/>
      <c r="M226" s="103"/>
      <c r="N226" s="103"/>
      <c r="O226" s="103">
        <v>46790000</v>
      </c>
      <c r="P226" s="103">
        <f t="shared" si="93"/>
        <v>46790000</v>
      </c>
      <c r="Q226" s="178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  <c r="TH226" s="23"/>
    </row>
    <row r="227" spans="1:528" s="24" customFormat="1" ht="18.75" customHeight="1" x14ac:dyDescent="0.25">
      <c r="A227" s="88"/>
      <c r="B227" s="115"/>
      <c r="C227" s="115"/>
      <c r="D227" s="89" t="s">
        <v>421</v>
      </c>
      <c r="E227" s="105">
        <f t="shared" si="92"/>
        <v>0</v>
      </c>
      <c r="F227" s="105"/>
      <c r="G227" s="105"/>
      <c r="H227" s="105"/>
      <c r="I227" s="105"/>
      <c r="J227" s="105">
        <f t="shared" si="94"/>
        <v>26250000</v>
      </c>
      <c r="K227" s="105">
        <v>26250000</v>
      </c>
      <c r="L227" s="105"/>
      <c r="M227" s="105"/>
      <c r="N227" s="105"/>
      <c r="O227" s="105">
        <v>26250000</v>
      </c>
      <c r="P227" s="105">
        <f t="shared" si="93"/>
        <v>26250000</v>
      </c>
      <c r="Q227" s="178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  <c r="SO227" s="30"/>
      <c r="SP227" s="30"/>
      <c r="SQ227" s="30"/>
      <c r="SR227" s="30"/>
      <c r="SS227" s="30"/>
      <c r="ST227" s="30"/>
      <c r="SU227" s="30"/>
      <c r="SV227" s="30"/>
      <c r="SW227" s="30"/>
      <c r="SX227" s="30"/>
      <c r="SY227" s="30"/>
      <c r="SZ227" s="30"/>
      <c r="TA227" s="30"/>
      <c r="TB227" s="30"/>
      <c r="TC227" s="30"/>
      <c r="TD227" s="30"/>
      <c r="TE227" s="30"/>
      <c r="TF227" s="30"/>
      <c r="TG227" s="30"/>
      <c r="TH227" s="30"/>
    </row>
    <row r="228" spans="1:528" s="22" customFormat="1" ht="115.5" customHeight="1" x14ac:dyDescent="0.25">
      <c r="A228" s="107" t="s">
        <v>302</v>
      </c>
      <c r="B228" s="42">
        <v>7691</v>
      </c>
      <c r="C228" s="42" t="s">
        <v>84</v>
      </c>
      <c r="D228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8" s="103">
        <f t="shared" si="92"/>
        <v>0</v>
      </c>
      <c r="F228" s="103"/>
      <c r="G228" s="103"/>
      <c r="H228" s="103"/>
      <c r="I228" s="103"/>
      <c r="J228" s="103">
        <f t="shared" si="94"/>
        <v>2205686.5699999998</v>
      </c>
      <c r="K228" s="103"/>
      <c r="L228" s="103">
        <f>169598+128488.57</f>
        <v>298086.57</v>
      </c>
      <c r="M228" s="103"/>
      <c r="N228" s="103"/>
      <c r="O228" s="103">
        <f>1900000+7600</f>
        <v>1907600</v>
      </c>
      <c r="P228" s="103">
        <f t="shared" si="93"/>
        <v>2205686.5699999998</v>
      </c>
      <c r="Q228" s="178">
        <v>27</v>
      </c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  <c r="TH228" s="23"/>
    </row>
    <row r="229" spans="1:528" s="22" customFormat="1" ht="31.5" x14ac:dyDescent="0.25">
      <c r="A229" s="107" t="s">
        <v>382</v>
      </c>
      <c r="B229" s="42" t="str">
        <f>'дод 8'!A202</f>
        <v>8110</v>
      </c>
      <c r="C229" s="42" t="str">
        <f>'дод 8'!B202</f>
        <v>0320</v>
      </c>
      <c r="D229" s="108" t="str">
        <f>'дод 8'!C202</f>
        <v>Заходи із запобігання та ліквідації надзвичайних ситуацій та наслідків стихійного лиха</v>
      </c>
      <c r="E229" s="103">
        <f t="shared" ref="E229" si="101">F229+I229</f>
        <v>677493.87</v>
      </c>
      <c r="F229" s="103">
        <v>677493.87</v>
      </c>
      <c r="G229" s="103"/>
      <c r="H229" s="103"/>
      <c r="I229" s="103"/>
      <c r="J229" s="103">
        <f t="shared" ref="J229" si="102">L229+O229</f>
        <v>0</v>
      </c>
      <c r="K229" s="103"/>
      <c r="L229" s="103"/>
      <c r="M229" s="103"/>
      <c r="N229" s="103"/>
      <c r="O229" s="103"/>
      <c r="P229" s="103">
        <f t="shared" ref="P229" si="103">E229+J229</f>
        <v>677493.87</v>
      </c>
      <c r="Q229" s="178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  <c r="TH229" s="23"/>
    </row>
    <row r="230" spans="1:528" s="22" customFormat="1" ht="15.75" hidden="1" customHeight="1" x14ac:dyDescent="0.25">
      <c r="A230" s="107" t="s">
        <v>381</v>
      </c>
      <c r="B230" s="42" t="str">
        <f>'дод 8'!A206</f>
        <v>8230</v>
      </c>
      <c r="C230" s="42" t="str">
        <f>'дод 8'!B206</f>
        <v>0380</v>
      </c>
      <c r="D230" s="108" t="str">
        <f>'дод 8'!C206</f>
        <v>Інші заходи громадського порядку та безпеки</v>
      </c>
      <c r="E230" s="103">
        <f t="shared" ref="E230" si="104">F230+I230</f>
        <v>0</v>
      </c>
      <c r="F230" s="103"/>
      <c r="G230" s="103"/>
      <c r="H230" s="103"/>
      <c r="I230" s="103"/>
      <c r="J230" s="103">
        <f t="shared" ref="J230" si="105">L230+O230</f>
        <v>0</v>
      </c>
      <c r="K230" s="103"/>
      <c r="L230" s="103"/>
      <c r="M230" s="103"/>
      <c r="N230" s="103"/>
      <c r="O230" s="103"/>
      <c r="P230" s="103">
        <f t="shared" ref="P230" si="106">E230+J230</f>
        <v>0</v>
      </c>
      <c r="Q230" s="178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</row>
    <row r="231" spans="1:528" s="22" customFormat="1" ht="18.75" customHeight="1" x14ac:dyDescent="0.25">
      <c r="A231" s="60" t="s">
        <v>205</v>
      </c>
      <c r="B231" s="97" t="str">
        <f>'дод 8'!A209</f>
        <v>8340</v>
      </c>
      <c r="C231" s="97" t="str">
        <f>'дод 8'!B209</f>
        <v>0540</v>
      </c>
      <c r="D231" s="61" t="str">
        <f>'дод 8'!C209</f>
        <v>Природоохоронні заходи за рахунок цільових фондів</v>
      </c>
      <c r="E231" s="103">
        <f t="shared" si="92"/>
        <v>0</v>
      </c>
      <c r="F231" s="103"/>
      <c r="G231" s="103"/>
      <c r="H231" s="103"/>
      <c r="I231" s="103"/>
      <c r="J231" s="103">
        <f t="shared" si="94"/>
        <v>2742000</v>
      </c>
      <c r="K231" s="103"/>
      <c r="L231" s="103">
        <v>1442000</v>
      </c>
      <c r="M231" s="103"/>
      <c r="N231" s="103"/>
      <c r="O231" s="103">
        <v>1300000</v>
      </c>
      <c r="P231" s="103">
        <f t="shared" si="93"/>
        <v>2742000</v>
      </c>
      <c r="Q231" s="178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</row>
    <row r="232" spans="1:528" s="22" customFormat="1" ht="20.25" customHeight="1" x14ac:dyDescent="0.25">
      <c r="A232" s="60" t="s">
        <v>206</v>
      </c>
      <c r="B232" s="97" t="str">
        <f>'дод 8'!A224</f>
        <v>9770</v>
      </c>
      <c r="C232" s="97" t="str">
        <f>'дод 8'!B224</f>
        <v>0180</v>
      </c>
      <c r="D232" s="61" t="str">
        <f>'дод 8'!C224</f>
        <v>Інші субвенції з місцевого бюджету</v>
      </c>
      <c r="E232" s="103">
        <f t="shared" si="92"/>
        <v>0</v>
      </c>
      <c r="F232" s="103"/>
      <c r="G232" s="103"/>
      <c r="H232" s="103"/>
      <c r="I232" s="103"/>
      <c r="J232" s="103">
        <f t="shared" si="94"/>
        <v>7000000</v>
      </c>
      <c r="K232" s="103">
        <v>7000000</v>
      </c>
      <c r="L232" s="103"/>
      <c r="M232" s="103"/>
      <c r="N232" s="103"/>
      <c r="O232" s="103">
        <v>7000000</v>
      </c>
      <c r="P232" s="103">
        <f t="shared" si="93"/>
        <v>7000000</v>
      </c>
      <c r="Q232" s="178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</row>
    <row r="233" spans="1:528" s="27" customFormat="1" ht="33.75" customHeight="1" x14ac:dyDescent="0.25">
      <c r="A233" s="114" t="s">
        <v>28</v>
      </c>
      <c r="B233" s="116"/>
      <c r="C233" s="116"/>
      <c r="D233" s="111" t="s">
        <v>35</v>
      </c>
      <c r="E233" s="99">
        <f>E234</f>
        <v>6378200</v>
      </c>
      <c r="F233" s="99">
        <f t="shared" ref="F233:J234" si="107">F234</f>
        <v>6378200</v>
      </c>
      <c r="G233" s="99">
        <f t="shared" si="107"/>
        <v>5019800</v>
      </c>
      <c r="H233" s="99">
        <f t="shared" si="107"/>
        <v>75700</v>
      </c>
      <c r="I233" s="99">
        <f t="shared" si="107"/>
        <v>0</v>
      </c>
      <c r="J233" s="99">
        <f t="shared" si="107"/>
        <v>8000</v>
      </c>
      <c r="K233" s="99">
        <f t="shared" ref="K233:K234" si="108">K234</f>
        <v>8000</v>
      </c>
      <c r="L233" s="99">
        <f t="shared" ref="L233:L234" si="109">L234</f>
        <v>0</v>
      </c>
      <c r="M233" s="99">
        <f t="shared" ref="M233:M234" si="110">M234</f>
        <v>0</v>
      </c>
      <c r="N233" s="99">
        <f t="shared" ref="N233:N234" si="111">N234</f>
        <v>0</v>
      </c>
      <c r="O233" s="99">
        <f t="shared" ref="O233:P234" si="112">O234</f>
        <v>8000</v>
      </c>
      <c r="P233" s="99">
        <f t="shared" si="112"/>
        <v>6386200</v>
      </c>
      <c r="Q233" s="178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  <c r="IT233" s="32"/>
      <c r="IU233" s="32"/>
      <c r="IV233" s="32"/>
      <c r="IW233" s="32"/>
      <c r="IX233" s="32"/>
      <c r="IY233" s="32"/>
      <c r="IZ233" s="32"/>
      <c r="JA233" s="32"/>
      <c r="JB233" s="32"/>
      <c r="JC233" s="32"/>
      <c r="JD233" s="32"/>
      <c r="JE233" s="32"/>
      <c r="JF233" s="32"/>
      <c r="JG233" s="32"/>
      <c r="JH233" s="32"/>
      <c r="JI233" s="32"/>
      <c r="JJ233" s="32"/>
      <c r="JK233" s="32"/>
      <c r="JL233" s="32"/>
      <c r="JM233" s="32"/>
      <c r="JN233" s="32"/>
      <c r="JO233" s="32"/>
      <c r="JP233" s="32"/>
      <c r="JQ233" s="32"/>
      <c r="JR233" s="32"/>
      <c r="JS233" s="32"/>
      <c r="JT233" s="32"/>
      <c r="JU233" s="32"/>
      <c r="JV233" s="32"/>
      <c r="JW233" s="32"/>
      <c r="JX233" s="32"/>
      <c r="JY233" s="32"/>
      <c r="JZ233" s="32"/>
      <c r="KA233" s="32"/>
      <c r="KB233" s="32"/>
      <c r="KC233" s="32"/>
      <c r="KD233" s="32"/>
      <c r="KE233" s="32"/>
      <c r="KF233" s="32"/>
      <c r="KG233" s="32"/>
      <c r="KH233" s="32"/>
      <c r="KI233" s="32"/>
      <c r="KJ233" s="32"/>
      <c r="KK233" s="32"/>
      <c r="KL233" s="32"/>
      <c r="KM233" s="32"/>
      <c r="KN233" s="32"/>
      <c r="KO233" s="32"/>
      <c r="KP233" s="32"/>
      <c r="KQ233" s="32"/>
      <c r="KR233" s="32"/>
      <c r="KS233" s="32"/>
      <c r="KT233" s="32"/>
      <c r="KU233" s="32"/>
      <c r="KV233" s="32"/>
      <c r="KW233" s="32"/>
      <c r="KX233" s="32"/>
      <c r="KY233" s="32"/>
      <c r="KZ233" s="32"/>
      <c r="LA233" s="32"/>
      <c r="LB233" s="32"/>
      <c r="LC233" s="32"/>
      <c r="LD233" s="32"/>
      <c r="LE233" s="32"/>
      <c r="LF233" s="32"/>
      <c r="LG233" s="32"/>
      <c r="LH233" s="32"/>
      <c r="LI233" s="32"/>
      <c r="LJ233" s="32"/>
      <c r="LK233" s="32"/>
      <c r="LL233" s="32"/>
      <c r="LM233" s="32"/>
      <c r="LN233" s="32"/>
      <c r="LO233" s="32"/>
      <c r="LP233" s="32"/>
      <c r="LQ233" s="32"/>
      <c r="LR233" s="32"/>
      <c r="LS233" s="32"/>
      <c r="LT233" s="32"/>
      <c r="LU233" s="32"/>
      <c r="LV233" s="32"/>
      <c r="LW233" s="32"/>
      <c r="LX233" s="32"/>
      <c r="LY233" s="32"/>
      <c r="LZ233" s="32"/>
      <c r="MA233" s="32"/>
      <c r="MB233" s="32"/>
      <c r="MC233" s="32"/>
      <c r="MD233" s="32"/>
      <c r="ME233" s="32"/>
      <c r="MF233" s="32"/>
      <c r="MG233" s="32"/>
      <c r="MH233" s="32"/>
      <c r="MI233" s="32"/>
      <c r="MJ233" s="32"/>
      <c r="MK233" s="32"/>
      <c r="ML233" s="32"/>
      <c r="MM233" s="32"/>
      <c r="MN233" s="32"/>
      <c r="MO233" s="32"/>
      <c r="MP233" s="32"/>
      <c r="MQ233" s="32"/>
      <c r="MR233" s="32"/>
      <c r="MS233" s="32"/>
      <c r="MT233" s="32"/>
      <c r="MU233" s="32"/>
      <c r="MV233" s="32"/>
      <c r="MW233" s="32"/>
      <c r="MX233" s="32"/>
      <c r="MY233" s="32"/>
      <c r="MZ233" s="32"/>
      <c r="NA233" s="32"/>
      <c r="NB233" s="32"/>
      <c r="NC233" s="32"/>
      <c r="ND233" s="32"/>
      <c r="NE233" s="32"/>
      <c r="NF233" s="32"/>
      <c r="NG233" s="32"/>
      <c r="NH233" s="32"/>
      <c r="NI233" s="32"/>
      <c r="NJ233" s="32"/>
      <c r="NK233" s="32"/>
      <c r="NL233" s="32"/>
      <c r="NM233" s="32"/>
      <c r="NN233" s="32"/>
      <c r="NO233" s="32"/>
      <c r="NP233" s="32"/>
      <c r="NQ233" s="32"/>
      <c r="NR233" s="32"/>
      <c r="NS233" s="32"/>
      <c r="NT233" s="32"/>
      <c r="NU233" s="32"/>
      <c r="NV233" s="32"/>
      <c r="NW233" s="32"/>
      <c r="NX233" s="32"/>
      <c r="NY233" s="32"/>
      <c r="NZ233" s="32"/>
      <c r="OA233" s="32"/>
      <c r="OB233" s="32"/>
      <c r="OC233" s="32"/>
      <c r="OD233" s="32"/>
      <c r="OE233" s="32"/>
      <c r="OF233" s="32"/>
      <c r="OG233" s="32"/>
      <c r="OH233" s="32"/>
      <c r="OI233" s="32"/>
      <c r="OJ233" s="32"/>
      <c r="OK233" s="32"/>
      <c r="OL233" s="32"/>
      <c r="OM233" s="32"/>
      <c r="ON233" s="32"/>
      <c r="OO233" s="32"/>
      <c r="OP233" s="32"/>
      <c r="OQ233" s="32"/>
      <c r="OR233" s="32"/>
      <c r="OS233" s="32"/>
      <c r="OT233" s="32"/>
      <c r="OU233" s="32"/>
      <c r="OV233" s="32"/>
      <c r="OW233" s="32"/>
      <c r="OX233" s="32"/>
      <c r="OY233" s="32"/>
      <c r="OZ233" s="32"/>
      <c r="PA233" s="32"/>
      <c r="PB233" s="32"/>
      <c r="PC233" s="32"/>
      <c r="PD233" s="32"/>
      <c r="PE233" s="32"/>
      <c r="PF233" s="32"/>
      <c r="PG233" s="32"/>
      <c r="PH233" s="32"/>
      <c r="PI233" s="32"/>
      <c r="PJ233" s="32"/>
      <c r="PK233" s="32"/>
      <c r="PL233" s="32"/>
      <c r="PM233" s="32"/>
      <c r="PN233" s="32"/>
      <c r="PO233" s="32"/>
      <c r="PP233" s="32"/>
      <c r="PQ233" s="32"/>
      <c r="PR233" s="32"/>
      <c r="PS233" s="32"/>
      <c r="PT233" s="32"/>
      <c r="PU233" s="32"/>
      <c r="PV233" s="32"/>
      <c r="PW233" s="32"/>
      <c r="PX233" s="32"/>
      <c r="PY233" s="32"/>
      <c r="PZ233" s="32"/>
      <c r="QA233" s="32"/>
      <c r="QB233" s="32"/>
      <c r="QC233" s="32"/>
      <c r="QD233" s="32"/>
      <c r="QE233" s="32"/>
      <c r="QF233" s="32"/>
      <c r="QG233" s="32"/>
      <c r="QH233" s="32"/>
      <c r="QI233" s="32"/>
      <c r="QJ233" s="32"/>
      <c r="QK233" s="32"/>
      <c r="QL233" s="32"/>
      <c r="QM233" s="32"/>
      <c r="QN233" s="32"/>
      <c r="QO233" s="32"/>
      <c r="QP233" s="32"/>
      <c r="QQ233" s="32"/>
      <c r="QR233" s="32"/>
      <c r="QS233" s="32"/>
      <c r="QT233" s="32"/>
      <c r="QU233" s="32"/>
      <c r="QV233" s="32"/>
      <c r="QW233" s="32"/>
      <c r="QX233" s="32"/>
      <c r="QY233" s="32"/>
      <c r="QZ233" s="32"/>
      <c r="RA233" s="32"/>
      <c r="RB233" s="32"/>
      <c r="RC233" s="32"/>
      <c r="RD233" s="32"/>
      <c r="RE233" s="32"/>
      <c r="RF233" s="32"/>
      <c r="RG233" s="32"/>
      <c r="RH233" s="32"/>
      <c r="RI233" s="32"/>
      <c r="RJ233" s="32"/>
      <c r="RK233" s="32"/>
      <c r="RL233" s="32"/>
      <c r="RM233" s="32"/>
      <c r="RN233" s="32"/>
      <c r="RO233" s="32"/>
      <c r="RP233" s="32"/>
      <c r="RQ233" s="32"/>
      <c r="RR233" s="32"/>
      <c r="RS233" s="32"/>
      <c r="RT233" s="32"/>
      <c r="RU233" s="32"/>
      <c r="RV233" s="32"/>
      <c r="RW233" s="32"/>
      <c r="RX233" s="32"/>
      <c r="RY233" s="32"/>
      <c r="RZ233" s="32"/>
      <c r="SA233" s="32"/>
      <c r="SB233" s="32"/>
      <c r="SC233" s="32"/>
      <c r="SD233" s="32"/>
      <c r="SE233" s="32"/>
      <c r="SF233" s="32"/>
      <c r="SG233" s="32"/>
      <c r="SH233" s="32"/>
      <c r="SI233" s="32"/>
      <c r="SJ233" s="32"/>
      <c r="SK233" s="32"/>
      <c r="SL233" s="32"/>
      <c r="SM233" s="32"/>
      <c r="SN233" s="32"/>
      <c r="SO233" s="32"/>
      <c r="SP233" s="32"/>
      <c r="SQ233" s="32"/>
      <c r="SR233" s="32"/>
      <c r="SS233" s="32"/>
      <c r="ST233" s="32"/>
      <c r="SU233" s="32"/>
      <c r="SV233" s="32"/>
      <c r="SW233" s="32"/>
      <c r="SX233" s="32"/>
      <c r="SY233" s="32"/>
      <c r="SZ233" s="32"/>
      <c r="TA233" s="32"/>
      <c r="TB233" s="32"/>
      <c r="TC233" s="32"/>
      <c r="TD233" s="32"/>
      <c r="TE233" s="32"/>
      <c r="TF233" s="32"/>
      <c r="TG233" s="32"/>
      <c r="TH233" s="32"/>
    </row>
    <row r="234" spans="1:528" s="34" customFormat="1" ht="36.75" customHeight="1" x14ac:dyDescent="0.25">
      <c r="A234" s="100" t="s">
        <v>120</v>
      </c>
      <c r="B234" s="113"/>
      <c r="C234" s="113"/>
      <c r="D234" s="81" t="s">
        <v>35</v>
      </c>
      <c r="E234" s="102">
        <f>E235</f>
        <v>6378200</v>
      </c>
      <c r="F234" s="102">
        <f t="shared" si="107"/>
        <v>6378200</v>
      </c>
      <c r="G234" s="102">
        <f t="shared" si="107"/>
        <v>5019800</v>
      </c>
      <c r="H234" s="102">
        <f t="shared" si="107"/>
        <v>75700</v>
      </c>
      <c r="I234" s="102">
        <f t="shared" si="107"/>
        <v>0</v>
      </c>
      <c r="J234" s="102">
        <f t="shared" si="107"/>
        <v>8000</v>
      </c>
      <c r="K234" s="102">
        <f t="shared" si="108"/>
        <v>8000</v>
      </c>
      <c r="L234" s="102">
        <f t="shared" si="109"/>
        <v>0</v>
      </c>
      <c r="M234" s="102">
        <f t="shared" si="110"/>
        <v>0</v>
      </c>
      <c r="N234" s="102">
        <f t="shared" si="111"/>
        <v>0</v>
      </c>
      <c r="O234" s="102">
        <f t="shared" si="112"/>
        <v>8000</v>
      </c>
      <c r="P234" s="102">
        <f t="shared" si="112"/>
        <v>6386200</v>
      </c>
      <c r="Q234" s="178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  <c r="TF234" s="33"/>
      <c r="TG234" s="33"/>
      <c r="TH234" s="33"/>
    </row>
    <row r="235" spans="1:528" s="22" customFormat="1" ht="47.25" x14ac:dyDescent="0.25">
      <c r="A235" s="60" t="s">
        <v>0</v>
      </c>
      <c r="B235" s="97" t="str">
        <f>'дод 8'!A19</f>
        <v>0160</v>
      </c>
      <c r="C235" s="97" t="str">
        <f>'дод 8'!B19</f>
        <v>0111</v>
      </c>
      <c r="D235" s="36" t="s">
        <v>504</v>
      </c>
      <c r="E235" s="103">
        <f>F235+I235</f>
        <v>6378200</v>
      </c>
      <c r="F235" s="103">
        <v>6378200</v>
      </c>
      <c r="G235" s="103">
        <v>5019800</v>
      </c>
      <c r="H235" s="103">
        <v>75700</v>
      </c>
      <c r="I235" s="103"/>
      <c r="J235" s="103">
        <f>L235+O235</f>
        <v>8000</v>
      </c>
      <c r="K235" s="103">
        <v>8000</v>
      </c>
      <c r="L235" s="103"/>
      <c r="M235" s="103"/>
      <c r="N235" s="103"/>
      <c r="O235" s="103">
        <v>8000</v>
      </c>
      <c r="P235" s="103">
        <f>E235+J235</f>
        <v>6386200</v>
      </c>
      <c r="Q235" s="178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</row>
    <row r="236" spans="1:528" s="27" customFormat="1" ht="34.5" customHeight="1" x14ac:dyDescent="0.25">
      <c r="A236" s="114" t="s">
        <v>29</v>
      </c>
      <c r="B236" s="116"/>
      <c r="C236" s="116"/>
      <c r="D236" s="111" t="s">
        <v>34</v>
      </c>
      <c r="E236" s="99">
        <f>E237</f>
        <v>5477027</v>
      </c>
      <c r="F236" s="99">
        <f t="shared" ref="F236:J236" si="113">F237</f>
        <v>5477027</v>
      </c>
      <c r="G236" s="99">
        <f t="shared" si="113"/>
        <v>2958200</v>
      </c>
      <c r="H236" s="99">
        <f t="shared" si="113"/>
        <v>0</v>
      </c>
      <c r="I236" s="99">
        <f t="shared" si="113"/>
        <v>0</v>
      </c>
      <c r="J236" s="99">
        <f t="shared" si="113"/>
        <v>248983017.65000001</v>
      </c>
      <c r="K236" s="99">
        <f t="shared" ref="K236" si="114">K237</f>
        <v>235537735</v>
      </c>
      <c r="L236" s="99">
        <f t="shared" ref="L236" si="115">L237</f>
        <v>1900000</v>
      </c>
      <c r="M236" s="99">
        <f t="shared" ref="M236" si="116">M237</f>
        <v>1332000</v>
      </c>
      <c r="N236" s="99">
        <f t="shared" ref="N236" si="117">N237</f>
        <v>71500</v>
      </c>
      <c r="O236" s="99">
        <f t="shared" ref="O236:P236" si="118">O237</f>
        <v>247083017.65000001</v>
      </c>
      <c r="P236" s="99">
        <f t="shared" si="118"/>
        <v>254460044.65000001</v>
      </c>
      <c r="Q236" s="178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  <c r="IP236" s="32"/>
      <c r="IQ236" s="32"/>
      <c r="IR236" s="32"/>
      <c r="IS236" s="32"/>
      <c r="IT236" s="32"/>
      <c r="IU236" s="32"/>
      <c r="IV236" s="32"/>
      <c r="IW236" s="32"/>
      <c r="IX236" s="32"/>
      <c r="IY236" s="32"/>
      <c r="IZ236" s="32"/>
      <c r="JA236" s="32"/>
      <c r="JB236" s="32"/>
      <c r="JC236" s="32"/>
      <c r="JD236" s="32"/>
      <c r="JE236" s="32"/>
      <c r="JF236" s="32"/>
      <c r="JG236" s="32"/>
      <c r="JH236" s="32"/>
      <c r="JI236" s="32"/>
      <c r="JJ236" s="32"/>
      <c r="JK236" s="32"/>
      <c r="JL236" s="32"/>
      <c r="JM236" s="32"/>
      <c r="JN236" s="32"/>
      <c r="JO236" s="32"/>
      <c r="JP236" s="32"/>
      <c r="JQ236" s="32"/>
      <c r="JR236" s="32"/>
      <c r="JS236" s="32"/>
      <c r="JT236" s="32"/>
      <c r="JU236" s="32"/>
      <c r="JV236" s="32"/>
      <c r="JW236" s="32"/>
      <c r="JX236" s="32"/>
      <c r="JY236" s="32"/>
      <c r="JZ236" s="32"/>
      <c r="KA236" s="32"/>
      <c r="KB236" s="32"/>
      <c r="KC236" s="32"/>
      <c r="KD236" s="32"/>
      <c r="KE236" s="32"/>
      <c r="KF236" s="32"/>
      <c r="KG236" s="32"/>
      <c r="KH236" s="32"/>
      <c r="KI236" s="32"/>
      <c r="KJ236" s="32"/>
      <c r="KK236" s="32"/>
      <c r="KL236" s="32"/>
      <c r="KM236" s="32"/>
      <c r="KN236" s="32"/>
      <c r="KO236" s="32"/>
      <c r="KP236" s="32"/>
      <c r="KQ236" s="32"/>
      <c r="KR236" s="32"/>
      <c r="KS236" s="32"/>
      <c r="KT236" s="32"/>
      <c r="KU236" s="32"/>
      <c r="KV236" s="32"/>
      <c r="KW236" s="32"/>
      <c r="KX236" s="32"/>
      <c r="KY236" s="32"/>
      <c r="KZ236" s="32"/>
      <c r="LA236" s="32"/>
      <c r="LB236" s="32"/>
      <c r="LC236" s="32"/>
      <c r="LD236" s="32"/>
      <c r="LE236" s="32"/>
      <c r="LF236" s="32"/>
      <c r="LG236" s="32"/>
      <c r="LH236" s="32"/>
      <c r="LI236" s="32"/>
      <c r="LJ236" s="32"/>
      <c r="LK236" s="32"/>
      <c r="LL236" s="32"/>
      <c r="LM236" s="32"/>
      <c r="LN236" s="32"/>
      <c r="LO236" s="32"/>
      <c r="LP236" s="32"/>
      <c r="LQ236" s="32"/>
      <c r="LR236" s="32"/>
      <c r="LS236" s="32"/>
      <c r="LT236" s="32"/>
      <c r="LU236" s="32"/>
      <c r="LV236" s="32"/>
      <c r="LW236" s="32"/>
      <c r="LX236" s="32"/>
      <c r="LY236" s="32"/>
      <c r="LZ236" s="32"/>
      <c r="MA236" s="32"/>
      <c r="MB236" s="32"/>
      <c r="MC236" s="32"/>
      <c r="MD236" s="32"/>
      <c r="ME236" s="32"/>
      <c r="MF236" s="32"/>
      <c r="MG236" s="32"/>
      <c r="MH236" s="32"/>
      <c r="MI236" s="32"/>
      <c r="MJ236" s="32"/>
      <c r="MK236" s="32"/>
      <c r="ML236" s="32"/>
      <c r="MM236" s="32"/>
      <c r="MN236" s="32"/>
      <c r="MO236" s="32"/>
      <c r="MP236" s="32"/>
      <c r="MQ236" s="32"/>
      <c r="MR236" s="32"/>
      <c r="MS236" s="32"/>
      <c r="MT236" s="32"/>
      <c r="MU236" s="32"/>
      <c r="MV236" s="32"/>
      <c r="MW236" s="32"/>
      <c r="MX236" s="32"/>
      <c r="MY236" s="32"/>
      <c r="MZ236" s="32"/>
      <c r="NA236" s="32"/>
      <c r="NB236" s="32"/>
      <c r="NC236" s="32"/>
      <c r="ND236" s="32"/>
      <c r="NE236" s="32"/>
      <c r="NF236" s="32"/>
      <c r="NG236" s="32"/>
      <c r="NH236" s="32"/>
      <c r="NI236" s="32"/>
      <c r="NJ236" s="32"/>
      <c r="NK236" s="32"/>
      <c r="NL236" s="32"/>
      <c r="NM236" s="32"/>
      <c r="NN236" s="32"/>
      <c r="NO236" s="32"/>
      <c r="NP236" s="32"/>
      <c r="NQ236" s="32"/>
      <c r="NR236" s="32"/>
      <c r="NS236" s="32"/>
      <c r="NT236" s="32"/>
      <c r="NU236" s="32"/>
      <c r="NV236" s="32"/>
      <c r="NW236" s="32"/>
      <c r="NX236" s="32"/>
      <c r="NY236" s="32"/>
      <c r="NZ236" s="32"/>
      <c r="OA236" s="32"/>
      <c r="OB236" s="32"/>
      <c r="OC236" s="32"/>
      <c r="OD236" s="32"/>
      <c r="OE236" s="32"/>
      <c r="OF236" s="32"/>
      <c r="OG236" s="32"/>
      <c r="OH236" s="32"/>
      <c r="OI236" s="32"/>
      <c r="OJ236" s="32"/>
      <c r="OK236" s="32"/>
      <c r="OL236" s="32"/>
      <c r="OM236" s="32"/>
      <c r="ON236" s="32"/>
      <c r="OO236" s="32"/>
      <c r="OP236" s="32"/>
      <c r="OQ236" s="32"/>
      <c r="OR236" s="32"/>
      <c r="OS236" s="32"/>
      <c r="OT236" s="32"/>
      <c r="OU236" s="32"/>
      <c r="OV236" s="32"/>
      <c r="OW236" s="32"/>
      <c r="OX236" s="32"/>
      <c r="OY236" s="32"/>
      <c r="OZ236" s="32"/>
      <c r="PA236" s="32"/>
      <c r="PB236" s="32"/>
      <c r="PC236" s="32"/>
      <c r="PD236" s="32"/>
      <c r="PE236" s="32"/>
      <c r="PF236" s="32"/>
      <c r="PG236" s="32"/>
      <c r="PH236" s="32"/>
      <c r="PI236" s="32"/>
      <c r="PJ236" s="32"/>
      <c r="PK236" s="32"/>
      <c r="PL236" s="32"/>
      <c r="PM236" s="32"/>
      <c r="PN236" s="32"/>
      <c r="PO236" s="32"/>
      <c r="PP236" s="32"/>
      <c r="PQ236" s="32"/>
      <c r="PR236" s="32"/>
      <c r="PS236" s="32"/>
      <c r="PT236" s="32"/>
      <c r="PU236" s="32"/>
      <c r="PV236" s="32"/>
      <c r="PW236" s="32"/>
      <c r="PX236" s="32"/>
      <c r="PY236" s="32"/>
      <c r="PZ236" s="32"/>
      <c r="QA236" s="32"/>
      <c r="QB236" s="32"/>
      <c r="QC236" s="32"/>
      <c r="QD236" s="32"/>
      <c r="QE236" s="32"/>
      <c r="QF236" s="32"/>
      <c r="QG236" s="32"/>
      <c r="QH236" s="32"/>
      <c r="QI236" s="32"/>
      <c r="QJ236" s="32"/>
      <c r="QK236" s="32"/>
      <c r="QL236" s="32"/>
      <c r="QM236" s="32"/>
      <c r="QN236" s="32"/>
      <c r="QO236" s="32"/>
      <c r="QP236" s="32"/>
      <c r="QQ236" s="32"/>
      <c r="QR236" s="32"/>
      <c r="QS236" s="32"/>
      <c r="QT236" s="32"/>
      <c r="QU236" s="32"/>
      <c r="QV236" s="32"/>
      <c r="QW236" s="32"/>
      <c r="QX236" s="32"/>
      <c r="QY236" s="32"/>
      <c r="QZ236" s="32"/>
      <c r="RA236" s="32"/>
      <c r="RB236" s="32"/>
      <c r="RC236" s="32"/>
      <c r="RD236" s="32"/>
      <c r="RE236" s="32"/>
      <c r="RF236" s="32"/>
      <c r="RG236" s="32"/>
      <c r="RH236" s="32"/>
      <c r="RI236" s="32"/>
      <c r="RJ236" s="32"/>
      <c r="RK236" s="32"/>
      <c r="RL236" s="32"/>
      <c r="RM236" s="32"/>
      <c r="RN236" s="32"/>
      <c r="RO236" s="32"/>
      <c r="RP236" s="32"/>
      <c r="RQ236" s="32"/>
      <c r="RR236" s="32"/>
      <c r="RS236" s="32"/>
      <c r="RT236" s="32"/>
      <c r="RU236" s="32"/>
      <c r="RV236" s="32"/>
      <c r="RW236" s="32"/>
      <c r="RX236" s="32"/>
      <c r="RY236" s="32"/>
      <c r="RZ236" s="32"/>
      <c r="SA236" s="32"/>
      <c r="SB236" s="32"/>
      <c r="SC236" s="32"/>
      <c r="SD236" s="32"/>
      <c r="SE236" s="32"/>
      <c r="SF236" s="32"/>
      <c r="SG236" s="32"/>
      <c r="SH236" s="32"/>
      <c r="SI236" s="32"/>
      <c r="SJ236" s="32"/>
      <c r="SK236" s="32"/>
      <c r="SL236" s="32"/>
      <c r="SM236" s="32"/>
      <c r="SN236" s="32"/>
      <c r="SO236" s="32"/>
      <c r="SP236" s="32"/>
      <c r="SQ236" s="32"/>
      <c r="SR236" s="32"/>
      <c r="SS236" s="32"/>
      <c r="ST236" s="32"/>
      <c r="SU236" s="32"/>
      <c r="SV236" s="32"/>
      <c r="SW236" s="32"/>
      <c r="SX236" s="32"/>
      <c r="SY236" s="32"/>
      <c r="SZ236" s="32"/>
      <c r="TA236" s="32"/>
      <c r="TB236" s="32"/>
      <c r="TC236" s="32"/>
      <c r="TD236" s="32"/>
      <c r="TE236" s="32"/>
      <c r="TF236" s="32"/>
      <c r="TG236" s="32"/>
      <c r="TH236" s="32"/>
    </row>
    <row r="237" spans="1:528" s="34" customFormat="1" ht="47.25" x14ac:dyDescent="0.25">
      <c r="A237" s="100" t="s">
        <v>30</v>
      </c>
      <c r="B237" s="113"/>
      <c r="C237" s="113"/>
      <c r="D237" s="81" t="s">
        <v>422</v>
      </c>
      <c r="E237" s="102">
        <f>SUM(E239+E240+E241+E242+E243+E244+E246+E247+E248+E249+E250+E251+E245+E253+E254)</f>
        <v>5477027</v>
      </c>
      <c r="F237" s="102">
        <f>SUM(F239+F240+F241+F242+F243+F244+F246+F247+F248+F249+F250+F251+F245+F253+F254)</f>
        <v>5477027</v>
      </c>
      <c r="G237" s="102">
        <f t="shared" ref="G237:P237" si="119">SUM(G239+G240+G241+G242+G243+G244+G246+G247+G248+G249+G250+G251+G245+G253+G254)</f>
        <v>2958200</v>
      </c>
      <c r="H237" s="102">
        <f t="shared" si="119"/>
        <v>0</v>
      </c>
      <c r="I237" s="102">
        <f t="shared" si="119"/>
        <v>0</v>
      </c>
      <c r="J237" s="102">
        <f t="shared" si="119"/>
        <v>248983017.65000001</v>
      </c>
      <c r="K237" s="102">
        <f>SUM(K239+K240+K241+K242+K243+K244+K246+K247+K248+K249+K250+K251+K245+K253+K254)</f>
        <v>235537735</v>
      </c>
      <c r="L237" s="102">
        <f t="shared" si="119"/>
        <v>1900000</v>
      </c>
      <c r="M237" s="102">
        <f t="shared" si="119"/>
        <v>1332000</v>
      </c>
      <c r="N237" s="102">
        <f t="shared" si="119"/>
        <v>71500</v>
      </c>
      <c r="O237" s="102">
        <f t="shared" si="119"/>
        <v>247083017.65000001</v>
      </c>
      <c r="P237" s="102">
        <f t="shared" si="119"/>
        <v>254460044.65000001</v>
      </c>
      <c r="Q237" s="178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3"/>
      <c r="LZ237" s="33"/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3"/>
      <c r="MZ237" s="33"/>
      <c r="NA237" s="33"/>
      <c r="NB237" s="33"/>
      <c r="NC237" s="33"/>
      <c r="ND237" s="33"/>
      <c r="NE237" s="33"/>
      <c r="NF237" s="33"/>
      <c r="NG237" s="33"/>
      <c r="NH237" s="33"/>
      <c r="NI237" s="33"/>
      <c r="NJ237" s="33"/>
      <c r="NK237" s="33"/>
      <c r="NL237" s="33"/>
      <c r="NM237" s="33"/>
      <c r="NN237" s="33"/>
      <c r="NO237" s="33"/>
      <c r="NP237" s="33"/>
      <c r="NQ237" s="33"/>
      <c r="NR237" s="33"/>
      <c r="NS237" s="33"/>
      <c r="NT237" s="33"/>
      <c r="NU237" s="33"/>
      <c r="NV237" s="33"/>
      <c r="NW237" s="33"/>
      <c r="NX237" s="33"/>
      <c r="NY237" s="33"/>
      <c r="NZ237" s="33"/>
      <c r="OA237" s="33"/>
      <c r="OB237" s="33"/>
      <c r="OC237" s="33"/>
      <c r="OD237" s="33"/>
      <c r="OE237" s="33"/>
      <c r="OF237" s="33"/>
      <c r="OG237" s="33"/>
      <c r="OH237" s="33"/>
      <c r="OI237" s="33"/>
      <c r="OJ237" s="33"/>
      <c r="OK237" s="33"/>
      <c r="OL237" s="33"/>
      <c r="OM237" s="33"/>
      <c r="ON237" s="33"/>
      <c r="OO237" s="33"/>
      <c r="OP237" s="33"/>
      <c r="OQ237" s="33"/>
      <c r="OR237" s="33"/>
      <c r="OS237" s="33"/>
      <c r="OT237" s="33"/>
      <c r="OU237" s="33"/>
      <c r="OV237" s="33"/>
      <c r="OW237" s="33"/>
      <c r="OX237" s="33"/>
      <c r="OY237" s="33"/>
      <c r="OZ237" s="33"/>
      <c r="PA237" s="33"/>
      <c r="PB237" s="33"/>
      <c r="PC237" s="33"/>
      <c r="PD237" s="33"/>
      <c r="PE237" s="33"/>
      <c r="PF237" s="33"/>
      <c r="PG237" s="33"/>
      <c r="PH237" s="33"/>
      <c r="PI237" s="33"/>
      <c r="PJ237" s="33"/>
      <c r="PK237" s="33"/>
      <c r="PL237" s="33"/>
      <c r="PM237" s="33"/>
      <c r="PN237" s="33"/>
      <c r="PO237" s="33"/>
      <c r="PP237" s="33"/>
      <c r="PQ237" s="33"/>
      <c r="PR237" s="33"/>
      <c r="PS237" s="33"/>
      <c r="PT237" s="33"/>
      <c r="PU237" s="33"/>
      <c r="PV237" s="33"/>
      <c r="PW237" s="33"/>
      <c r="PX237" s="33"/>
      <c r="PY237" s="33"/>
      <c r="PZ237" s="33"/>
      <c r="QA237" s="33"/>
      <c r="QB237" s="33"/>
      <c r="QC237" s="33"/>
      <c r="QD237" s="33"/>
      <c r="QE237" s="33"/>
      <c r="QF237" s="33"/>
      <c r="QG237" s="33"/>
      <c r="QH237" s="33"/>
      <c r="QI237" s="33"/>
      <c r="QJ237" s="33"/>
      <c r="QK237" s="33"/>
      <c r="QL237" s="33"/>
      <c r="QM237" s="33"/>
      <c r="QN237" s="33"/>
      <c r="QO237" s="33"/>
      <c r="QP237" s="33"/>
      <c r="QQ237" s="33"/>
      <c r="QR237" s="33"/>
      <c r="QS237" s="33"/>
      <c r="QT237" s="33"/>
      <c r="QU237" s="33"/>
      <c r="QV237" s="33"/>
      <c r="QW237" s="33"/>
      <c r="QX237" s="33"/>
      <c r="QY237" s="33"/>
      <c r="QZ237" s="33"/>
      <c r="RA237" s="33"/>
      <c r="RB237" s="33"/>
      <c r="RC237" s="33"/>
      <c r="RD237" s="33"/>
      <c r="RE237" s="33"/>
      <c r="RF237" s="33"/>
      <c r="RG237" s="33"/>
      <c r="RH237" s="33"/>
      <c r="RI237" s="33"/>
      <c r="RJ237" s="33"/>
      <c r="RK237" s="33"/>
      <c r="RL237" s="33"/>
      <c r="RM237" s="33"/>
      <c r="RN237" s="33"/>
      <c r="RO237" s="33"/>
      <c r="RP237" s="33"/>
      <c r="RQ237" s="33"/>
      <c r="RR237" s="33"/>
      <c r="RS237" s="33"/>
      <c r="RT237" s="33"/>
      <c r="RU237" s="33"/>
      <c r="RV237" s="33"/>
      <c r="RW237" s="33"/>
      <c r="RX237" s="33"/>
      <c r="RY237" s="33"/>
      <c r="RZ237" s="33"/>
      <c r="SA237" s="33"/>
      <c r="SB237" s="33"/>
      <c r="SC237" s="33"/>
      <c r="SD237" s="33"/>
      <c r="SE237" s="33"/>
      <c r="SF237" s="33"/>
      <c r="SG237" s="33"/>
      <c r="SH237" s="33"/>
      <c r="SI237" s="33"/>
      <c r="SJ237" s="33"/>
      <c r="SK237" s="33"/>
      <c r="SL237" s="33"/>
      <c r="SM237" s="33"/>
      <c r="SN237" s="33"/>
      <c r="SO237" s="33"/>
      <c r="SP237" s="33"/>
      <c r="SQ237" s="33"/>
      <c r="SR237" s="33"/>
      <c r="SS237" s="33"/>
      <c r="ST237" s="33"/>
      <c r="SU237" s="33"/>
      <c r="SV237" s="33"/>
      <c r="SW237" s="33"/>
      <c r="SX237" s="33"/>
      <c r="SY237" s="33"/>
      <c r="SZ237" s="33"/>
      <c r="TA237" s="33"/>
      <c r="TB237" s="33"/>
      <c r="TC237" s="33"/>
      <c r="TD237" s="33"/>
      <c r="TE237" s="33"/>
      <c r="TF237" s="33"/>
      <c r="TG237" s="33"/>
      <c r="TH237" s="33"/>
    </row>
    <row r="238" spans="1:528" s="34" customFormat="1" ht="17.25" customHeight="1" x14ac:dyDescent="0.25">
      <c r="A238" s="100"/>
      <c r="B238" s="113"/>
      <c r="C238" s="113"/>
      <c r="D238" s="87" t="s">
        <v>421</v>
      </c>
      <c r="E238" s="102">
        <f>E252</f>
        <v>0</v>
      </c>
      <c r="F238" s="102">
        <f t="shared" ref="F238:P238" si="120">F252</f>
        <v>0</v>
      </c>
      <c r="G238" s="102">
        <f t="shared" si="120"/>
        <v>0</v>
      </c>
      <c r="H238" s="102">
        <f t="shared" si="120"/>
        <v>0</v>
      </c>
      <c r="I238" s="102">
        <f t="shared" si="120"/>
        <v>0</v>
      </c>
      <c r="J238" s="102">
        <f t="shared" si="120"/>
        <v>96859595</v>
      </c>
      <c r="K238" s="102">
        <f t="shared" si="120"/>
        <v>96859595</v>
      </c>
      <c r="L238" s="102">
        <f t="shared" si="120"/>
        <v>0</v>
      </c>
      <c r="M238" s="102">
        <f t="shared" si="120"/>
        <v>0</v>
      </c>
      <c r="N238" s="102">
        <f t="shared" si="120"/>
        <v>0</v>
      </c>
      <c r="O238" s="102">
        <f t="shared" si="120"/>
        <v>96859595</v>
      </c>
      <c r="P238" s="102">
        <f t="shared" si="120"/>
        <v>96859595</v>
      </c>
      <c r="Q238" s="178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3"/>
      <c r="LZ238" s="33"/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3"/>
      <c r="MZ238" s="33"/>
      <c r="NA238" s="33"/>
      <c r="NB238" s="33"/>
      <c r="NC238" s="33"/>
      <c r="ND238" s="33"/>
      <c r="NE238" s="33"/>
      <c r="NF238" s="33"/>
      <c r="NG238" s="33"/>
      <c r="NH238" s="33"/>
      <c r="NI238" s="33"/>
      <c r="NJ238" s="33"/>
      <c r="NK238" s="33"/>
      <c r="NL238" s="33"/>
      <c r="NM238" s="33"/>
      <c r="NN238" s="33"/>
      <c r="NO238" s="33"/>
      <c r="NP238" s="33"/>
      <c r="NQ238" s="33"/>
      <c r="NR238" s="33"/>
      <c r="NS238" s="33"/>
      <c r="NT238" s="33"/>
      <c r="NU238" s="33"/>
      <c r="NV238" s="33"/>
      <c r="NW238" s="33"/>
      <c r="NX238" s="33"/>
      <c r="NY238" s="33"/>
      <c r="NZ238" s="33"/>
      <c r="OA238" s="33"/>
      <c r="OB238" s="33"/>
      <c r="OC238" s="33"/>
      <c r="OD238" s="33"/>
      <c r="OE238" s="33"/>
      <c r="OF238" s="33"/>
      <c r="OG238" s="33"/>
      <c r="OH238" s="33"/>
      <c r="OI238" s="33"/>
      <c r="OJ238" s="33"/>
      <c r="OK238" s="33"/>
      <c r="OL238" s="33"/>
      <c r="OM238" s="33"/>
      <c r="ON238" s="33"/>
      <c r="OO238" s="33"/>
      <c r="OP238" s="33"/>
      <c r="OQ238" s="33"/>
      <c r="OR238" s="33"/>
      <c r="OS238" s="33"/>
      <c r="OT238" s="33"/>
      <c r="OU238" s="33"/>
      <c r="OV238" s="33"/>
      <c r="OW238" s="33"/>
      <c r="OX238" s="33"/>
      <c r="OY238" s="33"/>
      <c r="OZ238" s="33"/>
      <c r="PA238" s="33"/>
      <c r="PB238" s="33"/>
      <c r="PC238" s="33"/>
      <c r="PD238" s="33"/>
      <c r="PE238" s="33"/>
      <c r="PF238" s="33"/>
      <c r="PG238" s="33"/>
      <c r="PH238" s="33"/>
      <c r="PI238" s="33"/>
      <c r="PJ238" s="33"/>
      <c r="PK238" s="33"/>
      <c r="PL238" s="33"/>
      <c r="PM238" s="33"/>
      <c r="PN238" s="33"/>
      <c r="PO238" s="33"/>
      <c r="PP238" s="33"/>
      <c r="PQ238" s="33"/>
      <c r="PR238" s="33"/>
      <c r="PS238" s="33"/>
      <c r="PT238" s="33"/>
      <c r="PU238" s="33"/>
      <c r="PV238" s="33"/>
      <c r="PW238" s="33"/>
      <c r="PX238" s="33"/>
      <c r="PY238" s="33"/>
      <c r="PZ238" s="33"/>
      <c r="QA238" s="33"/>
      <c r="QB238" s="33"/>
      <c r="QC238" s="33"/>
      <c r="QD238" s="33"/>
      <c r="QE238" s="33"/>
      <c r="QF238" s="33"/>
      <c r="QG238" s="33"/>
      <c r="QH238" s="33"/>
      <c r="QI238" s="33"/>
      <c r="QJ238" s="33"/>
      <c r="QK238" s="33"/>
      <c r="QL238" s="33"/>
      <c r="QM238" s="33"/>
      <c r="QN238" s="33"/>
      <c r="QO238" s="33"/>
      <c r="QP238" s="33"/>
      <c r="QQ238" s="33"/>
      <c r="QR238" s="33"/>
      <c r="QS238" s="33"/>
      <c r="QT238" s="33"/>
      <c r="QU238" s="33"/>
      <c r="QV238" s="33"/>
      <c r="QW238" s="33"/>
      <c r="QX238" s="33"/>
      <c r="QY238" s="33"/>
      <c r="QZ238" s="33"/>
      <c r="RA238" s="33"/>
      <c r="RB238" s="33"/>
      <c r="RC238" s="33"/>
      <c r="RD238" s="33"/>
      <c r="RE238" s="33"/>
      <c r="RF238" s="33"/>
      <c r="RG238" s="33"/>
      <c r="RH238" s="33"/>
      <c r="RI238" s="33"/>
      <c r="RJ238" s="33"/>
      <c r="RK238" s="33"/>
      <c r="RL238" s="33"/>
      <c r="RM238" s="33"/>
      <c r="RN238" s="33"/>
      <c r="RO238" s="33"/>
      <c r="RP238" s="33"/>
      <c r="RQ238" s="33"/>
      <c r="RR238" s="33"/>
      <c r="RS238" s="33"/>
      <c r="RT238" s="33"/>
      <c r="RU238" s="33"/>
      <c r="RV238" s="33"/>
      <c r="RW238" s="33"/>
      <c r="RX238" s="33"/>
      <c r="RY238" s="33"/>
      <c r="RZ238" s="33"/>
      <c r="SA238" s="33"/>
      <c r="SB238" s="33"/>
      <c r="SC238" s="33"/>
      <c r="SD238" s="33"/>
      <c r="SE238" s="33"/>
      <c r="SF238" s="33"/>
      <c r="SG238" s="33"/>
      <c r="SH238" s="33"/>
      <c r="SI238" s="33"/>
      <c r="SJ238" s="33"/>
      <c r="SK238" s="33"/>
      <c r="SL238" s="33"/>
      <c r="SM238" s="33"/>
      <c r="SN238" s="33"/>
      <c r="SO238" s="33"/>
      <c r="SP238" s="33"/>
      <c r="SQ238" s="33"/>
      <c r="SR238" s="33"/>
      <c r="SS238" s="33"/>
      <c r="ST238" s="33"/>
      <c r="SU238" s="33"/>
      <c r="SV238" s="33"/>
      <c r="SW238" s="33"/>
      <c r="SX238" s="33"/>
      <c r="SY238" s="33"/>
      <c r="SZ238" s="33"/>
      <c r="TA238" s="33"/>
      <c r="TB238" s="33"/>
      <c r="TC238" s="33"/>
      <c r="TD238" s="33"/>
      <c r="TE238" s="33"/>
      <c r="TF238" s="33"/>
      <c r="TG238" s="33"/>
      <c r="TH238" s="33"/>
    </row>
    <row r="239" spans="1:528" s="22" customFormat="1" ht="47.25" x14ac:dyDescent="0.25">
      <c r="A239" s="60" t="s">
        <v>142</v>
      </c>
      <c r="B239" s="97" t="str">
        <f>'дод 8'!A19</f>
        <v>0160</v>
      </c>
      <c r="C239" s="97" t="str">
        <f>'дод 8'!B19</f>
        <v>0111</v>
      </c>
      <c r="D239" s="36" t="s">
        <v>504</v>
      </c>
      <c r="E239" s="103">
        <f t="shared" ref="E239:E253" si="121">F239+I239</f>
        <v>3609000</v>
      </c>
      <c r="F239" s="103">
        <v>3609000</v>
      </c>
      <c r="G239" s="103">
        <v>2958200</v>
      </c>
      <c r="H239" s="103"/>
      <c r="I239" s="103"/>
      <c r="J239" s="103">
        <f>L239+O239</f>
        <v>1900000</v>
      </c>
      <c r="K239" s="103"/>
      <c r="L239" s="103">
        <v>1900000</v>
      </c>
      <c r="M239" s="103">
        <v>1332000</v>
      </c>
      <c r="N239" s="103">
        <v>71500</v>
      </c>
      <c r="O239" s="103"/>
      <c r="P239" s="103">
        <f t="shared" ref="P239:P253" si="122">E239+J239</f>
        <v>5509000</v>
      </c>
      <c r="Q239" s="178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  <c r="TH239" s="23"/>
    </row>
    <row r="240" spans="1:528" s="22" customFormat="1" ht="18" customHeight="1" x14ac:dyDescent="0.25">
      <c r="A240" s="60" t="s">
        <v>207</v>
      </c>
      <c r="B240" s="97" t="str">
        <f>'дод 8'!A143</f>
        <v>6030</v>
      </c>
      <c r="C240" s="97" t="str">
        <f>'дод 8'!B143</f>
        <v>0620</v>
      </c>
      <c r="D240" s="61" t="str">
        <f>'дод 8'!C143</f>
        <v>Організація благоустрою населених пунктів</v>
      </c>
      <c r="E240" s="103">
        <f t="shared" si="121"/>
        <v>0</v>
      </c>
      <c r="F240" s="103"/>
      <c r="G240" s="103"/>
      <c r="H240" s="103"/>
      <c r="I240" s="103"/>
      <c r="J240" s="103">
        <f t="shared" ref="J240:J260" si="123">L240+O240</f>
        <v>50300000</v>
      </c>
      <c r="K240" s="103">
        <f>50000000+200000+100000</f>
        <v>50300000</v>
      </c>
      <c r="L240" s="103"/>
      <c r="M240" s="103"/>
      <c r="N240" s="103"/>
      <c r="O240" s="103">
        <f>50000000+200000+100000</f>
        <v>50300000</v>
      </c>
      <c r="P240" s="103">
        <f t="shared" si="122"/>
        <v>50300000</v>
      </c>
      <c r="Q240" s="178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  <c r="TH240" s="23"/>
    </row>
    <row r="241" spans="1:528" s="22" customFormat="1" ht="65.25" customHeight="1" x14ac:dyDescent="0.25">
      <c r="A241" s="60" t="s">
        <v>208</v>
      </c>
      <c r="B241" s="97" t="str">
        <f>'дод 8'!A146</f>
        <v>6084</v>
      </c>
      <c r="C241" s="97" t="str">
        <f>'дод 8'!B146</f>
        <v>0610</v>
      </c>
      <c r="D241" s="61" t="s">
        <v>552</v>
      </c>
      <c r="E241" s="103">
        <f t="shared" si="121"/>
        <v>0</v>
      </c>
      <c r="F241" s="103"/>
      <c r="G241" s="103"/>
      <c r="H241" s="103"/>
      <c r="I241" s="103"/>
      <c r="J241" s="103">
        <f t="shared" si="123"/>
        <v>71348.649999999994</v>
      </c>
      <c r="K241" s="103"/>
      <c r="L241" s="117"/>
      <c r="M241" s="103"/>
      <c r="N241" s="103"/>
      <c r="O241" s="103">
        <f>70060+1288.65</f>
        <v>71348.649999999994</v>
      </c>
      <c r="P241" s="103">
        <f t="shared" si="122"/>
        <v>71348.649999999994</v>
      </c>
      <c r="Q241" s="178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</row>
    <row r="242" spans="1:528" s="22" customFormat="1" ht="18.75" hidden="1" customHeight="1" x14ac:dyDescent="0.25">
      <c r="A242" s="60" t="s">
        <v>277</v>
      </c>
      <c r="B242" s="97" t="str">
        <f>'дод 8'!A156</f>
        <v>7310</v>
      </c>
      <c r="C242" s="97" t="str">
        <f>'дод 8'!B156</f>
        <v>0443</v>
      </c>
      <c r="D242" s="61" t="str">
        <f>'дод 8'!C156</f>
        <v>Будівництво1 об'єктів житлово-комунального господарства</v>
      </c>
      <c r="E242" s="103">
        <f t="shared" si="121"/>
        <v>0</v>
      </c>
      <c r="F242" s="103"/>
      <c r="G242" s="103"/>
      <c r="H242" s="103"/>
      <c r="I242" s="103"/>
      <c r="J242" s="103">
        <f t="shared" si="123"/>
        <v>0</v>
      </c>
      <c r="K242" s="103"/>
      <c r="L242" s="103"/>
      <c r="M242" s="103"/>
      <c r="N242" s="103"/>
      <c r="O242" s="103"/>
      <c r="P242" s="103">
        <f t="shared" si="122"/>
        <v>0</v>
      </c>
      <c r="Q242" s="178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  <c r="TH242" s="23"/>
    </row>
    <row r="243" spans="1:528" s="22" customFormat="1" ht="18.75" x14ac:dyDescent="0.25">
      <c r="A243" s="60" t="s">
        <v>278</v>
      </c>
      <c r="B243" s="97" t="str">
        <f>'дод 8'!A157</f>
        <v>7321</v>
      </c>
      <c r="C243" s="97" t="str">
        <f>'дод 8'!B157</f>
        <v>0443</v>
      </c>
      <c r="D243" s="157" t="s">
        <v>573</v>
      </c>
      <c r="E243" s="103">
        <f t="shared" si="121"/>
        <v>0</v>
      </c>
      <c r="F243" s="103"/>
      <c r="G243" s="103"/>
      <c r="H243" s="103"/>
      <c r="I243" s="103"/>
      <c r="J243" s="103">
        <f t="shared" si="123"/>
        <v>88560</v>
      </c>
      <c r="K243" s="103">
        <f>42471+46089</f>
        <v>88560</v>
      </c>
      <c r="L243" s="103"/>
      <c r="M243" s="103"/>
      <c r="N243" s="103"/>
      <c r="O243" s="103">
        <f>42471+46089</f>
        <v>88560</v>
      </c>
      <c r="P243" s="103">
        <f t="shared" si="122"/>
        <v>88560</v>
      </c>
      <c r="Q243" s="178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  <c r="TH243" s="23"/>
    </row>
    <row r="244" spans="1:528" s="22" customFormat="1" ht="18" customHeight="1" x14ac:dyDescent="0.25">
      <c r="A244" s="60" t="s">
        <v>280</v>
      </c>
      <c r="B244" s="97" t="str">
        <f>'дод 8'!A158</f>
        <v>7322</v>
      </c>
      <c r="C244" s="97" t="str">
        <f>'дод 8'!B158</f>
        <v>0443</v>
      </c>
      <c r="D244" s="157" t="s">
        <v>574</v>
      </c>
      <c r="E244" s="103">
        <f t="shared" si="121"/>
        <v>0</v>
      </c>
      <c r="F244" s="103"/>
      <c r="G244" s="103"/>
      <c r="H244" s="103"/>
      <c r="I244" s="103"/>
      <c r="J244" s="103">
        <f t="shared" si="123"/>
        <v>6800000</v>
      </c>
      <c r="K244" s="103">
        <f>3000000+1800000+2000000</f>
        <v>6800000</v>
      </c>
      <c r="L244" s="103"/>
      <c r="M244" s="103"/>
      <c r="N244" s="103"/>
      <c r="O244" s="103">
        <f>3000000+1800000+2000000</f>
        <v>6800000</v>
      </c>
      <c r="P244" s="103">
        <f t="shared" si="122"/>
        <v>6800000</v>
      </c>
      <c r="Q244" s="178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  <c r="TH244" s="23"/>
    </row>
    <row r="245" spans="1:528" s="22" customFormat="1" ht="34.5" x14ac:dyDescent="0.25">
      <c r="A245" s="60" t="s">
        <v>361</v>
      </c>
      <c r="B245" s="97">
        <f>'дод 8'!A161</f>
        <v>7325</v>
      </c>
      <c r="C245" s="60" t="s">
        <v>113</v>
      </c>
      <c r="D245" s="157" t="s">
        <v>571</v>
      </c>
      <c r="E245" s="103">
        <f t="shared" si="121"/>
        <v>0</v>
      </c>
      <c r="F245" s="103"/>
      <c r="G245" s="103"/>
      <c r="H245" s="103"/>
      <c r="I245" s="103"/>
      <c r="J245" s="103">
        <f t="shared" si="123"/>
        <v>1799440</v>
      </c>
      <c r="K245" s="103">
        <f>199440+1000000+600000</f>
        <v>1799440</v>
      </c>
      <c r="L245" s="103"/>
      <c r="M245" s="103"/>
      <c r="N245" s="103"/>
      <c r="O245" s="103">
        <f>199440+1000000+600000</f>
        <v>1799440</v>
      </c>
      <c r="P245" s="103">
        <f t="shared" si="122"/>
        <v>1799440</v>
      </c>
      <c r="Q245" s="178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  <c r="TH245" s="23"/>
    </row>
    <row r="246" spans="1:528" s="22" customFormat="1" ht="18" customHeight="1" x14ac:dyDescent="0.25">
      <c r="A246" s="60" t="s">
        <v>282</v>
      </c>
      <c r="B246" s="97" t="str">
        <f>'дод 8'!A162</f>
        <v>7330</v>
      </c>
      <c r="C246" s="97" t="str">
        <f>'дод 8'!B162</f>
        <v>0443</v>
      </c>
      <c r="D246" s="157" t="s">
        <v>572</v>
      </c>
      <c r="E246" s="103">
        <f t="shared" si="121"/>
        <v>0</v>
      </c>
      <c r="F246" s="103"/>
      <c r="G246" s="103"/>
      <c r="H246" s="103"/>
      <c r="I246" s="103"/>
      <c r="J246" s="103">
        <f t="shared" si="123"/>
        <v>12646580</v>
      </c>
      <c r="K246" s="103">
        <f>39750000+1567447+258138-1800000+200000+135000+200000+95995-28000000+240000</f>
        <v>12646580</v>
      </c>
      <c r="L246" s="103"/>
      <c r="M246" s="103"/>
      <c r="N246" s="103"/>
      <c r="O246" s="103">
        <f>39750000+1567447+258138-1800000+200000+135000+200000+95995-28000000+240000</f>
        <v>12646580</v>
      </c>
      <c r="P246" s="103">
        <f t="shared" si="122"/>
        <v>12646580</v>
      </c>
      <c r="Q246" s="178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  <c r="TH246" s="23"/>
    </row>
    <row r="247" spans="1:528" s="22" customFormat="1" ht="31.5" x14ac:dyDescent="0.25">
      <c r="A247" s="60" t="s">
        <v>430</v>
      </c>
      <c r="B247" s="97">
        <v>7340</v>
      </c>
      <c r="C247" s="60" t="s">
        <v>113</v>
      </c>
      <c r="D247" s="61" t="s">
        <v>1</v>
      </c>
      <c r="E247" s="103">
        <f t="shared" si="121"/>
        <v>0</v>
      </c>
      <c r="F247" s="103"/>
      <c r="G247" s="103"/>
      <c r="H247" s="103"/>
      <c r="I247" s="103"/>
      <c r="J247" s="103">
        <f t="shared" si="123"/>
        <v>1000000</v>
      </c>
      <c r="K247" s="103">
        <f>6000000-2067496-104420-86000-2742084</f>
        <v>1000000</v>
      </c>
      <c r="L247" s="103"/>
      <c r="M247" s="103"/>
      <c r="N247" s="103"/>
      <c r="O247" s="103">
        <f>6000000-2067496-104420-86000-2742084</f>
        <v>1000000</v>
      </c>
      <c r="P247" s="103">
        <f t="shared" si="122"/>
        <v>1000000</v>
      </c>
      <c r="Q247" s="178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</row>
    <row r="248" spans="1:528" s="22" customFormat="1" ht="53.25" customHeight="1" x14ac:dyDescent="0.25">
      <c r="A248" s="60" t="s">
        <v>373</v>
      </c>
      <c r="B248" s="97">
        <f>'дод 8'!A165</f>
        <v>7361</v>
      </c>
      <c r="C248" s="97" t="str">
        <f>'дод 8'!B165</f>
        <v>0490</v>
      </c>
      <c r="D248" s="61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248" s="103">
        <f t="shared" ref="E248" si="124">F248+I248</f>
        <v>0</v>
      </c>
      <c r="F248" s="103"/>
      <c r="G248" s="103"/>
      <c r="H248" s="103"/>
      <c r="I248" s="103"/>
      <c r="J248" s="103">
        <f t="shared" ref="J248" si="125">L248+O248</f>
        <v>38172673</v>
      </c>
      <c r="K248" s="103">
        <f>10172673+28000000</f>
        <v>38172673</v>
      </c>
      <c r="L248" s="103"/>
      <c r="M248" s="103"/>
      <c r="N248" s="103"/>
      <c r="O248" s="103">
        <f>10172673+28000000</f>
        <v>38172673</v>
      </c>
      <c r="P248" s="103">
        <f t="shared" si="122"/>
        <v>38172673</v>
      </c>
      <c r="Q248" s="178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</row>
    <row r="249" spans="1:528" s="22" customFormat="1" ht="47.25" hidden="1" customHeight="1" x14ac:dyDescent="0.25">
      <c r="A249" s="60" t="s">
        <v>368</v>
      </c>
      <c r="B249" s="97">
        <v>7363</v>
      </c>
      <c r="C249" s="60" t="s">
        <v>84</v>
      </c>
      <c r="D249" s="61" t="s">
        <v>400</v>
      </c>
      <c r="E249" s="103">
        <f t="shared" si="121"/>
        <v>0</v>
      </c>
      <c r="F249" s="103"/>
      <c r="G249" s="103"/>
      <c r="H249" s="103"/>
      <c r="I249" s="103"/>
      <c r="J249" s="103">
        <f t="shared" si="123"/>
        <v>0</v>
      </c>
      <c r="K249" s="103"/>
      <c r="L249" s="103"/>
      <c r="M249" s="103"/>
      <c r="N249" s="103"/>
      <c r="O249" s="103"/>
      <c r="P249" s="103">
        <f t="shared" si="122"/>
        <v>0</v>
      </c>
      <c r="Q249" s="178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</row>
    <row r="250" spans="1:528" s="22" customFormat="1" ht="31.5" x14ac:dyDescent="0.25">
      <c r="A250" s="60" t="s">
        <v>433</v>
      </c>
      <c r="B250" s="97">
        <v>7370</v>
      </c>
      <c r="C250" s="60" t="s">
        <v>84</v>
      </c>
      <c r="D250" s="61" t="s">
        <v>434</v>
      </c>
      <c r="E250" s="103">
        <f>F250+I250</f>
        <v>104420</v>
      </c>
      <c r="F250" s="103">
        <v>104420</v>
      </c>
      <c r="G250" s="103"/>
      <c r="H250" s="103"/>
      <c r="I250" s="103"/>
      <c r="J250" s="103">
        <f t="shared" si="123"/>
        <v>0</v>
      </c>
      <c r="K250" s="103"/>
      <c r="L250" s="103"/>
      <c r="M250" s="103"/>
      <c r="N250" s="103"/>
      <c r="O250" s="103"/>
      <c r="P250" s="103">
        <f t="shared" si="122"/>
        <v>104420</v>
      </c>
      <c r="Q250" s="178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</row>
    <row r="251" spans="1:528" s="22" customFormat="1" ht="21.75" customHeight="1" x14ac:dyDescent="0.25">
      <c r="A251" s="60" t="s">
        <v>148</v>
      </c>
      <c r="B251" s="97" t="str">
        <f>'дод 8'!A187</f>
        <v>7640</v>
      </c>
      <c r="C251" s="97" t="str">
        <f>'дод 8'!B187</f>
        <v>0470</v>
      </c>
      <c r="D251" s="61" t="s">
        <v>475</v>
      </c>
      <c r="E251" s="103">
        <f t="shared" si="121"/>
        <v>1763607</v>
      </c>
      <c r="F251" s="103">
        <v>1763607</v>
      </c>
      <c r="G251" s="103"/>
      <c r="H251" s="103"/>
      <c r="I251" s="103"/>
      <c r="J251" s="103">
        <f t="shared" si="123"/>
        <v>136118416</v>
      </c>
      <c r="K251" s="103">
        <v>124644482</v>
      </c>
      <c r="L251" s="117"/>
      <c r="M251" s="103"/>
      <c r="N251" s="103"/>
      <c r="O251" s="103">
        <v>136118416</v>
      </c>
      <c r="P251" s="103">
        <f t="shared" si="122"/>
        <v>137882023</v>
      </c>
      <c r="Q251" s="178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  <c r="TH251" s="23"/>
    </row>
    <row r="252" spans="1:528" s="24" customFormat="1" ht="17.25" customHeight="1" x14ac:dyDescent="0.25">
      <c r="A252" s="88"/>
      <c r="B252" s="115"/>
      <c r="C252" s="115"/>
      <c r="D252" s="89" t="s">
        <v>421</v>
      </c>
      <c r="E252" s="105">
        <f t="shared" si="121"/>
        <v>0</v>
      </c>
      <c r="F252" s="105"/>
      <c r="G252" s="105"/>
      <c r="H252" s="105"/>
      <c r="I252" s="105"/>
      <c r="J252" s="105">
        <f t="shared" si="123"/>
        <v>96859595</v>
      </c>
      <c r="K252" s="105">
        <v>96859595</v>
      </c>
      <c r="L252" s="118"/>
      <c r="M252" s="105"/>
      <c r="N252" s="105"/>
      <c r="O252" s="105">
        <v>96859595</v>
      </c>
      <c r="P252" s="105">
        <f t="shared" si="122"/>
        <v>96859595</v>
      </c>
      <c r="Q252" s="178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30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30"/>
      <c r="NY252" s="30"/>
      <c r="NZ252" s="30"/>
      <c r="OA252" s="30"/>
      <c r="OB252" s="30"/>
      <c r="OC252" s="30"/>
      <c r="OD252" s="30"/>
      <c r="OE252" s="30"/>
      <c r="OF252" s="30"/>
      <c r="OG252" s="30"/>
      <c r="OH252" s="30"/>
      <c r="OI252" s="30"/>
      <c r="OJ252" s="30"/>
      <c r="OK252" s="30"/>
      <c r="OL252" s="30"/>
      <c r="OM252" s="30"/>
      <c r="ON252" s="30"/>
      <c r="OO252" s="30"/>
      <c r="OP252" s="30"/>
      <c r="OQ252" s="30"/>
      <c r="OR252" s="30"/>
      <c r="OS252" s="30"/>
      <c r="OT252" s="30"/>
      <c r="OU252" s="30"/>
      <c r="OV252" s="30"/>
      <c r="OW252" s="30"/>
      <c r="OX252" s="30"/>
      <c r="OY252" s="30"/>
      <c r="OZ252" s="30"/>
      <c r="PA252" s="30"/>
      <c r="PB252" s="30"/>
      <c r="PC252" s="30"/>
      <c r="PD252" s="30"/>
      <c r="PE252" s="30"/>
      <c r="PF252" s="30"/>
      <c r="PG252" s="30"/>
      <c r="PH252" s="30"/>
      <c r="PI252" s="30"/>
      <c r="PJ252" s="30"/>
      <c r="PK252" s="30"/>
      <c r="PL252" s="30"/>
      <c r="PM252" s="30"/>
      <c r="PN252" s="30"/>
      <c r="PO252" s="30"/>
      <c r="PP252" s="30"/>
      <c r="PQ252" s="30"/>
      <c r="PR252" s="30"/>
      <c r="PS252" s="30"/>
      <c r="PT252" s="30"/>
      <c r="PU252" s="30"/>
      <c r="PV252" s="30"/>
      <c r="PW252" s="30"/>
      <c r="PX252" s="30"/>
      <c r="PY252" s="30"/>
      <c r="PZ252" s="30"/>
      <c r="QA252" s="30"/>
      <c r="QB252" s="30"/>
      <c r="QC252" s="30"/>
      <c r="QD252" s="30"/>
      <c r="QE252" s="30"/>
      <c r="QF252" s="30"/>
      <c r="QG252" s="30"/>
      <c r="QH252" s="30"/>
      <c r="QI252" s="30"/>
      <c r="QJ252" s="30"/>
      <c r="QK252" s="30"/>
      <c r="QL252" s="30"/>
      <c r="QM252" s="30"/>
      <c r="QN252" s="30"/>
      <c r="QO252" s="30"/>
      <c r="QP252" s="30"/>
      <c r="QQ252" s="30"/>
      <c r="QR252" s="30"/>
      <c r="QS252" s="30"/>
      <c r="QT252" s="30"/>
      <c r="QU252" s="30"/>
      <c r="QV252" s="30"/>
      <c r="QW252" s="30"/>
      <c r="QX252" s="30"/>
      <c r="QY252" s="30"/>
      <c r="QZ252" s="30"/>
      <c r="RA252" s="30"/>
      <c r="RB252" s="30"/>
      <c r="RC252" s="30"/>
      <c r="RD252" s="30"/>
      <c r="RE252" s="30"/>
      <c r="RF252" s="30"/>
      <c r="RG252" s="30"/>
      <c r="RH252" s="30"/>
      <c r="RI252" s="30"/>
      <c r="RJ252" s="30"/>
      <c r="RK252" s="30"/>
      <c r="RL252" s="30"/>
      <c r="RM252" s="30"/>
      <c r="RN252" s="30"/>
      <c r="RO252" s="30"/>
      <c r="RP252" s="30"/>
      <c r="RQ252" s="30"/>
      <c r="RR252" s="30"/>
      <c r="RS252" s="30"/>
      <c r="RT252" s="30"/>
      <c r="RU252" s="30"/>
      <c r="RV252" s="30"/>
      <c r="RW252" s="30"/>
      <c r="RX252" s="30"/>
      <c r="RY252" s="30"/>
      <c r="RZ252" s="30"/>
      <c r="SA252" s="30"/>
      <c r="SB252" s="30"/>
      <c r="SC252" s="30"/>
      <c r="SD252" s="30"/>
      <c r="SE252" s="30"/>
      <c r="SF252" s="30"/>
      <c r="SG252" s="30"/>
      <c r="SH252" s="30"/>
      <c r="SI252" s="30"/>
      <c r="SJ252" s="30"/>
      <c r="SK252" s="30"/>
      <c r="SL252" s="30"/>
      <c r="SM252" s="30"/>
      <c r="SN252" s="30"/>
      <c r="SO252" s="30"/>
      <c r="SP252" s="30"/>
      <c r="SQ252" s="30"/>
      <c r="SR252" s="30"/>
      <c r="SS252" s="30"/>
      <c r="ST252" s="30"/>
      <c r="SU252" s="30"/>
      <c r="SV252" s="30"/>
      <c r="SW252" s="30"/>
      <c r="SX252" s="30"/>
      <c r="SY252" s="30"/>
      <c r="SZ252" s="30"/>
      <c r="TA252" s="30"/>
      <c r="TB252" s="30"/>
      <c r="TC252" s="30"/>
      <c r="TD252" s="30"/>
      <c r="TE252" s="30"/>
      <c r="TF252" s="30"/>
      <c r="TG252" s="30"/>
      <c r="TH252" s="30"/>
    </row>
    <row r="253" spans="1:528" s="22" customFormat="1" ht="126" hidden="1" customHeight="1" x14ac:dyDescent="0.25">
      <c r="A253" s="60" t="s">
        <v>371</v>
      </c>
      <c r="B253" s="97">
        <v>7691</v>
      </c>
      <c r="C253" s="37" t="s">
        <v>84</v>
      </c>
      <c r="D253" s="61" t="s">
        <v>316</v>
      </c>
      <c r="E253" s="103">
        <f t="shared" si="121"/>
        <v>0</v>
      </c>
      <c r="F253" s="103"/>
      <c r="G253" s="103"/>
      <c r="H253" s="103"/>
      <c r="I253" s="103"/>
      <c r="J253" s="103">
        <f t="shared" si="123"/>
        <v>0</v>
      </c>
      <c r="K253" s="103"/>
      <c r="L253" s="117"/>
      <c r="M253" s="103"/>
      <c r="N253" s="103"/>
      <c r="O253" s="103"/>
      <c r="P253" s="103">
        <f t="shared" si="122"/>
        <v>0</v>
      </c>
      <c r="Q253" s="178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  <c r="TH253" s="23"/>
    </row>
    <row r="254" spans="1:528" s="22" customFormat="1" ht="33.75" customHeight="1" x14ac:dyDescent="0.25">
      <c r="A254" s="60" t="s">
        <v>549</v>
      </c>
      <c r="B254" s="97">
        <v>9750</v>
      </c>
      <c r="C254" s="60" t="s">
        <v>46</v>
      </c>
      <c r="D254" s="61" t="s">
        <v>550</v>
      </c>
      <c r="E254" s="103">
        <f t="shared" ref="E254" si="126">F254+I254</f>
        <v>0</v>
      </c>
      <c r="F254" s="103"/>
      <c r="G254" s="103"/>
      <c r="H254" s="103"/>
      <c r="I254" s="103"/>
      <c r="J254" s="103">
        <f t="shared" ref="J254" si="127">L254+O254</f>
        <v>86000</v>
      </c>
      <c r="K254" s="103">
        <v>86000</v>
      </c>
      <c r="L254" s="117"/>
      <c r="M254" s="103"/>
      <c r="N254" s="103"/>
      <c r="O254" s="103">
        <v>86000</v>
      </c>
      <c r="P254" s="103">
        <f t="shared" ref="P254" si="128">E254+J254</f>
        <v>86000</v>
      </c>
      <c r="Q254" s="178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  <c r="TH254" s="23"/>
    </row>
    <row r="255" spans="1:528" s="27" customFormat="1" ht="30.75" customHeight="1" x14ac:dyDescent="0.25">
      <c r="A255" s="114" t="s">
        <v>209</v>
      </c>
      <c r="B255" s="116"/>
      <c r="C255" s="116"/>
      <c r="D255" s="111" t="s">
        <v>41</v>
      </c>
      <c r="E255" s="99">
        <f>E256</f>
        <v>9565500</v>
      </c>
      <c r="F255" s="99">
        <f t="shared" ref="F255:J255" si="129">F256</f>
        <v>9565500</v>
      </c>
      <c r="G255" s="99">
        <f t="shared" si="129"/>
        <v>7405200</v>
      </c>
      <c r="H255" s="99">
        <f t="shared" si="129"/>
        <v>86000</v>
      </c>
      <c r="I255" s="99">
        <f t="shared" si="129"/>
        <v>0</v>
      </c>
      <c r="J255" s="99">
        <f t="shared" si="129"/>
        <v>3496250.3</v>
      </c>
      <c r="K255" s="99">
        <f t="shared" ref="K255" si="130">K256</f>
        <v>900000</v>
      </c>
      <c r="L255" s="99">
        <f t="shared" ref="L255" si="131">L256</f>
        <v>2596250.2999999998</v>
      </c>
      <c r="M255" s="99">
        <f t="shared" ref="M255" si="132">M256</f>
        <v>0</v>
      </c>
      <c r="N255" s="99">
        <f t="shared" ref="N255" si="133">N256</f>
        <v>0</v>
      </c>
      <c r="O255" s="99">
        <f t="shared" ref="O255:P255" si="134">O256</f>
        <v>900000</v>
      </c>
      <c r="P255" s="99">
        <f t="shared" si="134"/>
        <v>13061750.300000001</v>
      </c>
      <c r="Q255" s="178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  <c r="IQ255" s="32"/>
      <c r="IR255" s="32"/>
      <c r="IS255" s="32"/>
      <c r="IT255" s="32"/>
      <c r="IU255" s="32"/>
      <c r="IV255" s="32"/>
      <c r="IW255" s="32"/>
      <c r="IX255" s="32"/>
      <c r="IY255" s="32"/>
      <c r="IZ255" s="32"/>
      <c r="JA255" s="32"/>
      <c r="JB255" s="32"/>
      <c r="JC255" s="32"/>
      <c r="JD255" s="32"/>
      <c r="JE255" s="32"/>
      <c r="JF255" s="32"/>
      <c r="JG255" s="32"/>
      <c r="JH255" s="32"/>
      <c r="JI255" s="32"/>
      <c r="JJ255" s="32"/>
      <c r="JK255" s="32"/>
      <c r="JL255" s="32"/>
      <c r="JM255" s="32"/>
      <c r="JN255" s="32"/>
      <c r="JO255" s="32"/>
      <c r="JP255" s="32"/>
      <c r="JQ255" s="32"/>
      <c r="JR255" s="32"/>
      <c r="JS255" s="32"/>
      <c r="JT255" s="32"/>
      <c r="JU255" s="32"/>
      <c r="JV255" s="32"/>
      <c r="JW255" s="32"/>
      <c r="JX255" s="32"/>
      <c r="JY255" s="32"/>
      <c r="JZ255" s="32"/>
      <c r="KA255" s="32"/>
      <c r="KB255" s="32"/>
      <c r="KC255" s="32"/>
      <c r="KD255" s="32"/>
      <c r="KE255" s="32"/>
      <c r="KF255" s="32"/>
      <c r="KG255" s="32"/>
      <c r="KH255" s="32"/>
      <c r="KI255" s="32"/>
      <c r="KJ255" s="32"/>
      <c r="KK255" s="32"/>
      <c r="KL255" s="32"/>
      <c r="KM255" s="32"/>
      <c r="KN255" s="32"/>
      <c r="KO255" s="32"/>
      <c r="KP255" s="32"/>
      <c r="KQ255" s="32"/>
      <c r="KR255" s="32"/>
      <c r="KS255" s="32"/>
      <c r="KT255" s="32"/>
      <c r="KU255" s="32"/>
      <c r="KV255" s="32"/>
      <c r="KW255" s="32"/>
      <c r="KX255" s="32"/>
      <c r="KY255" s="32"/>
      <c r="KZ255" s="32"/>
      <c r="LA255" s="32"/>
      <c r="LB255" s="32"/>
      <c r="LC255" s="32"/>
      <c r="LD255" s="32"/>
      <c r="LE255" s="32"/>
      <c r="LF255" s="32"/>
      <c r="LG255" s="32"/>
      <c r="LH255" s="32"/>
      <c r="LI255" s="32"/>
      <c r="LJ255" s="32"/>
      <c r="LK255" s="32"/>
      <c r="LL255" s="32"/>
      <c r="LM255" s="32"/>
      <c r="LN255" s="32"/>
      <c r="LO255" s="32"/>
      <c r="LP255" s="32"/>
      <c r="LQ255" s="32"/>
      <c r="LR255" s="32"/>
      <c r="LS255" s="32"/>
      <c r="LT255" s="32"/>
      <c r="LU255" s="32"/>
      <c r="LV255" s="32"/>
      <c r="LW255" s="32"/>
      <c r="LX255" s="32"/>
      <c r="LY255" s="32"/>
      <c r="LZ255" s="32"/>
      <c r="MA255" s="32"/>
      <c r="MB255" s="32"/>
      <c r="MC255" s="32"/>
      <c r="MD255" s="32"/>
      <c r="ME255" s="32"/>
      <c r="MF255" s="32"/>
      <c r="MG255" s="32"/>
      <c r="MH255" s="32"/>
      <c r="MI255" s="32"/>
      <c r="MJ255" s="32"/>
      <c r="MK255" s="32"/>
      <c r="ML255" s="32"/>
      <c r="MM255" s="32"/>
      <c r="MN255" s="32"/>
      <c r="MO255" s="32"/>
      <c r="MP255" s="32"/>
      <c r="MQ255" s="32"/>
      <c r="MR255" s="32"/>
      <c r="MS255" s="32"/>
      <c r="MT255" s="32"/>
      <c r="MU255" s="32"/>
      <c r="MV255" s="32"/>
      <c r="MW255" s="32"/>
      <c r="MX255" s="32"/>
      <c r="MY255" s="32"/>
      <c r="MZ255" s="32"/>
      <c r="NA255" s="32"/>
      <c r="NB255" s="32"/>
      <c r="NC255" s="32"/>
      <c r="ND255" s="32"/>
      <c r="NE255" s="32"/>
      <c r="NF255" s="32"/>
      <c r="NG255" s="32"/>
      <c r="NH255" s="32"/>
      <c r="NI255" s="32"/>
      <c r="NJ255" s="32"/>
      <c r="NK255" s="32"/>
      <c r="NL255" s="32"/>
      <c r="NM255" s="32"/>
      <c r="NN255" s="32"/>
      <c r="NO255" s="32"/>
      <c r="NP255" s="32"/>
      <c r="NQ255" s="32"/>
      <c r="NR255" s="32"/>
      <c r="NS255" s="32"/>
      <c r="NT255" s="32"/>
      <c r="NU255" s="32"/>
      <c r="NV255" s="32"/>
      <c r="NW255" s="32"/>
      <c r="NX255" s="32"/>
      <c r="NY255" s="32"/>
      <c r="NZ255" s="32"/>
      <c r="OA255" s="32"/>
      <c r="OB255" s="32"/>
      <c r="OC255" s="32"/>
      <c r="OD255" s="32"/>
      <c r="OE255" s="32"/>
      <c r="OF255" s="32"/>
      <c r="OG255" s="32"/>
      <c r="OH255" s="32"/>
      <c r="OI255" s="32"/>
      <c r="OJ255" s="32"/>
      <c r="OK255" s="32"/>
      <c r="OL255" s="32"/>
      <c r="OM255" s="32"/>
      <c r="ON255" s="32"/>
      <c r="OO255" s="32"/>
      <c r="OP255" s="32"/>
      <c r="OQ255" s="32"/>
      <c r="OR255" s="32"/>
      <c r="OS255" s="32"/>
      <c r="OT255" s="32"/>
      <c r="OU255" s="32"/>
      <c r="OV255" s="32"/>
      <c r="OW255" s="32"/>
      <c r="OX255" s="32"/>
      <c r="OY255" s="32"/>
      <c r="OZ255" s="32"/>
      <c r="PA255" s="32"/>
      <c r="PB255" s="32"/>
      <c r="PC255" s="32"/>
      <c r="PD255" s="32"/>
      <c r="PE255" s="32"/>
      <c r="PF255" s="32"/>
      <c r="PG255" s="32"/>
      <c r="PH255" s="32"/>
      <c r="PI255" s="32"/>
      <c r="PJ255" s="32"/>
      <c r="PK255" s="32"/>
      <c r="PL255" s="32"/>
      <c r="PM255" s="32"/>
      <c r="PN255" s="32"/>
      <c r="PO255" s="32"/>
      <c r="PP255" s="32"/>
      <c r="PQ255" s="32"/>
      <c r="PR255" s="32"/>
      <c r="PS255" s="32"/>
      <c r="PT255" s="32"/>
      <c r="PU255" s="32"/>
      <c r="PV255" s="32"/>
      <c r="PW255" s="32"/>
      <c r="PX255" s="32"/>
      <c r="PY255" s="32"/>
      <c r="PZ255" s="32"/>
      <c r="QA255" s="32"/>
      <c r="QB255" s="32"/>
      <c r="QC255" s="32"/>
      <c r="QD255" s="32"/>
      <c r="QE255" s="32"/>
      <c r="QF255" s="32"/>
      <c r="QG255" s="32"/>
      <c r="QH255" s="32"/>
      <c r="QI255" s="32"/>
      <c r="QJ255" s="32"/>
      <c r="QK255" s="32"/>
      <c r="QL255" s="32"/>
      <c r="QM255" s="32"/>
      <c r="QN255" s="32"/>
      <c r="QO255" s="32"/>
      <c r="QP255" s="32"/>
      <c r="QQ255" s="32"/>
      <c r="QR255" s="32"/>
      <c r="QS255" s="32"/>
      <c r="QT255" s="32"/>
      <c r="QU255" s="32"/>
      <c r="QV255" s="32"/>
      <c r="QW255" s="32"/>
      <c r="QX255" s="32"/>
      <c r="QY255" s="32"/>
      <c r="QZ255" s="32"/>
      <c r="RA255" s="32"/>
      <c r="RB255" s="32"/>
      <c r="RC255" s="32"/>
      <c r="RD255" s="32"/>
      <c r="RE255" s="32"/>
      <c r="RF255" s="32"/>
      <c r="RG255" s="32"/>
      <c r="RH255" s="32"/>
      <c r="RI255" s="32"/>
      <c r="RJ255" s="32"/>
      <c r="RK255" s="32"/>
      <c r="RL255" s="32"/>
      <c r="RM255" s="32"/>
      <c r="RN255" s="32"/>
      <c r="RO255" s="32"/>
      <c r="RP255" s="32"/>
      <c r="RQ255" s="32"/>
      <c r="RR255" s="32"/>
      <c r="RS255" s="32"/>
      <c r="RT255" s="32"/>
      <c r="RU255" s="32"/>
      <c r="RV255" s="32"/>
      <c r="RW255" s="32"/>
      <c r="RX255" s="32"/>
      <c r="RY255" s="32"/>
      <c r="RZ255" s="32"/>
      <c r="SA255" s="32"/>
      <c r="SB255" s="32"/>
      <c r="SC255" s="32"/>
      <c r="SD255" s="32"/>
      <c r="SE255" s="32"/>
      <c r="SF255" s="32"/>
      <c r="SG255" s="32"/>
      <c r="SH255" s="32"/>
      <c r="SI255" s="32"/>
      <c r="SJ255" s="32"/>
      <c r="SK255" s="32"/>
      <c r="SL255" s="32"/>
      <c r="SM255" s="32"/>
      <c r="SN255" s="32"/>
      <c r="SO255" s="32"/>
      <c r="SP255" s="32"/>
      <c r="SQ255" s="32"/>
      <c r="SR255" s="32"/>
      <c r="SS255" s="32"/>
      <c r="ST255" s="32"/>
      <c r="SU255" s="32"/>
      <c r="SV255" s="32"/>
      <c r="SW255" s="32"/>
      <c r="SX255" s="32"/>
      <c r="SY255" s="32"/>
      <c r="SZ255" s="32"/>
      <c r="TA255" s="32"/>
      <c r="TB255" s="32"/>
      <c r="TC255" s="32"/>
      <c r="TD255" s="32"/>
      <c r="TE255" s="32"/>
      <c r="TF255" s="32"/>
      <c r="TG255" s="32"/>
      <c r="TH255" s="32"/>
    </row>
    <row r="256" spans="1:528" s="34" customFormat="1" ht="35.25" customHeight="1" x14ac:dyDescent="0.25">
      <c r="A256" s="100" t="s">
        <v>210</v>
      </c>
      <c r="B256" s="113"/>
      <c r="C256" s="113"/>
      <c r="D256" s="81" t="s">
        <v>41</v>
      </c>
      <c r="E256" s="102">
        <f>E257+E258+E259+E260</f>
        <v>9565500</v>
      </c>
      <c r="F256" s="102">
        <f t="shared" ref="F256:P256" si="135">F257+F258+F259+F260</f>
        <v>9565500</v>
      </c>
      <c r="G256" s="102">
        <f t="shared" si="135"/>
        <v>7405200</v>
      </c>
      <c r="H256" s="102">
        <f t="shared" si="135"/>
        <v>86000</v>
      </c>
      <c r="I256" s="102">
        <f t="shared" si="135"/>
        <v>0</v>
      </c>
      <c r="J256" s="102">
        <f>J257+J258+J259+J260</f>
        <v>3496250.3</v>
      </c>
      <c r="K256" s="102">
        <f t="shared" si="135"/>
        <v>900000</v>
      </c>
      <c r="L256" s="102">
        <f t="shared" si="135"/>
        <v>2596250.2999999998</v>
      </c>
      <c r="M256" s="102">
        <f t="shared" si="135"/>
        <v>0</v>
      </c>
      <c r="N256" s="102">
        <f t="shared" si="135"/>
        <v>0</v>
      </c>
      <c r="O256" s="102">
        <f t="shared" si="135"/>
        <v>900000</v>
      </c>
      <c r="P256" s="102">
        <f t="shared" si="135"/>
        <v>13061750.300000001</v>
      </c>
      <c r="Q256" s="178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  <c r="IW256" s="33"/>
      <c r="IX256" s="33"/>
      <c r="IY256" s="33"/>
      <c r="IZ256" s="33"/>
      <c r="JA256" s="33"/>
      <c r="JB256" s="33"/>
      <c r="JC256" s="33"/>
      <c r="JD256" s="33"/>
      <c r="JE256" s="33"/>
      <c r="JF256" s="33"/>
      <c r="JG256" s="33"/>
      <c r="JH256" s="33"/>
      <c r="JI256" s="33"/>
      <c r="JJ256" s="33"/>
      <c r="JK256" s="33"/>
      <c r="JL256" s="33"/>
      <c r="JM256" s="33"/>
      <c r="JN256" s="33"/>
      <c r="JO256" s="33"/>
      <c r="JP256" s="33"/>
      <c r="JQ256" s="33"/>
      <c r="JR256" s="33"/>
      <c r="JS256" s="33"/>
      <c r="JT256" s="33"/>
      <c r="JU256" s="33"/>
      <c r="JV256" s="33"/>
      <c r="JW256" s="33"/>
      <c r="JX256" s="33"/>
      <c r="JY256" s="33"/>
      <c r="JZ256" s="33"/>
      <c r="KA256" s="33"/>
      <c r="KB256" s="33"/>
      <c r="KC256" s="33"/>
      <c r="KD256" s="33"/>
      <c r="KE256" s="33"/>
      <c r="KF256" s="33"/>
      <c r="KG256" s="33"/>
      <c r="KH256" s="33"/>
      <c r="KI256" s="33"/>
      <c r="KJ256" s="33"/>
      <c r="KK256" s="33"/>
      <c r="KL256" s="33"/>
      <c r="KM256" s="33"/>
      <c r="KN256" s="33"/>
      <c r="KO256" s="33"/>
      <c r="KP256" s="33"/>
      <c r="KQ256" s="33"/>
      <c r="KR256" s="33"/>
      <c r="KS256" s="33"/>
      <c r="KT256" s="33"/>
      <c r="KU256" s="33"/>
      <c r="KV256" s="33"/>
      <c r="KW256" s="33"/>
      <c r="KX256" s="33"/>
      <c r="KY256" s="33"/>
      <c r="KZ256" s="33"/>
      <c r="LA256" s="33"/>
      <c r="LB256" s="33"/>
      <c r="LC256" s="33"/>
      <c r="LD256" s="33"/>
      <c r="LE256" s="33"/>
      <c r="LF256" s="33"/>
      <c r="LG256" s="33"/>
      <c r="LH256" s="33"/>
      <c r="LI256" s="33"/>
      <c r="LJ256" s="33"/>
      <c r="LK256" s="33"/>
      <c r="LL256" s="33"/>
      <c r="LM256" s="33"/>
      <c r="LN256" s="33"/>
      <c r="LO256" s="33"/>
      <c r="LP256" s="33"/>
      <c r="LQ256" s="33"/>
      <c r="LR256" s="33"/>
      <c r="LS256" s="33"/>
      <c r="LT256" s="33"/>
      <c r="LU256" s="33"/>
      <c r="LV256" s="33"/>
      <c r="LW256" s="33"/>
      <c r="LX256" s="33"/>
      <c r="LY256" s="33"/>
      <c r="LZ256" s="33"/>
      <c r="MA256" s="33"/>
      <c r="MB256" s="33"/>
      <c r="MC256" s="33"/>
      <c r="MD256" s="33"/>
      <c r="ME256" s="33"/>
      <c r="MF256" s="33"/>
      <c r="MG256" s="33"/>
      <c r="MH256" s="33"/>
      <c r="MI256" s="33"/>
      <c r="MJ256" s="33"/>
      <c r="MK256" s="33"/>
      <c r="ML256" s="33"/>
      <c r="MM256" s="33"/>
      <c r="MN256" s="33"/>
      <c r="MO256" s="33"/>
      <c r="MP256" s="33"/>
      <c r="MQ256" s="33"/>
      <c r="MR256" s="33"/>
      <c r="MS256" s="33"/>
      <c r="MT256" s="33"/>
      <c r="MU256" s="33"/>
      <c r="MV256" s="33"/>
      <c r="MW256" s="33"/>
      <c r="MX256" s="33"/>
      <c r="MY256" s="33"/>
      <c r="MZ256" s="33"/>
      <c r="NA256" s="33"/>
      <c r="NB256" s="33"/>
      <c r="NC256" s="33"/>
      <c r="ND256" s="33"/>
      <c r="NE256" s="33"/>
      <c r="NF256" s="33"/>
      <c r="NG256" s="33"/>
      <c r="NH256" s="33"/>
      <c r="NI256" s="33"/>
      <c r="NJ256" s="33"/>
      <c r="NK256" s="33"/>
      <c r="NL256" s="33"/>
      <c r="NM256" s="33"/>
      <c r="NN256" s="33"/>
      <c r="NO256" s="33"/>
      <c r="NP256" s="33"/>
      <c r="NQ256" s="33"/>
      <c r="NR256" s="33"/>
      <c r="NS256" s="33"/>
      <c r="NT256" s="33"/>
      <c r="NU256" s="33"/>
      <c r="NV256" s="33"/>
      <c r="NW256" s="33"/>
      <c r="NX256" s="33"/>
      <c r="NY256" s="33"/>
      <c r="NZ256" s="33"/>
      <c r="OA256" s="33"/>
      <c r="OB256" s="33"/>
      <c r="OC256" s="33"/>
      <c r="OD256" s="33"/>
      <c r="OE256" s="33"/>
      <c r="OF256" s="33"/>
      <c r="OG256" s="33"/>
      <c r="OH256" s="33"/>
      <c r="OI256" s="33"/>
      <c r="OJ256" s="33"/>
      <c r="OK256" s="33"/>
      <c r="OL256" s="33"/>
      <c r="OM256" s="33"/>
      <c r="ON256" s="33"/>
      <c r="OO256" s="33"/>
      <c r="OP256" s="33"/>
      <c r="OQ256" s="33"/>
      <c r="OR256" s="33"/>
      <c r="OS256" s="33"/>
      <c r="OT256" s="33"/>
      <c r="OU256" s="33"/>
      <c r="OV256" s="33"/>
      <c r="OW256" s="33"/>
      <c r="OX256" s="33"/>
      <c r="OY256" s="33"/>
      <c r="OZ256" s="33"/>
      <c r="PA256" s="33"/>
      <c r="PB256" s="33"/>
      <c r="PC256" s="33"/>
      <c r="PD256" s="33"/>
      <c r="PE256" s="33"/>
      <c r="PF256" s="33"/>
      <c r="PG256" s="33"/>
      <c r="PH256" s="33"/>
      <c r="PI256" s="33"/>
      <c r="PJ256" s="33"/>
      <c r="PK256" s="33"/>
      <c r="PL256" s="33"/>
      <c r="PM256" s="33"/>
      <c r="PN256" s="33"/>
      <c r="PO256" s="33"/>
      <c r="PP256" s="33"/>
      <c r="PQ256" s="33"/>
      <c r="PR256" s="33"/>
      <c r="PS256" s="33"/>
      <c r="PT256" s="33"/>
      <c r="PU256" s="33"/>
      <c r="PV256" s="33"/>
      <c r="PW256" s="33"/>
      <c r="PX256" s="33"/>
      <c r="PY256" s="33"/>
      <c r="PZ256" s="33"/>
      <c r="QA256" s="33"/>
      <c r="QB256" s="33"/>
      <c r="QC256" s="33"/>
      <c r="QD256" s="33"/>
      <c r="QE256" s="33"/>
      <c r="QF256" s="33"/>
      <c r="QG256" s="33"/>
      <c r="QH256" s="33"/>
      <c r="QI256" s="33"/>
      <c r="QJ256" s="33"/>
      <c r="QK256" s="33"/>
      <c r="QL256" s="33"/>
      <c r="QM256" s="33"/>
      <c r="QN256" s="33"/>
      <c r="QO256" s="33"/>
      <c r="QP256" s="33"/>
      <c r="QQ256" s="33"/>
      <c r="QR256" s="33"/>
      <c r="QS256" s="33"/>
      <c r="QT256" s="33"/>
      <c r="QU256" s="33"/>
      <c r="QV256" s="33"/>
      <c r="QW256" s="33"/>
      <c r="QX256" s="33"/>
      <c r="QY256" s="33"/>
      <c r="QZ256" s="33"/>
      <c r="RA256" s="33"/>
      <c r="RB256" s="33"/>
      <c r="RC256" s="33"/>
      <c r="RD256" s="33"/>
      <c r="RE256" s="33"/>
      <c r="RF256" s="33"/>
      <c r="RG256" s="33"/>
      <c r="RH256" s="33"/>
      <c r="RI256" s="33"/>
      <c r="RJ256" s="33"/>
      <c r="RK256" s="33"/>
      <c r="RL256" s="33"/>
      <c r="RM256" s="33"/>
      <c r="RN256" s="33"/>
      <c r="RO256" s="33"/>
      <c r="RP256" s="33"/>
      <c r="RQ256" s="33"/>
      <c r="RR256" s="33"/>
      <c r="RS256" s="33"/>
      <c r="RT256" s="33"/>
      <c r="RU256" s="33"/>
      <c r="RV256" s="33"/>
      <c r="RW256" s="33"/>
      <c r="RX256" s="33"/>
      <c r="RY256" s="33"/>
      <c r="RZ256" s="33"/>
      <c r="SA256" s="33"/>
      <c r="SB256" s="33"/>
      <c r="SC256" s="33"/>
      <c r="SD256" s="33"/>
      <c r="SE256" s="33"/>
      <c r="SF256" s="33"/>
      <c r="SG256" s="33"/>
      <c r="SH256" s="33"/>
      <c r="SI256" s="33"/>
      <c r="SJ256" s="33"/>
      <c r="SK256" s="33"/>
      <c r="SL256" s="33"/>
      <c r="SM256" s="33"/>
      <c r="SN256" s="33"/>
      <c r="SO256" s="33"/>
      <c r="SP256" s="33"/>
      <c r="SQ256" s="33"/>
      <c r="SR256" s="33"/>
      <c r="SS256" s="33"/>
      <c r="ST256" s="33"/>
      <c r="SU256" s="33"/>
      <c r="SV256" s="33"/>
      <c r="SW256" s="33"/>
      <c r="SX256" s="33"/>
      <c r="SY256" s="33"/>
      <c r="SZ256" s="33"/>
      <c r="TA256" s="33"/>
      <c r="TB256" s="33"/>
      <c r="TC256" s="33"/>
      <c r="TD256" s="33"/>
      <c r="TE256" s="33"/>
      <c r="TF256" s="33"/>
      <c r="TG256" s="33"/>
      <c r="TH256" s="33"/>
    </row>
    <row r="257" spans="1:528" s="22" customFormat="1" ht="47.25" x14ac:dyDescent="0.25">
      <c r="A257" s="60" t="s">
        <v>211</v>
      </c>
      <c r="B257" s="97" t="str">
        <f>'дод 8'!A19</f>
        <v>0160</v>
      </c>
      <c r="C257" s="97" t="str">
        <f>'дод 8'!B19</f>
        <v>0111</v>
      </c>
      <c r="D257" s="36" t="s">
        <v>504</v>
      </c>
      <c r="E257" s="103">
        <f>F257+I257</f>
        <v>9390500</v>
      </c>
      <c r="F257" s="103">
        <v>9390500</v>
      </c>
      <c r="G257" s="103">
        <v>7405200</v>
      </c>
      <c r="H257" s="103">
        <v>86000</v>
      </c>
      <c r="I257" s="103"/>
      <c r="J257" s="103">
        <f t="shared" si="123"/>
        <v>0</v>
      </c>
      <c r="K257" s="103"/>
      <c r="L257" s="103"/>
      <c r="M257" s="103"/>
      <c r="N257" s="103"/>
      <c r="O257" s="103"/>
      <c r="P257" s="103">
        <f>E257+J257</f>
        <v>9390500</v>
      </c>
      <c r="Q257" s="178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  <c r="TH257" s="23"/>
    </row>
    <row r="258" spans="1:528" s="22" customFormat="1" ht="31.5" x14ac:dyDescent="0.25">
      <c r="A258" s="60" t="s">
        <v>313</v>
      </c>
      <c r="B258" s="97" t="str">
        <f>'дод 8'!A147</f>
        <v>6090</v>
      </c>
      <c r="C258" s="97" t="str">
        <f>'дод 8'!B147</f>
        <v>0640</v>
      </c>
      <c r="D258" s="61" t="str">
        <f>'дод 8'!C147</f>
        <v>Інша діяльність у сфері житлово-комунального господарства</v>
      </c>
      <c r="E258" s="103">
        <f>F258+I258</f>
        <v>175000</v>
      </c>
      <c r="F258" s="103">
        <v>175000</v>
      </c>
      <c r="G258" s="103"/>
      <c r="H258" s="103"/>
      <c r="I258" s="103"/>
      <c r="J258" s="103">
        <f t="shared" si="123"/>
        <v>0</v>
      </c>
      <c r="K258" s="103"/>
      <c r="L258" s="103"/>
      <c r="M258" s="103"/>
      <c r="N258" s="103"/>
      <c r="O258" s="103"/>
      <c r="P258" s="103">
        <f>E258+J258</f>
        <v>175000</v>
      </c>
      <c r="Q258" s="178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</row>
    <row r="259" spans="1:528" s="22" customFormat="1" ht="36" customHeight="1" x14ac:dyDescent="0.25">
      <c r="A259" s="60" t="s">
        <v>462</v>
      </c>
      <c r="B259" s="60" t="s">
        <v>463</v>
      </c>
      <c r="C259" s="60" t="s">
        <v>113</v>
      </c>
      <c r="D259" s="61" t="s">
        <v>464</v>
      </c>
      <c r="E259" s="103">
        <f>F259+I259</f>
        <v>0</v>
      </c>
      <c r="F259" s="103"/>
      <c r="G259" s="103"/>
      <c r="H259" s="103"/>
      <c r="I259" s="103"/>
      <c r="J259" s="103">
        <f t="shared" si="123"/>
        <v>900000</v>
      </c>
      <c r="K259" s="103">
        <v>900000</v>
      </c>
      <c r="L259" s="103"/>
      <c r="M259" s="103"/>
      <c r="N259" s="103"/>
      <c r="O259" s="103">
        <v>900000</v>
      </c>
      <c r="P259" s="103">
        <f>E259+J259</f>
        <v>900000</v>
      </c>
      <c r="Q259" s="178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  <c r="TH259" s="23"/>
    </row>
    <row r="260" spans="1:528" s="22" customFormat="1" ht="118.5" customHeight="1" x14ac:dyDescent="0.25">
      <c r="A260" s="107" t="s">
        <v>301</v>
      </c>
      <c r="B260" s="42" t="str">
        <f>'дод 8'!A194</f>
        <v>7691</v>
      </c>
      <c r="C260" s="42" t="str">
        <f>'дод 8'!B194</f>
        <v>0490</v>
      </c>
      <c r="D260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0" s="103">
        <f>F260+I260</f>
        <v>0</v>
      </c>
      <c r="F260" s="103"/>
      <c r="G260" s="103"/>
      <c r="H260" s="103"/>
      <c r="I260" s="103"/>
      <c r="J260" s="103">
        <f t="shared" si="123"/>
        <v>2596250.2999999998</v>
      </c>
      <c r="K260" s="103"/>
      <c r="L260" s="103">
        <f>1060391+1535859.3</f>
        <v>2596250.2999999998</v>
      </c>
      <c r="M260" s="103"/>
      <c r="N260" s="103"/>
      <c r="O260" s="103"/>
      <c r="P260" s="103">
        <f>E260+J260</f>
        <v>2596250.2999999998</v>
      </c>
      <c r="Q260" s="178">
        <v>28</v>
      </c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</row>
    <row r="261" spans="1:528" s="27" customFormat="1" ht="34.5" customHeight="1" x14ac:dyDescent="0.25">
      <c r="A261" s="114" t="s">
        <v>214</v>
      </c>
      <c r="B261" s="116"/>
      <c r="C261" s="116"/>
      <c r="D261" s="111" t="s">
        <v>43</v>
      </c>
      <c r="E261" s="99">
        <f>E262</f>
        <v>4321300</v>
      </c>
      <c r="F261" s="99">
        <f t="shared" ref="F261:J262" si="136">F262</f>
        <v>4321300</v>
      </c>
      <c r="G261" s="99">
        <f t="shared" si="136"/>
        <v>3301600</v>
      </c>
      <c r="H261" s="99">
        <f t="shared" si="136"/>
        <v>46000</v>
      </c>
      <c r="I261" s="99">
        <f t="shared" si="136"/>
        <v>0</v>
      </c>
      <c r="J261" s="99">
        <f t="shared" si="136"/>
        <v>0</v>
      </c>
      <c r="K261" s="99">
        <f t="shared" ref="K261:K262" si="137">K262</f>
        <v>0</v>
      </c>
      <c r="L261" s="99">
        <f t="shared" ref="L261:L262" si="138">L262</f>
        <v>0</v>
      </c>
      <c r="M261" s="99">
        <f t="shared" ref="M261:M262" si="139">M262</f>
        <v>0</v>
      </c>
      <c r="N261" s="99">
        <f t="shared" ref="N261:N262" si="140">N262</f>
        <v>0</v>
      </c>
      <c r="O261" s="99">
        <f t="shared" ref="O261:P262" si="141">O262</f>
        <v>0</v>
      </c>
      <c r="P261" s="99">
        <f t="shared" si="141"/>
        <v>4321300</v>
      </c>
      <c r="Q261" s="178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  <c r="IU261" s="32"/>
      <c r="IV261" s="32"/>
      <c r="IW261" s="32"/>
      <c r="IX261" s="32"/>
      <c r="IY261" s="32"/>
      <c r="IZ261" s="32"/>
      <c r="JA261" s="32"/>
      <c r="JB261" s="32"/>
      <c r="JC261" s="32"/>
      <c r="JD261" s="32"/>
      <c r="JE261" s="32"/>
      <c r="JF261" s="32"/>
      <c r="JG261" s="32"/>
      <c r="JH261" s="32"/>
      <c r="JI261" s="32"/>
      <c r="JJ261" s="32"/>
      <c r="JK261" s="32"/>
      <c r="JL261" s="32"/>
      <c r="JM261" s="32"/>
      <c r="JN261" s="32"/>
      <c r="JO261" s="32"/>
      <c r="JP261" s="32"/>
      <c r="JQ261" s="32"/>
      <c r="JR261" s="32"/>
      <c r="JS261" s="32"/>
      <c r="JT261" s="32"/>
      <c r="JU261" s="32"/>
      <c r="JV261" s="32"/>
      <c r="JW261" s="32"/>
      <c r="JX261" s="32"/>
      <c r="JY261" s="32"/>
      <c r="JZ261" s="32"/>
      <c r="KA261" s="32"/>
      <c r="KB261" s="32"/>
      <c r="KC261" s="32"/>
      <c r="KD261" s="32"/>
      <c r="KE261" s="32"/>
      <c r="KF261" s="32"/>
      <c r="KG261" s="32"/>
      <c r="KH261" s="32"/>
      <c r="KI261" s="32"/>
      <c r="KJ261" s="32"/>
      <c r="KK261" s="32"/>
      <c r="KL261" s="32"/>
      <c r="KM261" s="32"/>
      <c r="KN261" s="32"/>
      <c r="KO261" s="32"/>
      <c r="KP261" s="32"/>
      <c r="KQ261" s="32"/>
      <c r="KR261" s="32"/>
      <c r="KS261" s="32"/>
      <c r="KT261" s="32"/>
      <c r="KU261" s="32"/>
      <c r="KV261" s="32"/>
      <c r="KW261" s="32"/>
      <c r="KX261" s="32"/>
      <c r="KY261" s="32"/>
      <c r="KZ261" s="32"/>
      <c r="LA261" s="32"/>
      <c r="LB261" s="32"/>
      <c r="LC261" s="32"/>
      <c r="LD261" s="32"/>
      <c r="LE261" s="32"/>
      <c r="LF261" s="32"/>
      <c r="LG261" s="32"/>
      <c r="LH261" s="32"/>
      <c r="LI261" s="32"/>
      <c r="LJ261" s="32"/>
      <c r="LK261" s="32"/>
      <c r="LL261" s="32"/>
      <c r="LM261" s="32"/>
      <c r="LN261" s="32"/>
      <c r="LO261" s="32"/>
      <c r="LP261" s="32"/>
      <c r="LQ261" s="32"/>
      <c r="LR261" s="32"/>
      <c r="LS261" s="32"/>
      <c r="LT261" s="32"/>
      <c r="LU261" s="32"/>
      <c r="LV261" s="32"/>
      <c r="LW261" s="32"/>
      <c r="LX261" s="32"/>
      <c r="LY261" s="32"/>
      <c r="LZ261" s="32"/>
      <c r="MA261" s="32"/>
      <c r="MB261" s="32"/>
      <c r="MC261" s="32"/>
      <c r="MD261" s="32"/>
      <c r="ME261" s="32"/>
      <c r="MF261" s="32"/>
      <c r="MG261" s="32"/>
      <c r="MH261" s="32"/>
      <c r="MI261" s="32"/>
      <c r="MJ261" s="32"/>
      <c r="MK261" s="32"/>
      <c r="ML261" s="32"/>
      <c r="MM261" s="32"/>
      <c r="MN261" s="32"/>
      <c r="MO261" s="32"/>
      <c r="MP261" s="32"/>
      <c r="MQ261" s="32"/>
      <c r="MR261" s="32"/>
      <c r="MS261" s="32"/>
      <c r="MT261" s="32"/>
      <c r="MU261" s="32"/>
      <c r="MV261" s="32"/>
      <c r="MW261" s="32"/>
      <c r="MX261" s="32"/>
      <c r="MY261" s="32"/>
      <c r="MZ261" s="32"/>
      <c r="NA261" s="32"/>
      <c r="NB261" s="32"/>
      <c r="NC261" s="32"/>
      <c r="ND261" s="32"/>
      <c r="NE261" s="32"/>
      <c r="NF261" s="32"/>
      <c r="NG261" s="32"/>
      <c r="NH261" s="32"/>
      <c r="NI261" s="32"/>
      <c r="NJ261" s="32"/>
      <c r="NK261" s="32"/>
      <c r="NL261" s="32"/>
      <c r="NM261" s="32"/>
      <c r="NN261" s="32"/>
      <c r="NO261" s="32"/>
      <c r="NP261" s="32"/>
      <c r="NQ261" s="32"/>
      <c r="NR261" s="32"/>
      <c r="NS261" s="32"/>
      <c r="NT261" s="32"/>
      <c r="NU261" s="32"/>
      <c r="NV261" s="32"/>
      <c r="NW261" s="32"/>
      <c r="NX261" s="32"/>
      <c r="NY261" s="32"/>
      <c r="NZ261" s="32"/>
      <c r="OA261" s="32"/>
      <c r="OB261" s="32"/>
      <c r="OC261" s="32"/>
      <c r="OD261" s="32"/>
      <c r="OE261" s="32"/>
      <c r="OF261" s="32"/>
      <c r="OG261" s="32"/>
      <c r="OH261" s="32"/>
      <c r="OI261" s="32"/>
      <c r="OJ261" s="32"/>
      <c r="OK261" s="32"/>
      <c r="OL261" s="32"/>
      <c r="OM261" s="32"/>
      <c r="ON261" s="32"/>
      <c r="OO261" s="32"/>
      <c r="OP261" s="32"/>
      <c r="OQ261" s="32"/>
      <c r="OR261" s="32"/>
      <c r="OS261" s="32"/>
      <c r="OT261" s="32"/>
      <c r="OU261" s="32"/>
      <c r="OV261" s="32"/>
      <c r="OW261" s="32"/>
      <c r="OX261" s="32"/>
      <c r="OY261" s="32"/>
      <c r="OZ261" s="32"/>
      <c r="PA261" s="32"/>
      <c r="PB261" s="32"/>
      <c r="PC261" s="32"/>
      <c r="PD261" s="32"/>
      <c r="PE261" s="32"/>
      <c r="PF261" s="32"/>
      <c r="PG261" s="32"/>
      <c r="PH261" s="32"/>
      <c r="PI261" s="32"/>
      <c r="PJ261" s="32"/>
      <c r="PK261" s="32"/>
      <c r="PL261" s="32"/>
      <c r="PM261" s="32"/>
      <c r="PN261" s="32"/>
      <c r="PO261" s="32"/>
      <c r="PP261" s="32"/>
      <c r="PQ261" s="32"/>
      <c r="PR261" s="32"/>
      <c r="PS261" s="32"/>
      <c r="PT261" s="32"/>
      <c r="PU261" s="32"/>
      <c r="PV261" s="32"/>
      <c r="PW261" s="32"/>
      <c r="PX261" s="32"/>
      <c r="PY261" s="32"/>
      <c r="PZ261" s="32"/>
      <c r="QA261" s="32"/>
      <c r="QB261" s="32"/>
      <c r="QC261" s="32"/>
      <c r="QD261" s="32"/>
      <c r="QE261" s="32"/>
      <c r="QF261" s="32"/>
      <c r="QG261" s="32"/>
      <c r="QH261" s="32"/>
      <c r="QI261" s="32"/>
      <c r="QJ261" s="32"/>
      <c r="QK261" s="32"/>
      <c r="QL261" s="32"/>
      <c r="QM261" s="32"/>
      <c r="QN261" s="32"/>
      <c r="QO261" s="32"/>
      <c r="QP261" s="32"/>
      <c r="QQ261" s="32"/>
      <c r="QR261" s="32"/>
      <c r="QS261" s="32"/>
      <c r="QT261" s="32"/>
      <c r="QU261" s="32"/>
      <c r="QV261" s="32"/>
      <c r="QW261" s="32"/>
      <c r="QX261" s="32"/>
      <c r="QY261" s="32"/>
      <c r="QZ261" s="32"/>
      <c r="RA261" s="32"/>
      <c r="RB261" s="32"/>
      <c r="RC261" s="32"/>
      <c r="RD261" s="32"/>
      <c r="RE261" s="32"/>
      <c r="RF261" s="32"/>
      <c r="RG261" s="32"/>
      <c r="RH261" s="32"/>
      <c r="RI261" s="32"/>
      <c r="RJ261" s="32"/>
      <c r="RK261" s="32"/>
      <c r="RL261" s="32"/>
      <c r="RM261" s="32"/>
      <c r="RN261" s="32"/>
      <c r="RO261" s="32"/>
      <c r="RP261" s="32"/>
      <c r="RQ261" s="32"/>
      <c r="RR261" s="32"/>
      <c r="RS261" s="32"/>
      <c r="RT261" s="32"/>
      <c r="RU261" s="32"/>
      <c r="RV261" s="32"/>
      <c r="RW261" s="32"/>
      <c r="RX261" s="32"/>
      <c r="RY261" s="32"/>
      <c r="RZ261" s="32"/>
      <c r="SA261" s="32"/>
      <c r="SB261" s="32"/>
      <c r="SC261" s="32"/>
      <c r="SD261" s="32"/>
      <c r="SE261" s="32"/>
      <c r="SF261" s="32"/>
      <c r="SG261" s="32"/>
      <c r="SH261" s="32"/>
      <c r="SI261" s="32"/>
      <c r="SJ261" s="32"/>
      <c r="SK261" s="32"/>
      <c r="SL261" s="32"/>
      <c r="SM261" s="32"/>
      <c r="SN261" s="32"/>
      <c r="SO261" s="32"/>
      <c r="SP261" s="32"/>
      <c r="SQ261" s="32"/>
      <c r="SR261" s="32"/>
      <c r="SS261" s="32"/>
      <c r="ST261" s="32"/>
      <c r="SU261" s="32"/>
      <c r="SV261" s="32"/>
      <c r="SW261" s="32"/>
      <c r="SX261" s="32"/>
      <c r="SY261" s="32"/>
      <c r="SZ261" s="32"/>
      <c r="TA261" s="32"/>
      <c r="TB261" s="32"/>
      <c r="TC261" s="32"/>
      <c r="TD261" s="32"/>
      <c r="TE261" s="32"/>
      <c r="TF261" s="32"/>
      <c r="TG261" s="32"/>
      <c r="TH261" s="32"/>
    </row>
    <row r="262" spans="1:528" s="34" customFormat="1" ht="35.25" customHeight="1" x14ac:dyDescent="0.25">
      <c r="A262" s="100" t="s">
        <v>212</v>
      </c>
      <c r="B262" s="113"/>
      <c r="C262" s="113"/>
      <c r="D262" s="81" t="s">
        <v>43</v>
      </c>
      <c r="E262" s="102">
        <f>E263</f>
        <v>4321300</v>
      </c>
      <c r="F262" s="102">
        <f t="shared" si="136"/>
        <v>4321300</v>
      </c>
      <c r="G262" s="102">
        <f t="shared" si="136"/>
        <v>3301600</v>
      </c>
      <c r="H262" s="102">
        <f t="shared" si="136"/>
        <v>46000</v>
      </c>
      <c r="I262" s="102">
        <f t="shared" si="136"/>
        <v>0</v>
      </c>
      <c r="J262" s="102">
        <f t="shared" si="136"/>
        <v>0</v>
      </c>
      <c r="K262" s="102">
        <f t="shared" si="137"/>
        <v>0</v>
      </c>
      <c r="L262" s="102">
        <f t="shared" si="138"/>
        <v>0</v>
      </c>
      <c r="M262" s="102">
        <f t="shared" si="139"/>
        <v>0</v>
      </c>
      <c r="N262" s="102">
        <f t="shared" si="140"/>
        <v>0</v>
      </c>
      <c r="O262" s="102">
        <f t="shared" si="141"/>
        <v>0</v>
      </c>
      <c r="P262" s="102">
        <f t="shared" si="141"/>
        <v>4321300</v>
      </c>
      <c r="Q262" s="178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  <c r="IW262" s="33"/>
      <c r="IX262" s="33"/>
      <c r="IY262" s="33"/>
      <c r="IZ262" s="33"/>
      <c r="JA262" s="33"/>
      <c r="JB262" s="33"/>
      <c r="JC262" s="33"/>
      <c r="JD262" s="33"/>
      <c r="JE262" s="33"/>
      <c r="JF262" s="33"/>
      <c r="JG262" s="33"/>
      <c r="JH262" s="33"/>
      <c r="JI262" s="33"/>
      <c r="JJ262" s="33"/>
      <c r="JK262" s="33"/>
      <c r="JL262" s="33"/>
      <c r="JM262" s="33"/>
      <c r="JN262" s="33"/>
      <c r="JO262" s="33"/>
      <c r="JP262" s="33"/>
      <c r="JQ262" s="33"/>
      <c r="JR262" s="33"/>
      <c r="JS262" s="33"/>
      <c r="JT262" s="33"/>
      <c r="JU262" s="33"/>
      <c r="JV262" s="33"/>
      <c r="JW262" s="33"/>
      <c r="JX262" s="33"/>
      <c r="JY262" s="33"/>
      <c r="JZ262" s="33"/>
      <c r="KA262" s="33"/>
      <c r="KB262" s="33"/>
      <c r="KC262" s="33"/>
      <c r="KD262" s="33"/>
      <c r="KE262" s="33"/>
      <c r="KF262" s="33"/>
      <c r="KG262" s="33"/>
      <c r="KH262" s="33"/>
      <c r="KI262" s="33"/>
      <c r="KJ262" s="33"/>
      <c r="KK262" s="33"/>
      <c r="KL262" s="33"/>
      <c r="KM262" s="33"/>
      <c r="KN262" s="33"/>
      <c r="KO262" s="33"/>
      <c r="KP262" s="33"/>
      <c r="KQ262" s="33"/>
      <c r="KR262" s="33"/>
      <c r="KS262" s="33"/>
      <c r="KT262" s="33"/>
      <c r="KU262" s="33"/>
      <c r="KV262" s="33"/>
      <c r="KW262" s="33"/>
      <c r="KX262" s="33"/>
      <c r="KY262" s="33"/>
      <c r="KZ262" s="33"/>
      <c r="LA262" s="33"/>
      <c r="LB262" s="33"/>
      <c r="LC262" s="33"/>
      <c r="LD262" s="33"/>
      <c r="LE262" s="33"/>
      <c r="LF262" s="33"/>
      <c r="LG262" s="33"/>
      <c r="LH262" s="33"/>
      <c r="LI262" s="33"/>
      <c r="LJ262" s="33"/>
      <c r="LK262" s="33"/>
      <c r="LL262" s="33"/>
      <c r="LM262" s="33"/>
      <c r="LN262" s="33"/>
      <c r="LO262" s="33"/>
      <c r="LP262" s="33"/>
      <c r="LQ262" s="33"/>
      <c r="LR262" s="33"/>
      <c r="LS262" s="33"/>
      <c r="LT262" s="33"/>
      <c r="LU262" s="33"/>
      <c r="LV262" s="33"/>
      <c r="LW262" s="33"/>
      <c r="LX262" s="33"/>
      <c r="LY262" s="33"/>
      <c r="LZ262" s="33"/>
      <c r="MA262" s="33"/>
      <c r="MB262" s="33"/>
      <c r="MC262" s="33"/>
      <c r="MD262" s="33"/>
      <c r="ME262" s="33"/>
      <c r="MF262" s="33"/>
      <c r="MG262" s="33"/>
      <c r="MH262" s="33"/>
      <c r="MI262" s="33"/>
      <c r="MJ262" s="33"/>
      <c r="MK262" s="33"/>
      <c r="ML262" s="33"/>
      <c r="MM262" s="33"/>
      <c r="MN262" s="33"/>
      <c r="MO262" s="33"/>
      <c r="MP262" s="33"/>
      <c r="MQ262" s="33"/>
      <c r="MR262" s="33"/>
      <c r="MS262" s="33"/>
      <c r="MT262" s="33"/>
      <c r="MU262" s="33"/>
      <c r="MV262" s="33"/>
      <c r="MW262" s="33"/>
      <c r="MX262" s="33"/>
      <c r="MY262" s="33"/>
      <c r="MZ262" s="33"/>
      <c r="NA262" s="33"/>
      <c r="NB262" s="33"/>
      <c r="NC262" s="33"/>
      <c r="ND262" s="33"/>
      <c r="NE262" s="33"/>
      <c r="NF262" s="33"/>
      <c r="NG262" s="33"/>
      <c r="NH262" s="33"/>
      <c r="NI262" s="33"/>
      <c r="NJ262" s="33"/>
      <c r="NK262" s="33"/>
      <c r="NL262" s="33"/>
      <c r="NM262" s="33"/>
      <c r="NN262" s="33"/>
      <c r="NO262" s="33"/>
      <c r="NP262" s="33"/>
      <c r="NQ262" s="33"/>
      <c r="NR262" s="33"/>
      <c r="NS262" s="33"/>
      <c r="NT262" s="33"/>
      <c r="NU262" s="33"/>
      <c r="NV262" s="33"/>
      <c r="NW262" s="33"/>
      <c r="NX262" s="33"/>
      <c r="NY262" s="33"/>
      <c r="NZ262" s="33"/>
      <c r="OA262" s="33"/>
      <c r="OB262" s="33"/>
      <c r="OC262" s="33"/>
      <c r="OD262" s="33"/>
      <c r="OE262" s="33"/>
      <c r="OF262" s="33"/>
      <c r="OG262" s="33"/>
      <c r="OH262" s="33"/>
      <c r="OI262" s="33"/>
      <c r="OJ262" s="33"/>
      <c r="OK262" s="33"/>
      <c r="OL262" s="33"/>
      <c r="OM262" s="33"/>
      <c r="ON262" s="33"/>
      <c r="OO262" s="33"/>
      <c r="OP262" s="33"/>
      <c r="OQ262" s="33"/>
      <c r="OR262" s="33"/>
      <c r="OS262" s="33"/>
      <c r="OT262" s="33"/>
      <c r="OU262" s="33"/>
      <c r="OV262" s="33"/>
      <c r="OW262" s="33"/>
      <c r="OX262" s="33"/>
      <c r="OY262" s="33"/>
      <c r="OZ262" s="33"/>
      <c r="PA262" s="33"/>
      <c r="PB262" s="33"/>
      <c r="PC262" s="33"/>
      <c r="PD262" s="33"/>
      <c r="PE262" s="33"/>
      <c r="PF262" s="33"/>
      <c r="PG262" s="33"/>
      <c r="PH262" s="33"/>
      <c r="PI262" s="33"/>
      <c r="PJ262" s="33"/>
      <c r="PK262" s="33"/>
      <c r="PL262" s="33"/>
      <c r="PM262" s="33"/>
      <c r="PN262" s="33"/>
      <c r="PO262" s="33"/>
      <c r="PP262" s="33"/>
      <c r="PQ262" s="33"/>
      <c r="PR262" s="33"/>
      <c r="PS262" s="33"/>
      <c r="PT262" s="33"/>
      <c r="PU262" s="33"/>
      <c r="PV262" s="33"/>
      <c r="PW262" s="33"/>
      <c r="PX262" s="33"/>
      <c r="PY262" s="33"/>
      <c r="PZ262" s="33"/>
      <c r="QA262" s="33"/>
      <c r="QB262" s="33"/>
      <c r="QC262" s="33"/>
      <c r="QD262" s="33"/>
      <c r="QE262" s="33"/>
      <c r="QF262" s="33"/>
      <c r="QG262" s="33"/>
      <c r="QH262" s="33"/>
      <c r="QI262" s="33"/>
      <c r="QJ262" s="33"/>
      <c r="QK262" s="33"/>
      <c r="QL262" s="33"/>
      <c r="QM262" s="33"/>
      <c r="QN262" s="33"/>
      <c r="QO262" s="33"/>
      <c r="QP262" s="33"/>
      <c r="QQ262" s="33"/>
      <c r="QR262" s="33"/>
      <c r="QS262" s="33"/>
      <c r="QT262" s="33"/>
      <c r="QU262" s="33"/>
      <c r="QV262" s="33"/>
      <c r="QW262" s="33"/>
      <c r="QX262" s="33"/>
      <c r="QY262" s="33"/>
      <c r="QZ262" s="33"/>
      <c r="RA262" s="33"/>
      <c r="RB262" s="33"/>
      <c r="RC262" s="33"/>
      <c r="RD262" s="33"/>
      <c r="RE262" s="33"/>
      <c r="RF262" s="33"/>
      <c r="RG262" s="33"/>
      <c r="RH262" s="33"/>
      <c r="RI262" s="33"/>
      <c r="RJ262" s="33"/>
      <c r="RK262" s="33"/>
      <c r="RL262" s="33"/>
      <c r="RM262" s="33"/>
      <c r="RN262" s="33"/>
      <c r="RO262" s="33"/>
      <c r="RP262" s="33"/>
      <c r="RQ262" s="33"/>
      <c r="RR262" s="33"/>
      <c r="RS262" s="33"/>
      <c r="RT262" s="33"/>
      <c r="RU262" s="33"/>
      <c r="RV262" s="33"/>
      <c r="RW262" s="33"/>
      <c r="RX262" s="33"/>
      <c r="RY262" s="33"/>
      <c r="RZ262" s="33"/>
      <c r="SA262" s="33"/>
      <c r="SB262" s="33"/>
      <c r="SC262" s="33"/>
      <c r="SD262" s="33"/>
      <c r="SE262" s="33"/>
      <c r="SF262" s="33"/>
      <c r="SG262" s="33"/>
      <c r="SH262" s="33"/>
      <c r="SI262" s="33"/>
      <c r="SJ262" s="33"/>
      <c r="SK262" s="33"/>
      <c r="SL262" s="33"/>
      <c r="SM262" s="33"/>
      <c r="SN262" s="33"/>
      <c r="SO262" s="33"/>
      <c r="SP262" s="33"/>
      <c r="SQ262" s="33"/>
      <c r="SR262" s="33"/>
      <c r="SS262" s="33"/>
      <c r="ST262" s="33"/>
      <c r="SU262" s="33"/>
      <c r="SV262" s="33"/>
      <c r="SW262" s="33"/>
      <c r="SX262" s="33"/>
      <c r="SY262" s="33"/>
      <c r="SZ262" s="33"/>
      <c r="TA262" s="33"/>
      <c r="TB262" s="33"/>
      <c r="TC262" s="33"/>
      <c r="TD262" s="33"/>
      <c r="TE262" s="33"/>
      <c r="TF262" s="33"/>
      <c r="TG262" s="33"/>
      <c r="TH262" s="33"/>
    </row>
    <row r="263" spans="1:528" s="22" customFormat="1" ht="49.5" customHeight="1" x14ac:dyDescent="0.25">
      <c r="A263" s="60" t="s">
        <v>213</v>
      </c>
      <c r="B263" s="97" t="str">
        <f>'дод 8'!A19</f>
        <v>0160</v>
      </c>
      <c r="C263" s="97" t="str">
        <f>'дод 8'!B19</f>
        <v>0111</v>
      </c>
      <c r="D263" s="36" t="s">
        <v>504</v>
      </c>
      <c r="E263" s="103">
        <f>F263+I263</f>
        <v>4321300</v>
      </c>
      <c r="F263" s="103">
        <f>4301300+20000</f>
        <v>4321300</v>
      </c>
      <c r="G263" s="103">
        <v>3301600</v>
      </c>
      <c r="H263" s="103">
        <v>46000</v>
      </c>
      <c r="I263" s="103"/>
      <c r="J263" s="103">
        <f>L263+O263</f>
        <v>0</v>
      </c>
      <c r="K263" s="103"/>
      <c r="L263" s="103"/>
      <c r="M263" s="103"/>
      <c r="N263" s="103"/>
      <c r="O263" s="103"/>
      <c r="P263" s="103">
        <f>E263+J263</f>
        <v>4321300</v>
      </c>
      <c r="Q263" s="178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</row>
    <row r="264" spans="1:528" s="27" customFormat="1" ht="37.5" customHeight="1" x14ac:dyDescent="0.25">
      <c r="A264" s="114" t="s">
        <v>215</v>
      </c>
      <c r="B264" s="116"/>
      <c r="C264" s="116"/>
      <c r="D264" s="111" t="s">
        <v>40</v>
      </c>
      <c r="E264" s="99">
        <f>E265</f>
        <v>21443300</v>
      </c>
      <c r="F264" s="99">
        <f t="shared" ref="F264:J264" si="142">F265</f>
        <v>20943300</v>
      </c>
      <c r="G264" s="99">
        <f t="shared" si="142"/>
        <v>14962200</v>
      </c>
      <c r="H264" s="99">
        <f t="shared" si="142"/>
        <v>286600</v>
      </c>
      <c r="I264" s="99">
        <f t="shared" si="142"/>
        <v>500000</v>
      </c>
      <c r="J264" s="99">
        <f t="shared" si="142"/>
        <v>83000</v>
      </c>
      <c r="K264" s="99">
        <f t="shared" ref="K264" si="143">K265</f>
        <v>83000</v>
      </c>
      <c r="L264" s="99">
        <f t="shared" ref="L264" si="144">L265</f>
        <v>0</v>
      </c>
      <c r="M264" s="99">
        <f t="shared" ref="M264" si="145">M265</f>
        <v>0</v>
      </c>
      <c r="N264" s="99">
        <f t="shared" ref="N264" si="146">N265</f>
        <v>0</v>
      </c>
      <c r="O264" s="99">
        <f t="shared" ref="O264" si="147">O265</f>
        <v>83000</v>
      </c>
      <c r="P264" s="99">
        <f>P265</f>
        <v>21526300</v>
      </c>
      <c r="Q264" s="178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  <c r="IT264" s="32"/>
      <c r="IU264" s="32"/>
      <c r="IV264" s="32"/>
      <c r="IW264" s="32"/>
      <c r="IX264" s="32"/>
      <c r="IY264" s="32"/>
      <c r="IZ264" s="32"/>
      <c r="JA264" s="32"/>
      <c r="JB264" s="32"/>
      <c r="JC264" s="32"/>
      <c r="JD264" s="32"/>
      <c r="JE264" s="32"/>
      <c r="JF264" s="32"/>
      <c r="JG264" s="32"/>
      <c r="JH264" s="32"/>
      <c r="JI264" s="32"/>
      <c r="JJ264" s="32"/>
      <c r="JK264" s="32"/>
      <c r="JL264" s="32"/>
      <c r="JM264" s="32"/>
      <c r="JN264" s="32"/>
      <c r="JO264" s="32"/>
      <c r="JP264" s="32"/>
      <c r="JQ264" s="32"/>
      <c r="JR264" s="32"/>
      <c r="JS264" s="32"/>
      <c r="JT264" s="32"/>
      <c r="JU264" s="32"/>
      <c r="JV264" s="32"/>
      <c r="JW264" s="32"/>
      <c r="JX264" s="32"/>
      <c r="JY264" s="32"/>
      <c r="JZ264" s="32"/>
      <c r="KA264" s="32"/>
      <c r="KB264" s="32"/>
      <c r="KC264" s="32"/>
      <c r="KD264" s="32"/>
      <c r="KE264" s="32"/>
      <c r="KF264" s="32"/>
      <c r="KG264" s="32"/>
      <c r="KH264" s="32"/>
      <c r="KI264" s="32"/>
      <c r="KJ264" s="32"/>
      <c r="KK264" s="32"/>
      <c r="KL264" s="32"/>
      <c r="KM264" s="32"/>
      <c r="KN264" s="32"/>
      <c r="KO264" s="32"/>
      <c r="KP264" s="32"/>
      <c r="KQ264" s="32"/>
      <c r="KR264" s="32"/>
      <c r="KS264" s="32"/>
      <c r="KT264" s="32"/>
      <c r="KU264" s="32"/>
      <c r="KV264" s="32"/>
      <c r="KW264" s="32"/>
      <c r="KX264" s="32"/>
      <c r="KY264" s="32"/>
      <c r="KZ264" s="32"/>
      <c r="LA264" s="32"/>
      <c r="LB264" s="32"/>
      <c r="LC264" s="32"/>
      <c r="LD264" s="32"/>
      <c r="LE264" s="32"/>
      <c r="LF264" s="32"/>
      <c r="LG264" s="32"/>
      <c r="LH264" s="32"/>
      <c r="LI264" s="32"/>
      <c r="LJ264" s="32"/>
      <c r="LK264" s="32"/>
      <c r="LL264" s="32"/>
      <c r="LM264" s="32"/>
      <c r="LN264" s="32"/>
      <c r="LO264" s="32"/>
      <c r="LP264" s="32"/>
      <c r="LQ264" s="32"/>
      <c r="LR264" s="32"/>
      <c r="LS264" s="32"/>
      <c r="LT264" s="32"/>
      <c r="LU264" s="32"/>
      <c r="LV264" s="32"/>
      <c r="LW264" s="32"/>
      <c r="LX264" s="32"/>
      <c r="LY264" s="32"/>
      <c r="LZ264" s="32"/>
      <c r="MA264" s="32"/>
      <c r="MB264" s="32"/>
      <c r="MC264" s="32"/>
      <c r="MD264" s="32"/>
      <c r="ME264" s="32"/>
      <c r="MF264" s="32"/>
      <c r="MG264" s="32"/>
      <c r="MH264" s="32"/>
      <c r="MI264" s="32"/>
      <c r="MJ264" s="32"/>
      <c r="MK264" s="32"/>
      <c r="ML264" s="32"/>
      <c r="MM264" s="32"/>
      <c r="MN264" s="32"/>
      <c r="MO264" s="32"/>
      <c r="MP264" s="32"/>
      <c r="MQ264" s="32"/>
      <c r="MR264" s="32"/>
      <c r="MS264" s="32"/>
      <c r="MT264" s="32"/>
      <c r="MU264" s="32"/>
      <c r="MV264" s="32"/>
      <c r="MW264" s="32"/>
      <c r="MX264" s="32"/>
      <c r="MY264" s="32"/>
      <c r="MZ264" s="32"/>
      <c r="NA264" s="32"/>
      <c r="NB264" s="32"/>
      <c r="NC264" s="32"/>
      <c r="ND264" s="32"/>
      <c r="NE264" s="32"/>
      <c r="NF264" s="32"/>
      <c r="NG264" s="32"/>
      <c r="NH264" s="32"/>
      <c r="NI264" s="32"/>
      <c r="NJ264" s="32"/>
      <c r="NK264" s="32"/>
      <c r="NL264" s="32"/>
      <c r="NM264" s="32"/>
      <c r="NN264" s="32"/>
      <c r="NO264" s="32"/>
      <c r="NP264" s="32"/>
      <c r="NQ264" s="32"/>
      <c r="NR264" s="32"/>
      <c r="NS264" s="32"/>
      <c r="NT264" s="32"/>
      <c r="NU264" s="32"/>
      <c r="NV264" s="32"/>
      <c r="NW264" s="32"/>
      <c r="NX264" s="32"/>
      <c r="NY264" s="32"/>
      <c r="NZ264" s="32"/>
      <c r="OA264" s="32"/>
      <c r="OB264" s="32"/>
      <c r="OC264" s="32"/>
      <c r="OD264" s="32"/>
      <c r="OE264" s="32"/>
      <c r="OF264" s="32"/>
      <c r="OG264" s="32"/>
      <c r="OH264" s="32"/>
      <c r="OI264" s="32"/>
      <c r="OJ264" s="32"/>
      <c r="OK264" s="32"/>
      <c r="OL264" s="32"/>
      <c r="OM264" s="32"/>
      <c r="ON264" s="32"/>
      <c r="OO264" s="32"/>
      <c r="OP264" s="32"/>
      <c r="OQ264" s="32"/>
      <c r="OR264" s="32"/>
      <c r="OS264" s="32"/>
      <c r="OT264" s="32"/>
      <c r="OU264" s="32"/>
      <c r="OV264" s="32"/>
      <c r="OW264" s="32"/>
      <c r="OX264" s="32"/>
      <c r="OY264" s="32"/>
      <c r="OZ264" s="32"/>
      <c r="PA264" s="32"/>
      <c r="PB264" s="32"/>
      <c r="PC264" s="32"/>
      <c r="PD264" s="32"/>
      <c r="PE264" s="32"/>
      <c r="PF264" s="32"/>
      <c r="PG264" s="32"/>
      <c r="PH264" s="32"/>
      <c r="PI264" s="32"/>
      <c r="PJ264" s="32"/>
      <c r="PK264" s="32"/>
      <c r="PL264" s="32"/>
      <c r="PM264" s="32"/>
      <c r="PN264" s="32"/>
      <c r="PO264" s="32"/>
      <c r="PP264" s="32"/>
      <c r="PQ264" s="32"/>
      <c r="PR264" s="32"/>
      <c r="PS264" s="32"/>
      <c r="PT264" s="32"/>
      <c r="PU264" s="32"/>
      <c r="PV264" s="32"/>
      <c r="PW264" s="32"/>
      <c r="PX264" s="32"/>
      <c r="PY264" s="32"/>
      <c r="PZ264" s="32"/>
      <c r="QA264" s="32"/>
      <c r="QB264" s="32"/>
      <c r="QC264" s="32"/>
      <c r="QD264" s="32"/>
      <c r="QE264" s="32"/>
      <c r="QF264" s="32"/>
      <c r="QG264" s="32"/>
      <c r="QH264" s="32"/>
      <c r="QI264" s="32"/>
      <c r="QJ264" s="32"/>
      <c r="QK264" s="32"/>
      <c r="QL264" s="32"/>
      <c r="QM264" s="32"/>
      <c r="QN264" s="32"/>
      <c r="QO264" s="32"/>
      <c r="QP264" s="32"/>
      <c r="QQ264" s="32"/>
      <c r="QR264" s="32"/>
      <c r="QS264" s="32"/>
      <c r="QT264" s="32"/>
      <c r="QU264" s="32"/>
      <c r="QV264" s="32"/>
      <c r="QW264" s="32"/>
      <c r="QX264" s="32"/>
      <c r="QY264" s="32"/>
      <c r="QZ264" s="32"/>
      <c r="RA264" s="32"/>
      <c r="RB264" s="32"/>
      <c r="RC264" s="32"/>
      <c r="RD264" s="32"/>
      <c r="RE264" s="32"/>
      <c r="RF264" s="32"/>
      <c r="RG264" s="32"/>
      <c r="RH264" s="32"/>
      <c r="RI264" s="32"/>
      <c r="RJ264" s="32"/>
      <c r="RK264" s="32"/>
      <c r="RL264" s="32"/>
      <c r="RM264" s="32"/>
      <c r="RN264" s="32"/>
      <c r="RO264" s="32"/>
      <c r="RP264" s="32"/>
      <c r="RQ264" s="32"/>
      <c r="RR264" s="32"/>
      <c r="RS264" s="32"/>
      <c r="RT264" s="32"/>
      <c r="RU264" s="32"/>
      <c r="RV264" s="32"/>
      <c r="RW264" s="32"/>
      <c r="RX264" s="32"/>
      <c r="RY264" s="32"/>
      <c r="RZ264" s="32"/>
      <c r="SA264" s="32"/>
      <c r="SB264" s="32"/>
      <c r="SC264" s="32"/>
      <c r="SD264" s="32"/>
      <c r="SE264" s="32"/>
      <c r="SF264" s="32"/>
      <c r="SG264" s="32"/>
      <c r="SH264" s="32"/>
      <c r="SI264" s="32"/>
      <c r="SJ264" s="32"/>
      <c r="SK264" s="32"/>
      <c r="SL264" s="32"/>
      <c r="SM264" s="32"/>
      <c r="SN264" s="32"/>
      <c r="SO264" s="32"/>
      <c r="SP264" s="32"/>
      <c r="SQ264" s="32"/>
      <c r="SR264" s="32"/>
      <c r="SS264" s="32"/>
      <c r="ST264" s="32"/>
      <c r="SU264" s="32"/>
      <c r="SV264" s="32"/>
      <c r="SW264" s="32"/>
      <c r="SX264" s="32"/>
      <c r="SY264" s="32"/>
      <c r="SZ264" s="32"/>
      <c r="TA264" s="32"/>
      <c r="TB264" s="32"/>
      <c r="TC264" s="32"/>
      <c r="TD264" s="32"/>
      <c r="TE264" s="32"/>
      <c r="TF264" s="32"/>
      <c r="TG264" s="32"/>
      <c r="TH264" s="32"/>
    </row>
    <row r="265" spans="1:528" s="34" customFormat="1" ht="33.75" customHeight="1" x14ac:dyDescent="0.25">
      <c r="A265" s="100" t="s">
        <v>216</v>
      </c>
      <c r="B265" s="113"/>
      <c r="C265" s="113"/>
      <c r="D265" s="81" t="s">
        <v>40</v>
      </c>
      <c r="E265" s="102">
        <f>E266+E267++E268+E269+E270+E271</f>
        <v>21443300</v>
      </c>
      <c r="F265" s="102">
        <f t="shared" ref="F265:P265" si="148">F266+F267++F268+F269+F270+F271</f>
        <v>20943300</v>
      </c>
      <c r="G265" s="102">
        <f t="shared" si="148"/>
        <v>14962200</v>
      </c>
      <c r="H265" s="102">
        <f t="shared" si="148"/>
        <v>286600</v>
      </c>
      <c r="I265" s="102">
        <f t="shared" si="148"/>
        <v>500000</v>
      </c>
      <c r="J265" s="102">
        <f t="shared" si="148"/>
        <v>83000</v>
      </c>
      <c r="K265" s="102">
        <f>K266+K267++K268+K269+K270+K271</f>
        <v>83000</v>
      </c>
      <c r="L265" s="102">
        <f t="shared" si="148"/>
        <v>0</v>
      </c>
      <c r="M265" s="102">
        <f t="shared" si="148"/>
        <v>0</v>
      </c>
      <c r="N265" s="102">
        <f t="shared" si="148"/>
        <v>0</v>
      </c>
      <c r="O265" s="102">
        <f t="shared" si="148"/>
        <v>83000</v>
      </c>
      <c r="P265" s="102">
        <f t="shared" si="148"/>
        <v>21526300</v>
      </c>
      <c r="Q265" s="178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  <c r="IT265" s="33"/>
      <c r="IU265" s="33"/>
      <c r="IV265" s="33"/>
      <c r="IW265" s="33"/>
      <c r="IX265" s="33"/>
      <c r="IY265" s="33"/>
      <c r="IZ265" s="33"/>
      <c r="JA265" s="33"/>
      <c r="JB265" s="33"/>
      <c r="JC265" s="33"/>
      <c r="JD265" s="33"/>
      <c r="JE265" s="33"/>
      <c r="JF265" s="33"/>
      <c r="JG265" s="33"/>
      <c r="JH265" s="33"/>
      <c r="JI265" s="33"/>
      <c r="JJ265" s="33"/>
      <c r="JK265" s="33"/>
      <c r="JL265" s="33"/>
      <c r="JM265" s="33"/>
      <c r="JN265" s="33"/>
      <c r="JO265" s="33"/>
      <c r="JP265" s="33"/>
      <c r="JQ265" s="33"/>
      <c r="JR265" s="33"/>
      <c r="JS265" s="33"/>
      <c r="JT265" s="33"/>
      <c r="JU265" s="33"/>
      <c r="JV265" s="33"/>
      <c r="JW265" s="33"/>
      <c r="JX265" s="33"/>
      <c r="JY265" s="33"/>
      <c r="JZ265" s="33"/>
      <c r="KA265" s="33"/>
      <c r="KB265" s="33"/>
      <c r="KC265" s="33"/>
      <c r="KD265" s="33"/>
      <c r="KE265" s="33"/>
      <c r="KF265" s="33"/>
      <c r="KG265" s="33"/>
      <c r="KH265" s="33"/>
      <c r="KI265" s="33"/>
      <c r="KJ265" s="33"/>
      <c r="KK265" s="33"/>
      <c r="KL265" s="33"/>
      <c r="KM265" s="33"/>
      <c r="KN265" s="33"/>
      <c r="KO265" s="33"/>
      <c r="KP265" s="33"/>
      <c r="KQ265" s="33"/>
      <c r="KR265" s="33"/>
      <c r="KS265" s="33"/>
      <c r="KT265" s="33"/>
      <c r="KU265" s="33"/>
      <c r="KV265" s="33"/>
      <c r="KW265" s="33"/>
      <c r="KX265" s="33"/>
      <c r="KY265" s="33"/>
      <c r="KZ265" s="33"/>
      <c r="LA265" s="33"/>
      <c r="LB265" s="33"/>
      <c r="LC265" s="33"/>
      <c r="LD265" s="33"/>
      <c r="LE265" s="33"/>
      <c r="LF265" s="33"/>
      <c r="LG265" s="33"/>
      <c r="LH265" s="33"/>
      <c r="LI265" s="33"/>
      <c r="LJ265" s="33"/>
      <c r="LK265" s="33"/>
      <c r="LL265" s="33"/>
      <c r="LM265" s="33"/>
      <c r="LN265" s="33"/>
      <c r="LO265" s="33"/>
      <c r="LP265" s="33"/>
      <c r="LQ265" s="33"/>
      <c r="LR265" s="33"/>
      <c r="LS265" s="33"/>
      <c r="LT265" s="33"/>
      <c r="LU265" s="33"/>
      <c r="LV265" s="33"/>
      <c r="LW265" s="33"/>
      <c r="LX265" s="33"/>
      <c r="LY265" s="33"/>
      <c r="LZ265" s="33"/>
      <c r="MA265" s="33"/>
      <c r="MB265" s="33"/>
      <c r="MC265" s="33"/>
      <c r="MD265" s="33"/>
      <c r="ME265" s="33"/>
      <c r="MF265" s="33"/>
      <c r="MG265" s="33"/>
      <c r="MH265" s="33"/>
      <c r="MI265" s="33"/>
      <c r="MJ265" s="33"/>
      <c r="MK265" s="33"/>
      <c r="ML265" s="33"/>
      <c r="MM265" s="33"/>
      <c r="MN265" s="33"/>
      <c r="MO265" s="33"/>
      <c r="MP265" s="33"/>
      <c r="MQ265" s="33"/>
      <c r="MR265" s="33"/>
      <c r="MS265" s="33"/>
      <c r="MT265" s="33"/>
      <c r="MU265" s="33"/>
      <c r="MV265" s="33"/>
      <c r="MW265" s="33"/>
      <c r="MX265" s="33"/>
      <c r="MY265" s="33"/>
      <c r="MZ265" s="33"/>
      <c r="NA265" s="33"/>
      <c r="NB265" s="33"/>
      <c r="NC265" s="33"/>
      <c r="ND265" s="33"/>
      <c r="NE265" s="33"/>
      <c r="NF265" s="33"/>
      <c r="NG265" s="33"/>
      <c r="NH265" s="33"/>
      <c r="NI265" s="33"/>
      <c r="NJ265" s="33"/>
      <c r="NK265" s="33"/>
      <c r="NL265" s="33"/>
      <c r="NM265" s="33"/>
      <c r="NN265" s="33"/>
      <c r="NO265" s="33"/>
      <c r="NP265" s="33"/>
      <c r="NQ265" s="33"/>
      <c r="NR265" s="33"/>
      <c r="NS265" s="33"/>
      <c r="NT265" s="33"/>
      <c r="NU265" s="33"/>
      <c r="NV265" s="33"/>
      <c r="NW265" s="33"/>
      <c r="NX265" s="33"/>
      <c r="NY265" s="33"/>
      <c r="NZ265" s="33"/>
      <c r="OA265" s="33"/>
      <c r="OB265" s="33"/>
      <c r="OC265" s="33"/>
      <c r="OD265" s="33"/>
      <c r="OE265" s="33"/>
      <c r="OF265" s="33"/>
      <c r="OG265" s="33"/>
      <c r="OH265" s="33"/>
      <c r="OI265" s="33"/>
      <c r="OJ265" s="33"/>
      <c r="OK265" s="33"/>
      <c r="OL265" s="33"/>
      <c r="OM265" s="33"/>
      <c r="ON265" s="33"/>
      <c r="OO265" s="33"/>
      <c r="OP265" s="33"/>
      <c r="OQ265" s="33"/>
      <c r="OR265" s="33"/>
      <c r="OS265" s="33"/>
      <c r="OT265" s="33"/>
      <c r="OU265" s="33"/>
      <c r="OV265" s="33"/>
      <c r="OW265" s="33"/>
      <c r="OX265" s="33"/>
      <c r="OY265" s="33"/>
      <c r="OZ265" s="33"/>
      <c r="PA265" s="33"/>
      <c r="PB265" s="33"/>
      <c r="PC265" s="33"/>
      <c r="PD265" s="33"/>
      <c r="PE265" s="33"/>
      <c r="PF265" s="33"/>
      <c r="PG265" s="33"/>
      <c r="PH265" s="33"/>
      <c r="PI265" s="33"/>
      <c r="PJ265" s="33"/>
      <c r="PK265" s="33"/>
      <c r="PL265" s="33"/>
      <c r="PM265" s="33"/>
      <c r="PN265" s="33"/>
      <c r="PO265" s="33"/>
      <c r="PP265" s="33"/>
      <c r="PQ265" s="33"/>
      <c r="PR265" s="33"/>
      <c r="PS265" s="33"/>
      <c r="PT265" s="33"/>
      <c r="PU265" s="33"/>
      <c r="PV265" s="33"/>
      <c r="PW265" s="33"/>
      <c r="PX265" s="33"/>
      <c r="PY265" s="33"/>
      <c r="PZ265" s="33"/>
      <c r="QA265" s="33"/>
      <c r="QB265" s="33"/>
      <c r="QC265" s="33"/>
      <c r="QD265" s="33"/>
      <c r="QE265" s="33"/>
      <c r="QF265" s="33"/>
      <c r="QG265" s="33"/>
      <c r="QH265" s="33"/>
      <c r="QI265" s="33"/>
      <c r="QJ265" s="33"/>
      <c r="QK265" s="33"/>
      <c r="QL265" s="33"/>
      <c r="QM265" s="33"/>
      <c r="QN265" s="33"/>
      <c r="QO265" s="33"/>
      <c r="QP265" s="33"/>
      <c r="QQ265" s="33"/>
      <c r="QR265" s="33"/>
      <c r="QS265" s="33"/>
      <c r="QT265" s="33"/>
      <c r="QU265" s="33"/>
      <c r="QV265" s="33"/>
      <c r="QW265" s="33"/>
      <c r="QX265" s="33"/>
      <c r="QY265" s="33"/>
      <c r="QZ265" s="33"/>
      <c r="RA265" s="33"/>
      <c r="RB265" s="33"/>
      <c r="RC265" s="33"/>
      <c r="RD265" s="33"/>
      <c r="RE265" s="33"/>
      <c r="RF265" s="33"/>
      <c r="RG265" s="33"/>
      <c r="RH265" s="33"/>
      <c r="RI265" s="33"/>
      <c r="RJ265" s="33"/>
      <c r="RK265" s="33"/>
      <c r="RL265" s="33"/>
      <c r="RM265" s="33"/>
      <c r="RN265" s="33"/>
      <c r="RO265" s="33"/>
      <c r="RP265" s="33"/>
      <c r="RQ265" s="33"/>
      <c r="RR265" s="33"/>
      <c r="RS265" s="33"/>
      <c r="RT265" s="33"/>
      <c r="RU265" s="33"/>
      <c r="RV265" s="33"/>
      <c r="RW265" s="33"/>
      <c r="RX265" s="33"/>
      <c r="RY265" s="33"/>
      <c r="RZ265" s="33"/>
      <c r="SA265" s="33"/>
      <c r="SB265" s="33"/>
      <c r="SC265" s="33"/>
      <c r="SD265" s="33"/>
      <c r="SE265" s="33"/>
      <c r="SF265" s="33"/>
      <c r="SG265" s="33"/>
      <c r="SH265" s="33"/>
      <c r="SI265" s="33"/>
      <c r="SJ265" s="33"/>
      <c r="SK265" s="33"/>
      <c r="SL265" s="33"/>
      <c r="SM265" s="33"/>
      <c r="SN265" s="33"/>
      <c r="SO265" s="33"/>
      <c r="SP265" s="33"/>
      <c r="SQ265" s="33"/>
      <c r="SR265" s="33"/>
      <c r="SS265" s="33"/>
      <c r="ST265" s="33"/>
      <c r="SU265" s="33"/>
      <c r="SV265" s="33"/>
      <c r="SW265" s="33"/>
      <c r="SX265" s="33"/>
      <c r="SY265" s="33"/>
      <c r="SZ265" s="33"/>
      <c r="TA265" s="33"/>
      <c r="TB265" s="33"/>
      <c r="TC265" s="33"/>
      <c r="TD265" s="33"/>
      <c r="TE265" s="33"/>
      <c r="TF265" s="33"/>
      <c r="TG265" s="33"/>
      <c r="TH265" s="33"/>
    </row>
    <row r="266" spans="1:528" s="22" customFormat="1" ht="47.25" x14ac:dyDescent="0.25">
      <c r="A266" s="60" t="s">
        <v>217</v>
      </c>
      <c r="B266" s="97" t="str">
        <f>'дод 8'!A19</f>
        <v>0160</v>
      </c>
      <c r="C266" s="97" t="str">
        <f>'дод 8'!B19</f>
        <v>0111</v>
      </c>
      <c r="D266" s="36" t="s">
        <v>504</v>
      </c>
      <c r="E266" s="103">
        <f t="shared" ref="E266:E271" si="149">F266+I266</f>
        <v>19290300</v>
      </c>
      <c r="F266" s="103">
        <v>19290300</v>
      </c>
      <c r="G266" s="103">
        <v>14962200</v>
      </c>
      <c r="H266" s="103">
        <v>286600</v>
      </c>
      <c r="I266" s="103"/>
      <c r="J266" s="103">
        <f>L266+O266</f>
        <v>18000</v>
      </c>
      <c r="K266" s="103">
        <v>18000</v>
      </c>
      <c r="L266" s="103"/>
      <c r="M266" s="103"/>
      <c r="N266" s="103"/>
      <c r="O266" s="103">
        <v>18000</v>
      </c>
      <c r="P266" s="103">
        <f t="shared" ref="P266:P271" si="150">E266+J266</f>
        <v>19308300</v>
      </c>
      <c r="Q266" s="178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</row>
    <row r="267" spans="1:528" s="25" customFormat="1" ht="25.5" customHeight="1" x14ac:dyDescent="0.25">
      <c r="A267" s="60" t="s">
        <v>218</v>
      </c>
      <c r="B267" s="97" t="str">
        <f>'дод 8'!A153</f>
        <v>7130</v>
      </c>
      <c r="C267" s="97" t="str">
        <f>'дод 8'!B153</f>
        <v>0421</v>
      </c>
      <c r="D267" s="61" t="str">
        <f>'дод 8'!C153</f>
        <v>Здійснення заходів із землеустрою</v>
      </c>
      <c r="E267" s="103">
        <f t="shared" si="149"/>
        <v>450000</v>
      </c>
      <c r="F267" s="103">
        <f>150000+300000</f>
        <v>450000</v>
      </c>
      <c r="G267" s="103"/>
      <c r="H267" s="103"/>
      <c r="I267" s="103"/>
      <c r="J267" s="103">
        <f t="shared" ref="J267:J271" si="151">L267+O267</f>
        <v>0</v>
      </c>
      <c r="K267" s="103"/>
      <c r="L267" s="103"/>
      <c r="M267" s="103"/>
      <c r="N267" s="103"/>
      <c r="O267" s="103"/>
      <c r="P267" s="103">
        <f t="shared" si="150"/>
        <v>450000</v>
      </c>
      <c r="Q267" s="178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/>
      <c r="KY267" s="31"/>
      <c r="KZ267" s="31"/>
      <c r="LA267" s="31"/>
      <c r="LB267" s="31"/>
      <c r="LC267" s="31"/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  <c r="OP267" s="31"/>
      <c r="OQ267" s="31"/>
      <c r="OR267" s="31"/>
      <c r="OS267" s="31"/>
      <c r="OT267" s="31"/>
      <c r="OU267" s="31"/>
      <c r="OV267" s="31"/>
      <c r="OW267" s="31"/>
      <c r="OX267" s="31"/>
      <c r="OY267" s="31"/>
      <c r="OZ267" s="31"/>
      <c r="PA267" s="31"/>
      <c r="PB267" s="31"/>
      <c r="PC267" s="31"/>
      <c r="PD267" s="31"/>
      <c r="PE267" s="31"/>
      <c r="PF267" s="31"/>
      <c r="PG267" s="31"/>
      <c r="PH267" s="31"/>
      <c r="PI267" s="31"/>
      <c r="PJ267" s="31"/>
      <c r="PK267" s="31"/>
      <c r="PL267" s="31"/>
      <c r="PM267" s="31"/>
      <c r="PN267" s="31"/>
      <c r="PO267" s="31"/>
      <c r="PP267" s="31"/>
      <c r="PQ267" s="31"/>
      <c r="PR267" s="31"/>
      <c r="PS267" s="31"/>
      <c r="PT267" s="31"/>
      <c r="PU267" s="31"/>
      <c r="PV267" s="31"/>
      <c r="PW267" s="31"/>
      <c r="PX267" s="31"/>
      <c r="PY267" s="31"/>
      <c r="PZ267" s="31"/>
      <c r="QA267" s="31"/>
      <c r="QB267" s="31"/>
      <c r="QC267" s="31"/>
      <c r="QD267" s="31"/>
      <c r="QE267" s="31"/>
      <c r="QF267" s="31"/>
      <c r="QG267" s="31"/>
      <c r="QH267" s="31"/>
      <c r="QI267" s="31"/>
      <c r="QJ267" s="31"/>
      <c r="QK267" s="31"/>
      <c r="QL267" s="31"/>
      <c r="QM267" s="31"/>
      <c r="QN267" s="31"/>
      <c r="QO267" s="31"/>
      <c r="QP267" s="31"/>
      <c r="QQ267" s="31"/>
      <c r="QR267" s="31"/>
      <c r="QS267" s="31"/>
      <c r="QT267" s="31"/>
      <c r="QU267" s="31"/>
      <c r="QV267" s="31"/>
      <c r="QW267" s="31"/>
      <c r="QX267" s="31"/>
      <c r="QY267" s="31"/>
      <c r="QZ267" s="31"/>
      <c r="RA267" s="31"/>
      <c r="RB267" s="31"/>
      <c r="RC267" s="31"/>
      <c r="RD267" s="31"/>
      <c r="RE267" s="31"/>
      <c r="RF267" s="31"/>
      <c r="RG267" s="31"/>
      <c r="RH267" s="31"/>
      <c r="RI267" s="31"/>
      <c r="RJ267" s="31"/>
      <c r="RK267" s="31"/>
      <c r="RL267" s="31"/>
      <c r="RM267" s="31"/>
      <c r="RN267" s="31"/>
      <c r="RO267" s="31"/>
      <c r="RP267" s="31"/>
      <c r="RQ267" s="31"/>
      <c r="RR267" s="31"/>
      <c r="RS267" s="31"/>
      <c r="RT267" s="31"/>
      <c r="RU267" s="31"/>
      <c r="RV267" s="31"/>
      <c r="RW267" s="31"/>
      <c r="RX267" s="31"/>
      <c r="RY267" s="31"/>
      <c r="RZ267" s="31"/>
      <c r="SA267" s="31"/>
      <c r="SB267" s="31"/>
      <c r="SC267" s="31"/>
      <c r="SD267" s="31"/>
      <c r="SE267" s="31"/>
      <c r="SF267" s="31"/>
      <c r="SG267" s="31"/>
      <c r="SH267" s="31"/>
      <c r="SI267" s="31"/>
      <c r="SJ267" s="31"/>
      <c r="SK267" s="31"/>
      <c r="SL267" s="31"/>
      <c r="SM267" s="31"/>
      <c r="SN267" s="31"/>
      <c r="SO267" s="31"/>
      <c r="SP267" s="31"/>
      <c r="SQ267" s="31"/>
      <c r="SR267" s="31"/>
      <c r="SS267" s="31"/>
      <c r="ST267" s="31"/>
      <c r="SU267" s="31"/>
      <c r="SV267" s="31"/>
      <c r="SW267" s="31"/>
      <c r="SX267" s="31"/>
      <c r="SY267" s="31"/>
      <c r="SZ267" s="31"/>
      <c r="TA267" s="31"/>
      <c r="TB267" s="31"/>
      <c r="TC267" s="31"/>
      <c r="TD267" s="31"/>
      <c r="TE267" s="31"/>
      <c r="TF267" s="31"/>
      <c r="TG267" s="31"/>
      <c r="TH267" s="31"/>
    </row>
    <row r="268" spans="1:528" s="22" customFormat="1" ht="29.25" customHeight="1" x14ac:dyDescent="0.25">
      <c r="A268" s="107" t="s">
        <v>219</v>
      </c>
      <c r="B268" s="42" t="str">
        <f>'дод 8'!A186</f>
        <v>7610</v>
      </c>
      <c r="C268" s="42" t="str">
        <f>'дод 8'!B186</f>
        <v>0411</v>
      </c>
      <c r="D268" s="36" t="str">
        <f>'дод 8'!C186</f>
        <v>Сприяння розвитку малого та середнього підприємництва</v>
      </c>
      <c r="E268" s="103">
        <f t="shared" si="149"/>
        <v>915000</v>
      </c>
      <c r="F268" s="103">
        <v>415000</v>
      </c>
      <c r="G268" s="103"/>
      <c r="H268" s="103"/>
      <c r="I268" s="103">
        <v>500000</v>
      </c>
      <c r="J268" s="103">
        <f t="shared" si="151"/>
        <v>0</v>
      </c>
      <c r="K268" s="103"/>
      <c r="L268" s="103"/>
      <c r="M268" s="103"/>
      <c r="N268" s="103"/>
      <c r="O268" s="103"/>
      <c r="P268" s="103">
        <f t="shared" si="150"/>
        <v>915000</v>
      </c>
      <c r="Q268" s="178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  <c r="TH268" s="23"/>
    </row>
    <row r="269" spans="1:528" s="22" customFormat="1" ht="32.25" customHeight="1" x14ac:dyDescent="0.25">
      <c r="A269" s="107" t="s">
        <v>268</v>
      </c>
      <c r="B269" s="42" t="str">
        <f>'дод 8'!A189</f>
        <v>7650</v>
      </c>
      <c r="C269" s="42" t="str">
        <f>'дод 8'!B189</f>
        <v>0490</v>
      </c>
      <c r="D269" s="36" t="str">
        <f>'дод 8'!C189</f>
        <v>Проведення експертної грошової оцінки земельної ділянки чи права на неї</v>
      </c>
      <c r="E269" s="103">
        <f t="shared" si="149"/>
        <v>0</v>
      </c>
      <c r="F269" s="103"/>
      <c r="G269" s="103"/>
      <c r="H269" s="103"/>
      <c r="I269" s="103"/>
      <c r="J269" s="103">
        <f t="shared" si="151"/>
        <v>20000</v>
      </c>
      <c r="K269" s="103">
        <v>20000</v>
      </c>
      <c r="L269" s="103"/>
      <c r="M269" s="103"/>
      <c r="N269" s="103"/>
      <c r="O269" s="103">
        <v>20000</v>
      </c>
      <c r="P269" s="103">
        <f t="shared" si="150"/>
        <v>20000</v>
      </c>
      <c r="Q269" s="178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  <c r="TH269" s="23"/>
    </row>
    <row r="270" spans="1:528" s="22" customFormat="1" ht="67.5" customHeight="1" x14ac:dyDescent="0.25">
      <c r="A270" s="107" t="s">
        <v>270</v>
      </c>
      <c r="B270" s="42" t="str">
        <f>'дод 8'!A190</f>
        <v>7660</v>
      </c>
      <c r="C270" s="42" t="str">
        <f>'дод 8'!B190</f>
        <v>0490</v>
      </c>
      <c r="D270" s="36" t="str">
        <f>'дод 8'!C190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70" s="103">
        <f t="shared" si="149"/>
        <v>0</v>
      </c>
      <c r="F270" s="103"/>
      <c r="G270" s="103"/>
      <c r="H270" s="103"/>
      <c r="I270" s="103"/>
      <c r="J270" s="103">
        <f t="shared" si="151"/>
        <v>45000</v>
      </c>
      <c r="K270" s="103">
        <v>45000</v>
      </c>
      <c r="L270" s="103"/>
      <c r="M270" s="103"/>
      <c r="N270" s="103"/>
      <c r="O270" s="103">
        <v>45000</v>
      </c>
      <c r="P270" s="103">
        <f t="shared" si="150"/>
        <v>45000</v>
      </c>
      <c r="Q270" s="178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  <c r="TH270" s="23"/>
    </row>
    <row r="271" spans="1:528" s="22" customFormat="1" ht="23.25" customHeight="1" x14ac:dyDescent="0.25">
      <c r="A271" s="107" t="s">
        <v>266</v>
      </c>
      <c r="B271" s="42" t="str">
        <f>'дод 8'!A195</f>
        <v>7693</v>
      </c>
      <c r="C271" s="42" t="str">
        <f>'дод 8'!B195</f>
        <v>0490</v>
      </c>
      <c r="D271" s="36" t="str">
        <f>'дод 8'!C195</f>
        <v>Інші заходи, пов'язані з економічною діяльністю</v>
      </c>
      <c r="E271" s="103">
        <f t="shared" si="149"/>
        <v>788000</v>
      </c>
      <c r="F271" s="103">
        <f>788000</f>
        <v>788000</v>
      </c>
      <c r="G271" s="103"/>
      <c r="H271" s="103"/>
      <c r="I271" s="103"/>
      <c r="J271" s="103">
        <f t="shared" si="151"/>
        <v>0</v>
      </c>
      <c r="K271" s="103"/>
      <c r="L271" s="103"/>
      <c r="M271" s="103"/>
      <c r="N271" s="103"/>
      <c r="O271" s="103"/>
      <c r="P271" s="103">
        <f t="shared" si="150"/>
        <v>788000</v>
      </c>
      <c r="Q271" s="178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  <c r="TH271" s="23"/>
    </row>
    <row r="272" spans="1:528" s="22" customFormat="1" ht="35.25" customHeight="1" x14ac:dyDescent="0.25">
      <c r="A272" s="110" t="s">
        <v>428</v>
      </c>
      <c r="B272" s="39"/>
      <c r="C272" s="39"/>
      <c r="D272" s="111" t="s">
        <v>429</v>
      </c>
      <c r="E272" s="99">
        <f>E273</f>
        <v>20000</v>
      </c>
      <c r="F272" s="99">
        <f t="shared" ref="F272:P272" si="152">F273</f>
        <v>20000</v>
      </c>
      <c r="G272" s="99">
        <f t="shared" si="152"/>
        <v>0</v>
      </c>
      <c r="H272" s="99">
        <f t="shared" si="152"/>
        <v>0</v>
      </c>
      <c r="I272" s="99">
        <f t="shared" si="152"/>
        <v>0</v>
      </c>
      <c r="J272" s="99">
        <f t="shared" si="152"/>
        <v>0</v>
      </c>
      <c r="K272" s="99">
        <f t="shared" si="152"/>
        <v>0</v>
      </c>
      <c r="L272" s="99">
        <f t="shared" si="152"/>
        <v>0</v>
      </c>
      <c r="M272" s="99">
        <f t="shared" si="152"/>
        <v>0</v>
      </c>
      <c r="N272" s="99">
        <f t="shared" si="152"/>
        <v>0</v>
      </c>
      <c r="O272" s="99">
        <f t="shared" si="152"/>
        <v>0</v>
      </c>
      <c r="P272" s="99">
        <f t="shared" si="152"/>
        <v>20000</v>
      </c>
      <c r="Q272" s="178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  <c r="TH272" s="23"/>
    </row>
    <row r="273" spans="1:528" s="34" customFormat="1" ht="34.5" customHeight="1" x14ac:dyDescent="0.25">
      <c r="A273" s="112" t="s">
        <v>427</v>
      </c>
      <c r="B273" s="78"/>
      <c r="C273" s="78"/>
      <c r="D273" s="81" t="s">
        <v>429</v>
      </c>
      <c r="E273" s="102">
        <f>E274</f>
        <v>20000</v>
      </c>
      <c r="F273" s="102">
        <f t="shared" ref="F273:P273" si="153">F274</f>
        <v>20000</v>
      </c>
      <c r="G273" s="102">
        <f t="shared" si="153"/>
        <v>0</v>
      </c>
      <c r="H273" s="102">
        <f t="shared" si="153"/>
        <v>0</v>
      </c>
      <c r="I273" s="102">
        <f t="shared" si="153"/>
        <v>0</v>
      </c>
      <c r="J273" s="102">
        <f t="shared" si="153"/>
        <v>0</v>
      </c>
      <c r="K273" s="102">
        <f t="shared" si="153"/>
        <v>0</v>
      </c>
      <c r="L273" s="102">
        <f t="shared" si="153"/>
        <v>0</v>
      </c>
      <c r="M273" s="102">
        <f t="shared" si="153"/>
        <v>0</v>
      </c>
      <c r="N273" s="102">
        <f t="shared" si="153"/>
        <v>0</v>
      </c>
      <c r="O273" s="102">
        <f t="shared" si="153"/>
        <v>0</v>
      </c>
      <c r="P273" s="102">
        <f t="shared" si="153"/>
        <v>20000</v>
      </c>
      <c r="Q273" s="178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  <c r="SQ273" s="33"/>
      <c r="SR273" s="33"/>
      <c r="SS273" s="33"/>
      <c r="ST273" s="33"/>
      <c r="SU273" s="33"/>
      <c r="SV273" s="33"/>
      <c r="SW273" s="33"/>
      <c r="SX273" s="33"/>
      <c r="SY273" s="33"/>
      <c r="SZ273" s="33"/>
      <c r="TA273" s="33"/>
      <c r="TB273" s="33"/>
      <c r="TC273" s="33"/>
      <c r="TD273" s="33"/>
      <c r="TE273" s="33"/>
      <c r="TF273" s="33"/>
      <c r="TG273" s="33"/>
      <c r="TH273" s="33"/>
    </row>
    <row r="274" spans="1:528" s="22" customFormat="1" ht="42.75" customHeight="1" x14ac:dyDescent="0.25">
      <c r="A274" s="107" t="s">
        <v>426</v>
      </c>
      <c r="B274" s="107" t="s">
        <v>121</v>
      </c>
      <c r="C274" s="107" t="s">
        <v>47</v>
      </c>
      <c r="D274" s="36" t="s">
        <v>504</v>
      </c>
      <c r="E274" s="103">
        <f t="shared" ref="E274" si="154">F274+I274</f>
        <v>20000</v>
      </c>
      <c r="F274" s="103">
        <v>20000</v>
      </c>
      <c r="G274" s="103"/>
      <c r="H274" s="103"/>
      <c r="I274" s="103"/>
      <c r="J274" s="103">
        <f>L274+O274</f>
        <v>0</v>
      </c>
      <c r="K274" s="103"/>
      <c r="L274" s="103"/>
      <c r="M274" s="103"/>
      <c r="N274" s="103"/>
      <c r="O274" s="103"/>
      <c r="P274" s="103">
        <f t="shared" ref="P274" si="155">E274+J274</f>
        <v>20000</v>
      </c>
      <c r="Q274" s="178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  <c r="TH274" s="23"/>
    </row>
    <row r="275" spans="1:528" s="27" customFormat="1" ht="38.25" customHeight="1" x14ac:dyDescent="0.25">
      <c r="A275" s="114" t="s">
        <v>220</v>
      </c>
      <c r="B275" s="116"/>
      <c r="C275" s="116"/>
      <c r="D275" s="111" t="s">
        <v>42</v>
      </c>
      <c r="E275" s="99">
        <f>E276</f>
        <v>129283062.44</v>
      </c>
      <c r="F275" s="99">
        <f t="shared" ref="F275:J275" si="156">F276</f>
        <v>123811039</v>
      </c>
      <c r="G275" s="99">
        <f t="shared" si="156"/>
        <v>15760200</v>
      </c>
      <c r="H275" s="99">
        <f t="shared" si="156"/>
        <v>257700</v>
      </c>
      <c r="I275" s="99">
        <f t="shared" si="156"/>
        <v>0</v>
      </c>
      <c r="J275" s="99">
        <f t="shared" si="156"/>
        <v>103000</v>
      </c>
      <c r="K275" s="99">
        <f t="shared" ref="K275" si="157">K276</f>
        <v>0</v>
      </c>
      <c r="L275" s="99">
        <f t="shared" ref="L275" si="158">L276</f>
        <v>103000</v>
      </c>
      <c r="M275" s="99">
        <f t="shared" ref="M275" si="159">M276</f>
        <v>0</v>
      </c>
      <c r="N275" s="99">
        <f t="shared" ref="N275" si="160">N276</f>
        <v>0</v>
      </c>
      <c r="O275" s="99">
        <f t="shared" ref="O275:P275" si="161">O276</f>
        <v>0</v>
      </c>
      <c r="P275" s="99">
        <f t="shared" si="161"/>
        <v>129386062.44</v>
      </c>
      <c r="Q275" s="178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  <c r="SQ275" s="32"/>
      <c r="SR275" s="32"/>
      <c r="SS275" s="32"/>
      <c r="ST275" s="32"/>
      <c r="SU275" s="32"/>
      <c r="SV275" s="32"/>
      <c r="SW275" s="32"/>
      <c r="SX275" s="32"/>
      <c r="SY275" s="32"/>
      <c r="SZ275" s="32"/>
      <c r="TA275" s="32"/>
      <c r="TB275" s="32"/>
      <c r="TC275" s="32"/>
      <c r="TD275" s="32"/>
      <c r="TE275" s="32"/>
      <c r="TF275" s="32"/>
      <c r="TG275" s="32"/>
      <c r="TH275" s="32"/>
    </row>
    <row r="276" spans="1:528" s="34" customFormat="1" ht="34.5" customHeight="1" x14ac:dyDescent="0.25">
      <c r="A276" s="100" t="s">
        <v>221</v>
      </c>
      <c r="B276" s="113"/>
      <c r="C276" s="113"/>
      <c r="D276" s="81" t="s">
        <v>42</v>
      </c>
      <c r="E276" s="102">
        <f>SUM(E277+E278+E279+E281+E282+E283+E284+E280)</f>
        <v>129283062.44</v>
      </c>
      <c r="F276" s="102">
        <f t="shared" ref="F276:P276" si="162">SUM(F277+F278+F279+F281+F282+F283+F284+F280)</f>
        <v>123811039</v>
      </c>
      <c r="G276" s="102">
        <f t="shared" si="162"/>
        <v>15760200</v>
      </c>
      <c r="H276" s="102">
        <f t="shared" si="162"/>
        <v>257700</v>
      </c>
      <c r="I276" s="102">
        <f t="shared" si="162"/>
        <v>0</v>
      </c>
      <c r="J276" s="102">
        <f t="shared" si="162"/>
        <v>103000</v>
      </c>
      <c r="K276" s="102">
        <f t="shared" si="162"/>
        <v>0</v>
      </c>
      <c r="L276" s="102">
        <f t="shared" si="162"/>
        <v>103000</v>
      </c>
      <c r="M276" s="102">
        <f t="shared" si="162"/>
        <v>0</v>
      </c>
      <c r="N276" s="102">
        <f t="shared" si="162"/>
        <v>0</v>
      </c>
      <c r="O276" s="102">
        <f t="shared" si="162"/>
        <v>0</v>
      </c>
      <c r="P276" s="102">
        <f t="shared" si="162"/>
        <v>129386062.44</v>
      </c>
      <c r="Q276" s="178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  <c r="TG276" s="33"/>
      <c r="TH276" s="33"/>
    </row>
    <row r="277" spans="1:528" s="22" customFormat="1" ht="33.75" customHeight="1" x14ac:dyDescent="0.25">
      <c r="A277" s="60" t="s">
        <v>222</v>
      </c>
      <c r="B277" s="97" t="str">
        <f>'дод 8'!A19</f>
        <v>0160</v>
      </c>
      <c r="C277" s="97" t="str">
        <f>'дод 8'!B19</f>
        <v>0111</v>
      </c>
      <c r="D277" s="36" t="s">
        <v>504</v>
      </c>
      <c r="E277" s="103">
        <f t="shared" ref="E277:E282" si="163">F277+I277</f>
        <v>20122100</v>
      </c>
      <c r="F277" s="103">
        <f>20122100+1000000-1000000</f>
        <v>20122100</v>
      </c>
      <c r="G277" s="103">
        <v>15760200</v>
      </c>
      <c r="H277" s="103">
        <v>257700</v>
      </c>
      <c r="I277" s="103"/>
      <c r="J277" s="103">
        <f>L277+O277</f>
        <v>0</v>
      </c>
      <c r="K277" s="103"/>
      <c r="L277" s="103"/>
      <c r="M277" s="103"/>
      <c r="N277" s="103"/>
      <c r="O277" s="103"/>
      <c r="P277" s="103">
        <f t="shared" ref="P277:P284" si="164">E277+J277</f>
        <v>20122100</v>
      </c>
      <c r="Q277" s="178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  <c r="TH277" s="23"/>
    </row>
    <row r="278" spans="1:528" s="22" customFormat="1" ht="25.5" customHeight="1" x14ac:dyDescent="0.25">
      <c r="A278" s="60" t="s">
        <v>260</v>
      </c>
      <c r="B278" s="97" t="str">
        <f>'дод 8'!A187</f>
        <v>7640</v>
      </c>
      <c r="C278" s="97" t="str">
        <f>'дод 8'!B187</f>
        <v>0470</v>
      </c>
      <c r="D278" s="61" t="s">
        <v>424</v>
      </c>
      <c r="E278" s="103">
        <f t="shared" si="163"/>
        <v>426000</v>
      </c>
      <c r="F278" s="103">
        <v>426000</v>
      </c>
      <c r="G278" s="103"/>
      <c r="H278" s="103"/>
      <c r="I278" s="103"/>
      <c r="J278" s="103">
        <f t="shared" ref="J278:J284" si="165">L278+O278</f>
        <v>0</v>
      </c>
      <c r="K278" s="103"/>
      <c r="L278" s="103"/>
      <c r="M278" s="103"/>
      <c r="N278" s="103"/>
      <c r="O278" s="103"/>
      <c r="P278" s="103">
        <f t="shared" si="164"/>
        <v>426000</v>
      </c>
      <c r="Q278" s="178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  <c r="TH278" s="23"/>
    </row>
    <row r="279" spans="1:528" s="22" customFormat="1" ht="29.25" customHeight="1" x14ac:dyDescent="0.25">
      <c r="A279" s="60" t="s">
        <v>332</v>
      </c>
      <c r="B279" s="97" t="str">
        <f>'дод 8'!A195</f>
        <v>7693</v>
      </c>
      <c r="C279" s="97" t="str">
        <f>'дод 8'!B195</f>
        <v>0490</v>
      </c>
      <c r="D279" s="61" t="str">
        <f>'дод 8'!C195</f>
        <v>Інші заходи, пов'язані з економічною діяльністю</v>
      </c>
      <c r="E279" s="103">
        <f t="shared" si="163"/>
        <v>353000</v>
      </c>
      <c r="F279" s="103">
        <f>483750-130750</f>
        <v>353000</v>
      </c>
      <c r="G279" s="103"/>
      <c r="H279" s="103"/>
      <c r="I279" s="103"/>
      <c r="J279" s="103">
        <f t="shared" si="165"/>
        <v>0</v>
      </c>
      <c r="K279" s="103"/>
      <c r="L279" s="103"/>
      <c r="M279" s="103"/>
      <c r="N279" s="103"/>
      <c r="O279" s="103"/>
      <c r="P279" s="103">
        <f t="shared" si="164"/>
        <v>353000</v>
      </c>
      <c r="Q279" s="178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  <c r="TH279" s="23"/>
    </row>
    <row r="280" spans="1:528" s="22" customFormat="1" ht="42.75" customHeight="1" x14ac:dyDescent="0.25">
      <c r="A280" s="60">
        <v>3718330</v>
      </c>
      <c r="B280" s="97">
        <f>'дод 8'!A208</f>
        <v>8330</v>
      </c>
      <c r="C280" s="60" t="s">
        <v>94</v>
      </c>
      <c r="D280" s="61" t="str">
        <f>'дод 8'!C208</f>
        <v xml:space="preserve">Інша діяльність у сфері екології та охорони природних ресурсів </v>
      </c>
      <c r="E280" s="103">
        <f t="shared" si="163"/>
        <v>75000</v>
      </c>
      <c r="F280" s="103">
        <v>75000</v>
      </c>
      <c r="G280" s="103"/>
      <c r="H280" s="103"/>
      <c r="I280" s="103"/>
      <c r="J280" s="103">
        <f t="shared" si="165"/>
        <v>0</v>
      </c>
      <c r="K280" s="103"/>
      <c r="L280" s="103"/>
      <c r="M280" s="103"/>
      <c r="N280" s="103"/>
      <c r="O280" s="103"/>
      <c r="P280" s="103">
        <f t="shared" si="164"/>
        <v>75000</v>
      </c>
      <c r="Q280" s="178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  <c r="TH280" s="23"/>
    </row>
    <row r="281" spans="1:528" s="22" customFormat="1" ht="27.75" customHeight="1" x14ac:dyDescent="0.25">
      <c r="A281" s="60" t="s">
        <v>223</v>
      </c>
      <c r="B281" s="97" t="str">
        <f>'дод 8'!A209</f>
        <v>8340</v>
      </c>
      <c r="C281" s="60" t="str">
        <f>'дод 8'!B209</f>
        <v>0540</v>
      </c>
      <c r="D281" s="61" t="str">
        <f>'дод 8'!C209</f>
        <v>Природоохоронні заходи за рахунок цільових фондів</v>
      </c>
      <c r="E281" s="103">
        <f t="shared" si="163"/>
        <v>0</v>
      </c>
      <c r="F281" s="103"/>
      <c r="G281" s="103"/>
      <c r="H281" s="103"/>
      <c r="I281" s="103"/>
      <c r="J281" s="103">
        <f t="shared" si="165"/>
        <v>103000</v>
      </c>
      <c r="K281" s="103"/>
      <c r="L281" s="103">
        <v>103000</v>
      </c>
      <c r="M281" s="103"/>
      <c r="N281" s="103"/>
      <c r="O281" s="103"/>
      <c r="P281" s="103">
        <f t="shared" si="164"/>
        <v>103000</v>
      </c>
      <c r="Q281" s="178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  <c r="TH281" s="23"/>
    </row>
    <row r="282" spans="1:528" s="22" customFormat="1" ht="27" customHeight="1" x14ac:dyDescent="0.25">
      <c r="A282" s="60" t="s">
        <v>224</v>
      </c>
      <c r="B282" s="97" t="str">
        <f>'дод 8'!A212</f>
        <v>8600</v>
      </c>
      <c r="C282" s="97" t="str">
        <f>'дод 8'!B212</f>
        <v>0170</v>
      </c>
      <c r="D282" s="61" t="str">
        <f>'дод 8'!C212</f>
        <v>Обслуговування місцевого боргу</v>
      </c>
      <c r="E282" s="103">
        <f t="shared" si="163"/>
        <v>1964239</v>
      </c>
      <c r="F282" s="103">
        <f>1833489+130750</f>
        <v>1964239</v>
      </c>
      <c r="G282" s="103"/>
      <c r="H282" s="103"/>
      <c r="I282" s="103"/>
      <c r="J282" s="103">
        <f t="shared" si="165"/>
        <v>0</v>
      </c>
      <c r="K282" s="103"/>
      <c r="L282" s="103"/>
      <c r="M282" s="103"/>
      <c r="N282" s="103"/>
      <c r="O282" s="103"/>
      <c r="P282" s="103">
        <f t="shared" si="164"/>
        <v>1964239</v>
      </c>
      <c r="Q282" s="178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  <c r="TG282" s="23"/>
      <c r="TH282" s="23"/>
    </row>
    <row r="283" spans="1:528" s="22" customFormat="1" ht="25.5" customHeight="1" x14ac:dyDescent="0.25">
      <c r="A283" s="60" t="s">
        <v>527</v>
      </c>
      <c r="B283" s="97">
        <v>8710</v>
      </c>
      <c r="C283" s="97" t="str">
        <f>'дод 8'!B213</f>
        <v>0133</v>
      </c>
      <c r="D283" s="61" t="str">
        <f>'дод 8'!C213</f>
        <v>Резервний фонд місцевого бюджету</v>
      </c>
      <c r="E283" s="103">
        <f>16076686.44+30260-2902100-6378100+81980-1553963+117260</f>
        <v>5472023.4399999995</v>
      </c>
      <c r="F283" s="103"/>
      <c r="G283" s="103"/>
      <c r="H283" s="103"/>
      <c r="I283" s="103"/>
      <c r="J283" s="103">
        <f t="shared" si="165"/>
        <v>0</v>
      </c>
      <c r="K283" s="103"/>
      <c r="L283" s="103"/>
      <c r="M283" s="103"/>
      <c r="N283" s="103"/>
      <c r="O283" s="103"/>
      <c r="P283" s="103">
        <f t="shared" si="164"/>
        <v>5472023.4399999995</v>
      </c>
      <c r="Q283" s="178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  <c r="TH283" s="23"/>
    </row>
    <row r="284" spans="1:528" s="22" customFormat="1" ht="29.25" customHeight="1" x14ac:dyDescent="0.25">
      <c r="A284" s="60" t="s">
        <v>234</v>
      </c>
      <c r="B284" s="97" t="str">
        <f>'дод 8'!A217</f>
        <v>9110</v>
      </c>
      <c r="C284" s="97" t="str">
        <f>'дод 8'!B217</f>
        <v>0180</v>
      </c>
      <c r="D284" s="61" t="str">
        <f>'дод 8'!C217</f>
        <v>Реверсна дотація</v>
      </c>
      <c r="E284" s="103">
        <f>F284+I284</f>
        <v>100870700</v>
      </c>
      <c r="F284" s="103">
        <v>100870700</v>
      </c>
      <c r="G284" s="103"/>
      <c r="H284" s="103"/>
      <c r="I284" s="103"/>
      <c r="J284" s="103">
        <f t="shared" si="165"/>
        <v>0</v>
      </c>
      <c r="K284" s="103"/>
      <c r="L284" s="103"/>
      <c r="M284" s="103"/>
      <c r="N284" s="103"/>
      <c r="O284" s="103"/>
      <c r="P284" s="103">
        <f t="shared" si="164"/>
        <v>100870700</v>
      </c>
      <c r="Q284" s="178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  <c r="TH284" s="23"/>
    </row>
    <row r="285" spans="1:528" s="27" customFormat="1" ht="26.25" customHeight="1" x14ac:dyDescent="0.25">
      <c r="A285" s="123"/>
      <c r="B285" s="116"/>
      <c r="C285" s="133"/>
      <c r="D285" s="111" t="s">
        <v>410</v>
      </c>
      <c r="E285" s="99">
        <f>E17+E61+E109+E142+E179+E187+E198+E233+E236+E255+E261+E264+E272+E275</f>
        <v>2205016083.6799998</v>
      </c>
      <c r="F285" s="99">
        <f t="shared" ref="F285:I285" si="166">F17+F61+F109+F142+F179+F187+F198+F233+F236+F255+F261+F264+F272+F275</f>
        <v>2119184564.24</v>
      </c>
      <c r="G285" s="99">
        <f t="shared" si="166"/>
        <v>1079211630</v>
      </c>
      <c r="H285" s="99">
        <f t="shared" si="166"/>
        <v>99122524</v>
      </c>
      <c r="I285" s="99">
        <f t="shared" si="166"/>
        <v>80359496</v>
      </c>
      <c r="J285" s="99">
        <f>J17+J61+J109+J142+J179+J187+J198+J233+J236+J255+J261+J264+J272+J275</f>
        <v>653351602.61999989</v>
      </c>
      <c r="K285" s="99">
        <f t="shared" ref="K285:P285" si="167">K17+K61+K109+K142+K179+K187+K198+K233+K236+K255+K261+K264+K272+K275</f>
        <v>588863308.0999999</v>
      </c>
      <c r="L285" s="99">
        <f t="shared" si="167"/>
        <v>47200801.869999997</v>
      </c>
      <c r="M285" s="99">
        <f t="shared" si="167"/>
        <v>6033355</v>
      </c>
      <c r="N285" s="99">
        <f t="shared" si="167"/>
        <v>266522</v>
      </c>
      <c r="O285" s="99">
        <f t="shared" si="167"/>
        <v>606150800.75</v>
      </c>
      <c r="P285" s="99">
        <f t="shared" si="167"/>
        <v>2858367686.3000002</v>
      </c>
      <c r="Q285" s="178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  <c r="IT285" s="32"/>
      <c r="IU285" s="32"/>
      <c r="IV285" s="32"/>
      <c r="IW285" s="32"/>
      <c r="IX285" s="32"/>
      <c r="IY285" s="32"/>
      <c r="IZ285" s="32"/>
      <c r="JA285" s="32"/>
      <c r="JB285" s="32"/>
      <c r="JC285" s="32"/>
      <c r="JD285" s="32"/>
      <c r="JE285" s="32"/>
      <c r="JF285" s="32"/>
      <c r="JG285" s="32"/>
      <c r="JH285" s="32"/>
      <c r="JI285" s="32"/>
      <c r="JJ285" s="32"/>
      <c r="JK285" s="32"/>
      <c r="JL285" s="32"/>
      <c r="JM285" s="32"/>
      <c r="JN285" s="32"/>
      <c r="JO285" s="32"/>
      <c r="JP285" s="32"/>
      <c r="JQ285" s="32"/>
      <c r="JR285" s="32"/>
      <c r="JS285" s="32"/>
      <c r="JT285" s="32"/>
      <c r="JU285" s="32"/>
      <c r="JV285" s="32"/>
      <c r="JW285" s="32"/>
      <c r="JX285" s="32"/>
      <c r="JY285" s="32"/>
      <c r="JZ285" s="32"/>
      <c r="KA285" s="32"/>
      <c r="KB285" s="32"/>
      <c r="KC285" s="32"/>
      <c r="KD285" s="32"/>
      <c r="KE285" s="32"/>
      <c r="KF285" s="32"/>
      <c r="KG285" s="32"/>
      <c r="KH285" s="32"/>
      <c r="KI285" s="32"/>
      <c r="KJ285" s="32"/>
      <c r="KK285" s="32"/>
      <c r="KL285" s="32"/>
      <c r="KM285" s="32"/>
      <c r="KN285" s="32"/>
      <c r="KO285" s="32"/>
      <c r="KP285" s="32"/>
      <c r="KQ285" s="32"/>
      <c r="KR285" s="32"/>
      <c r="KS285" s="32"/>
      <c r="KT285" s="32"/>
      <c r="KU285" s="32"/>
      <c r="KV285" s="32"/>
      <c r="KW285" s="32"/>
      <c r="KX285" s="32"/>
      <c r="KY285" s="32"/>
      <c r="KZ285" s="32"/>
      <c r="LA285" s="32"/>
      <c r="LB285" s="32"/>
      <c r="LC285" s="32"/>
      <c r="LD285" s="32"/>
      <c r="LE285" s="32"/>
      <c r="LF285" s="32"/>
      <c r="LG285" s="32"/>
      <c r="LH285" s="32"/>
      <c r="LI285" s="32"/>
      <c r="LJ285" s="32"/>
      <c r="LK285" s="32"/>
      <c r="LL285" s="32"/>
      <c r="LM285" s="32"/>
      <c r="LN285" s="32"/>
      <c r="LO285" s="32"/>
      <c r="LP285" s="32"/>
      <c r="LQ285" s="32"/>
      <c r="LR285" s="32"/>
      <c r="LS285" s="32"/>
      <c r="LT285" s="32"/>
      <c r="LU285" s="32"/>
      <c r="LV285" s="32"/>
      <c r="LW285" s="32"/>
      <c r="LX285" s="32"/>
      <c r="LY285" s="32"/>
      <c r="LZ285" s="32"/>
      <c r="MA285" s="32"/>
      <c r="MB285" s="32"/>
      <c r="MC285" s="32"/>
      <c r="MD285" s="32"/>
      <c r="ME285" s="32"/>
      <c r="MF285" s="32"/>
      <c r="MG285" s="32"/>
      <c r="MH285" s="32"/>
      <c r="MI285" s="32"/>
      <c r="MJ285" s="32"/>
      <c r="MK285" s="32"/>
      <c r="ML285" s="32"/>
      <c r="MM285" s="32"/>
      <c r="MN285" s="32"/>
      <c r="MO285" s="32"/>
      <c r="MP285" s="32"/>
      <c r="MQ285" s="32"/>
      <c r="MR285" s="32"/>
      <c r="MS285" s="32"/>
      <c r="MT285" s="32"/>
      <c r="MU285" s="32"/>
      <c r="MV285" s="32"/>
      <c r="MW285" s="32"/>
      <c r="MX285" s="32"/>
      <c r="MY285" s="32"/>
      <c r="MZ285" s="32"/>
      <c r="NA285" s="32"/>
      <c r="NB285" s="32"/>
      <c r="NC285" s="32"/>
      <c r="ND285" s="32"/>
      <c r="NE285" s="32"/>
      <c r="NF285" s="32"/>
      <c r="NG285" s="32"/>
      <c r="NH285" s="32"/>
      <c r="NI285" s="32"/>
      <c r="NJ285" s="32"/>
      <c r="NK285" s="32"/>
      <c r="NL285" s="32"/>
      <c r="NM285" s="32"/>
      <c r="NN285" s="32"/>
      <c r="NO285" s="32"/>
      <c r="NP285" s="32"/>
      <c r="NQ285" s="32"/>
      <c r="NR285" s="32"/>
      <c r="NS285" s="32"/>
      <c r="NT285" s="32"/>
      <c r="NU285" s="32"/>
      <c r="NV285" s="32"/>
      <c r="NW285" s="32"/>
      <c r="NX285" s="32"/>
      <c r="NY285" s="32"/>
      <c r="NZ285" s="32"/>
      <c r="OA285" s="32"/>
      <c r="OB285" s="32"/>
      <c r="OC285" s="32"/>
      <c r="OD285" s="32"/>
      <c r="OE285" s="32"/>
      <c r="OF285" s="32"/>
      <c r="OG285" s="32"/>
      <c r="OH285" s="32"/>
      <c r="OI285" s="32"/>
      <c r="OJ285" s="32"/>
      <c r="OK285" s="32"/>
      <c r="OL285" s="32"/>
      <c r="OM285" s="32"/>
      <c r="ON285" s="32"/>
      <c r="OO285" s="32"/>
      <c r="OP285" s="32"/>
      <c r="OQ285" s="32"/>
      <c r="OR285" s="32"/>
      <c r="OS285" s="32"/>
      <c r="OT285" s="32"/>
      <c r="OU285" s="32"/>
      <c r="OV285" s="32"/>
      <c r="OW285" s="32"/>
      <c r="OX285" s="32"/>
      <c r="OY285" s="32"/>
      <c r="OZ285" s="32"/>
      <c r="PA285" s="32"/>
      <c r="PB285" s="32"/>
      <c r="PC285" s="32"/>
      <c r="PD285" s="32"/>
      <c r="PE285" s="32"/>
      <c r="PF285" s="32"/>
      <c r="PG285" s="32"/>
      <c r="PH285" s="32"/>
      <c r="PI285" s="32"/>
      <c r="PJ285" s="32"/>
      <c r="PK285" s="32"/>
      <c r="PL285" s="32"/>
      <c r="PM285" s="32"/>
      <c r="PN285" s="32"/>
      <c r="PO285" s="32"/>
      <c r="PP285" s="32"/>
      <c r="PQ285" s="32"/>
      <c r="PR285" s="32"/>
      <c r="PS285" s="32"/>
      <c r="PT285" s="32"/>
      <c r="PU285" s="32"/>
      <c r="PV285" s="32"/>
      <c r="PW285" s="32"/>
      <c r="PX285" s="32"/>
      <c r="PY285" s="32"/>
      <c r="PZ285" s="32"/>
      <c r="QA285" s="32"/>
      <c r="QB285" s="32"/>
      <c r="QC285" s="32"/>
      <c r="QD285" s="32"/>
      <c r="QE285" s="32"/>
      <c r="QF285" s="32"/>
      <c r="QG285" s="32"/>
      <c r="QH285" s="32"/>
      <c r="QI285" s="32"/>
      <c r="QJ285" s="32"/>
      <c r="QK285" s="32"/>
      <c r="QL285" s="32"/>
      <c r="QM285" s="32"/>
      <c r="QN285" s="32"/>
      <c r="QO285" s="32"/>
      <c r="QP285" s="32"/>
      <c r="QQ285" s="32"/>
      <c r="QR285" s="32"/>
      <c r="QS285" s="32"/>
      <c r="QT285" s="32"/>
      <c r="QU285" s="32"/>
      <c r="QV285" s="32"/>
      <c r="QW285" s="32"/>
      <c r="QX285" s="32"/>
      <c r="QY285" s="32"/>
      <c r="QZ285" s="32"/>
      <c r="RA285" s="32"/>
      <c r="RB285" s="32"/>
      <c r="RC285" s="32"/>
      <c r="RD285" s="32"/>
      <c r="RE285" s="32"/>
      <c r="RF285" s="32"/>
      <c r="RG285" s="32"/>
      <c r="RH285" s="32"/>
      <c r="RI285" s="32"/>
      <c r="RJ285" s="32"/>
      <c r="RK285" s="32"/>
      <c r="RL285" s="32"/>
      <c r="RM285" s="32"/>
      <c r="RN285" s="32"/>
      <c r="RO285" s="32"/>
      <c r="RP285" s="32"/>
      <c r="RQ285" s="32"/>
      <c r="RR285" s="32"/>
      <c r="RS285" s="32"/>
      <c r="RT285" s="32"/>
      <c r="RU285" s="32"/>
      <c r="RV285" s="32"/>
      <c r="RW285" s="32"/>
      <c r="RX285" s="32"/>
      <c r="RY285" s="32"/>
      <c r="RZ285" s="32"/>
      <c r="SA285" s="32"/>
      <c r="SB285" s="32"/>
      <c r="SC285" s="32"/>
      <c r="SD285" s="32"/>
      <c r="SE285" s="32"/>
      <c r="SF285" s="32"/>
      <c r="SG285" s="32"/>
      <c r="SH285" s="32"/>
      <c r="SI285" s="32"/>
      <c r="SJ285" s="32"/>
      <c r="SK285" s="32"/>
      <c r="SL285" s="32"/>
      <c r="SM285" s="32"/>
      <c r="SN285" s="32"/>
      <c r="SO285" s="32"/>
      <c r="SP285" s="32"/>
      <c r="SQ285" s="32"/>
      <c r="SR285" s="32"/>
      <c r="SS285" s="32"/>
      <c r="ST285" s="32"/>
      <c r="SU285" s="32"/>
      <c r="SV285" s="32"/>
      <c r="SW285" s="32"/>
      <c r="SX285" s="32"/>
      <c r="SY285" s="32"/>
      <c r="SZ285" s="32"/>
      <c r="TA285" s="32"/>
      <c r="TB285" s="32"/>
      <c r="TC285" s="32"/>
      <c r="TD285" s="32"/>
      <c r="TE285" s="32"/>
      <c r="TF285" s="32"/>
      <c r="TG285" s="32"/>
      <c r="TH285" s="32"/>
    </row>
    <row r="286" spans="1:528" s="34" customFormat="1" ht="34.5" customHeight="1" x14ac:dyDescent="0.25">
      <c r="A286" s="124"/>
      <c r="B286" s="113"/>
      <c r="C286" s="101"/>
      <c r="D286" s="81" t="s">
        <v>403</v>
      </c>
      <c r="E286" s="102">
        <f>E63+E70+E202</f>
        <v>485373327.60000002</v>
      </c>
      <c r="F286" s="102">
        <f t="shared" ref="F286:P286" si="168">F63+F70+F202</f>
        <v>485373327.60000002</v>
      </c>
      <c r="G286" s="102">
        <f t="shared" si="168"/>
        <v>396066000</v>
      </c>
      <c r="H286" s="102">
        <f t="shared" si="168"/>
        <v>0</v>
      </c>
      <c r="I286" s="102">
        <f t="shared" si="168"/>
        <v>0</v>
      </c>
      <c r="J286" s="102">
        <f t="shared" si="168"/>
        <v>6937851</v>
      </c>
      <c r="K286" s="102">
        <f t="shared" si="168"/>
        <v>6937851</v>
      </c>
      <c r="L286" s="102">
        <f t="shared" si="168"/>
        <v>0</v>
      </c>
      <c r="M286" s="102">
        <f t="shared" si="168"/>
        <v>0</v>
      </c>
      <c r="N286" s="102">
        <f t="shared" si="168"/>
        <v>0</v>
      </c>
      <c r="O286" s="102">
        <f t="shared" si="168"/>
        <v>6937851</v>
      </c>
      <c r="P286" s="102">
        <f t="shared" si="168"/>
        <v>492311178.60000002</v>
      </c>
      <c r="Q286" s="178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  <c r="MI286" s="33"/>
      <c r="MJ286" s="33"/>
      <c r="MK286" s="33"/>
      <c r="ML286" s="33"/>
      <c r="MM286" s="33"/>
      <c r="MN286" s="33"/>
      <c r="MO286" s="33"/>
      <c r="MP286" s="33"/>
      <c r="MQ286" s="33"/>
      <c r="MR286" s="33"/>
      <c r="MS286" s="33"/>
      <c r="MT286" s="33"/>
      <c r="MU286" s="33"/>
      <c r="MV286" s="33"/>
      <c r="MW286" s="33"/>
      <c r="MX286" s="33"/>
      <c r="MY286" s="33"/>
      <c r="MZ286" s="33"/>
      <c r="NA286" s="33"/>
      <c r="NB286" s="33"/>
      <c r="NC286" s="33"/>
      <c r="ND286" s="33"/>
      <c r="NE286" s="33"/>
      <c r="NF286" s="33"/>
      <c r="NG286" s="33"/>
      <c r="NH286" s="33"/>
      <c r="NI286" s="33"/>
      <c r="NJ286" s="33"/>
      <c r="NK286" s="33"/>
      <c r="NL286" s="33"/>
      <c r="NM286" s="33"/>
      <c r="NN286" s="33"/>
      <c r="NO286" s="33"/>
      <c r="NP286" s="33"/>
      <c r="NQ286" s="33"/>
      <c r="NR286" s="33"/>
      <c r="NS286" s="33"/>
      <c r="NT286" s="33"/>
      <c r="NU286" s="33"/>
      <c r="NV286" s="33"/>
      <c r="NW286" s="33"/>
      <c r="NX286" s="33"/>
      <c r="NY286" s="33"/>
      <c r="NZ286" s="33"/>
      <c r="OA286" s="33"/>
      <c r="OB286" s="33"/>
      <c r="OC286" s="33"/>
      <c r="OD286" s="33"/>
      <c r="OE286" s="33"/>
      <c r="OF286" s="33"/>
      <c r="OG286" s="33"/>
      <c r="OH286" s="33"/>
      <c r="OI286" s="33"/>
      <c r="OJ286" s="33"/>
      <c r="OK286" s="33"/>
      <c r="OL286" s="33"/>
      <c r="OM286" s="33"/>
      <c r="ON286" s="33"/>
      <c r="OO286" s="33"/>
      <c r="OP286" s="33"/>
      <c r="OQ286" s="33"/>
      <c r="OR286" s="33"/>
      <c r="OS286" s="33"/>
      <c r="OT286" s="33"/>
      <c r="OU286" s="33"/>
      <c r="OV286" s="33"/>
      <c r="OW286" s="33"/>
      <c r="OX286" s="33"/>
      <c r="OY286" s="33"/>
      <c r="OZ286" s="33"/>
      <c r="PA286" s="33"/>
      <c r="PB286" s="33"/>
      <c r="PC286" s="33"/>
      <c r="PD286" s="33"/>
      <c r="PE286" s="33"/>
      <c r="PF286" s="33"/>
      <c r="PG286" s="33"/>
      <c r="PH286" s="33"/>
      <c r="PI286" s="33"/>
      <c r="PJ286" s="33"/>
      <c r="PK286" s="33"/>
      <c r="PL286" s="33"/>
      <c r="PM286" s="33"/>
      <c r="PN286" s="33"/>
      <c r="PO286" s="33"/>
      <c r="PP286" s="33"/>
      <c r="PQ286" s="33"/>
      <c r="PR286" s="33"/>
      <c r="PS286" s="33"/>
      <c r="PT286" s="33"/>
      <c r="PU286" s="33"/>
      <c r="PV286" s="33"/>
      <c r="PW286" s="33"/>
      <c r="PX286" s="33"/>
      <c r="PY286" s="33"/>
      <c r="PZ286" s="33"/>
      <c r="QA286" s="33"/>
      <c r="QB286" s="33"/>
      <c r="QC286" s="33"/>
      <c r="QD286" s="33"/>
      <c r="QE286" s="33"/>
      <c r="QF286" s="33"/>
      <c r="QG286" s="33"/>
      <c r="QH286" s="33"/>
      <c r="QI286" s="33"/>
      <c r="QJ286" s="33"/>
      <c r="QK286" s="33"/>
      <c r="QL286" s="33"/>
      <c r="QM286" s="33"/>
      <c r="QN286" s="33"/>
      <c r="QO286" s="33"/>
      <c r="QP286" s="33"/>
      <c r="QQ286" s="33"/>
      <c r="QR286" s="33"/>
      <c r="QS286" s="33"/>
      <c r="QT286" s="33"/>
      <c r="QU286" s="33"/>
      <c r="QV286" s="33"/>
      <c r="QW286" s="33"/>
      <c r="QX286" s="33"/>
      <c r="QY286" s="33"/>
      <c r="QZ286" s="33"/>
      <c r="RA286" s="33"/>
      <c r="RB286" s="33"/>
      <c r="RC286" s="33"/>
      <c r="RD286" s="33"/>
      <c r="RE286" s="33"/>
      <c r="RF286" s="33"/>
      <c r="RG286" s="33"/>
      <c r="RH286" s="33"/>
      <c r="RI286" s="33"/>
      <c r="RJ286" s="33"/>
      <c r="RK286" s="33"/>
      <c r="RL286" s="33"/>
      <c r="RM286" s="33"/>
      <c r="RN286" s="33"/>
      <c r="RO286" s="33"/>
      <c r="RP286" s="33"/>
      <c r="RQ286" s="33"/>
      <c r="RR286" s="33"/>
      <c r="RS286" s="33"/>
      <c r="RT286" s="33"/>
      <c r="RU286" s="33"/>
      <c r="RV286" s="33"/>
      <c r="RW286" s="33"/>
      <c r="RX286" s="33"/>
      <c r="RY286" s="33"/>
      <c r="RZ286" s="33"/>
      <c r="SA286" s="33"/>
      <c r="SB286" s="33"/>
      <c r="SC286" s="33"/>
      <c r="SD286" s="33"/>
      <c r="SE286" s="33"/>
      <c r="SF286" s="33"/>
      <c r="SG286" s="33"/>
      <c r="SH286" s="33"/>
      <c r="SI286" s="33"/>
      <c r="SJ286" s="33"/>
      <c r="SK286" s="33"/>
      <c r="SL286" s="33"/>
      <c r="SM286" s="33"/>
      <c r="SN286" s="33"/>
      <c r="SO286" s="33"/>
      <c r="SP286" s="33"/>
      <c r="SQ286" s="33"/>
      <c r="SR286" s="33"/>
      <c r="SS286" s="33"/>
      <c r="ST286" s="33"/>
      <c r="SU286" s="33"/>
      <c r="SV286" s="33"/>
      <c r="SW286" s="33"/>
      <c r="SX286" s="33"/>
      <c r="SY286" s="33"/>
      <c r="SZ286" s="33"/>
      <c r="TA286" s="33"/>
      <c r="TB286" s="33"/>
      <c r="TC286" s="33"/>
      <c r="TD286" s="33"/>
      <c r="TE286" s="33"/>
      <c r="TF286" s="33"/>
      <c r="TG286" s="33"/>
      <c r="TH286" s="33"/>
    </row>
    <row r="287" spans="1:528" s="34" customFormat="1" ht="39" customHeight="1" x14ac:dyDescent="0.25">
      <c r="A287" s="124"/>
      <c r="B287" s="113"/>
      <c r="C287" s="101"/>
      <c r="D287" s="81" t="s">
        <v>404</v>
      </c>
      <c r="E287" s="102">
        <f>E19+E66+E68+E146+E65+E69+E115</f>
        <v>20691429.240000002</v>
      </c>
      <c r="F287" s="102">
        <f t="shared" ref="F287:P287" si="169">F19+F66+F68+F146+F65+F69+F115</f>
        <v>20691429.240000002</v>
      </c>
      <c r="G287" s="102">
        <f t="shared" si="169"/>
        <v>4133559</v>
      </c>
      <c r="H287" s="102">
        <f t="shared" si="169"/>
        <v>0</v>
      </c>
      <c r="I287" s="102">
        <f t="shared" si="169"/>
        <v>0</v>
      </c>
      <c r="J287" s="102">
        <f t="shared" si="169"/>
        <v>1852583</v>
      </c>
      <c r="K287" s="102">
        <f t="shared" si="169"/>
        <v>1852583</v>
      </c>
      <c r="L287" s="102">
        <f t="shared" si="169"/>
        <v>0</v>
      </c>
      <c r="M287" s="102">
        <f t="shared" si="169"/>
        <v>0</v>
      </c>
      <c r="N287" s="102">
        <f t="shared" si="169"/>
        <v>0</v>
      </c>
      <c r="O287" s="102">
        <f t="shared" si="169"/>
        <v>1852583</v>
      </c>
      <c r="P287" s="102">
        <f t="shared" si="169"/>
        <v>22544012.240000002</v>
      </c>
      <c r="Q287" s="179">
        <v>29</v>
      </c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  <c r="IW287" s="33"/>
      <c r="IX287" s="33"/>
      <c r="IY287" s="33"/>
      <c r="IZ287" s="33"/>
      <c r="JA287" s="33"/>
      <c r="JB287" s="33"/>
      <c r="JC287" s="33"/>
      <c r="JD287" s="33"/>
      <c r="JE287" s="33"/>
      <c r="JF287" s="33"/>
      <c r="JG287" s="33"/>
      <c r="JH287" s="33"/>
      <c r="JI287" s="33"/>
      <c r="JJ287" s="33"/>
      <c r="JK287" s="33"/>
      <c r="JL287" s="33"/>
      <c r="JM287" s="33"/>
      <c r="JN287" s="33"/>
      <c r="JO287" s="33"/>
      <c r="JP287" s="33"/>
      <c r="JQ287" s="33"/>
      <c r="JR287" s="33"/>
      <c r="JS287" s="33"/>
      <c r="JT287" s="33"/>
      <c r="JU287" s="33"/>
      <c r="JV287" s="33"/>
      <c r="JW287" s="33"/>
      <c r="JX287" s="33"/>
      <c r="JY287" s="33"/>
      <c r="JZ287" s="33"/>
      <c r="KA287" s="33"/>
      <c r="KB287" s="33"/>
      <c r="KC287" s="33"/>
      <c r="KD287" s="33"/>
      <c r="KE287" s="33"/>
      <c r="KF287" s="33"/>
      <c r="KG287" s="33"/>
      <c r="KH287" s="33"/>
      <c r="KI287" s="33"/>
      <c r="KJ287" s="33"/>
      <c r="KK287" s="33"/>
      <c r="KL287" s="33"/>
      <c r="KM287" s="33"/>
      <c r="KN287" s="33"/>
      <c r="KO287" s="33"/>
      <c r="KP287" s="33"/>
      <c r="KQ287" s="33"/>
      <c r="KR287" s="33"/>
      <c r="KS287" s="33"/>
      <c r="KT287" s="33"/>
      <c r="KU287" s="33"/>
      <c r="KV287" s="33"/>
      <c r="KW287" s="33"/>
      <c r="KX287" s="33"/>
      <c r="KY287" s="33"/>
      <c r="KZ287" s="33"/>
      <c r="LA287" s="33"/>
      <c r="LB287" s="33"/>
      <c r="LC287" s="33"/>
      <c r="LD287" s="33"/>
      <c r="LE287" s="33"/>
      <c r="LF287" s="33"/>
      <c r="LG287" s="33"/>
      <c r="LH287" s="33"/>
      <c r="LI287" s="33"/>
      <c r="LJ287" s="33"/>
      <c r="LK287" s="33"/>
      <c r="LL287" s="33"/>
      <c r="LM287" s="33"/>
      <c r="LN287" s="33"/>
      <c r="LO287" s="33"/>
      <c r="LP287" s="33"/>
      <c r="LQ287" s="33"/>
      <c r="LR287" s="33"/>
      <c r="LS287" s="33"/>
      <c r="LT287" s="33"/>
      <c r="LU287" s="33"/>
      <c r="LV287" s="33"/>
      <c r="LW287" s="33"/>
      <c r="LX287" s="33"/>
      <c r="LY287" s="33"/>
      <c r="LZ287" s="33"/>
      <c r="MA287" s="33"/>
      <c r="MB287" s="33"/>
      <c r="MC287" s="33"/>
      <c r="MD287" s="33"/>
      <c r="ME287" s="33"/>
      <c r="MF287" s="33"/>
      <c r="MG287" s="33"/>
      <c r="MH287" s="33"/>
      <c r="MI287" s="33"/>
      <c r="MJ287" s="33"/>
      <c r="MK287" s="33"/>
      <c r="ML287" s="33"/>
      <c r="MM287" s="33"/>
      <c r="MN287" s="33"/>
      <c r="MO287" s="33"/>
      <c r="MP287" s="33"/>
      <c r="MQ287" s="33"/>
      <c r="MR287" s="33"/>
      <c r="MS287" s="33"/>
      <c r="MT287" s="33"/>
      <c r="MU287" s="33"/>
      <c r="MV287" s="33"/>
      <c r="MW287" s="33"/>
      <c r="MX287" s="33"/>
      <c r="MY287" s="33"/>
      <c r="MZ287" s="33"/>
      <c r="NA287" s="33"/>
      <c r="NB287" s="33"/>
      <c r="NC287" s="33"/>
      <c r="ND287" s="33"/>
      <c r="NE287" s="33"/>
      <c r="NF287" s="33"/>
      <c r="NG287" s="33"/>
      <c r="NH287" s="33"/>
      <c r="NI287" s="33"/>
      <c r="NJ287" s="33"/>
      <c r="NK287" s="33"/>
      <c r="NL287" s="33"/>
      <c r="NM287" s="33"/>
      <c r="NN287" s="33"/>
      <c r="NO287" s="33"/>
      <c r="NP287" s="33"/>
      <c r="NQ287" s="33"/>
      <c r="NR287" s="33"/>
      <c r="NS287" s="33"/>
      <c r="NT287" s="33"/>
      <c r="NU287" s="33"/>
      <c r="NV287" s="33"/>
      <c r="NW287" s="33"/>
      <c r="NX287" s="33"/>
      <c r="NY287" s="33"/>
      <c r="NZ287" s="33"/>
      <c r="OA287" s="33"/>
      <c r="OB287" s="33"/>
      <c r="OC287" s="33"/>
      <c r="OD287" s="33"/>
      <c r="OE287" s="33"/>
      <c r="OF287" s="33"/>
      <c r="OG287" s="33"/>
      <c r="OH287" s="33"/>
      <c r="OI287" s="33"/>
      <c r="OJ287" s="33"/>
      <c r="OK287" s="33"/>
      <c r="OL287" s="33"/>
      <c r="OM287" s="33"/>
      <c r="ON287" s="33"/>
      <c r="OO287" s="33"/>
      <c r="OP287" s="33"/>
      <c r="OQ287" s="33"/>
      <c r="OR287" s="33"/>
      <c r="OS287" s="33"/>
      <c r="OT287" s="33"/>
      <c r="OU287" s="33"/>
      <c r="OV287" s="33"/>
      <c r="OW287" s="33"/>
      <c r="OX287" s="33"/>
      <c r="OY287" s="33"/>
      <c r="OZ287" s="33"/>
      <c r="PA287" s="33"/>
      <c r="PB287" s="33"/>
      <c r="PC287" s="33"/>
      <c r="PD287" s="33"/>
      <c r="PE287" s="33"/>
      <c r="PF287" s="33"/>
      <c r="PG287" s="33"/>
      <c r="PH287" s="33"/>
      <c r="PI287" s="33"/>
      <c r="PJ287" s="33"/>
      <c r="PK287" s="33"/>
      <c r="PL287" s="33"/>
      <c r="PM287" s="33"/>
      <c r="PN287" s="33"/>
      <c r="PO287" s="33"/>
      <c r="PP287" s="33"/>
      <c r="PQ287" s="33"/>
      <c r="PR287" s="33"/>
      <c r="PS287" s="33"/>
      <c r="PT287" s="33"/>
      <c r="PU287" s="33"/>
      <c r="PV287" s="33"/>
      <c r="PW287" s="33"/>
      <c r="PX287" s="33"/>
      <c r="PY287" s="33"/>
      <c r="PZ287" s="33"/>
      <c r="QA287" s="33"/>
      <c r="QB287" s="33"/>
      <c r="QC287" s="33"/>
      <c r="QD287" s="33"/>
      <c r="QE287" s="33"/>
      <c r="QF287" s="33"/>
      <c r="QG287" s="33"/>
      <c r="QH287" s="33"/>
      <c r="QI287" s="33"/>
      <c r="QJ287" s="33"/>
      <c r="QK287" s="33"/>
      <c r="QL287" s="33"/>
      <c r="QM287" s="33"/>
      <c r="QN287" s="33"/>
      <c r="QO287" s="33"/>
      <c r="QP287" s="33"/>
      <c r="QQ287" s="33"/>
      <c r="QR287" s="33"/>
      <c r="QS287" s="33"/>
      <c r="QT287" s="33"/>
      <c r="QU287" s="33"/>
      <c r="QV287" s="33"/>
      <c r="QW287" s="33"/>
      <c r="QX287" s="33"/>
      <c r="QY287" s="33"/>
      <c r="QZ287" s="33"/>
      <c r="RA287" s="33"/>
      <c r="RB287" s="33"/>
      <c r="RC287" s="33"/>
      <c r="RD287" s="33"/>
      <c r="RE287" s="33"/>
      <c r="RF287" s="33"/>
      <c r="RG287" s="33"/>
      <c r="RH287" s="33"/>
      <c r="RI287" s="33"/>
      <c r="RJ287" s="33"/>
      <c r="RK287" s="33"/>
      <c r="RL287" s="33"/>
      <c r="RM287" s="33"/>
      <c r="RN287" s="33"/>
      <c r="RO287" s="33"/>
      <c r="RP287" s="33"/>
      <c r="RQ287" s="33"/>
      <c r="RR287" s="33"/>
      <c r="RS287" s="33"/>
      <c r="RT287" s="33"/>
      <c r="RU287" s="33"/>
      <c r="RV287" s="33"/>
      <c r="RW287" s="33"/>
      <c r="RX287" s="33"/>
      <c r="RY287" s="33"/>
      <c r="RZ287" s="33"/>
      <c r="SA287" s="33"/>
      <c r="SB287" s="33"/>
      <c r="SC287" s="33"/>
      <c r="SD287" s="33"/>
      <c r="SE287" s="33"/>
      <c r="SF287" s="33"/>
      <c r="SG287" s="33"/>
      <c r="SH287" s="33"/>
      <c r="SI287" s="33"/>
      <c r="SJ287" s="33"/>
      <c r="SK287" s="33"/>
      <c r="SL287" s="33"/>
      <c r="SM287" s="33"/>
      <c r="SN287" s="33"/>
      <c r="SO287" s="33"/>
      <c r="SP287" s="33"/>
      <c r="SQ287" s="33"/>
      <c r="SR287" s="33"/>
      <c r="SS287" s="33"/>
      <c r="ST287" s="33"/>
      <c r="SU287" s="33"/>
      <c r="SV287" s="33"/>
      <c r="SW287" s="33"/>
      <c r="SX287" s="33"/>
      <c r="SY287" s="33"/>
      <c r="SZ287" s="33"/>
      <c r="TA287" s="33"/>
      <c r="TB287" s="33"/>
      <c r="TC287" s="33"/>
      <c r="TD287" s="33"/>
      <c r="TE287" s="33"/>
      <c r="TF287" s="33"/>
      <c r="TG287" s="33"/>
      <c r="TH287" s="33"/>
    </row>
    <row r="288" spans="1:528" s="34" customFormat="1" ht="25.5" customHeight="1" x14ac:dyDescent="0.25">
      <c r="A288" s="100"/>
      <c r="B288" s="113"/>
      <c r="C288" s="113"/>
      <c r="D288" s="87" t="s">
        <v>421</v>
      </c>
      <c r="E288" s="102">
        <f t="shared" ref="E288:P288" si="170">E116+E238+E203</f>
        <v>0</v>
      </c>
      <c r="F288" s="102">
        <f t="shared" si="170"/>
        <v>0</v>
      </c>
      <c r="G288" s="102">
        <f t="shared" si="170"/>
        <v>0</v>
      </c>
      <c r="H288" s="102">
        <f t="shared" si="170"/>
        <v>0</v>
      </c>
      <c r="I288" s="102">
        <f t="shared" si="170"/>
        <v>0</v>
      </c>
      <c r="J288" s="102">
        <f t="shared" si="170"/>
        <v>127771665.12</v>
      </c>
      <c r="K288" s="102">
        <f t="shared" si="170"/>
        <v>127771665.12</v>
      </c>
      <c r="L288" s="102">
        <f t="shared" si="170"/>
        <v>0</v>
      </c>
      <c r="M288" s="102">
        <f t="shared" si="170"/>
        <v>0</v>
      </c>
      <c r="N288" s="102">
        <f t="shared" si="170"/>
        <v>0</v>
      </c>
      <c r="O288" s="102">
        <f t="shared" si="170"/>
        <v>127771665.12</v>
      </c>
      <c r="P288" s="102">
        <f t="shared" si="170"/>
        <v>127771665.12</v>
      </c>
      <c r="Q288" s="179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  <c r="IW288" s="33"/>
      <c r="IX288" s="33"/>
      <c r="IY288" s="33"/>
      <c r="IZ288" s="33"/>
      <c r="JA288" s="33"/>
      <c r="JB288" s="33"/>
      <c r="JC288" s="33"/>
      <c r="JD288" s="33"/>
      <c r="JE288" s="33"/>
      <c r="JF288" s="33"/>
      <c r="JG288" s="33"/>
      <c r="JH288" s="33"/>
      <c r="JI288" s="33"/>
      <c r="JJ288" s="33"/>
      <c r="JK288" s="33"/>
      <c r="JL288" s="33"/>
      <c r="JM288" s="33"/>
      <c r="JN288" s="33"/>
      <c r="JO288" s="33"/>
      <c r="JP288" s="33"/>
      <c r="JQ288" s="33"/>
      <c r="JR288" s="33"/>
      <c r="JS288" s="33"/>
      <c r="JT288" s="33"/>
      <c r="JU288" s="33"/>
      <c r="JV288" s="33"/>
      <c r="JW288" s="33"/>
      <c r="JX288" s="33"/>
      <c r="JY288" s="33"/>
      <c r="JZ288" s="33"/>
      <c r="KA288" s="33"/>
      <c r="KB288" s="33"/>
      <c r="KC288" s="33"/>
      <c r="KD288" s="33"/>
      <c r="KE288" s="33"/>
      <c r="KF288" s="33"/>
      <c r="KG288" s="33"/>
      <c r="KH288" s="33"/>
      <c r="KI288" s="33"/>
      <c r="KJ288" s="33"/>
      <c r="KK288" s="33"/>
      <c r="KL288" s="33"/>
      <c r="KM288" s="33"/>
      <c r="KN288" s="33"/>
      <c r="KO288" s="33"/>
      <c r="KP288" s="33"/>
      <c r="KQ288" s="33"/>
      <c r="KR288" s="33"/>
      <c r="KS288" s="33"/>
      <c r="KT288" s="33"/>
      <c r="KU288" s="33"/>
      <c r="KV288" s="33"/>
      <c r="KW288" s="33"/>
      <c r="KX288" s="33"/>
      <c r="KY288" s="33"/>
      <c r="KZ288" s="33"/>
      <c r="LA288" s="33"/>
      <c r="LB288" s="33"/>
      <c r="LC288" s="33"/>
      <c r="LD288" s="33"/>
      <c r="LE288" s="33"/>
      <c r="LF288" s="33"/>
      <c r="LG288" s="33"/>
      <c r="LH288" s="33"/>
      <c r="LI288" s="33"/>
      <c r="LJ288" s="33"/>
      <c r="LK288" s="33"/>
      <c r="LL288" s="33"/>
      <c r="LM288" s="33"/>
      <c r="LN288" s="33"/>
      <c r="LO288" s="33"/>
      <c r="LP288" s="33"/>
      <c r="LQ288" s="33"/>
      <c r="LR288" s="33"/>
      <c r="LS288" s="33"/>
      <c r="LT288" s="33"/>
      <c r="LU288" s="33"/>
      <c r="LV288" s="33"/>
      <c r="LW288" s="33"/>
      <c r="LX288" s="33"/>
      <c r="LY288" s="33"/>
      <c r="LZ288" s="33"/>
      <c r="MA288" s="33"/>
      <c r="MB288" s="33"/>
      <c r="MC288" s="33"/>
      <c r="MD288" s="33"/>
      <c r="ME288" s="33"/>
      <c r="MF288" s="33"/>
      <c r="MG288" s="33"/>
      <c r="MH288" s="33"/>
      <c r="MI288" s="33"/>
      <c r="MJ288" s="33"/>
      <c r="MK288" s="33"/>
      <c r="ML288" s="33"/>
      <c r="MM288" s="33"/>
      <c r="MN288" s="33"/>
      <c r="MO288" s="33"/>
      <c r="MP288" s="33"/>
      <c r="MQ288" s="33"/>
      <c r="MR288" s="33"/>
      <c r="MS288" s="33"/>
      <c r="MT288" s="33"/>
      <c r="MU288" s="33"/>
      <c r="MV288" s="33"/>
      <c r="MW288" s="33"/>
      <c r="MX288" s="33"/>
      <c r="MY288" s="33"/>
      <c r="MZ288" s="33"/>
      <c r="NA288" s="33"/>
      <c r="NB288" s="33"/>
      <c r="NC288" s="33"/>
      <c r="ND288" s="33"/>
      <c r="NE288" s="33"/>
      <c r="NF288" s="33"/>
      <c r="NG288" s="33"/>
      <c r="NH288" s="33"/>
      <c r="NI288" s="33"/>
      <c r="NJ288" s="33"/>
      <c r="NK288" s="33"/>
      <c r="NL288" s="33"/>
      <c r="NM288" s="33"/>
      <c r="NN288" s="33"/>
      <c r="NO288" s="33"/>
      <c r="NP288" s="33"/>
      <c r="NQ288" s="33"/>
      <c r="NR288" s="33"/>
      <c r="NS288" s="33"/>
      <c r="NT288" s="33"/>
      <c r="NU288" s="33"/>
      <c r="NV288" s="33"/>
      <c r="NW288" s="33"/>
      <c r="NX288" s="33"/>
      <c r="NY288" s="33"/>
      <c r="NZ288" s="33"/>
      <c r="OA288" s="33"/>
      <c r="OB288" s="33"/>
      <c r="OC288" s="33"/>
      <c r="OD288" s="33"/>
      <c r="OE288" s="33"/>
      <c r="OF288" s="33"/>
      <c r="OG288" s="33"/>
      <c r="OH288" s="33"/>
      <c r="OI288" s="33"/>
      <c r="OJ288" s="33"/>
      <c r="OK288" s="33"/>
      <c r="OL288" s="33"/>
      <c r="OM288" s="33"/>
      <c r="ON288" s="33"/>
      <c r="OO288" s="33"/>
      <c r="OP288" s="33"/>
      <c r="OQ288" s="33"/>
      <c r="OR288" s="33"/>
      <c r="OS288" s="33"/>
      <c r="OT288" s="33"/>
      <c r="OU288" s="33"/>
      <c r="OV288" s="33"/>
      <c r="OW288" s="33"/>
      <c r="OX288" s="33"/>
      <c r="OY288" s="33"/>
      <c r="OZ288" s="33"/>
      <c r="PA288" s="33"/>
      <c r="PB288" s="33"/>
      <c r="PC288" s="33"/>
      <c r="PD288" s="33"/>
      <c r="PE288" s="33"/>
      <c r="PF288" s="33"/>
      <c r="PG288" s="33"/>
      <c r="PH288" s="33"/>
      <c r="PI288" s="33"/>
      <c r="PJ288" s="33"/>
      <c r="PK288" s="33"/>
      <c r="PL288" s="33"/>
      <c r="PM288" s="33"/>
      <c r="PN288" s="33"/>
      <c r="PO288" s="33"/>
      <c r="PP288" s="33"/>
      <c r="PQ288" s="33"/>
      <c r="PR288" s="33"/>
      <c r="PS288" s="33"/>
      <c r="PT288" s="33"/>
      <c r="PU288" s="33"/>
      <c r="PV288" s="33"/>
      <c r="PW288" s="33"/>
      <c r="PX288" s="33"/>
      <c r="PY288" s="33"/>
      <c r="PZ288" s="33"/>
      <c r="QA288" s="33"/>
      <c r="QB288" s="33"/>
      <c r="QC288" s="33"/>
      <c r="QD288" s="33"/>
      <c r="QE288" s="33"/>
      <c r="QF288" s="33"/>
      <c r="QG288" s="33"/>
      <c r="QH288" s="33"/>
      <c r="QI288" s="33"/>
      <c r="QJ288" s="33"/>
      <c r="QK288" s="33"/>
      <c r="QL288" s="33"/>
      <c r="QM288" s="33"/>
      <c r="QN288" s="33"/>
      <c r="QO288" s="33"/>
      <c r="QP288" s="33"/>
      <c r="QQ288" s="33"/>
      <c r="QR288" s="33"/>
      <c r="QS288" s="33"/>
      <c r="QT288" s="33"/>
      <c r="QU288" s="33"/>
      <c r="QV288" s="33"/>
      <c r="QW288" s="33"/>
      <c r="QX288" s="33"/>
      <c r="QY288" s="33"/>
      <c r="QZ288" s="33"/>
      <c r="RA288" s="33"/>
      <c r="RB288" s="33"/>
      <c r="RC288" s="33"/>
      <c r="RD288" s="33"/>
      <c r="RE288" s="33"/>
      <c r="RF288" s="33"/>
      <c r="RG288" s="33"/>
      <c r="RH288" s="33"/>
      <c r="RI288" s="33"/>
      <c r="RJ288" s="33"/>
      <c r="RK288" s="33"/>
      <c r="RL288" s="33"/>
      <c r="RM288" s="33"/>
      <c r="RN288" s="33"/>
      <c r="RO288" s="33"/>
      <c r="RP288" s="33"/>
      <c r="RQ288" s="33"/>
      <c r="RR288" s="33"/>
      <c r="RS288" s="33"/>
      <c r="RT288" s="33"/>
      <c r="RU288" s="33"/>
      <c r="RV288" s="33"/>
      <c r="RW288" s="33"/>
      <c r="RX288" s="33"/>
      <c r="RY288" s="33"/>
      <c r="RZ288" s="33"/>
      <c r="SA288" s="33"/>
      <c r="SB288" s="33"/>
      <c r="SC288" s="33"/>
      <c r="SD288" s="33"/>
      <c r="SE288" s="33"/>
      <c r="SF288" s="33"/>
      <c r="SG288" s="33"/>
      <c r="SH288" s="33"/>
      <c r="SI288" s="33"/>
      <c r="SJ288" s="33"/>
      <c r="SK288" s="33"/>
      <c r="SL288" s="33"/>
      <c r="SM288" s="33"/>
      <c r="SN288" s="33"/>
      <c r="SO288" s="33"/>
      <c r="SP288" s="33"/>
      <c r="SQ288" s="33"/>
      <c r="SR288" s="33"/>
      <c r="SS288" s="33"/>
      <c r="ST288" s="33"/>
      <c r="SU288" s="33"/>
      <c r="SV288" s="33"/>
      <c r="SW288" s="33"/>
      <c r="SX288" s="33"/>
      <c r="SY288" s="33"/>
      <c r="SZ288" s="33"/>
      <c r="TA288" s="33"/>
      <c r="TB288" s="33"/>
      <c r="TC288" s="33"/>
      <c r="TD288" s="33"/>
      <c r="TE288" s="33"/>
      <c r="TF288" s="33"/>
      <c r="TG288" s="33"/>
      <c r="TH288" s="33"/>
    </row>
    <row r="289" spans="1:528" s="27" customFormat="1" ht="25.5" customHeight="1" x14ac:dyDescent="0.2">
      <c r="A289" s="70"/>
      <c r="B289" s="71"/>
      <c r="C289" s="72"/>
      <c r="D289" s="73"/>
      <c r="E289" s="74">
        <f>E285-'дод 8'!D226</f>
        <v>0</v>
      </c>
      <c r="F289" s="74">
        <f>F285-'дод 8'!E226</f>
        <v>0</v>
      </c>
      <c r="G289" s="74">
        <f>G285-'дод 8'!F226</f>
        <v>0</v>
      </c>
      <c r="H289" s="74">
        <f>H285-'дод 8'!G226</f>
        <v>0</v>
      </c>
      <c r="I289" s="74">
        <f>I285-'дод 8'!H226</f>
        <v>0</v>
      </c>
      <c r="J289" s="74">
        <f>J285-'дод 8'!I226</f>
        <v>0</v>
      </c>
      <c r="K289" s="74">
        <f>K285-'дод 8'!J226</f>
        <v>0</v>
      </c>
      <c r="L289" s="74">
        <f>L285-'дод 8'!K226</f>
        <v>0</v>
      </c>
      <c r="M289" s="74">
        <f>M285-'дод 8'!L226</f>
        <v>0</v>
      </c>
      <c r="N289" s="74">
        <f>N285-'дод 8'!M226</f>
        <v>0</v>
      </c>
      <c r="O289" s="74">
        <f>O285-'дод 8'!N226</f>
        <v>0</v>
      </c>
      <c r="P289" s="74">
        <f>P285-'дод 8'!O226</f>
        <v>0</v>
      </c>
      <c r="Q289" s="179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  <c r="IU289" s="32"/>
      <c r="IV289" s="32"/>
      <c r="IW289" s="32"/>
      <c r="IX289" s="32"/>
      <c r="IY289" s="32"/>
      <c r="IZ289" s="32"/>
      <c r="JA289" s="32"/>
      <c r="JB289" s="32"/>
      <c r="JC289" s="32"/>
      <c r="JD289" s="32"/>
      <c r="JE289" s="32"/>
      <c r="JF289" s="32"/>
      <c r="JG289" s="32"/>
      <c r="JH289" s="32"/>
      <c r="JI289" s="32"/>
      <c r="JJ289" s="32"/>
      <c r="JK289" s="32"/>
      <c r="JL289" s="32"/>
      <c r="JM289" s="32"/>
      <c r="JN289" s="32"/>
      <c r="JO289" s="32"/>
      <c r="JP289" s="32"/>
      <c r="JQ289" s="32"/>
      <c r="JR289" s="32"/>
      <c r="JS289" s="32"/>
      <c r="JT289" s="32"/>
      <c r="JU289" s="32"/>
      <c r="JV289" s="32"/>
      <c r="JW289" s="32"/>
      <c r="JX289" s="32"/>
      <c r="JY289" s="32"/>
      <c r="JZ289" s="32"/>
      <c r="KA289" s="32"/>
      <c r="KB289" s="32"/>
      <c r="KC289" s="32"/>
      <c r="KD289" s="32"/>
      <c r="KE289" s="32"/>
      <c r="KF289" s="32"/>
      <c r="KG289" s="32"/>
      <c r="KH289" s="32"/>
      <c r="KI289" s="32"/>
      <c r="KJ289" s="32"/>
      <c r="KK289" s="32"/>
      <c r="KL289" s="32"/>
      <c r="KM289" s="32"/>
      <c r="KN289" s="32"/>
      <c r="KO289" s="32"/>
      <c r="KP289" s="32"/>
      <c r="KQ289" s="32"/>
      <c r="KR289" s="32"/>
      <c r="KS289" s="32"/>
      <c r="KT289" s="32"/>
      <c r="KU289" s="32"/>
      <c r="KV289" s="32"/>
      <c r="KW289" s="32"/>
      <c r="KX289" s="32"/>
      <c r="KY289" s="32"/>
      <c r="KZ289" s="32"/>
      <c r="LA289" s="32"/>
      <c r="LB289" s="32"/>
      <c r="LC289" s="32"/>
      <c r="LD289" s="32"/>
      <c r="LE289" s="32"/>
      <c r="LF289" s="32"/>
      <c r="LG289" s="32"/>
      <c r="LH289" s="32"/>
      <c r="LI289" s="32"/>
      <c r="LJ289" s="32"/>
      <c r="LK289" s="32"/>
      <c r="LL289" s="32"/>
      <c r="LM289" s="32"/>
      <c r="LN289" s="32"/>
      <c r="LO289" s="32"/>
      <c r="LP289" s="32"/>
      <c r="LQ289" s="32"/>
      <c r="LR289" s="32"/>
      <c r="LS289" s="32"/>
      <c r="LT289" s="32"/>
      <c r="LU289" s="32"/>
      <c r="LV289" s="32"/>
      <c r="LW289" s="32"/>
      <c r="LX289" s="32"/>
      <c r="LY289" s="32"/>
      <c r="LZ289" s="32"/>
      <c r="MA289" s="32"/>
      <c r="MB289" s="32"/>
      <c r="MC289" s="32"/>
      <c r="MD289" s="32"/>
      <c r="ME289" s="32"/>
      <c r="MF289" s="32"/>
      <c r="MG289" s="32"/>
      <c r="MH289" s="32"/>
      <c r="MI289" s="32"/>
      <c r="MJ289" s="32"/>
      <c r="MK289" s="32"/>
      <c r="ML289" s="32"/>
      <c r="MM289" s="32"/>
      <c r="MN289" s="32"/>
      <c r="MO289" s="32"/>
      <c r="MP289" s="32"/>
      <c r="MQ289" s="32"/>
      <c r="MR289" s="32"/>
      <c r="MS289" s="32"/>
      <c r="MT289" s="32"/>
      <c r="MU289" s="32"/>
      <c r="MV289" s="32"/>
      <c r="MW289" s="32"/>
      <c r="MX289" s="32"/>
      <c r="MY289" s="32"/>
      <c r="MZ289" s="32"/>
      <c r="NA289" s="32"/>
      <c r="NB289" s="32"/>
      <c r="NC289" s="32"/>
      <c r="ND289" s="32"/>
      <c r="NE289" s="32"/>
      <c r="NF289" s="32"/>
      <c r="NG289" s="32"/>
      <c r="NH289" s="32"/>
      <c r="NI289" s="32"/>
      <c r="NJ289" s="32"/>
      <c r="NK289" s="32"/>
      <c r="NL289" s="32"/>
      <c r="NM289" s="32"/>
      <c r="NN289" s="32"/>
      <c r="NO289" s="32"/>
      <c r="NP289" s="32"/>
      <c r="NQ289" s="32"/>
      <c r="NR289" s="32"/>
      <c r="NS289" s="32"/>
      <c r="NT289" s="32"/>
      <c r="NU289" s="32"/>
      <c r="NV289" s="32"/>
      <c r="NW289" s="32"/>
      <c r="NX289" s="32"/>
      <c r="NY289" s="32"/>
      <c r="NZ289" s="32"/>
      <c r="OA289" s="32"/>
      <c r="OB289" s="32"/>
      <c r="OC289" s="32"/>
      <c r="OD289" s="32"/>
      <c r="OE289" s="32"/>
      <c r="OF289" s="32"/>
      <c r="OG289" s="32"/>
      <c r="OH289" s="32"/>
      <c r="OI289" s="32"/>
      <c r="OJ289" s="32"/>
      <c r="OK289" s="32"/>
      <c r="OL289" s="32"/>
      <c r="OM289" s="32"/>
      <c r="ON289" s="32"/>
      <c r="OO289" s="32"/>
      <c r="OP289" s="32"/>
      <c r="OQ289" s="32"/>
      <c r="OR289" s="32"/>
      <c r="OS289" s="32"/>
      <c r="OT289" s="32"/>
      <c r="OU289" s="32"/>
      <c r="OV289" s="32"/>
      <c r="OW289" s="32"/>
      <c r="OX289" s="32"/>
      <c r="OY289" s="32"/>
      <c r="OZ289" s="32"/>
      <c r="PA289" s="32"/>
      <c r="PB289" s="32"/>
      <c r="PC289" s="32"/>
      <c r="PD289" s="32"/>
      <c r="PE289" s="32"/>
      <c r="PF289" s="32"/>
      <c r="PG289" s="32"/>
      <c r="PH289" s="32"/>
      <c r="PI289" s="32"/>
      <c r="PJ289" s="32"/>
      <c r="PK289" s="32"/>
      <c r="PL289" s="32"/>
      <c r="PM289" s="32"/>
      <c r="PN289" s="32"/>
      <c r="PO289" s="32"/>
      <c r="PP289" s="32"/>
      <c r="PQ289" s="32"/>
      <c r="PR289" s="32"/>
      <c r="PS289" s="32"/>
      <c r="PT289" s="32"/>
      <c r="PU289" s="32"/>
      <c r="PV289" s="32"/>
      <c r="PW289" s="32"/>
      <c r="PX289" s="32"/>
      <c r="PY289" s="32"/>
      <c r="PZ289" s="32"/>
      <c r="QA289" s="32"/>
      <c r="QB289" s="32"/>
      <c r="QC289" s="32"/>
      <c r="QD289" s="32"/>
      <c r="QE289" s="32"/>
      <c r="QF289" s="32"/>
      <c r="QG289" s="32"/>
      <c r="QH289" s="32"/>
      <c r="QI289" s="32"/>
      <c r="QJ289" s="32"/>
      <c r="QK289" s="32"/>
      <c r="QL289" s="32"/>
      <c r="QM289" s="32"/>
      <c r="QN289" s="32"/>
      <c r="QO289" s="32"/>
      <c r="QP289" s="32"/>
      <c r="QQ289" s="32"/>
      <c r="QR289" s="32"/>
      <c r="QS289" s="32"/>
      <c r="QT289" s="32"/>
      <c r="QU289" s="32"/>
      <c r="QV289" s="32"/>
      <c r="QW289" s="32"/>
      <c r="QX289" s="32"/>
      <c r="QY289" s="32"/>
      <c r="QZ289" s="32"/>
      <c r="RA289" s="32"/>
      <c r="RB289" s="32"/>
      <c r="RC289" s="32"/>
      <c r="RD289" s="32"/>
      <c r="RE289" s="32"/>
      <c r="RF289" s="32"/>
      <c r="RG289" s="32"/>
      <c r="RH289" s="32"/>
      <c r="RI289" s="32"/>
      <c r="RJ289" s="32"/>
      <c r="RK289" s="32"/>
      <c r="RL289" s="32"/>
      <c r="RM289" s="32"/>
      <c r="RN289" s="32"/>
      <c r="RO289" s="32"/>
      <c r="RP289" s="32"/>
      <c r="RQ289" s="32"/>
      <c r="RR289" s="32"/>
      <c r="RS289" s="32"/>
      <c r="RT289" s="32"/>
      <c r="RU289" s="32"/>
      <c r="RV289" s="32"/>
      <c r="RW289" s="32"/>
      <c r="RX289" s="32"/>
      <c r="RY289" s="32"/>
      <c r="RZ289" s="32"/>
      <c r="SA289" s="32"/>
      <c r="SB289" s="32"/>
      <c r="SC289" s="32"/>
      <c r="SD289" s="32"/>
      <c r="SE289" s="32"/>
      <c r="SF289" s="32"/>
      <c r="SG289" s="32"/>
      <c r="SH289" s="32"/>
      <c r="SI289" s="32"/>
      <c r="SJ289" s="32"/>
      <c r="SK289" s="32"/>
      <c r="SL289" s="32"/>
      <c r="SM289" s="32"/>
      <c r="SN289" s="32"/>
      <c r="SO289" s="32"/>
      <c r="SP289" s="32"/>
      <c r="SQ289" s="32"/>
      <c r="SR289" s="32"/>
      <c r="SS289" s="32"/>
      <c r="ST289" s="32"/>
      <c r="SU289" s="32"/>
      <c r="SV289" s="32"/>
      <c r="SW289" s="32"/>
      <c r="SX289" s="32"/>
      <c r="SY289" s="32"/>
      <c r="SZ289" s="32"/>
      <c r="TA289" s="32"/>
      <c r="TB289" s="32"/>
      <c r="TC289" s="32"/>
      <c r="TD289" s="32"/>
      <c r="TE289" s="32"/>
      <c r="TF289" s="32"/>
      <c r="TG289" s="32"/>
      <c r="TH289" s="32"/>
    </row>
    <row r="290" spans="1:528" s="27" customFormat="1" ht="25.5" customHeight="1" x14ac:dyDescent="0.2">
      <c r="A290" s="70"/>
      <c r="B290" s="71"/>
      <c r="C290" s="72"/>
      <c r="D290" s="73"/>
      <c r="E290" s="74">
        <f>E286-'дод 8'!D227</f>
        <v>0</v>
      </c>
      <c r="F290" s="74">
        <f>F286-'дод 8'!E227</f>
        <v>0</v>
      </c>
      <c r="G290" s="74">
        <f>G286-'дод 8'!F227</f>
        <v>0</v>
      </c>
      <c r="H290" s="74">
        <f>H286-'дод 8'!G227</f>
        <v>0</v>
      </c>
      <c r="I290" s="74">
        <f>I286-'дод 8'!H227</f>
        <v>0</v>
      </c>
      <c r="J290" s="74">
        <f>J286-'дод 8'!I227</f>
        <v>0</v>
      </c>
      <c r="K290" s="74">
        <f>K286-'дод 8'!J227</f>
        <v>0</v>
      </c>
      <c r="L290" s="74">
        <f>L286-'дод 8'!K227</f>
        <v>0</v>
      </c>
      <c r="M290" s="74">
        <f>M286-'дод 8'!L227</f>
        <v>0</v>
      </c>
      <c r="N290" s="74">
        <f>N286-'дод 8'!M227</f>
        <v>0</v>
      </c>
      <c r="O290" s="74">
        <f>O286-'дод 8'!N227</f>
        <v>0</v>
      </c>
      <c r="P290" s="74">
        <f>P286-'дод 8'!O227</f>
        <v>0</v>
      </c>
      <c r="Q290" s="179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  <c r="IQ290" s="32"/>
      <c r="IR290" s="32"/>
      <c r="IS290" s="32"/>
      <c r="IT290" s="32"/>
      <c r="IU290" s="32"/>
      <c r="IV290" s="32"/>
      <c r="IW290" s="32"/>
      <c r="IX290" s="32"/>
      <c r="IY290" s="32"/>
      <c r="IZ290" s="32"/>
      <c r="JA290" s="32"/>
      <c r="JB290" s="32"/>
      <c r="JC290" s="32"/>
      <c r="JD290" s="32"/>
      <c r="JE290" s="32"/>
      <c r="JF290" s="32"/>
      <c r="JG290" s="32"/>
      <c r="JH290" s="32"/>
      <c r="JI290" s="32"/>
      <c r="JJ290" s="32"/>
      <c r="JK290" s="32"/>
      <c r="JL290" s="32"/>
      <c r="JM290" s="32"/>
      <c r="JN290" s="32"/>
      <c r="JO290" s="32"/>
      <c r="JP290" s="32"/>
      <c r="JQ290" s="32"/>
      <c r="JR290" s="32"/>
      <c r="JS290" s="32"/>
      <c r="JT290" s="32"/>
      <c r="JU290" s="32"/>
      <c r="JV290" s="32"/>
      <c r="JW290" s="32"/>
      <c r="JX290" s="32"/>
      <c r="JY290" s="32"/>
      <c r="JZ290" s="32"/>
      <c r="KA290" s="32"/>
      <c r="KB290" s="32"/>
      <c r="KC290" s="32"/>
      <c r="KD290" s="32"/>
      <c r="KE290" s="32"/>
      <c r="KF290" s="32"/>
      <c r="KG290" s="32"/>
      <c r="KH290" s="32"/>
      <c r="KI290" s="32"/>
      <c r="KJ290" s="32"/>
      <c r="KK290" s="32"/>
      <c r="KL290" s="32"/>
      <c r="KM290" s="32"/>
      <c r="KN290" s="32"/>
      <c r="KO290" s="32"/>
      <c r="KP290" s="32"/>
      <c r="KQ290" s="32"/>
      <c r="KR290" s="32"/>
      <c r="KS290" s="32"/>
      <c r="KT290" s="32"/>
      <c r="KU290" s="32"/>
      <c r="KV290" s="32"/>
      <c r="KW290" s="32"/>
      <c r="KX290" s="32"/>
      <c r="KY290" s="32"/>
      <c r="KZ290" s="32"/>
      <c r="LA290" s="32"/>
      <c r="LB290" s="32"/>
      <c r="LC290" s="32"/>
      <c r="LD290" s="32"/>
      <c r="LE290" s="32"/>
      <c r="LF290" s="32"/>
      <c r="LG290" s="32"/>
      <c r="LH290" s="32"/>
      <c r="LI290" s="32"/>
      <c r="LJ290" s="32"/>
      <c r="LK290" s="32"/>
      <c r="LL290" s="32"/>
      <c r="LM290" s="32"/>
      <c r="LN290" s="32"/>
      <c r="LO290" s="32"/>
      <c r="LP290" s="32"/>
      <c r="LQ290" s="32"/>
      <c r="LR290" s="32"/>
      <c r="LS290" s="32"/>
      <c r="LT290" s="32"/>
      <c r="LU290" s="32"/>
      <c r="LV290" s="32"/>
      <c r="LW290" s="32"/>
      <c r="LX290" s="32"/>
      <c r="LY290" s="32"/>
      <c r="LZ290" s="32"/>
      <c r="MA290" s="32"/>
      <c r="MB290" s="32"/>
      <c r="MC290" s="32"/>
      <c r="MD290" s="32"/>
      <c r="ME290" s="32"/>
      <c r="MF290" s="32"/>
      <c r="MG290" s="32"/>
      <c r="MH290" s="32"/>
      <c r="MI290" s="32"/>
      <c r="MJ290" s="32"/>
      <c r="MK290" s="32"/>
      <c r="ML290" s="32"/>
      <c r="MM290" s="32"/>
      <c r="MN290" s="32"/>
      <c r="MO290" s="32"/>
      <c r="MP290" s="32"/>
      <c r="MQ290" s="32"/>
      <c r="MR290" s="32"/>
      <c r="MS290" s="32"/>
      <c r="MT290" s="32"/>
      <c r="MU290" s="32"/>
      <c r="MV290" s="32"/>
      <c r="MW290" s="32"/>
      <c r="MX290" s="32"/>
      <c r="MY290" s="32"/>
      <c r="MZ290" s="32"/>
      <c r="NA290" s="32"/>
      <c r="NB290" s="32"/>
      <c r="NC290" s="32"/>
      <c r="ND290" s="32"/>
      <c r="NE290" s="32"/>
      <c r="NF290" s="32"/>
      <c r="NG290" s="32"/>
      <c r="NH290" s="32"/>
      <c r="NI290" s="32"/>
      <c r="NJ290" s="32"/>
      <c r="NK290" s="32"/>
      <c r="NL290" s="32"/>
      <c r="NM290" s="32"/>
      <c r="NN290" s="32"/>
      <c r="NO290" s="32"/>
      <c r="NP290" s="32"/>
      <c r="NQ290" s="32"/>
      <c r="NR290" s="32"/>
      <c r="NS290" s="32"/>
      <c r="NT290" s="32"/>
      <c r="NU290" s="32"/>
      <c r="NV290" s="32"/>
      <c r="NW290" s="32"/>
      <c r="NX290" s="32"/>
      <c r="NY290" s="32"/>
      <c r="NZ290" s="32"/>
      <c r="OA290" s="32"/>
      <c r="OB290" s="32"/>
      <c r="OC290" s="32"/>
      <c r="OD290" s="32"/>
      <c r="OE290" s="32"/>
      <c r="OF290" s="32"/>
      <c r="OG290" s="32"/>
      <c r="OH290" s="32"/>
      <c r="OI290" s="32"/>
      <c r="OJ290" s="32"/>
      <c r="OK290" s="32"/>
      <c r="OL290" s="32"/>
      <c r="OM290" s="32"/>
      <c r="ON290" s="32"/>
      <c r="OO290" s="32"/>
      <c r="OP290" s="32"/>
      <c r="OQ290" s="32"/>
      <c r="OR290" s="32"/>
      <c r="OS290" s="32"/>
      <c r="OT290" s="32"/>
      <c r="OU290" s="32"/>
      <c r="OV290" s="32"/>
      <c r="OW290" s="32"/>
      <c r="OX290" s="32"/>
      <c r="OY290" s="32"/>
      <c r="OZ290" s="32"/>
      <c r="PA290" s="32"/>
      <c r="PB290" s="32"/>
      <c r="PC290" s="32"/>
      <c r="PD290" s="32"/>
      <c r="PE290" s="32"/>
      <c r="PF290" s="32"/>
      <c r="PG290" s="32"/>
      <c r="PH290" s="32"/>
      <c r="PI290" s="32"/>
      <c r="PJ290" s="32"/>
      <c r="PK290" s="32"/>
      <c r="PL290" s="32"/>
      <c r="PM290" s="32"/>
      <c r="PN290" s="32"/>
      <c r="PO290" s="32"/>
      <c r="PP290" s="32"/>
      <c r="PQ290" s="32"/>
      <c r="PR290" s="32"/>
      <c r="PS290" s="32"/>
      <c r="PT290" s="32"/>
      <c r="PU290" s="32"/>
      <c r="PV290" s="32"/>
      <c r="PW290" s="32"/>
      <c r="PX290" s="32"/>
      <c r="PY290" s="32"/>
      <c r="PZ290" s="32"/>
      <c r="QA290" s="32"/>
      <c r="QB290" s="32"/>
      <c r="QC290" s="32"/>
      <c r="QD290" s="32"/>
      <c r="QE290" s="32"/>
      <c r="QF290" s="32"/>
      <c r="QG290" s="32"/>
      <c r="QH290" s="32"/>
      <c r="QI290" s="32"/>
      <c r="QJ290" s="32"/>
      <c r="QK290" s="32"/>
      <c r="QL290" s="32"/>
      <c r="QM290" s="32"/>
      <c r="QN290" s="32"/>
      <c r="QO290" s="32"/>
      <c r="QP290" s="32"/>
      <c r="QQ290" s="32"/>
      <c r="QR290" s="32"/>
      <c r="QS290" s="32"/>
      <c r="QT290" s="32"/>
      <c r="QU290" s="32"/>
      <c r="QV290" s="32"/>
      <c r="QW290" s="32"/>
      <c r="QX290" s="32"/>
      <c r="QY290" s="32"/>
      <c r="QZ290" s="32"/>
      <c r="RA290" s="32"/>
      <c r="RB290" s="32"/>
      <c r="RC290" s="32"/>
      <c r="RD290" s="32"/>
      <c r="RE290" s="32"/>
      <c r="RF290" s="32"/>
      <c r="RG290" s="32"/>
      <c r="RH290" s="32"/>
      <c r="RI290" s="32"/>
      <c r="RJ290" s="32"/>
      <c r="RK290" s="32"/>
      <c r="RL290" s="32"/>
      <c r="RM290" s="32"/>
      <c r="RN290" s="32"/>
      <c r="RO290" s="32"/>
      <c r="RP290" s="32"/>
      <c r="RQ290" s="32"/>
      <c r="RR290" s="32"/>
      <c r="RS290" s="32"/>
      <c r="RT290" s="32"/>
      <c r="RU290" s="32"/>
      <c r="RV290" s="32"/>
      <c r="RW290" s="32"/>
      <c r="RX290" s="32"/>
      <c r="RY290" s="32"/>
      <c r="RZ290" s="32"/>
      <c r="SA290" s="32"/>
      <c r="SB290" s="32"/>
      <c r="SC290" s="32"/>
      <c r="SD290" s="32"/>
      <c r="SE290" s="32"/>
      <c r="SF290" s="32"/>
      <c r="SG290" s="32"/>
      <c r="SH290" s="32"/>
      <c r="SI290" s="32"/>
      <c r="SJ290" s="32"/>
      <c r="SK290" s="32"/>
      <c r="SL290" s="32"/>
      <c r="SM290" s="32"/>
      <c r="SN290" s="32"/>
      <c r="SO290" s="32"/>
      <c r="SP290" s="32"/>
      <c r="SQ290" s="32"/>
      <c r="SR290" s="32"/>
      <c r="SS290" s="32"/>
      <c r="ST290" s="32"/>
      <c r="SU290" s="32"/>
      <c r="SV290" s="32"/>
      <c r="SW290" s="32"/>
      <c r="SX290" s="32"/>
      <c r="SY290" s="32"/>
      <c r="SZ290" s="32"/>
      <c r="TA290" s="32"/>
      <c r="TB290" s="32"/>
      <c r="TC290" s="32"/>
      <c r="TD290" s="32"/>
      <c r="TE290" s="32"/>
      <c r="TF290" s="32"/>
      <c r="TG290" s="32"/>
      <c r="TH290" s="32"/>
    </row>
    <row r="291" spans="1:528" s="27" customFormat="1" ht="25.5" customHeight="1" x14ac:dyDescent="0.2">
      <c r="A291" s="70"/>
      <c r="B291" s="71"/>
      <c r="C291" s="72"/>
      <c r="D291" s="73"/>
      <c r="E291" s="74">
        <f>E287-'дод 8'!D228</f>
        <v>0</v>
      </c>
      <c r="F291" s="74">
        <f>F287-'дод 8'!E228</f>
        <v>0</v>
      </c>
      <c r="G291" s="74">
        <f>G287-'дод 8'!F228</f>
        <v>0</v>
      </c>
      <c r="H291" s="74">
        <f>H287-'дод 8'!G228</f>
        <v>0</v>
      </c>
      <c r="I291" s="74">
        <f>I287-'дод 8'!H228</f>
        <v>0</v>
      </c>
      <c r="J291" s="74">
        <f>J287-'дод 8'!I228</f>
        <v>0</v>
      </c>
      <c r="K291" s="74">
        <f>K287-'дод 8'!J228</f>
        <v>0</v>
      </c>
      <c r="L291" s="74">
        <f>L287-'дод 8'!K228</f>
        <v>0</v>
      </c>
      <c r="M291" s="74">
        <f>M287-'дод 8'!L228</f>
        <v>0</v>
      </c>
      <c r="N291" s="74">
        <f>N287-'дод 8'!M228</f>
        <v>0</v>
      </c>
      <c r="O291" s="74">
        <f>O287-'дод 8'!N228</f>
        <v>0</v>
      </c>
      <c r="P291" s="74">
        <f>P287-'дод 8'!O228</f>
        <v>0</v>
      </c>
      <c r="Q291" s="179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  <c r="IT291" s="32"/>
      <c r="IU291" s="32"/>
      <c r="IV291" s="32"/>
      <c r="IW291" s="32"/>
      <c r="IX291" s="32"/>
      <c r="IY291" s="32"/>
      <c r="IZ291" s="32"/>
      <c r="JA291" s="32"/>
      <c r="JB291" s="32"/>
      <c r="JC291" s="32"/>
      <c r="JD291" s="32"/>
      <c r="JE291" s="32"/>
      <c r="JF291" s="32"/>
      <c r="JG291" s="32"/>
      <c r="JH291" s="32"/>
      <c r="JI291" s="32"/>
      <c r="JJ291" s="32"/>
      <c r="JK291" s="32"/>
      <c r="JL291" s="32"/>
      <c r="JM291" s="32"/>
      <c r="JN291" s="32"/>
      <c r="JO291" s="32"/>
      <c r="JP291" s="32"/>
      <c r="JQ291" s="32"/>
      <c r="JR291" s="32"/>
      <c r="JS291" s="32"/>
      <c r="JT291" s="32"/>
      <c r="JU291" s="32"/>
      <c r="JV291" s="32"/>
      <c r="JW291" s="32"/>
      <c r="JX291" s="32"/>
      <c r="JY291" s="32"/>
      <c r="JZ291" s="32"/>
      <c r="KA291" s="32"/>
      <c r="KB291" s="32"/>
      <c r="KC291" s="32"/>
      <c r="KD291" s="32"/>
      <c r="KE291" s="32"/>
      <c r="KF291" s="32"/>
      <c r="KG291" s="32"/>
      <c r="KH291" s="32"/>
      <c r="KI291" s="32"/>
      <c r="KJ291" s="32"/>
      <c r="KK291" s="32"/>
      <c r="KL291" s="32"/>
      <c r="KM291" s="32"/>
      <c r="KN291" s="32"/>
      <c r="KO291" s="32"/>
      <c r="KP291" s="32"/>
      <c r="KQ291" s="32"/>
      <c r="KR291" s="32"/>
      <c r="KS291" s="32"/>
      <c r="KT291" s="32"/>
      <c r="KU291" s="32"/>
      <c r="KV291" s="32"/>
      <c r="KW291" s="32"/>
      <c r="KX291" s="32"/>
      <c r="KY291" s="32"/>
      <c r="KZ291" s="32"/>
      <c r="LA291" s="32"/>
      <c r="LB291" s="32"/>
      <c r="LC291" s="32"/>
      <c r="LD291" s="32"/>
      <c r="LE291" s="32"/>
      <c r="LF291" s="32"/>
      <c r="LG291" s="32"/>
      <c r="LH291" s="32"/>
      <c r="LI291" s="32"/>
      <c r="LJ291" s="32"/>
      <c r="LK291" s="32"/>
      <c r="LL291" s="32"/>
      <c r="LM291" s="32"/>
      <c r="LN291" s="32"/>
      <c r="LO291" s="32"/>
      <c r="LP291" s="32"/>
      <c r="LQ291" s="32"/>
      <c r="LR291" s="32"/>
      <c r="LS291" s="32"/>
      <c r="LT291" s="32"/>
      <c r="LU291" s="32"/>
      <c r="LV291" s="32"/>
      <c r="LW291" s="32"/>
      <c r="LX291" s="32"/>
      <c r="LY291" s="32"/>
      <c r="LZ291" s="32"/>
      <c r="MA291" s="32"/>
      <c r="MB291" s="32"/>
      <c r="MC291" s="32"/>
      <c r="MD291" s="32"/>
      <c r="ME291" s="32"/>
      <c r="MF291" s="32"/>
      <c r="MG291" s="32"/>
      <c r="MH291" s="32"/>
      <c r="MI291" s="32"/>
      <c r="MJ291" s="32"/>
      <c r="MK291" s="32"/>
      <c r="ML291" s="32"/>
      <c r="MM291" s="32"/>
      <c r="MN291" s="32"/>
      <c r="MO291" s="32"/>
      <c r="MP291" s="32"/>
      <c r="MQ291" s="32"/>
      <c r="MR291" s="32"/>
      <c r="MS291" s="32"/>
      <c r="MT291" s="32"/>
      <c r="MU291" s="32"/>
      <c r="MV291" s="32"/>
      <c r="MW291" s="32"/>
      <c r="MX291" s="32"/>
      <c r="MY291" s="32"/>
      <c r="MZ291" s="32"/>
      <c r="NA291" s="32"/>
      <c r="NB291" s="32"/>
      <c r="NC291" s="32"/>
      <c r="ND291" s="32"/>
      <c r="NE291" s="32"/>
      <c r="NF291" s="32"/>
      <c r="NG291" s="32"/>
      <c r="NH291" s="32"/>
      <c r="NI291" s="32"/>
      <c r="NJ291" s="32"/>
      <c r="NK291" s="32"/>
      <c r="NL291" s="32"/>
      <c r="NM291" s="32"/>
      <c r="NN291" s="32"/>
      <c r="NO291" s="32"/>
      <c r="NP291" s="32"/>
      <c r="NQ291" s="32"/>
      <c r="NR291" s="32"/>
      <c r="NS291" s="32"/>
      <c r="NT291" s="32"/>
      <c r="NU291" s="32"/>
      <c r="NV291" s="32"/>
      <c r="NW291" s="32"/>
      <c r="NX291" s="32"/>
      <c r="NY291" s="32"/>
      <c r="NZ291" s="32"/>
      <c r="OA291" s="32"/>
      <c r="OB291" s="32"/>
      <c r="OC291" s="32"/>
      <c r="OD291" s="32"/>
      <c r="OE291" s="32"/>
      <c r="OF291" s="32"/>
      <c r="OG291" s="32"/>
      <c r="OH291" s="32"/>
      <c r="OI291" s="32"/>
      <c r="OJ291" s="32"/>
      <c r="OK291" s="32"/>
      <c r="OL291" s="32"/>
      <c r="OM291" s="32"/>
      <c r="ON291" s="32"/>
      <c r="OO291" s="32"/>
      <c r="OP291" s="32"/>
      <c r="OQ291" s="32"/>
      <c r="OR291" s="32"/>
      <c r="OS291" s="32"/>
      <c r="OT291" s="32"/>
      <c r="OU291" s="32"/>
      <c r="OV291" s="32"/>
      <c r="OW291" s="32"/>
      <c r="OX291" s="32"/>
      <c r="OY291" s="32"/>
      <c r="OZ291" s="32"/>
      <c r="PA291" s="32"/>
      <c r="PB291" s="32"/>
      <c r="PC291" s="32"/>
      <c r="PD291" s="32"/>
      <c r="PE291" s="32"/>
      <c r="PF291" s="32"/>
      <c r="PG291" s="32"/>
      <c r="PH291" s="32"/>
      <c r="PI291" s="32"/>
      <c r="PJ291" s="32"/>
      <c r="PK291" s="32"/>
      <c r="PL291" s="32"/>
      <c r="PM291" s="32"/>
      <c r="PN291" s="32"/>
      <c r="PO291" s="32"/>
      <c r="PP291" s="32"/>
      <c r="PQ291" s="32"/>
      <c r="PR291" s="32"/>
      <c r="PS291" s="32"/>
      <c r="PT291" s="32"/>
      <c r="PU291" s="32"/>
      <c r="PV291" s="32"/>
      <c r="PW291" s="32"/>
      <c r="PX291" s="32"/>
      <c r="PY291" s="32"/>
      <c r="PZ291" s="32"/>
      <c r="QA291" s="32"/>
      <c r="QB291" s="32"/>
      <c r="QC291" s="32"/>
      <c r="QD291" s="32"/>
      <c r="QE291" s="32"/>
      <c r="QF291" s="32"/>
      <c r="QG291" s="32"/>
      <c r="QH291" s="32"/>
      <c r="QI291" s="32"/>
      <c r="QJ291" s="32"/>
      <c r="QK291" s="32"/>
      <c r="QL291" s="32"/>
      <c r="QM291" s="32"/>
      <c r="QN291" s="32"/>
      <c r="QO291" s="32"/>
      <c r="QP291" s="32"/>
      <c r="QQ291" s="32"/>
      <c r="QR291" s="32"/>
      <c r="QS291" s="32"/>
      <c r="QT291" s="32"/>
      <c r="QU291" s="32"/>
      <c r="QV291" s="32"/>
      <c r="QW291" s="32"/>
      <c r="QX291" s="32"/>
      <c r="QY291" s="32"/>
      <c r="QZ291" s="32"/>
      <c r="RA291" s="32"/>
      <c r="RB291" s="32"/>
      <c r="RC291" s="32"/>
      <c r="RD291" s="32"/>
      <c r="RE291" s="32"/>
      <c r="RF291" s="32"/>
      <c r="RG291" s="32"/>
      <c r="RH291" s="32"/>
      <c r="RI291" s="32"/>
      <c r="RJ291" s="32"/>
      <c r="RK291" s="32"/>
      <c r="RL291" s="32"/>
      <c r="RM291" s="32"/>
      <c r="RN291" s="32"/>
      <c r="RO291" s="32"/>
      <c r="RP291" s="32"/>
      <c r="RQ291" s="32"/>
      <c r="RR291" s="32"/>
      <c r="RS291" s="32"/>
      <c r="RT291" s="32"/>
      <c r="RU291" s="32"/>
      <c r="RV291" s="32"/>
      <c r="RW291" s="32"/>
      <c r="RX291" s="32"/>
      <c r="RY291" s="32"/>
      <c r="RZ291" s="32"/>
      <c r="SA291" s="32"/>
      <c r="SB291" s="32"/>
      <c r="SC291" s="32"/>
      <c r="SD291" s="32"/>
      <c r="SE291" s="32"/>
      <c r="SF291" s="32"/>
      <c r="SG291" s="32"/>
      <c r="SH291" s="32"/>
      <c r="SI291" s="32"/>
      <c r="SJ291" s="32"/>
      <c r="SK291" s="32"/>
      <c r="SL291" s="32"/>
      <c r="SM291" s="32"/>
      <c r="SN291" s="32"/>
      <c r="SO291" s="32"/>
      <c r="SP291" s="32"/>
      <c r="SQ291" s="32"/>
      <c r="SR291" s="32"/>
      <c r="SS291" s="32"/>
      <c r="ST291" s="32"/>
      <c r="SU291" s="32"/>
      <c r="SV291" s="32"/>
      <c r="SW291" s="32"/>
      <c r="SX291" s="32"/>
      <c r="SY291" s="32"/>
      <c r="SZ291" s="32"/>
      <c r="TA291" s="32"/>
      <c r="TB291" s="32"/>
      <c r="TC291" s="32"/>
      <c r="TD291" s="32"/>
      <c r="TE291" s="32"/>
      <c r="TF291" s="32"/>
      <c r="TG291" s="32"/>
      <c r="TH291" s="32"/>
    </row>
    <row r="292" spans="1:528" s="27" customFormat="1" ht="25.5" customHeight="1" x14ac:dyDescent="0.2">
      <c r="A292" s="70"/>
      <c r="B292" s="71"/>
      <c r="C292" s="72"/>
      <c r="D292" s="73"/>
      <c r="E292" s="74">
        <f>E288-'дод 8'!D229</f>
        <v>0</v>
      </c>
      <c r="F292" s="74">
        <f>F288-'дод 8'!E229</f>
        <v>0</v>
      </c>
      <c r="G292" s="74">
        <f>G288-'дод 8'!F229</f>
        <v>0</v>
      </c>
      <c r="H292" s="74">
        <f>H288-'дод 8'!G229</f>
        <v>0</v>
      </c>
      <c r="I292" s="74">
        <f>I288-'дод 8'!H229</f>
        <v>0</v>
      </c>
      <c r="J292" s="74">
        <f>J288-'дод 8'!I229</f>
        <v>0</v>
      </c>
      <c r="K292" s="74">
        <f>K288-'дод 8'!J229</f>
        <v>0</v>
      </c>
      <c r="L292" s="74">
        <f>L288-'дод 8'!K229</f>
        <v>0</v>
      </c>
      <c r="M292" s="74">
        <f>M288-'дод 8'!L229</f>
        <v>0</v>
      </c>
      <c r="N292" s="74">
        <f>N288-'дод 8'!M229</f>
        <v>0</v>
      </c>
      <c r="O292" s="74">
        <f>O288-'дод 8'!N229</f>
        <v>0</v>
      </c>
      <c r="P292" s="74">
        <f>P288-'дод 8'!O229</f>
        <v>0</v>
      </c>
      <c r="Q292" s="179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  <c r="TH292" s="32"/>
    </row>
    <row r="293" spans="1:528" s="27" customFormat="1" ht="29.25" customHeight="1" x14ac:dyDescent="0.2">
      <c r="A293" s="70"/>
      <c r="B293" s="71"/>
      <c r="C293" s="72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179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  <c r="IQ293" s="32"/>
      <c r="IR293" s="32"/>
      <c r="IS293" s="32"/>
      <c r="IT293" s="32"/>
      <c r="IU293" s="32"/>
      <c r="IV293" s="32"/>
      <c r="IW293" s="32"/>
      <c r="IX293" s="32"/>
      <c r="IY293" s="32"/>
      <c r="IZ293" s="32"/>
      <c r="JA293" s="32"/>
      <c r="JB293" s="32"/>
      <c r="JC293" s="32"/>
      <c r="JD293" s="32"/>
      <c r="JE293" s="32"/>
      <c r="JF293" s="32"/>
      <c r="JG293" s="32"/>
      <c r="JH293" s="32"/>
      <c r="JI293" s="32"/>
      <c r="JJ293" s="32"/>
      <c r="JK293" s="32"/>
      <c r="JL293" s="32"/>
      <c r="JM293" s="32"/>
      <c r="JN293" s="32"/>
      <c r="JO293" s="32"/>
      <c r="JP293" s="32"/>
      <c r="JQ293" s="32"/>
      <c r="JR293" s="32"/>
      <c r="JS293" s="32"/>
      <c r="JT293" s="32"/>
      <c r="JU293" s="32"/>
      <c r="JV293" s="32"/>
      <c r="JW293" s="32"/>
      <c r="JX293" s="32"/>
      <c r="JY293" s="32"/>
      <c r="JZ293" s="32"/>
      <c r="KA293" s="32"/>
      <c r="KB293" s="32"/>
      <c r="KC293" s="32"/>
      <c r="KD293" s="32"/>
      <c r="KE293" s="32"/>
      <c r="KF293" s="32"/>
      <c r="KG293" s="32"/>
      <c r="KH293" s="32"/>
      <c r="KI293" s="32"/>
      <c r="KJ293" s="32"/>
      <c r="KK293" s="32"/>
      <c r="KL293" s="32"/>
      <c r="KM293" s="32"/>
      <c r="KN293" s="32"/>
      <c r="KO293" s="32"/>
      <c r="KP293" s="32"/>
      <c r="KQ293" s="32"/>
      <c r="KR293" s="32"/>
      <c r="KS293" s="32"/>
      <c r="KT293" s="32"/>
      <c r="KU293" s="32"/>
      <c r="KV293" s="32"/>
      <c r="KW293" s="32"/>
      <c r="KX293" s="32"/>
      <c r="KY293" s="32"/>
      <c r="KZ293" s="32"/>
      <c r="LA293" s="32"/>
      <c r="LB293" s="32"/>
      <c r="LC293" s="32"/>
      <c r="LD293" s="32"/>
      <c r="LE293" s="32"/>
      <c r="LF293" s="32"/>
      <c r="LG293" s="32"/>
      <c r="LH293" s="32"/>
      <c r="LI293" s="32"/>
      <c r="LJ293" s="32"/>
      <c r="LK293" s="32"/>
      <c r="LL293" s="32"/>
      <c r="LM293" s="32"/>
      <c r="LN293" s="32"/>
      <c r="LO293" s="32"/>
      <c r="LP293" s="32"/>
      <c r="LQ293" s="32"/>
      <c r="LR293" s="32"/>
      <c r="LS293" s="32"/>
      <c r="LT293" s="32"/>
      <c r="LU293" s="32"/>
      <c r="LV293" s="32"/>
      <c r="LW293" s="32"/>
      <c r="LX293" s="32"/>
      <c r="LY293" s="32"/>
      <c r="LZ293" s="32"/>
      <c r="MA293" s="32"/>
      <c r="MB293" s="32"/>
      <c r="MC293" s="32"/>
      <c r="MD293" s="32"/>
      <c r="ME293" s="32"/>
      <c r="MF293" s="32"/>
      <c r="MG293" s="32"/>
      <c r="MH293" s="32"/>
      <c r="MI293" s="32"/>
      <c r="MJ293" s="32"/>
      <c r="MK293" s="32"/>
      <c r="ML293" s="32"/>
      <c r="MM293" s="32"/>
      <c r="MN293" s="32"/>
      <c r="MO293" s="32"/>
      <c r="MP293" s="32"/>
      <c r="MQ293" s="32"/>
      <c r="MR293" s="32"/>
      <c r="MS293" s="32"/>
      <c r="MT293" s="32"/>
      <c r="MU293" s="32"/>
      <c r="MV293" s="32"/>
      <c r="MW293" s="32"/>
      <c r="MX293" s="32"/>
      <c r="MY293" s="32"/>
      <c r="MZ293" s="32"/>
      <c r="NA293" s="32"/>
      <c r="NB293" s="32"/>
      <c r="NC293" s="32"/>
      <c r="ND293" s="32"/>
      <c r="NE293" s="32"/>
      <c r="NF293" s="32"/>
      <c r="NG293" s="32"/>
      <c r="NH293" s="32"/>
      <c r="NI293" s="32"/>
      <c r="NJ293" s="32"/>
      <c r="NK293" s="32"/>
      <c r="NL293" s="32"/>
      <c r="NM293" s="32"/>
      <c r="NN293" s="32"/>
      <c r="NO293" s="32"/>
      <c r="NP293" s="32"/>
      <c r="NQ293" s="32"/>
      <c r="NR293" s="32"/>
      <c r="NS293" s="32"/>
      <c r="NT293" s="32"/>
      <c r="NU293" s="32"/>
      <c r="NV293" s="32"/>
      <c r="NW293" s="32"/>
      <c r="NX293" s="32"/>
      <c r="NY293" s="32"/>
      <c r="NZ293" s="32"/>
      <c r="OA293" s="32"/>
      <c r="OB293" s="32"/>
      <c r="OC293" s="32"/>
      <c r="OD293" s="32"/>
      <c r="OE293" s="32"/>
      <c r="OF293" s="32"/>
      <c r="OG293" s="32"/>
      <c r="OH293" s="32"/>
      <c r="OI293" s="32"/>
      <c r="OJ293" s="32"/>
      <c r="OK293" s="32"/>
      <c r="OL293" s="32"/>
      <c r="OM293" s="32"/>
      <c r="ON293" s="32"/>
      <c r="OO293" s="32"/>
      <c r="OP293" s="32"/>
      <c r="OQ293" s="32"/>
      <c r="OR293" s="32"/>
      <c r="OS293" s="32"/>
      <c r="OT293" s="32"/>
      <c r="OU293" s="32"/>
      <c r="OV293" s="32"/>
      <c r="OW293" s="32"/>
      <c r="OX293" s="32"/>
      <c r="OY293" s="32"/>
      <c r="OZ293" s="32"/>
      <c r="PA293" s="32"/>
      <c r="PB293" s="32"/>
      <c r="PC293" s="32"/>
      <c r="PD293" s="32"/>
      <c r="PE293" s="32"/>
      <c r="PF293" s="32"/>
      <c r="PG293" s="32"/>
      <c r="PH293" s="32"/>
      <c r="PI293" s="32"/>
      <c r="PJ293" s="32"/>
      <c r="PK293" s="32"/>
      <c r="PL293" s="32"/>
      <c r="PM293" s="32"/>
      <c r="PN293" s="32"/>
      <c r="PO293" s="32"/>
      <c r="PP293" s="32"/>
      <c r="PQ293" s="32"/>
      <c r="PR293" s="32"/>
      <c r="PS293" s="32"/>
      <c r="PT293" s="32"/>
      <c r="PU293" s="32"/>
      <c r="PV293" s="32"/>
      <c r="PW293" s="32"/>
      <c r="PX293" s="32"/>
      <c r="PY293" s="32"/>
      <c r="PZ293" s="32"/>
      <c r="QA293" s="32"/>
      <c r="QB293" s="32"/>
      <c r="QC293" s="32"/>
      <c r="QD293" s="32"/>
      <c r="QE293" s="32"/>
      <c r="QF293" s="32"/>
      <c r="QG293" s="32"/>
      <c r="QH293" s="32"/>
      <c r="QI293" s="32"/>
      <c r="QJ293" s="32"/>
      <c r="QK293" s="32"/>
      <c r="QL293" s="32"/>
      <c r="QM293" s="32"/>
      <c r="QN293" s="32"/>
      <c r="QO293" s="32"/>
      <c r="QP293" s="32"/>
      <c r="QQ293" s="32"/>
      <c r="QR293" s="32"/>
      <c r="QS293" s="32"/>
      <c r="QT293" s="32"/>
      <c r="QU293" s="32"/>
      <c r="QV293" s="32"/>
      <c r="QW293" s="32"/>
      <c r="QX293" s="32"/>
      <c r="QY293" s="32"/>
      <c r="QZ293" s="32"/>
      <c r="RA293" s="32"/>
      <c r="RB293" s="32"/>
      <c r="RC293" s="32"/>
      <c r="RD293" s="32"/>
      <c r="RE293" s="32"/>
      <c r="RF293" s="32"/>
      <c r="RG293" s="32"/>
      <c r="RH293" s="32"/>
      <c r="RI293" s="32"/>
      <c r="RJ293" s="32"/>
      <c r="RK293" s="32"/>
      <c r="RL293" s="32"/>
      <c r="RM293" s="32"/>
      <c r="RN293" s="32"/>
      <c r="RO293" s="32"/>
      <c r="RP293" s="32"/>
      <c r="RQ293" s="32"/>
      <c r="RR293" s="32"/>
      <c r="RS293" s="32"/>
      <c r="RT293" s="32"/>
      <c r="RU293" s="32"/>
      <c r="RV293" s="32"/>
      <c r="RW293" s="32"/>
      <c r="RX293" s="32"/>
      <c r="RY293" s="32"/>
      <c r="RZ293" s="32"/>
      <c r="SA293" s="32"/>
      <c r="SB293" s="32"/>
      <c r="SC293" s="32"/>
      <c r="SD293" s="32"/>
      <c r="SE293" s="32"/>
      <c r="SF293" s="32"/>
      <c r="SG293" s="32"/>
      <c r="SH293" s="32"/>
      <c r="SI293" s="32"/>
      <c r="SJ293" s="32"/>
      <c r="SK293" s="32"/>
      <c r="SL293" s="32"/>
      <c r="SM293" s="32"/>
      <c r="SN293" s="32"/>
      <c r="SO293" s="32"/>
      <c r="SP293" s="32"/>
      <c r="SQ293" s="32"/>
      <c r="SR293" s="32"/>
      <c r="SS293" s="32"/>
      <c r="ST293" s="32"/>
      <c r="SU293" s="32"/>
      <c r="SV293" s="32"/>
      <c r="SW293" s="32"/>
      <c r="SX293" s="32"/>
      <c r="SY293" s="32"/>
      <c r="SZ293" s="32"/>
      <c r="TA293" s="32"/>
      <c r="TB293" s="32"/>
      <c r="TC293" s="32"/>
      <c r="TD293" s="32"/>
      <c r="TE293" s="32"/>
      <c r="TF293" s="32"/>
      <c r="TG293" s="32"/>
      <c r="TH293" s="32"/>
    </row>
    <row r="294" spans="1:528" s="144" customFormat="1" ht="39.75" customHeight="1" x14ac:dyDescent="0.45">
      <c r="A294" s="139" t="s">
        <v>477</v>
      </c>
      <c r="B294" s="140"/>
      <c r="C294" s="141"/>
      <c r="D294" s="142"/>
      <c r="E294" s="143"/>
      <c r="F294" s="142"/>
      <c r="G294" s="142"/>
      <c r="H294" s="142"/>
      <c r="I294" s="142"/>
      <c r="J294" s="142"/>
      <c r="M294" s="142"/>
      <c r="N294" s="142" t="s">
        <v>478</v>
      </c>
      <c r="O294" s="143"/>
      <c r="P294" s="143"/>
      <c r="Q294" s="179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5"/>
      <c r="BZ294" s="145"/>
      <c r="CA294" s="145"/>
      <c r="CB294" s="145"/>
      <c r="CC294" s="145"/>
      <c r="CD294" s="145"/>
      <c r="CE294" s="145"/>
      <c r="CF294" s="145"/>
      <c r="CG294" s="145"/>
      <c r="CH294" s="145"/>
      <c r="CI294" s="145"/>
      <c r="CJ294" s="145"/>
      <c r="CK294" s="145"/>
      <c r="CL294" s="145"/>
      <c r="CM294" s="145"/>
      <c r="CN294" s="145"/>
      <c r="CO294" s="145"/>
      <c r="CP294" s="145"/>
      <c r="CQ294" s="145"/>
      <c r="CR294" s="145"/>
      <c r="CS294" s="145"/>
      <c r="CT294" s="145"/>
      <c r="CU294" s="145"/>
      <c r="CV294" s="145"/>
      <c r="CW294" s="145"/>
      <c r="CX294" s="145"/>
      <c r="CY294" s="145"/>
      <c r="CZ294" s="145"/>
      <c r="DA294" s="145"/>
      <c r="DB294" s="145"/>
      <c r="DC294" s="145"/>
      <c r="DD294" s="145"/>
      <c r="DE294" s="145"/>
      <c r="DF294" s="145"/>
      <c r="DG294" s="145"/>
      <c r="DH294" s="145"/>
      <c r="DI294" s="145"/>
      <c r="DJ294" s="145"/>
      <c r="DK294" s="145"/>
      <c r="DL294" s="145"/>
      <c r="DM294" s="145"/>
      <c r="DN294" s="145"/>
      <c r="DO294" s="145"/>
      <c r="DP294" s="145"/>
      <c r="DQ294" s="145"/>
      <c r="DR294" s="145"/>
      <c r="DS294" s="145"/>
      <c r="DT294" s="145"/>
      <c r="DU294" s="145"/>
      <c r="DV294" s="145"/>
      <c r="DW294" s="145"/>
      <c r="DX294" s="145"/>
      <c r="DY294" s="145"/>
      <c r="DZ294" s="145"/>
      <c r="EA294" s="145"/>
      <c r="EB294" s="145"/>
      <c r="EC294" s="145"/>
      <c r="ED294" s="145"/>
      <c r="EE294" s="145"/>
      <c r="EF294" s="145"/>
      <c r="EG294" s="145"/>
      <c r="EH294" s="145"/>
      <c r="EI294" s="145"/>
      <c r="EJ294" s="145"/>
      <c r="EK294" s="145"/>
      <c r="EL294" s="145"/>
      <c r="EM294" s="145"/>
      <c r="EN294" s="145"/>
      <c r="EO294" s="145"/>
      <c r="EP294" s="145"/>
      <c r="EQ294" s="145"/>
      <c r="ER294" s="145"/>
      <c r="ES294" s="145"/>
      <c r="ET294" s="145"/>
      <c r="EU294" s="145"/>
      <c r="EV294" s="145"/>
      <c r="EW294" s="145"/>
      <c r="EX294" s="145"/>
      <c r="EY294" s="145"/>
      <c r="EZ294" s="145"/>
      <c r="FA294" s="145"/>
      <c r="FB294" s="145"/>
      <c r="FC294" s="145"/>
      <c r="FD294" s="145"/>
      <c r="FE294" s="145"/>
      <c r="FF294" s="145"/>
      <c r="FG294" s="145"/>
      <c r="FH294" s="145"/>
      <c r="FI294" s="145"/>
      <c r="FJ294" s="145"/>
      <c r="FK294" s="145"/>
      <c r="FL294" s="145"/>
      <c r="FM294" s="145"/>
      <c r="FN294" s="145"/>
      <c r="FO294" s="145"/>
      <c r="FP294" s="145"/>
      <c r="FQ294" s="145"/>
      <c r="FR294" s="145"/>
      <c r="FS294" s="145"/>
      <c r="FT294" s="145"/>
      <c r="FU294" s="145"/>
      <c r="FV294" s="145"/>
      <c r="FW294" s="145"/>
      <c r="FX294" s="145"/>
      <c r="FY294" s="145"/>
      <c r="FZ294" s="145"/>
      <c r="GA294" s="145"/>
      <c r="GB294" s="145"/>
      <c r="GC294" s="145"/>
      <c r="GD294" s="145"/>
      <c r="GE294" s="145"/>
      <c r="GF294" s="145"/>
      <c r="GG294" s="145"/>
      <c r="GH294" s="145"/>
      <c r="GI294" s="145"/>
      <c r="GJ294" s="145"/>
      <c r="GK294" s="145"/>
      <c r="GL294" s="145"/>
      <c r="GM294" s="145"/>
      <c r="GN294" s="145"/>
      <c r="GO294" s="145"/>
      <c r="GP294" s="145"/>
      <c r="GQ294" s="145"/>
      <c r="GR294" s="145"/>
      <c r="GS294" s="145"/>
      <c r="GT294" s="145"/>
      <c r="GU294" s="145"/>
      <c r="GV294" s="145"/>
      <c r="GW294" s="145"/>
      <c r="GX294" s="145"/>
      <c r="GY294" s="145"/>
      <c r="GZ294" s="145"/>
      <c r="HA294" s="145"/>
      <c r="HB294" s="145"/>
      <c r="HC294" s="145"/>
      <c r="HD294" s="145"/>
      <c r="HE294" s="145"/>
      <c r="HF294" s="145"/>
      <c r="HG294" s="145"/>
      <c r="HH294" s="145"/>
      <c r="HI294" s="145"/>
      <c r="HJ294" s="145"/>
      <c r="HK294" s="145"/>
      <c r="HL294" s="145"/>
      <c r="HM294" s="145"/>
      <c r="HN294" s="145"/>
      <c r="HO294" s="145"/>
      <c r="HP294" s="145"/>
      <c r="HQ294" s="145"/>
      <c r="HR294" s="145"/>
      <c r="HS294" s="145"/>
      <c r="HT294" s="145"/>
      <c r="HU294" s="145"/>
      <c r="HV294" s="145"/>
      <c r="HW294" s="145"/>
      <c r="HX294" s="145"/>
      <c r="HY294" s="145"/>
      <c r="HZ294" s="145"/>
      <c r="IA294" s="145"/>
      <c r="IB294" s="145"/>
      <c r="IC294" s="145"/>
      <c r="ID294" s="145"/>
      <c r="IE294" s="145"/>
      <c r="IF294" s="145"/>
      <c r="IG294" s="145"/>
      <c r="IH294" s="145"/>
      <c r="II294" s="145"/>
      <c r="IJ294" s="145"/>
      <c r="IK294" s="145"/>
      <c r="IL294" s="145"/>
      <c r="IM294" s="145"/>
      <c r="IN294" s="145"/>
      <c r="IO294" s="145"/>
      <c r="IP294" s="145"/>
      <c r="IQ294" s="145"/>
      <c r="IR294" s="145"/>
      <c r="IS294" s="145"/>
      <c r="IT294" s="145"/>
      <c r="IU294" s="145"/>
      <c r="IV294" s="145"/>
      <c r="IW294" s="145"/>
      <c r="IX294" s="145"/>
      <c r="IY294" s="145"/>
      <c r="IZ294" s="145"/>
      <c r="JA294" s="145"/>
      <c r="JB294" s="145"/>
      <c r="JC294" s="145"/>
      <c r="JD294" s="145"/>
      <c r="JE294" s="145"/>
      <c r="JF294" s="145"/>
      <c r="JG294" s="145"/>
      <c r="JH294" s="145"/>
      <c r="JI294" s="145"/>
      <c r="JJ294" s="145"/>
      <c r="JK294" s="145"/>
      <c r="JL294" s="145"/>
      <c r="JM294" s="145"/>
      <c r="JN294" s="145"/>
      <c r="JO294" s="145"/>
      <c r="JP294" s="145"/>
      <c r="JQ294" s="145"/>
      <c r="JR294" s="145"/>
      <c r="JS294" s="145"/>
      <c r="JT294" s="145"/>
      <c r="JU294" s="145"/>
      <c r="JV294" s="145"/>
      <c r="JW294" s="145"/>
      <c r="JX294" s="145"/>
      <c r="JY294" s="145"/>
      <c r="JZ294" s="145"/>
      <c r="KA294" s="145"/>
      <c r="KB294" s="145"/>
      <c r="KC294" s="145"/>
      <c r="KD294" s="145"/>
      <c r="KE294" s="145"/>
      <c r="KF294" s="145"/>
      <c r="KG294" s="145"/>
      <c r="KH294" s="145"/>
      <c r="KI294" s="145"/>
      <c r="KJ294" s="145"/>
      <c r="KK294" s="145"/>
      <c r="KL294" s="145"/>
      <c r="KM294" s="145"/>
      <c r="KN294" s="145"/>
      <c r="KO294" s="145"/>
      <c r="KP294" s="145"/>
      <c r="KQ294" s="145"/>
      <c r="KR294" s="145"/>
      <c r="KS294" s="145"/>
      <c r="KT294" s="145"/>
      <c r="KU294" s="145"/>
      <c r="KV294" s="145"/>
      <c r="KW294" s="145"/>
      <c r="KX294" s="145"/>
      <c r="KY294" s="145"/>
      <c r="KZ294" s="145"/>
      <c r="LA294" s="145"/>
      <c r="LB294" s="145"/>
      <c r="LC294" s="145"/>
      <c r="LD294" s="145"/>
      <c r="LE294" s="145"/>
      <c r="LF294" s="145"/>
      <c r="LG294" s="145"/>
      <c r="LH294" s="145"/>
      <c r="LI294" s="145"/>
      <c r="LJ294" s="145"/>
      <c r="LK294" s="145"/>
      <c r="LL294" s="145"/>
      <c r="LM294" s="145"/>
      <c r="LN294" s="145"/>
      <c r="LO294" s="145"/>
      <c r="LP294" s="145"/>
      <c r="LQ294" s="145"/>
      <c r="LR294" s="145"/>
      <c r="LS294" s="145"/>
      <c r="LT294" s="145"/>
      <c r="LU294" s="145"/>
      <c r="LV294" s="145"/>
      <c r="LW294" s="145"/>
      <c r="LX294" s="145"/>
      <c r="LY294" s="145"/>
      <c r="LZ294" s="145"/>
      <c r="MA294" s="145"/>
      <c r="MB294" s="145"/>
      <c r="MC294" s="145"/>
      <c r="MD294" s="145"/>
      <c r="ME294" s="145"/>
      <c r="MF294" s="145"/>
      <c r="MG294" s="145"/>
      <c r="MH294" s="145"/>
      <c r="MI294" s="145"/>
      <c r="MJ294" s="145"/>
      <c r="MK294" s="145"/>
      <c r="ML294" s="145"/>
      <c r="MM294" s="145"/>
      <c r="MN294" s="145"/>
      <c r="MO294" s="145"/>
      <c r="MP294" s="145"/>
      <c r="MQ294" s="145"/>
      <c r="MR294" s="145"/>
      <c r="MS294" s="145"/>
      <c r="MT294" s="145"/>
      <c r="MU294" s="145"/>
      <c r="MV294" s="145"/>
      <c r="MW294" s="145"/>
      <c r="MX294" s="145"/>
      <c r="MY294" s="145"/>
      <c r="MZ294" s="145"/>
      <c r="NA294" s="145"/>
      <c r="NB294" s="145"/>
      <c r="NC294" s="145"/>
      <c r="ND294" s="145"/>
      <c r="NE294" s="145"/>
      <c r="NF294" s="145"/>
      <c r="NG294" s="145"/>
      <c r="NH294" s="145"/>
      <c r="NI294" s="145"/>
      <c r="NJ294" s="145"/>
      <c r="NK294" s="145"/>
      <c r="NL294" s="145"/>
      <c r="NM294" s="145"/>
      <c r="NN294" s="145"/>
      <c r="NO294" s="145"/>
      <c r="NP294" s="145"/>
      <c r="NQ294" s="145"/>
      <c r="NR294" s="145"/>
      <c r="NS294" s="145"/>
      <c r="NT294" s="145"/>
      <c r="NU294" s="145"/>
      <c r="NV294" s="145"/>
      <c r="NW294" s="145"/>
      <c r="NX294" s="145"/>
      <c r="NY294" s="145"/>
      <c r="NZ294" s="145"/>
      <c r="OA294" s="145"/>
      <c r="OB294" s="145"/>
      <c r="OC294" s="145"/>
      <c r="OD294" s="145"/>
      <c r="OE294" s="145"/>
      <c r="OF294" s="145"/>
      <c r="OG294" s="145"/>
      <c r="OH294" s="145"/>
      <c r="OI294" s="145"/>
      <c r="OJ294" s="145"/>
      <c r="OK294" s="145"/>
      <c r="OL294" s="145"/>
      <c r="OM294" s="145"/>
      <c r="ON294" s="145"/>
      <c r="OO294" s="145"/>
      <c r="OP294" s="145"/>
      <c r="OQ294" s="145"/>
      <c r="OR294" s="145"/>
      <c r="OS294" s="145"/>
      <c r="OT294" s="145"/>
      <c r="OU294" s="145"/>
      <c r="OV294" s="145"/>
      <c r="OW294" s="145"/>
      <c r="OX294" s="145"/>
      <c r="OY294" s="145"/>
      <c r="OZ294" s="145"/>
      <c r="PA294" s="145"/>
      <c r="PB294" s="145"/>
      <c r="PC294" s="145"/>
      <c r="PD294" s="145"/>
      <c r="PE294" s="145"/>
      <c r="PF294" s="145"/>
      <c r="PG294" s="145"/>
      <c r="PH294" s="145"/>
      <c r="PI294" s="145"/>
      <c r="PJ294" s="145"/>
      <c r="PK294" s="145"/>
      <c r="PL294" s="145"/>
      <c r="PM294" s="145"/>
      <c r="PN294" s="145"/>
      <c r="PO294" s="145"/>
      <c r="PP294" s="145"/>
      <c r="PQ294" s="145"/>
      <c r="PR294" s="145"/>
      <c r="PS294" s="145"/>
      <c r="PT294" s="145"/>
      <c r="PU294" s="145"/>
      <c r="PV294" s="145"/>
      <c r="PW294" s="145"/>
      <c r="PX294" s="145"/>
      <c r="PY294" s="145"/>
      <c r="PZ294" s="145"/>
      <c r="QA294" s="145"/>
      <c r="QB294" s="145"/>
      <c r="QC294" s="145"/>
      <c r="QD294" s="145"/>
      <c r="QE294" s="145"/>
      <c r="QF294" s="145"/>
      <c r="QG294" s="145"/>
      <c r="QH294" s="145"/>
      <c r="QI294" s="145"/>
      <c r="QJ294" s="145"/>
      <c r="QK294" s="145"/>
      <c r="QL294" s="145"/>
      <c r="QM294" s="145"/>
      <c r="QN294" s="145"/>
      <c r="QO294" s="145"/>
      <c r="QP294" s="145"/>
      <c r="QQ294" s="145"/>
      <c r="QR294" s="145"/>
      <c r="QS294" s="145"/>
      <c r="QT294" s="145"/>
      <c r="QU294" s="145"/>
      <c r="QV294" s="145"/>
      <c r="QW294" s="145"/>
      <c r="QX294" s="145"/>
      <c r="QY294" s="145"/>
      <c r="QZ294" s="145"/>
      <c r="RA294" s="145"/>
      <c r="RB294" s="145"/>
      <c r="RC294" s="145"/>
      <c r="RD294" s="145"/>
      <c r="RE294" s="145"/>
      <c r="RF294" s="145"/>
      <c r="RG294" s="145"/>
      <c r="RH294" s="145"/>
      <c r="RI294" s="145"/>
      <c r="RJ294" s="145"/>
      <c r="RK294" s="145"/>
      <c r="RL294" s="145"/>
      <c r="RM294" s="145"/>
      <c r="RN294" s="145"/>
      <c r="RO294" s="145"/>
      <c r="RP294" s="145"/>
      <c r="RQ294" s="145"/>
      <c r="RR294" s="145"/>
      <c r="RS294" s="145"/>
      <c r="RT294" s="145"/>
      <c r="RU294" s="145"/>
      <c r="RV294" s="145"/>
      <c r="RW294" s="145"/>
      <c r="RX294" s="145"/>
      <c r="RY294" s="145"/>
      <c r="RZ294" s="145"/>
      <c r="SA294" s="145"/>
      <c r="SB294" s="145"/>
      <c r="SC294" s="145"/>
      <c r="SD294" s="145"/>
      <c r="SE294" s="145"/>
      <c r="SF294" s="145"/>
      <c r="SG294" s="145"/>
      <c r="SH294" s="145"/>
      <c r="SI294" s="145"/>
      <c r="SJ294" s="145"/>
      <c r="SK294" s="145"/>
      <c r="SL294" s="145"/>
      <c r="SM294" s="145"/>
      <c r="SN294" s="145"/>
      <c r="SO294" s="145"/>
      <c r="SP294" s="145"/>
      <c r="SQ294" s="145"/>
      <c r="SR294" s="145"/>
      <c r="SS294" s="145"/>
      <c r="ST294" s="145"/>
      <c r="SU294" s="145"/>
      <c r="SV294" s="145"/>
      <c r="SW294" s="145"/>
      <c r="SX294" s="145"/>
      <c r="SY294" s="145"/>
      <c r="SZ294" s="145"/>
      <c r="TA294" s="145"/>
      <c r="TB294" s="145"/>
      <c r="TC294" s="145"/>
      <c r="TD294" s="145"/>
      <c r="TE294" s="145"/>
      <c r="TF294" s="145"/>
      <c r="TG294" s="145"/>
      <c r="TH294" s="145"/>
    </row>
    <row r="295" spans="1:528" s="28" customFormat="1" x14ac:dyDescent="0.25">
      <c r="A295" s="56"/>
      <c r="B295" s="62"/>
      <c r="C295" s="62"/>
      <c r="D295" s="35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137"/>
      <c r="Q295" s="179"/>
    </row>
    <row r="296" spans="1:528" s="148" customFormat="1" ht="26.25" x14ac:dyDescent="0.4">
      <c r="A296" s="146" t="s">
        <v>479</v>
      </c>
      <c r="B296" s="146"/>
      <c r="C296" s="146"/>
      <c r="D296" s="146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79"/>
    </row>
    <row r="297" spans="1:528" s="148" customFormat="1" ht="27" customHeight="1" x14ac:dyDescent="0.4">
      <c r="A297" s="172" t="s">
        <v>580</v>
      </c>
      <c r="B297" s="172"/>
      <c r="C297" s="172"/>
      <c r="D297" s="172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79"/>
    </row>
    <row r="298" spans="1:528" s="148" customFormat="1" ht="26.25" x14ac:dyDescent="0.4">
      <c r="A298" s="149"/>
      <c r="B298" s="150"/>
      <c r="C298" s="150"/>
      <c r="D298" s="151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79"/>
    </row>
    <row r="299" spans="1:528" s="28" customFormat="1" ht="91.5" customHeight="1" x14ac:dyDescent="0.25">
      <c r="A299" s="56"/>
      <c r="B299" s="62"/>
      <c r="C299" s="62"/>
      <c r="D299" s="35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179"/>
    </row>
    <row r="300" spans="1:528" s="28" customFormat="1" x14ac:dyDescent="0.25">
      <c r="A300" s="56"/>
      <c r="B300" s="62"/>
      <c r="C300" s="62"/>
      <c r="D300" s="35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156"/>
    </row>
    <row r="301" spans="1:528" s="28" customFormat="1" x14ac:dyDescent="0.25">
      <c r="A301" s="56"/>
      <c r="B301" s="62"/>
      <c r="C301" s="62"/>
      <c r="D301" s="35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156"/>
    </row>
    <row r="302" spans="1:528" s="28" customFormat="1" x14ac:dyDescent="0.25">
      <c r="A302" s="56"/>
      <c r="B302" s="62"/>
      <c r="C302" s="62"/>
      <c r="D302" s="35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156"/>
    </row>
    <row r="303" spans="1:528" s="28" customFormat="1" x14ac:dyDescent="0.25">
      <c r="A303" s="56"/>
      <c r="B303" s="62"/>
      <c r="C303" s="62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137"/>
      <c r="Q303" s="156"/>
    </row>
    <row r="304" spans="1:528" s="28" customFormat="1" x14ac:dyDescent="0.25">
      <c r="A304" s="56"/>
      <c r="B304" s="62"/>
      <c r="C304" s="62"/>
      <c r="D304" s="35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137"/>
      <c r="Q304" s="156"/>
    </row>
    <row r="305" spans="1:17" s="28" customFormat="1" x14ac:dyDescent="0.25">
      <c r="A305" s="56"/>
      <c r="B305" s="62"/>
      <c r="C305" s="62"/>
      <c r="D305" s="35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137"/>
      <c r="Q305" s="156"/>
    </row>
    <row r="306" spans="1:17" s="28" customFormat="1" x14ac:dyDescent="0.25">
      <c r="A306" s="56"/>
      <c r="B306" s="62"/>
      <c r="C306" s="62"/>
      <c r="D306" s="3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137"/>
      <c r="Q306" s="156"/>
    </row>
    <row r="307" spans="1:17" s="28" customFormat="1" x14ac:dyDescent="0.25">
      <c r="A307" s="56"/>
      <c r="B307" s="62"/>
      <c r="C307" s="62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137"/>
      <c r="Q307" s="156"/>
    </row>
    <row r="308" spans="1:17" s="28" customFormat="1" x14ac:dyDescent="0.25">
      <c r="A308" s="56"/>
      <c r="B308" s="62"/>
      <c r="C308" s="62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137"/>
      <c r="Q308" s="156"/>
    </row>
    <row r="309" spans="1:17" s="28" customFormat="1" x14ac:dyDescent="0.25">
      <c r="A309" s="56"/>
      <c r="B309" s="62"/>
      <c r="C309" s="62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137"/>
      <c r="Q309" s="156"/>
    </row>
    <row r="310" spans="1:17" s="28" customFormat="1" x14ac:dyDescent="0.25">
      <c r="A310" s="56"/>
      <c r="B310" s="62"/>
      <c r="C310" s="62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137"/>
      <c r="Q310" s="156"/>
    </row>
    <row r="311" spans="1:17" s="28" customFormat="1" x14ac:dyDescent="0.25">
      <c r="A311" s="56"/>
      <c r="B311" s="62"/>
      <c r="C311" s="62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137"/>
      <c r="Q311" s="156"/>
    </row>
    <row r="312" spans="1:17" s="28" customFormat="1" x14ac:dyDescent="0.25">
      <c r="A312" s="56"/>
      <c r="B312" s="62"/>
      <c r="C312" s="62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137"/>
      <c r="Q312" s="156"/>
    </row>
    <row r="313" spans="1:17" s="28" customFormat="1" x14ac:dyDescent="0.25">
      <c r="A313" s="56"/>
      <c r="B313" s="62"/>
      <c r="C313" s="62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137"/>
      <c r="Q313" s="156"/>
    </row>
    <row r="314" spans="1:17" s="28" customFormat="1" x14ac:dyDescent="0.25">
      <c r="A314" s="56"/>
      <c r="B314" s="62"/>
      <c r="C314" s="62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137"/>
      <c r="Q314" s="156"/>
    </row>
    <row r="315" spans="1:17" s="28" customForma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137"/>
      <c r="Q315" s="156"/>
    </row>
    <row r="316" spans="1:17" s="28" customFormat="1" x14ac:dyDescent="0.25">
      <c r="A316" s="56"/>
      <c r="B316" s="62"/>
      <c r="C316" s="62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137"/>
      <c r="Q316" s="156"/>
    </row>
    <row r="317" spans="1:17" s="28" customFormat="1" x14ac:dyDescent="0.25">
      <c r="A317" s="56"/>
      <c r="B317" s="62"/>
      <c r="C317" s="62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137"/>
      <c r="Q317" s="156"/>
    </row>
    <row r="318" spans="1:17" s="28" customFormat="1" x14ac:dyDescent="0.25">
      <c r="A318" s="56"/>
      <c r="B318" s="62"/>
      <c r="C318" s="62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137"/>
      <c r="Q318" s="156"/>
    </row>
    <row r="319" spans="1:17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137"/>
      <c r="Q319" s="156"/>
    </row>
    <row r="320" spans="1:17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137"/>
      <c r="Q320" s="156"/>
    </row>
    <row r="321" spans="1:17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137"/>
      <c r="Q321" s="156"/>
    </row>
    <row r="322" spans="1:17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137"/>
      <c r="Q322" s="156"/>
    </row>
    <row r="323" spans="1:17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137"/>
      <c r="Q323" s="156"/>
    </row>
    <row r="324" spans="1:17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137"/>
      <c r="Q324" s="156"/>
    </row>
    <row r="325" spans="1:17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137"/>
      <c r="Q325" s="156"/>
    </row>
    <row r="326" spans="1:17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137"/>
      <c r="Q326" s="156"/>
    </row>
    <row r="327" spans="1:17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137"/>
      <c r="Q327" s="156"/>
    </row>
    <row r="328" spans="1:17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137"/>
      <c r="Q328" s="156"/>
    </row>
    <row r="329" spans="1:17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137"/>
      <c r="Q329" s="156"/>
    </row>
    <row r="330" spans="1:17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137"/>
      <c r="Q330" s="156"/>
    </row>
    <row r="331" spans="1:17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137"/>
      <c r="Q331" s="156"/>
    </row>
    <row r="332" spans="1:17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137"/>
      <c r="Q332" s="156"/>
    </row>
    <row r="333" spans="1:17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137"/>
      <c r="Q333" s="156"/>
    </row>
    <row r="334" spans="1:17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137"/>
      <c r="Q334" s="156"/>
    </row>
    <row r="335" spans="1:17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137"/>
      <c r="Q335" s="156"/>
    </row>
    <row r="336" spans="1:17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137"/>
      <c r="Q336" s="156"/>
    </row>
    <row r="337" spans="1:17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137"/>
      <c r="Q337" s="156"/>
    </row>
    <row r="338" spans="1:17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137"/>
      <c r="Q338" s="156"/>
    </row>
    <row r="339" spans="1:17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137"/>
      <c r="Q339" s="156"/>
    </row>
    <row r="340" spans="1:17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137"/>
      <c r="Q340" s="156"/>
    </row>
    <row r="341" spans="1:17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137"/>
      <c r="Q341" s="156"/>
    </row>
    <row r="342" spans="1:17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37"/>
      <c r="Q342" s="156"/>
    </row>
    <row r="343" spans="1:17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137"/>
      <c r="Q343" s="156"/>
    </row>
    <row r="344" spans="1:17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37"/>
      <c r="Q344" s="156"/>
    </row>
    <row r="345" spans="1:17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137"/>
      <c r="Q345" s="156"/>
    </row>
    <row r="346" spans="1:17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137"/>
      <c r="Q346" s="156"/>
    </row>
    <row r="347" spans="1:17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137"/>
      <c r="Q347" s="156"/>
    </row>
    <row r="348" spans="1:17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137"/>
      <c r="Q348" s="156"/>
    </row>
    <row r="349" spans="1:17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37"/>
      <c r="Q349" s="156"/>
    </row>
    <row r="350" spans="1:17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37"/>
      <c r="Q350" s="156"/>
    </row>
    <row r="351" spans="1:17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37"/>
      <c r="Q351" s="156"/>
    </row>
    <row r="352" spans="1:17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37"/>
      <c r="Q352" s="156"/>
    </row>
    <row r="353" spans="1:17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37"/>
      <c r="Q353" s="156"/>
    </row>
    <row r="354" spans="1:17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37"/>
      <c r="Q354" s="156"/>
    </row>
    <row r="355" spans="1:17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37"/>
      <c r="Q355" s="156"/>
    </row>
    <row r="356" spans="1:17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37"/>
      <c r="Q356" s="156"/>
    </row>
    <row r="357" spans="1:17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37"/>
      <c r="Q357" s="156"/>
    </row>
    <row r="358" spans="1:17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37"/>
      <c r="Q358" s="156"/>
    </row>
    <row r="359" spans="1:17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37"/>
      <c r="Q359" s="156"/>
    </row>
    <row r="360" spans="1:17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37"/>
      <c r="Q360" s="156"/>
    </row>
    <row r="361" spans="1:17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37"/>
      <c r="Q361" s="156"/>
    </row>
    <row r="362" spans="1:17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37"/>
      <c r="Q362" s="156"/>
    </row>
    <row r="363" spans="1:17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37"/>
      <c r="Q363" s="156"/>
    </row>
    <row r="364" spans="1:17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37"/>
      <c r="Q364" s="156"/>
    </row>
    <row r="365" spans="1:17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37"/>
      <c r="Q365" s="156"/>
    </row>
    <row r="366" spans="1:17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37"/>
      <c r="Q366" s="156"/>
    </row>
    <row r="367" spans="1:17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37"/>
      <c r="Q367" s="156"/>
    </row>
    <row r="368" spans="1:17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37"/>
      <c r="Q368" s="156"/>
    </row>
    <row r="369" spans="1:17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37"/>
      <c r="Q369" s="156"/>
    </row>
    <row r="370" spans="1:17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37"/>
      <c r="Q370" s="156"/>
    </row>
    <row r="371" spans="1:17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37"/>
      <c r="Q371" s="156"/>
    </row>
    <row r="372" spans="1:17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37"/>
      <c r="Q372" s="156"/>
    </row>
    <row r="373" spans="1:17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37"/>
      <c r="Q373" s="156"/>
    </row>
    <row r="374" spans="1:17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37"/>
      <c r="Q374" s="156"/>
    </row>
    <row r="375" spans="1:17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37"/>
      <c r="Q375" s="156"/>
    </row>
    <row r="376" spans="1:17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37"/>
      <c r="Q376" s="156"/>
    </row>
    <row r="377" spans="1:17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37"/>
      <c r="Q377" s="156"/>
    </row>
    <row r="378" spans="1:17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37"/>
      <c r="Q378" s="156"/>
    </row>
    <row r="379" spans="1:17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37"/>
      <c r="Q379" s="156"/>
    </row>
    <row r="380" spans="1:17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37"/>
      <c r="Q380" s="156"/>
    </row>
    <row r="381" spans="1:17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37"/>
      <c r="Q381" s="156"/>
    </row>
    <row r="382" spans="1:17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37"/>
      <c r="Q382" s="156"/>
    </row>
    <row r="383" spans="1:17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37"/>
      <c r="Q383" s="156"/>
    </row>
    <row r="384" spans="1:17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37"/>
      <c r="Q384" s="156"/>
    </row>
    <row r="385" spans="1:17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37"/>
      <c r="Q385" s="156"/>
    </row>
    <row r="386" spans="1:17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37"/>
      <c r="Q386" s="156"/>
    </row>
    <row r="387" spans="1:17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37"/>
      <c r="Q387" s="156"/>
    </row>
    <row r="388" spans="1:17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37"/>
      <c r="Q388" s="156"/>
    </row>
    <row r="389" spans="1:17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37"/>
      <c r="Q389" s="156"/>
    </row>
    <row r="390" spans="1:17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37"/>
      <c r="Q390" s="156"/>
    </row>
    <row r="391" spans="1:17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37"/>
      <c r="Q391" s="156"/>
    </row>
    <row r="392" spans="1:17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37"/>
      <c r="Q392" s="156"/>
    </row>
    <row r="393" spans="1:17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37"/>
      <c r="Q393" s="156"/>
    </row>
    <row r="394" spans="1:17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37"/>
      <c r="Q394" s="156"/>
    </row>
    <row r="395" spans="1:17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37"/>
      <c r="Q395" s="156"/>
    </row>
    <row r="396" spans="1:17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37"/>
      <c r="Q396" s="156"/>
    </row>
    <row r="397" spans="1:17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37"/>
      <c r="Q397" s="156"/>
    </row>
    <row r="398" spans="1:17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37"/>
      <c r="Q398" s="156"/>
    </row>
    <row r="399" spans="1:17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37"/>
      <c r="Q399" s="156"/>
    </row>
    <row r="400" spans="1:17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37"/>
      <c r="Q400" s="156"/>
    </row>
    <row r="401" spans="1:17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37"/>
      <c r="Q401" s="156"/>
    </row>
    <row r="402" spans="1:17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37"/>
      <c r="Q402" s="156"/>
    </row>
    <row r="403" spans="1:17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37"/>
      <c r="Q403" s="156"/>
    </row>
    <row r="404" spans="1:17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37"/>
      <c r="Q404" s="156"/>
    </row>
    <row r="405" spans="1:17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37"/>
      <c r="Q405" s="156"/>
    </row>
    <row r="406" spans="1:17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37"/>
      <c r="Q406" s="156"/>
    </row>
    <row r="407" spans="1:17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37"/>
      <c r="Q407" s="156"/>
    </row>
    <row r="408" spans="1:17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37"/>
      <c r="Q408" s="156"/>
    </row>
    <row r="409" spans="1:17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37"/>
      <c r="Q409" s="156"/>
    </row>
    <row r="410" spans="1:17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37"/>
      <c r="Q410" s="156"/>
    </row>
    <row r="411" spans="1:17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37"/>
      <c r="Q411" s="156"/>
    </row>
    <row r="412" spans="1:17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37"/>
      <c r="Q412" s="156"/>
    </row>
    <row r="413" spans="1:17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37"/>
      <c r="Q413" s="156"/>
    </row>
    <row r="414" spans="1:17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37"/>
      <c r="Q414" s="156"/>
    </row>
    <row r="415" spans="1:17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37"/>
      <c r="Q415" s="156"/>
    </row>
    <row r="416" spans="1:17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37"/>
      <c r="Q416" s="156"/>
    </row>
    <row r="417" spans="1:17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37"/>
      <c r="Q417" s="156"/>
    </row>
    <row r="418" spans="1:17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37"/>
      <c r="Q418" s="156"/>
    </row>
    <row r="419" spans="1:17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37"/>
      <c r="Q419" s="156"/>
    </row>
    <row r="420" spans="1:17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37"/>
      <c r="Q420" s="156"/>
    </row>
    <row r="421" spans="1:17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37"/>
      <c r="Q421" s="156"/>
    </row>
    <row r="422" spans="1:17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37"/>
      <c r="Q422" s="156"/>
    </row>
    <row r="423" spans="1:17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37"/>
      <c r="Q423" s="156"/>
    </row>
    <row r="424" spans="1:17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37"/>
      <c r="Q424" s="156"/>
    </row>
    <row r="425" spans="1:17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37"/>
      <c r="Q425" s="156"/>
    </row>
    <row r="426" spans="1:17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37"/>
      <c r="Q426" s="156"/>
    </row>
    <row r="427" spans="1:17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37"/>
      <c r="Q427" s="156"/>
    </row>
    <row r="428" spans="1:17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37"/>
      <c r="Q428" s="156"/>
    </row>
    <row r="429" spans="1:17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37"/>
      <c r="Q429" s="156"/>
    </row>
    <row r="430" spans="1:17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37"/>
      <c r="Q430" s="156"/>
    </row>
    <row r="431" spans="1:17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37"/>
      <c r="Q431" s="156"/>
    </row>
    <row r="432" spans="1:17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37"/>
      <c r="Q432" s="156"/>
    </row>
    <row r="433" spans="1:17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37"/>
      <c r="Q433" s="156"/>
    </row>
    <row r="434" spans="1:17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37"/>
      <c r="Q434" s="156"/>
    </row>
    <row r="435" spans="1:17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37"/>
      <c r="Q435" s="156"/>
    </row>
    <row r="436" spans="1:17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37"/>
      <c r="Q436" s="156"/>
    </row>
    <row r="437" spans="1:17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37"/>
      <c r="Q437" s="156"/>
    </row>
    <row r="438" spans="1:17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37"/>
      <c r="Q438" s="156"/>
    </row>
    <row r="439" spans="1:17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37"/>
      <c r="Q439" s="156"/>
    </row>
    <row r="440" spans="1:17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37"/>
      <c r="Q440" s="156"/>
    </row>
    <row r="441" spans="1:17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37"/>
      <c r="Q441" s="156"/>
    </row>
    <row r="442" spans="1:17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37"/>
      <c r="Q442" s="156"/>
    </row>
    <row r="443" spans="1:17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37"/>
      <c r="Q443" s="156"/>
    </row>
    <row r="444" spans="1:17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37"/>
      <c r="Q444" s="156"/>
    </row>
    <row r="445" spans="1:17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37"/>
      <c r="Q445" s="156"/>
    </row>
    <row r="446" spans="1:17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37"/>
      <c r="Q446" s="156"/>
    </row>
    <row r="447" spans="1:17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37"/>
      <c r="Q447" s="156"/>
    </row>
    <row r="448" spans="1:17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37"/>
      <c r="Q448" s="156"/>
    </row>
    <row r="449" spans="1:17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37"/>
      <c r="Q449" s="156"/>
    </row>
    <row r="450" spans="1:17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37"/>
      <c r="Q450" s="156"/>
    </row>
    <row r="451" spans="1:17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37"/>
      <c r="Q451" s="156"/>
    </row>
    <row r="452" spans="1:17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37"/>
      <c r="Q452" s="156"/>
    </row>
    <row r="453" spans="1:17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37"/>
      <c r="Q453" s="156"/>
    </row>
    <row r="454" spans="1:17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37"/>
      <c r="Q454" s="156"/>
    </row>
    <row r="455" spans="1:17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37"/>
      <c r="Q455" s="156"/>
    </row>
    <row r="456" spans="1:17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37"/>
      <c r="Q456" s="156"/>
    </row>
    <row r="457" spans="1:17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37"/>
      <c r="Q457" s="156"/>
    </row>
    <row r="458" spans="1:17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37"/>
      <c r="Q458" s="156"/>
    </row>
    <row r="459" spans="1:17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37"/>
      <c r="Q459" s="156"/>
    </row>
    <row r="460" spans="1:17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37"/>
      <c r="Q460" s="156"/>
    </row>
    <row r="461" spans="1:17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37"/>
      <c r="Q461" s="156"/>
    </row>
    <row r="462" spans="1:17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37"/>
      <c r="Q462" s="156"/>
    </row>
    <row r="463" spans="1:17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37"/>
      <c r="Q463" s="156"/>
    </row>
    <row r="464" spans="1:17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37"/>
      <c r="Q464" s="156"/>
    </row>
    <row r="465" spans="1:17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37"/>
      <c r="Q465" s="156"/>
    </row>
    <row r="466" spans="1:17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37"/>
      <c r="Q466" s="156"/>
    </row>
    <row r="467" spans="1:17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37"/>
      <c r="Q467" s="156"/>
    </row>
    <row r="468" spans="1:17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37"/>
      <c r="Q468" s="156"/>
    </row>
    <row r="469" spans="1:17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37"/>
      <c r="Q469" s="156"/>
    </row>
    <row r="470" spans="1:17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37"/>
      <c r="Q470" s="156"/>
    </row>
    <row r="471" spans="1:17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37"/>
      <c r="Q471" s="156"/>
    </row>
    <row r="472" spans="1:17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37"/>
      <c r="Q472" s="156"/>
    </row>
    <row r="473" spans="1:17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37"/>
      <c r="Q473" s="156"/>
    </row>
    <row r="474" spans="1:17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37"/>
      <c r="Q474" s="156"/>
    </row>
    <row r="475" spans="1:17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37"/>
      <c r="Q475" s="156"/>
    </row>
    <row r="476" spans="1:17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37"/>
      <c r="Q476" s="156"/>
    </row>
    <row r="477" spans="1:17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37"/>
      <c r="Q477" s="156"/>
    </row>
    <row r="478" spans="1:17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37"/>
      <c r="Q478" s="156"/>
    </row>
    <row r="479" spans="1:17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37"/>
      <c r="Q479" s="156"/>
    </row>
    <row r="480" spans="1:17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37"/>
      <c r="Q480" s="156"/>
    </row>
    <row r="481" spans="1:17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37"/>
      <c r="Q481" s="156"/>
    </row>
    <row r="482" spans="1:17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37"/>
      <c r="Q482" s="156"/>
    </row>
    <row r="483" spans="1:17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37"/>
      <c r="Q483" s="156"/>
    </row>
    <row r="484" spans="1:17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37"/>
      <c r="Q484" s="156"/>
    </row>
    <row r="485" spans="1:17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37"/>
      <c r="Q485" s="156"/>
    </row>
    <row r="486" spans="1:17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37"/>
      <c r="Q486" s="156"/>
    </row>
    <row r="487" spans="1:17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37"/>
      <c r="Q487" s="156"/>
    </row>
    <row r="488" spans="1:17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37"/>
      <c r="Q488" s="156"/>
    </row>
    <row r="489" spans="1:17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37"/>
      <c r="Q489" s="156"/>
    </row>
    <row r="490" spans="1:17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37"/>
      <c r="Q490" s="156"/>
    </row>
    <row r="491" spans="1:17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37"/>
      <c r="Q491" s="156"/>
    </row>
    <row r="492" spans="1:17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37"/>
      <c r="Q492" s="156"/>
    </row>
    <row r="493" spans="1:17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37"/>
      <c r="Q493" s="156"/>
    </row>
    <row r="494" spans="1:17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37"/>
      <c r="Q494" s="156"/>
    </row>
    <row r="495" spans="1:17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37"/>
      <c r="Q495" s="156"/>
    </row>
    <row r="496" spans="1:17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37"/>
      <c r="Q496" s="156"/>
    </row>
    <row r="497" spans="1:17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37"/>
      <c r="Q497" s="156"/>
    </row>
    <row r="498" spans="1:17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37"/>
      <c r="Q498" s="156"/>
    </row>
    <row r="499" spans="1:17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37"/>
      <c r="Q499" s="156"/>
    </row>
    <row r="500" spans="1:17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37"/>
      <c r="Q500" s="156"/>
    </row>
    <row r="501" spans="1:17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37"/>
      <c r="Q501" s="156"/>
    </row>
    <row r="502" spans="1:17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37"/>
      <c r="Q502" s="156"/>
    </row>
    <row r="503" spans="1:17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37"/>
      <c r="Q503" s="156"/>
    </row>
    <row r="504" spans="1:17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37"/>
      <c r="Q504" s="156"/>
    </row>
    <row r="505" spans="1:17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37"/>
      <c r="Q505" s="156"/>
    </row>
    <row r="506" spans="1:17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37"/>
      <c r="Q506" s="156"/>
    </row>
    <row r="507" spans="1:17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37"/>
      <c r="Q507" s="156"/>
    </row>
    <row r="508" spans="1:17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37"/>
      <c r="Q508" s="156"/>
    </row>
    <row r="509" spans="1:17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37"/>
      <c r="Q509" s="156"/>
    </row>
    <row r="510" spans="1:17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37"/>
      <c r="Q510" s="156"/>
    </row>
    <row r="511" spans="1:17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37"/>
      <c r="Q511" s="156"/>
    </row>
    <row r="512" spans="1:17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37"/>
      <c r="Q512" s="156"/>
    </row>
    <row r="513" spans="1:17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37"/>
      <c r="Q513" s="156"/>
    </row>
    <row r="514" spans="1:17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37"/>
      <c r="Q514" s="156"/>
    </row>
    <row r="515" spans="1:17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37"/>
      <c r="Q515" s="156"/>
    </row>
    <row r="516" spans="1:17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37"/>
      <c r="Q516" s="156"/>
    </row>
    <row r="517" spans="1:17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37"/>
      <c r="Q517" s="156"/>
    </row>
    <row r="518" spans="1:17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37"/>
      <c r="Q518" s="156"/>
    </row>
    <row r="519" spans="1:17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37"/>
      <c r="Q519" s="156"/>
    </row>
    <row r="520" spans="1:17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37"/>
      <c r="Q520" s="156"/>
    </row>
    <row r="521" spans="1:17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37"/>
      <c r="Q521" s="156"/>
    </row>
    <row r="522" spans="1:17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37"/>
      <c r="Q522" s="156"/>
    </row>
    <row r="523" spans="1:17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37"/>
      <c r="Q523" s="156"/>
    </row>
    <row r="524" spans="1:17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37"/>
      <c r="Q524" s="156"/>
    </row>
    <row r="525" spans="1:17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37"/>
      <c r="Q525" s="156"/>
    </row>
    <row r="526" spans="1:17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37"/>
      <c r="Q526" s="156"/>
    </row>
    <row r="527" spans="1:17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37"/>
      <c r="Q527" s="156"/>
    </row>
    <row r="528" spans="1:17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37"/>
      <c r="Q528" s="156"/>
    </row>
    <row r="529" spans="1:17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37"/>
      <c r="Q529" s="156"/>
    </row>
    <row r="530" spans="1:17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37"/>
      <c r="Q530" s="156"/>
    </row>
    <row r="531" spans="1:17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37"/>
      <c r="Q531" s="156"/>
    </row>
    <row r="532" spans="1:17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37"/>
      <c r="Q532" s="156"/>
    </row>
    <row r="533" spans="1:17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37"/>
      <c r="Q533" s="156"/>
    </row>
    <row r="534" spans="1:17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37"/>
      <c r="Q534" s="156"/>
    </row>
    <row r="535" spans="1:17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37"/>
      <c r="Q535" s="156"/>
    </row>
    <row r="536" spans="1:17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37"/>
      <c r="Q536" s="156"/>
    </row>
    <row r="537" spans="1:17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37"/>
      <c r="Q537" s="156"/>
    </row>
    <row r="538" spans="1:17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37"/>
      <c r="Q538" s="156"/>
    </row>
    <row r="539" spans="1:17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37"/>
      <c r="Q539" s="156"/>
    </row>
    <row r="540" spans="1:17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37"/>
      <c r="Q540" s="156"/>
    </row>
    <row r="541" spans="1:17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37"/>
      <c r="Q541" s="156"/>
    </row>
    <row r="542" spans="1:17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37"/>
      <c r="Q542" s="156"/>
    </row>
    <row r="543" spans="1:17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37"/>
      <c r="Q543" s="156"/>
    </row>
    <row r="544" spans="1:17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37"/>
      <c r="Q544" s="156"/>
    </row>
    <row r="545" spans="1:17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37"/>
      <c r="Q545" s="156"/>
    </row>
    <row r="546" spans="1:17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37"/>
      <c r="Q546" s="156"/>
    </row>
    <row r="547" spans="1:17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37"/>
      <c r="Q547" s="156"/>
    </row>
    <row r="548" spans="1:17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37"/>
      <c r="Q548" s="156"/>
    </row>
    <row r="549" spans="1:17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37"/>
      <c r="Q549" s="156"/>
    </row>
    <row r="550" spans="1:17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37"/>
      <c r="Q550" s="156"/>
    </row>
    <row r="551" spans="1:17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37"/>
      <c r="Q551" s="156"/>
    </row>
    <row r="552" spans="1:17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37"/>
      <c r="Q552" s="156"/>
    </row>
    <row r="553" spans="1:17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37"/>
      <c r="Q553" s="156"/>
    </row>
    <row r="554" spans="1:17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37"/>
      <c r="Q554" s="156"/>
    </row>
    <row r="555" spans="1:17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37"/>
      <c r="Q555" s="156"/>
    </row>
    <row r="556" spans="1:17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37"/>
      <c r="Q556" s="156"/>
    </row>
    <row r="557" spans="1:17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37"/>
      <c r="Q557" s="156"/>
    </row>
    <row r="558" spans="1:17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37"/>
      <c r="Q558" s="156"/>
    </row>
    <row r="559" spans="1:17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37"/>
      <c r="Q559" s="156"/>
    </row>
    <row r="560" spans="1:17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37"/>
      <c r="Q560" s="156"/>
    </row>
    <row r="561" spans="1:17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37"/>
      <c r="Q561" s="156"/>
    </row>
    <row r="562" spans="1:17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37"/>
      <c r="Q562" s="156"/>
    </row>
    <row r="563" spans="1:17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37"/>
      <c r="Q563" s="156"/>
    </row>
    <row r="564" spans="1:17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37"/>
      <c r="Q564" s="156"/>
    </row>
    <row r="565" spans="1:17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37"/>
      <c r="Q565" s="156"/>
    </row>
    <row r="566" spans="1:17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37"/>
      <c r="Q566" s="156"/>
    </row>
    <row r="567" spans="1:17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37"/>
      <c r="Q567" s="156"/>
    </row>
    <row r="568" spans="1:17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37"/>
      <c r="Q568" s="156"/>
    </row>
    <row r="569" spans="1:17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37"/>
      <c r="Q569" s="156"/>
    </row>
    <row r="570" spans="1:17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37"/>
      <c r="Q570" s="156"/>
    </row>
    <row r="571" spans="1:17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37"/>
      <c r="Q571" s="156"/>
    </row>
    <row r="572" spans="1:17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37"/>
      <c r="Q572" s="156"/>
    </row>
    <row r="573" spans="1:17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37"/>
      <c r="Q573" s="156"/>
    </row>
    <row r="574" spans="1:17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37"/>
      <c r="Q574" s="156"/>
    </row>
    <row r="575" spans="1:17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37"/>
      <c r="Q575" s="156"/>
    </row>
    <row r="576" spans="1:17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37"/>
      <c r="Q576" s="156"/>
    </row>
    <row r="577" spans="1:17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37"/>
      <c r="Q577" s="156"/>
    </row>
    <row r="578" spans="1:17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37"/>
      <c r="Q578" s="156"/>
    </row>
    <row r="579" spans="1:17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37"/>
      <c r="Q579" s="156"/>
    </row>
    <row r="580" spans="1:17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37"/>
      <c r="Q580" s="156"/>
    </row>
    <row r="581" spans="1:17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37"/>
      <c r="Q581" s="156"/>
    </row>
    <row r="582" spans="1:17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37"/>
      <c r="Q582" s="156"/>
    </row>
    <row r="583" spans="1:17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37"/>
      <c r="Q583" s="156"/>
    </row>
    <row r="584" spans="1:17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37"/>
      <c r="Q584" s="156"/>
    </row>
    <row r="585" spans="1:17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37"/>
      <c r="Q585" s="156"/>
    </row>
    <row r="586" spans="1:17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37"/>
      <c r="Q586" s="156"/>
    </row>
    <row r="587" spans="1:17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37"/>
      <c r="Q587" s="156"/>
    </row>
    <row r="588" spans="1:17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37"/>
      <c r="Q588" s="156"/>
    </row>
    <row r="589" spans="1:17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37"/>
      <c r="Q589" s="156"/>
    </row>
    <row r="590" spans="1:17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37"/>
      <c r="Q590" s="156"/>
    </row>
    <row r="591" spans="1:17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37"/>
      <c r="Q591" s="156"/>
    </row>
    <row r="592" spans="1:17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37"/>
      <c r="Q592" s="156"/>
    </row>
    <row r="593" spans="1:17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37"/>
      <c r="Q593" s="156"/>
    </row>
    <row r="594" spans="1:17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37"/>
      <c r="Q594" s="156"/>
    </row>
    <row r="595" spans="1:17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37"/>
      <c r="Q595" s="156"/>
    </row>
    <row r="596" spans="1:17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37"/>
      <c r="Q596" s="156"/>
    </row>
    <row r="597" spans="1:17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37"/>
      <c r="Q597" s="156"/>
    </row>
    <row r="598" spans="1:17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37"/>
      <c r="Q598" s="156"/>
    </row>
    <row r="599" spans="1:17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37"/>
      <c r="Q599" s="156"/>
    </row>
    <row r="600" spans="1:17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37"/>
      <c r="Q600" s="156"/>
    </row>
    <row r="601" spans="1:17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37"/>
      <c r="Q601" s="156"/>
    </row>
    <row r="602" spans="1:17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37"/>
      <c r="Q602" s="156"/>
    </row>
    <row r="603" spans="1:17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37"/>
      <c r="Q603" s="156"/>
    </row>
    <row r="604" spans="1:17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37"/>
      <c r="Q604" s="156"/>
    </row>
    <row r="605" spans="1:17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37"/>
      <c r="Q605" s="156"/>
    </row>
    <row r="606" spans="1:17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37"/>
      <c r="Q606" s="156"/>
    </row>
    <row r="607" spans="1:17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37"/>
      <c r="Q607" s="156"/>
    </row>
    <row r="608" spans="1:17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37"/>
      <c r="Q608" s="156"/>
    </row>
    <row r="609" spans="1:17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37"/>
      <c r="Q609" s="156"/>
    </row>
    <row r="610" spans="1:17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37"/>
      <c r="Q610" s="156"/>
    </row>
    <row r="611" spans="1:17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37"/>
      <c r="Q611" s="156"/>
    </row>
    <row r="612" spans="1:17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37"/>
      <c r="Q612" s="156"/>
    </row>
    <row r="613" spans="1:17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37"/>
      <c r="Q613" s="156"/>
    </row>
    <row r="614" spans="1:17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37"/>
      <c r="Q614" s="156"/>
    </row>
    <row r="615" spans="1:17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37"/>
      <c r="Q615" s="156"/>
    </row>
    <row r="616" spans="1:17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37"/>
      <c r="Q616" s="156"/>
    </row>
    <row r="617" spans="1:17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37"/>
      <c r="Q617" s="156"/>
    </row>
    <row r="618" spans="1:17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37"/>
      <c r="Q618" s="156"/>
    </row>
    <row r="619" spans="1:17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37"/>
      <c r="Q619" s="156"/>
    </row>
    <row r="620" spans="1:17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37"/>
      <c r="Q620" s="156"/>
    </row>
    <row r="621" spans="1:17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37"/>
      <c r="Q621" s="156"/>
    </row>
    <row r="622" spans="1:17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37"/>
      <c r="Q622" s="156"/>
    </row>
    <row r="623" spans="1:17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37"/>
      <c r="Q623" s="156"/>
    </row>
    <row r="624" spans="1:17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37"/>
      <c r="Q624" s="156"/>
    </row>
    <row r="625" spans="1:17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37"/>
      <c r="Q625" s="156"/>
    </row>
    <row r="626" spans="1:17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37"/>
      <c r="Q626" s="156"/>
    </row>
    <row r="627" spans="1:17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37"/>
      <c r="Q627" s="156"/>
    </row>
    <row r="628" spans="1:17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37"/>
      <c r="Q628" s="156"/>
    </row>
    <row r="629" spans="1:17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37"/>
      <c r="Q629" s="156"/>
    </row>
    <row r="630" spans="1:17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37"/>
      <c r="Q630" s="156"/>
    </row>
    <row r="631" spans="1:17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37"/>
      <c r="Q631" s="156"/>
    </row>
    <row r="632" spans="1:17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37"/>
      <c r="Q632" s="156"/>
    </row>
    <row r="633" spans="1:17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37"/>
      <c r="Q633" s="156"/>
    </row>
    <row r="634" spans="1:17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37"/>
      <c r="Q634" s="156"/>
    </row>
    <row r="635" spans="1:17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37"/>
      <c r="Q635" s="156"/>
    </row>
    <row r="636" spans="1:17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37"/>
      <c r="Q636" s="156"/>
    </row>
    <row r="637" spans="1:17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37"/>
      <c r="Q637" s="156"/>
    </row>
    <row r="638" spans="1:17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37"/>
      <c r="Q638" s="156"/>
    </row>
    <row r="639" spans="1:17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37"/>
      <c r="Q639" s="156"/>
    </row>
    <row r="640" spans="1:17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37"/>
      <c r="Q640" s="156"/>
    </row>
    <row r="641" spans="1:17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37"/>
      <c r="Q641" s="156"/>
    </row>
    <row r="642" spans="1:17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37"/>
      <c r="Q642" s="156"/>
    </row>
    <row r="643" spans="1:17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37"/>
      <c r="Q643" s="156"/>
    </row>
    <row r="644" spans="1:17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37"/>
      <c r="Q644" s="156"/>
    </row>
    <row r="645" spans="1:17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37"/>
      <c r="Q645" s="156"/>
    </row>
    <row r="646" spans="1:17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37"/>
      <c r="Q646" s="156"/>
    </row>
    <row r="647" spans="1:17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37"/>
      <c r="Q647" s="156"/>
    </row>
    <row r="648" spans="1:17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37"/>
      <c r="Q648" s="156"/>
    </row>
    <row r="649" spans="1:17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37"/>
      <c r="Q649" s="156"/>
    </row>
    <row r="650" spans="1:17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37"/>
      <c r="Q650" s="156"/>
    </row>
    <row r="651" spans="1:17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37"/>
      <c r="Q651" s="156"/>
    </row>
    <row r="652" spans="1:17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37"/>
      <c r="Q652" s="156"/>
    </row>
    <row r="653" spans="1:17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37"/>
      <c r="Q653" s="156"/>
    </row>
    <row r="654" spans="1:17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37"/>
      <c r="Q654" s="156"/>
    </row>
    <row r="655" spans="1:17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37"/>
      <c r="Q655" s="156"/>
    </row>
    <row r="656" spans="1:17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37"/>
      <c r="Q656" s="156"/>
    </row>
    <row r="657" spans="1:17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37"/>
      <c r="Q657" s="156"/>
    </row>
    <row r="658" spans="1:17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37"/>
      <c r="Q658" s="156"/>
    </row>
    <row r="659" spans="1:17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37"/>
      <c r="Q659" s="156"/>
    </row>
    <row r="660" spans="1:17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37"/>
      <c r="Q660" s="156"/>
    </row>
    <row r="661" spans="1:17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37"/>
      <c r="Q661" s="156"/>
    </row>
    <row r="662" spans="1:17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37"/>
      <c r="Q662" s="156"/>
    </row>
    <row r="663" spans="1:17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37"/>
      <c r="Q663" s="156"/>
    </row>
    <row r="664" spans="1:17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37"/>
      <c r="Q664" s="156"/>
    </row>
    <row r="665" spans="1:17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37"/>
      <c r="Q665" s="156"/>
    </row>
    <row r="666" spans="1:17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37"/>
      <c r="Q666" s="156"/>
    </row>
    <row r="667" spans="1:17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37"/>
      <c r="Q667" s="156"/>
    </row>
    <row r="668" spans="1:17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37"/>
      <c r="Q668" s="156"/>
    </row>
    <row r="669" spans="1:17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37"/>
      <c r="Q669" s="156"/>
    </row>
    <row r="670" spans="1:17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37"/>
      <c r="Q670" s="156"/>
    </row>
    <row r="671" spans="1:17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37"/>
      <c r="Q671" s="156"/>
    </row>
    <row r="672" spans="1:17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37"/>
      <c r="Q672" s="156"/>
    </row>
    <row r="673" spans="1:17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37"/>
      <c r="Q673" s="156"/>
    </row>
    <row r="674" spans="1:17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37"/>
      <c r="Q674" s="156"/>
    </row>
    <row r="675" spans="1:17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37"/>
      <c r="Q675" s="156"/>
    </row>
    <row r="676" spans="1:17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37"/>
      <c r="Q676" s="156"/>
    </row>
    <row r="677" spans="1:17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37"/>
      <c r="Q677" s="156"/>
    </row>
    <row r="678" spans="1:17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37"/>
      <c r="Q678" s="156"/>
    </row>
    <row r="679" spans="1:17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37"/>
      <c r="Q679" s="156"/>
    </row>
    <row r="680" spans="1:17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37"/>
      <c r="Q680" s="156"/>
    </row>
    <row r="681" spans="1:17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37"/>
      <c r="Q681" s="156"/>
    </row>
    <row r="682" spans="1:17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37"/>
      <c r="Q682" s="156"/>
    </row>
    <row r="683" spans="1:17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37"/>
      <c r="Q683" s="156"/>
    </row>
    <row r="684" spans="1:17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37"/>
      <c r="Q684" s="156"/>
    </row>
    <row r="685" spans="1:17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37"/>
      <c r="Q685" s="156"/>
    </row>
    <row r="686" spans="1:17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37"/>
      <c r="Q686" s="156"/>
    </row>
    <row r="687" spans="1:17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37"/>
      <c r="Q687" s="156"/>
    </row>
    <row r="688" spans="1:17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37"/>
      <c r="Q688" s="156"/>
    </row>
    <row r="689" spans="1:17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37"/>
      <c r="Q689" s="156"/>
    </row>
    <row r="690" spans="1:17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37"/>
      <c r="Q690" s="156"/>
    </row>
    <row r="691" spans="1:17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37"/>
      <c r="Q691" s="156"/>
    </row>
    <row r="692" spans="1:17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37"/>
      <c r="Q692" s="156"/>
    </row>
    <row r="693" spans="1:17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37"/>
      <c r="Q693" s="156"/>
    </row>
    <row r="694" spans="1:17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37"/>
      <c r="Q694" s="156"/>
    </row>
    <row r="695" spans="1:17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37"/>
      <c r="Q695" s="156"/>
    </row>
    <row r="696" spans="1:17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37"/>
      <c r="Q696" s="156"/>
    </row>
    <row r="697" spans="1:17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37"/>
      <c r="Q697" s="156"/>
    </row>
    <row r="698" spans="1:17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37"/>
      <c r="Q698" s="156"/>
    </row>
    <row r="699" spans="1:17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37"/>
      <c r="Q699" s="156"/>
    </row>
    <row r="700" spans="1:17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37"/>
      <c r="Q700" s="156"/>
    </row>
    <row r="701" spans="1:17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37"/>
      <c r="Q701" s="156"/>
    </row>
    <row r="702" spans="1:17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37"/>
      <c r="Q702" s="156"/>
    </row>
    <row r="703" spans="1:17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37"/>
      <c r="Q703" s="156"/>
    </row>
    <row r="704" spans="1:17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37"/>
      <c r="Q704" s="156"/>
    </row>
    <row r="705" spans="1:17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37"/>
      <c r="Q705" s="156"/>
    </row>
    <row r="706" spans="1:17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37"/>
      <c r="Q706" s="156"/>
    </row>
    <row r="707" spans="1:17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37"/>
      <c r="Q707" s="156"/>
    </row>
    <row r="708" spans="1:17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37"/>
      <c r="Q708" s="156"/>
    </row>
    <row r="709" spans="1:17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37"/>
      <c r="Q709" s="156"/>
    </row>
    <row r="710" spans="1:17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37"/>
      <c r="Q710" s="156"/>
    </row>
    <row r="711" spans="1:17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37"/>
      <c r="Q711" s="156"/>
    </row>
    <row r="712" spans="1:17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37"/>
      <c r="Q712" s="156"/>
    </row>
    <row r="713" spans="1:17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37"/>
      <c r="Q713" s="156"/>
    </row>
    <row r="714" spans="1:17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37"/>
      <c r="Q714" s="156"/>
    </row>
    <row r="715" spans="1:17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37"/>
      <c r="Q715" s="156"/>
    </row>
    <row r="716" spans="1:17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37"/>
      <c r="Q716" s="156"/>
    </row>
    <row r="717" spans="1:17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37"/>
      <c r="Q717" s="156"/>
    </row>
    <row r="718" spans="1:17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37"/>
      <c r="Q718" s="156"/>
    </row>
    <row r="719" spans="1:17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37"/>
      <c r="Q719" s="156"/>
    </row>
    <row r="720" spans="1:17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37"/>
      <c r="Q720" s="156"/>
    </row>
    <row r="721" spans="1:17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37"/>
      <c r="Q721" s="156"/>
    </row>
    <row r="722" spans="1:17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37"/>
      <c r="Q722" s="156"/>
    </row>
    <row r="723" spans="1:17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37"/>
      <c r="Q723" s="156"/>
    </row>
    <row r="724" spans="1:17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37"/>
      <c r="Q724" s="156"/>
    </row>
    <row r="725" spans="1:17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37"/>
      <c r="Q725" s="156"/>
    </row>
    <row r="726" spans="1:17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37"/>
      <c r="Q726" s="156"/>
    </row>
    <row r="727" spans="1:17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37"/>
      <c r="Q727" s="156"/>
    </row>
    <row r="728" spans="1:17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37"/>
      <c r="Q728" s="156"/>
    </row>
    <row r="729" spans="1:17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37"/>
      <c r="Q729" s="156"/>
    </row>
    <row r="730" spans="1:17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37"/>
      <c r="Q730" s="156"/>
    </row>
    <row r="731" spans="1:17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37"/>
      <c r="Q731" s="156"/>
    </row>
    <row r="732" spans="1:17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37"/>
      <c r="Q732" s="156"/>
    </row>
    <row r="733" spans="1:17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37"/>
      <c r="Q733" s="156"/>
    </row>
    <row r="734" spans="1:17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37"/>
      <c r="Q734" s="156"/>
    </row>
    <row r="735" spans="1:17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37"/>
      <c r="Q735" s="156"/>
    </row>
    <row r="736" spans="1:17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37"/>
      <c r="Q736" s="156"/>
    </row>
    <row r="737" spans="1:17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37"/>
      <c r="Q737" s="156"/>
    </row>
    <row r="738" spans="1:17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37"/>
      <c r="Q738" s="156"/>
    </row>
    <row r="739" spans="1:17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37"/>
      <c r="Q739" s="156"/>
    </row>
    <row r="740" spans="1:17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37"/>
      <c r="Q740" s="156"/>
    </row>
    <row r="741" spans="1:17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37"/>
      <c r="Q741" s="156"/>
    </row>
    <row r="742" spans="1:17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37"/>
      <c r="Q742" s="156"/>
    </row>
    <row r="743" spans="1:17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37"/>
      <c r="Q743" s="156"/>
    </row>
    <row r="744" spans="1:17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37"/>
      <c r="Q744" s="156"/>
    </row>
    <row r="745" spans="1:17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37"/>
      <c r="Q745" s="156"/>
    </row>
    <row r="746" spans="1:17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37"/>
      <c r="Q746" s="156"/>
    </row>
    <row r="747" spans="1:17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37"/>
      <c r="Q747" s="156"/>
    </row>
    <row r="748" spans="1:17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37"/>
      <c r="Q748" s="156"/>
    </row>
    <row r="749" spans="1:17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37"/>
      <c r="Q749" s="156"/>
    </row>
    <row r="750" spans="1:17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37"/>
      <c r="Q750" s="156"/>
    </row>
    <row r="751" spans="1:17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37"/>
      <c r="Q751" s="156"/>
    </row>
    <row r="752" spans="1:17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37"/>
      <c r="Q752" s="156"/>
    </row>
    <row r="753" spans="1:17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37"/>
      <c r="Q753" s="156"/>
    </row>
    <row r="754" spans="1:17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37"/>
      <c r="Q754" s="156"/>
    </row>
    <row r="755" spans="1:17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37"/>
      <c r="Q755" s="156"/>
    </row>
    <row r="756" spans="1:17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37"/>
      <c r="Q756" s="156"/>
    </row>
    <row r="757" spans="1:17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37"/>
      <c r="Q757" s="156"/>
    </row>
    <row r="758" spans="1:17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37"/>
      <c r="Q758" s="156"/>
    </row>
    <row r="759" spans="1:17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37"/>
      <c r="Q759" s="156"/>
    </row>
    <row r="760" spans="1:17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37"/>
      <c r="Q760" s="156"/>
    </row>
    <row r="761" spans="1:17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37"/>
      <c r="Q761" s="156"/>
    </row>
    <row r="762" spans="1:17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37"/>
      <c r="Q762" s="156"/>
    </row>
    <row r="763" spans="1:17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37"/>
      <c r="Q763" s="156"/>
    </row>
    <row r="764" spans="1:17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37"/>
      <c r="Q764" s="156"/>
    </row>
    <row r="765" spans="1:17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37"/>
      <c r="Q765" s="156"/>
    </row>
    <row r="766" spans="1:17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37"/>
      <c r="Q766" s="156"/>
    </row>
    <row r="767" spans="1:17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37"/>
      <c r="Q767" s="156"/>
    </row>
    <row r="768" spans="1:17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37"/>
      <c r="Q768" s="156"/>
    </row>
    <row r="769" spans="1:17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37"/>
      <c r="Q769" s="156"/>
    </row>
    <row r="770" spans="1:17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37"/>
      <c r="Q770" s="156"/>
    </row>
    <row r="771" spans="1:17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37"/>
      <c r="Q771" s="156"/>
    </row>
    <row r="772" spans="1:17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37"/>
      <c r="Q772" s="156"/>
    </row>
    <row r="773" spans="1:17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37"/>
      <c r="Q773" s="156"/>
    </row>
    <row r="774" spans="1:17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37"/>
      <c r="Q774" s="156"/>
    </row>
    <row r="775" spans="1:17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37"/>
      <c r="Q775" s="156"/>
    </row>
    <row r="776" spans="1:17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37"/>
      <c r="Q776" s="156"/>
    </row>
    <row r="777" spans="1:17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37"/>
      <c r="Q777" s="156"/>
    </row>
    <row r="778" spans="1:17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37"/>
      <c r="Q778" s="156"/>
    </row>
    <row r="779" spans="1:17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37"/>
      <c r="Q779" s="156"/>
    </row>
    <row r="780" spans="1:17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37"/>
      <c r="Q780" s="156"/>
    </row>
    <row r="781" spans="1:17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37"/>
      <c r="Q781" s="156"/>
    </row>
    <row r="782" spans="1:17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37"/>
      <c r="Q782" s="156"/>
    </row>
    <row r="783" spans="1:17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37"/>
      <c r="Q783" s="156"/>
    </row>
    <row r="784" spans="1:17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37"/>
      <c r="Q784" s="156"/>
    </row>
    <row r="785" spans="1:17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37"/>
      <c r="Q785" s="156"/>
    </row>
    <row r="786" spans="1:17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37"/>
      <c r="Q786" s="156"/>
    </row>
    <row r="787" spans="1:17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37"/>
      <c r="Q787" s="156"/>
    </row>
    <row r="788" spans="1:17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37"/>
      <c r="Q788" s="156"/>
    </row>
    <row r="789" spans="1:17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37"/>
      <c r="Q789" s="156"/>
    </row>
    <row r="790" spans="1:17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37"/>
      <c r="Q790" s="156"/>
    </row>
    <row r="791" spans="1:17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37"/>
      <c r="Q791" s="156"/>
    </row>
    <row r="792" spans="1:17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37"/>
      <c r="Q792" s="156"/>
    </row>
    <row r="793" spans="1:17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37"/>
      <c r="Q793" s="156"/>
    </row>
    <row r="794" spans="1:17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37"/>
      <c r="Q794" s="156"/>
    </row>
    <row r="795" spans="1:17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37"/>
      <c r="Q795" s="156"/>
    </row>
    <row r="796" spans="1:17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37"/>
      <c r="Q796" s="156"/>
    </row>
    <row r="797" spans="1:17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37"/>
      <c r="Q797" s="156"/>
    </row>
    <row r="798" spans="1:17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37"/>
      <c r="Q798" s="156"/>
    </row>
    <row r="799" spans="1:17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37"/>
      <c r="Q799" s="156"/>
    </row>
    <row r="800" spans="1:17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37"/>
      <c r="Q800" s="156"/>
    </row>
    <row r="801" spans="1:17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37"/>
      <c r="Q801" s="156"/>
    </row>
    <row r="802" spans="1:17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37"/>
      <c r="Q802" s="156"/>
    </row>
    <row r="803" spans="1:17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37"/>
      <c r="Q803" s="156"/>
    </row>
    <row r="804" spans="1:17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37"/>
      <c r="Q804" s="156"/>
    </row>
    <row r="805" spans="1:17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37"/>
      <c r="Q805" s="156"/>
    </row>
    <row r="806" spans="1:17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37"/>
      <c r="Q806" s="156"/>
    </row>
    <row r="807" spans="1:17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37"/>
      <c r="Q807" s="156"/>
    </row>
    <row r="808" spans="1:17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37"/>
      <c r="Q808" s="156"/>
    </row>
    <row r="809" spans="1:17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37"/>
      <c r="Q809" s="156"/>
    </row>
    <row r="810" spans="1:17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37"/>
      <c r="Q810" s="156"/>
    </row>
    <row r="811" spans="1:17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37"/>
      <c r="Q811" s="156"/>
    </row>
    <row r="812" spans="1:17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37"/>
      <c r="Q812" s="156"/>
    </row>
    <row r="813" spans="1:17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37"/>
      <c r="Q813" s="156"/>
    </row>
    <row r="814" spans="1:17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37"/>
      <c r="Q814" s="156"/>
    </row>
    <row r="815" spans="1:17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37"/>
      <c r="Q815" s="156"/>
    </row>
    <row r="816" spans="1:17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37"/>
      <c r="Q816" s="156"/>
    </row>
    <row r="817" spans="1:17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37"/>
      <c r="Q817" s="156"/>
    </row>
    <row r="818" spans="1:17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37"/>
      <c r="Q818" s="156"/>
    </row>
    <row r="819" spans="1:17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37"/>
      <c r="Q819" s="156"/>
    </row>
    <row r="820" spans="1:17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37"/>
      <c r="Q820" s="156"/>
    </row>
    <row r="821" spans="1:17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37"/>
      <c r="Q821" s="156"/>
    </row>
    <row r="822" spans="1:17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37"/>
      <c r="Q822" s="156"/>
    </row>
    <row r="823" spans="1:17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37"/>
      <c r="Q823" s="156"/>
    </row>
    <row r="824" spans="1:17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37"/>
      <c r="Q824" s="156"/>
    </row>
    <row r="825" spans="1:17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37"/>
      <c r="Q825" s="156"/>
    </row>
    <row r="826" spans="1:17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37"/>
      <c r="Q826" s="156"/>
    </row>
    <row r="827" spans="1:17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37"/>
      <c r="Q827" s="156"/>
    </row>
    <row r="828" spans="1:17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37"/>
      <c r="Q828" s="156"/>
    </row>
    <row r="829" spans="1:17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37"/>
      <c r="Q829" s="156"/>
    </row>
    <row r="830" spans="1:17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37"/>
      <c r="Q830" s="156"/>
    </row>
    <row r="831" spans="1:17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37"/>
      <c r="Q831" s="156"/>
    </row>
    <row r="832" spans="1:17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37"/>
      <c r="Q832" s="156"/>
    </row>
    <row r="833" spans="1:17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37"/>
      <c r="Q833" s="156"/>
    </row>
    <row r="834" spans="1:17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37"/>
      <c r="Q834" s="156"/>
    </row>
    <row r="835" spans="1:17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37"/>
      <c r="Q835" s="156"/>
    </row>
    <row r="836" spans="1:17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37"/>
      <c r="Q836" s="156"/>
    </row>
    <row r="837" spans="1:17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37"/>
      <c r="Q837" s="156"/>
    </row>
    <row r="838" spans="1:17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37"/>
      <c r="Q838" s="156"/>
    </row>
    <row r="839" spans="1:17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37"/>
      <c r="Q839" s="156"/>
    </row>
    <row r="840" spans="1:17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37"/>
      <c r="Q840" s="156"/>
    </row>
    <row r="841" spans="1:17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37"/>
      <c r="Q841" s="156"/>
    </row>
    <row r="842" spans="1:17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37"/>
      <c r="Q842" s="156"/>
    </row>
    <row r="843" spans="1:17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37"/>
      <c r="Q843" s="156"/>
    </row>
    <row r="844" spans="1:17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37"/>
      <c r="Q844" s="156"/>
    </row>
    <row r="845" spans="1:17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37"/>
      <c r="Q845" s="156"/>
    </row>
    <row r="846" spans="1:17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37"/>
      <c r="Q846" s="156"/>
    </row>
    <row r="847" spans="1:17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37"/>
      <c r="Q847" s="156"/>
    </row>
    <row r="848" spans="1:17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37"/>
      <c r="Q848" s="156"/>
    </row>
    <row r="849" spans="1:17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37"/>
      <c r="Q849" s="156"/>
    </row>
    <row r="850" spans="1:17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37"/>
      <c r="Q850" s="156"/>
    </row>
    <row r="851" spans="1:17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37"/>
      <c r="Q851" s="156"/>
    </row>
    <row r="852" spans="1:17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37"/>
      <c r="Q852" s="156"/>
    </row>
    <row r="853" spans="1:17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37"/>
      <c r="Q853" s="156"/>
    </row>
    <row r="854" spans="1:17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37"/>
      <c r="Q854" s="156"/>
    </row>
    <row r="855" spans="1:17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37"/>
      <c r="Q855" s="156"/>
    </row>
    <row r="856" spans="1:17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37"/>
      <c r="Q856" s="156"/>
    </row>
    <row r="857" spans="1:17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37"/>
      <c r="Q857" s="156"/>
    </row>
    <row r="858" spans="1:17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37"/>
      <c r="Q858" s="156"/>
    </row>
    <row r="859" spans="1:17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37"/>
      <c r="Q859" s="156"/>
    </row>
    <row r="860" spans="1:17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37"/>
      <c r="Q860" s="156"/>
    </row>
    <row r="861" spans="1:17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37"/>
      <c r="Q861" s="156"/>
    </row>
    <row r="862" spans="1:17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37"/>
      <c r="Q862" s="156"/>
    </row>
    <row r="863" spans="1:17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37"/>
      <c r="Q863" s="156"/>
    </row>
    <row r="864" spans="1:17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37"/>
      <c r="Q864" s="156"/>
    </row>
    <row r="865" spans="1:17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37"/>
      <c r="Q865" s="156"/>
    </row>
    <row r="866" spans="1:17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37"/>
      <c r="Q866" s="156"/>
    </row>
    <row r="867" spans="1:17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37"/>
      <c r="Q867" s="156"/>
    </row>
    <row r="868" spans="1:17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37"/>
      <c r="Q868" s="156"/>
    </row>
    <row r="869" spans="1:17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37"/>
      <c r="Q869" s="156"/>
    </row>
    <row r="870" spans="1:17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37"/>
      <c r="Q870" s="156"/>
    </row>
    <row r="871" spans="1:17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37"/>
      <c r="Q871" s="156"/>
    </row>
    <row r="872" spans="1:17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37"/>
      <c r="Q872" s="156"/>
    </row>
    <row r="873" spans="1:17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37"/>
      <c r="Q873" s="156"/>
    </row>
    <row r="874" spans="1:17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37"/>
      <c r="Q874" s="156"/>
    </row>
    <row r="875" spans="1:17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37"/>
      <c r="Q875" s="156"/>
    </row>
    <row r="876" spans="1:17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37"/>
      <c r="Q876" s="156"/>
    </row>
    <row r="877" spans="1:17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37"/>
      <c r="Q877" s="156"/>
    </row>
    <row r="878" spans="1:17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37"/>
      <c r="Q878" s="156"/>
    </row>
    <row r="879" spans="1:17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37"/>
      <c r="Q879" s="156"/>
    </row>
    <row r="880" spans="1:17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37"/>
      <c r="Q880" s="156"/>
    </row>
    <row r="881" spans="1:17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37"/>
      <c r="Q881" s="156"/>
    </row>
    <row r="882" spans="1:17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37"/>
      <c r="Q882" s="156"/>
    </row>
    <row r="883" spans="1:17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37"/>
      <c r="Q883" s="156"/>
    </row>
    <row r="884" spans="1:17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37"/>
      <c r="Q884" s="156"/>
    </row>
    <row r="885" spans="1:17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37"/>
      <c r="Q885" s="156"/>
    </row>
    <row r="886" spans="1:17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37"/>
      <c r="Q886" s="156"/>
    </row>
    <row r="887" spans="1:17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37"/>
      <c r="Q887" s="156"/>
    </row>
    <row r="888" spans="1:17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37"/>
      <c r="Q888" s="156"/>
    </row>
    <row r="889" spans="1:17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37"/>
      <c r="Q889" s="156"/>
    </row>
    <row r="890" spans="1:17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37"/>
      <c r="Q890" s="156"/>
    </row>
    <row r="891" spans="1:17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37"/>
      <c r="Q891" s="156"/>
    </row>
    <row r="892" spans="1:17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37"/>
      <c r="Q892" s="156"/>
    </row>
    <row r="893" spans="1:17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37"/>
      <c r="Q893" s="156"/>
    </row>
    <row r="894" spans="1:17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37"/>
      <c r="Q894" s="156"/>
    </row>
    <row r="895" spans="1:17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37"/>
      <c r="Q895" s="156"/>
    </row>
    <row r="896" spans="1:17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37"/>
      <c r="Q896" s="156"/>
    </row>
    <row r="897" spans="1:17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37"/>
      <c r="Q897" s="156"/>
    </row>
    <row r="898" spans="1:17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37"/>
      <c r="Q898" s="156"/>
    </row>
    <row r="899" spans="1:17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37"/>
      <c r="Q899" s="156"/>
    </row>
    <row r="900" spans="1:17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37"/>
      <c r="Q900" s="156"/>
    </row>
    <row r="901" spans="1:17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37"/>
      <c r="Q901" s="156"/>
    </row>
    <row r="902" spans="1:17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37"/>
      <c r="Q902" s="156"/>
    </row>
    <row r="903" spans="1:17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37"/>
      <c r="Q903" s="156"/>
    </row>
    <row r="904" spans="1:17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37"/>
      <c r="Q904" s="156"/>
    </row>
    <row r="905" spans="1:17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37"/>
      <c r="Q905" s="156"/>
    </row>
    <row r="906" spans="1:17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37"/>
      <c r="Q906" s="156"/>
    </row>
    <row r="907" spans="1:17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37"/>
      <c r="Q907" s="156"/>
    </row>
    <row r="908" spans="1:17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37"/>
      <c r="Q908" s="156"/>
    </row>
    <row r="909" spans="1:17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37"/>
      <c r="Q909" s="156"/>
    </row>
    <row r="910" spans="1:17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37"/>
      <c r="Q910" s="156"/>
    </row>
    <row r="911" spans="1:17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37"/>
      <c r="Q911" s="156"/>
    </row>
    <row r="912" spans="1:17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37"/>
      <c r="Q912" s="156"/>
    </row>
    <row r="913" spans="1:17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37"/>
      <c r="Q913" s="156"/>
    </row>
    <row r="914" spans="1:17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37"/>
      <c r="Q914" s="156"/>
    </row>
    <row r="915" spans="1:17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37"/>
      <c r="Q915" s="156"/>
    </row>
    <row r="916" spans="1:17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37"/>
      <c r="Q916" s="156"/>
    </row>
    <row r="917" spans="1:17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37"/>
      <c r="Q917" s="156"/>
    </row>
    <row r="918" spans="1:17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37"/>
      <c r="Q918" s="156"/>
    </row>
    <row r="919" spans="1:17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37"/>
      <c r="Q919" s="156"/>
    </row>
    <row r="920" spans="1:17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37"/>
      <c r="Q920" s="156"/>
    </row>
    <row r="921" spans="1:17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37"/>
      <c r="Q921" s="156"/>
    </row>
    <row r="922" spans="1:17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37"/>
      <c r="Q922" s="156"/>
    </row>
    <row r="923" spans="1:17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37"/>
      <c r="Q923" s="156"/>
    </row>
    <row r="924" spans="1:17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37"/>
      <c r="Q924" s="156"/>
    </row>
    <row r="925" spans="1:17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37"/>
      <c r="Q925" s="156"/>
    </row>
    <row r="926" spans="1:17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37"/>
      <c r="Q926" s="156"/>
    </row>
    <row r="927" spans="1:17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37"/>
      <c r="Q927" s="156"/>
    </row>
    <row r="928" spans="1:17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37"/>
      <c r="Q928" s="156"/>
    </row>
    <row r="929" spans="1:17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37"/>
      <c r="Q929" s="156"/>
    </row>
    <row r="930" spans="1:17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37"/>
      <c r="Q930" s="156"/>
    </row>
    <row r="931" spans="1:17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37"/>
      <c r="Q931" s="156"/>
    </row>
    <row r="932" spans="1:17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37"/>
      <c r="Q932" s="156"/>
    </row>
    <row r="933" spans="1:17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37"/>
      <c r="Q933" s="156"/>
    </row>
    <row r="934" spans="1:17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37"/>
      <c r="Q934" s="156"/>
    </row>
    <row r="935" spans="1:17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37"/>
      <c r="Q935" s="156"/>
    </row>
    <row r="936" spans="1:17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37"/>
      <c r="Q936" s="156"/>
    </row>
    <row r="937" spans="1:17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37"/>
      <c r="Q937" s="156"/>
    </row>
    <row r="938" spans="1:17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37"/>
      <c r="Q938" s="156"/>
    </row>
    <row r="939" spans="1:17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37"/>
      <c r="Q939" s="156"/>
    </row>
    <row r="940" spans="1:17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37"/>
      <c r="Q940" s="156"/>
    </row>
    <row r="941" spans="1:17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37"/>
      <c r="Q941" s="156"/>
    </row>
    <row r="942" spans="1:17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37"/>
      <c r="Q942" s="156"/>
    </row>
    <row r="943" spans="1:17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37"/>
      <c r="Q943" s="156"/>
    </row>
    <row r="944" spans="1:17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37"/>
      <c r="Q944" s="156"/>
    </row>
    <row r="945" spans="1:17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37"/>
      <c r="Q945" s="156"/>
    </row>
    <row r="946" spans="1:17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37"/>
      <c r="Q946" s="156"/>
    </row>
    <row r="947" spans="1:17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37"/>
      <c r="Q947" s="156"/>
    </row>
    <row r="948" spans="1:17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37"/>
      <c r="Q948" s="156"/>
    </row>
    <row r="949" spans="1:17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37"/>
      <c r="Q949" s="156"/>
    </row>
    <row r="950" spans="1:17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37"/>
      <c r="Q950" s="156"/>
    </row>
    <row r="951" spans="1:17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37"/>
      <c r="Q951" s="156"/>
    </row>
    <row r="952" spans="1:17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37"/>
      <c r="Q952" s="156"/>
    </row>
    <row r="953" spans="1:17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37"/>
      <c r="Q953" s="156"/>
    </row>
    <row r="954" spans="1:17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37"/>
      <c r="Q954" s="156"/>
    </row>
    <row r="955" spans="1:17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37"/>
      <c r="Q955" s="156"/>
    </row>
    <row r="956" spans="1:17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37"/>
      <c r="Q956" s="156"/>
    </row>
    <row r="957" spans="1:17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37"/>
      <c r="Q957" s="156"/>
    </row>
    <row r="958" spans="1:17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37"/>
      <c r="Q958" s="156"/>
    </row>
    <row r="959" spans="1:17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37"/>
      <c r="Q959" s="156"/>
    </row>
    <row r="960" spans="1:17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37"/>
      <c r="Q960" s="156"/>
    </row>
    <row r="961" spans="1:17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37"/>
      <c r="Q961" s="156"/>
    </row>
    <row r="962" spans="1:17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37"/>
      <c r="Q962" s="156"/>
    </row>
    <row r="963" spans="1:17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37"/>
      <c r="Q963" s="156"/>
    </row>
    <row r="964" spans="1:17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37"/>
      <c r="Q964" s="156"/>
    </row>
    <row r="965" spans="1:17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37"/>
      <c r="Q965" s="156"/>
    </row>
    <row r="966" spans="1:17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37"/>
      <c r="Q966" s="156"/>
    </row>
    <row r="967" spans="1:17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37"/>
      <c r="Q967" s="156"/>
    </row>
    <row r="968" spans="1:17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37"/>
      <c r="Q968" s="156"/>
    </row>
    <row r="969" spans="1:17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37"/>
      <c r="Q969" s="156"/>
    </row>
    <row r="970" spans="1:17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37"/>
      <c r="Q970" s="156"/>
    </row>
    <row r="971" spans="1:17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37"/>
      <c r="Q971" s="156"/>
    </row>
    <row r="972" spans="1:17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37"/>
      <c r="Q972" s="156"/>
    </row>
    <row r="973" spans="1:17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37"/>
      <c r="Q973" s="156"/>
    </row>
    <row r="974" spans="1:17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37"/>
      <c r="Q974" s="156"/>
    </row>
    <row r="975" spans="1:17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37"/>
      <c r="Q975" s="156"/>
    </row>
    <row r="976" spans="1:17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37"/>
      <c r="Q976" s="156"/>
    </row>
    <row r="977" spans="1:17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37"/>
      <c r="Q977" s="156"/>
    </row>
    <row r="978" spans="1:17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37"/>
      <c r="Q978" s="156"/>
    </row>
    <row r="979" spans="1:17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37"/>
      <c r="Q979" s="156"/>
    </row>
    <row r="980" spans="1:17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37"/>
      <c r="Q980" s="156"/>
    </row>
    <row r="981" spans="1:17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37"/>
      <c r="Q981" s="156"/>
    </row>
    <row r="982" spans="1:17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37"/>
      <c r="Q982" s="156"/>
    </row>
    <row r="983" spans="1:17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37"/>
      <c r="Q983" s="156"/>
    </row>
    <row r="984" spans="1:17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37"/>
      <c r="Q984" s="156"/>
    </row>
    <row r="985" spans="1:17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37"/>
      <c r="Q985" s="156"/>
    </row>
    <row r="986" spans="1:17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37"/>
      <c r="Q986" s="156"/>
    </row>
    <row r="987" spans="1:17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37"/>
      <c r="Q987" s="156"/>
    </row>
    <row r="988" spans="1:17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37"/>
      <c r="Q988" s="156"/>
    </row>
    <row r="989" spans="1:17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37"/>
      <c r="Q989" s="156"/>
    </row>
    <row r="990" spans="1:17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37"/>
      <c r="Q990" s="156"/>
    </row>
    <row r="991" spans="1:17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37"/>
      <c r="Q991" s="156"/>
    </row>
    <row r="992" spans="1:17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37"/>
      <c r="Q992" s="156"/>
    </row>
    <row r="993" spans="1:17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37"/>
      <c r="Q993" s="156"/>
    </row>
    <row r="994" spans="1:17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37"/>
      <c r="Q994" s="156"/>
    </row>
    <row r="995" spans="1:17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37"/>
      <c r="Q995" s="156"/>
    </row>
    <row r="996" spans="1:17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37"/>
      <c r="Q996" s="156"/>
    </row>
    <row r="997" spans="1:17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37"/>
      <c r="Q997" s="156"/>
    </row>
    <row r="998" spans="1:17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37"/>
      <c r="Q998" s="156"/>
    </row>
    <row r="999" spans="1:17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37"/>
      <c r="Q999" s="156"/>
    </row>
    <row r="1000" spans="1:17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37"/>
      <c r="Q1000" s="156"/>
    </row>
    <row r="1001" spans="1:17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37"/>
      <c r="Q1001" s="156"/>
    </row>
    <row r="1002" spans="1:17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37"/>
      <c r="Q1002" s="156"/>
    </row>
    <row r="1003" spans="1:17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37"/>
      <c r="Q1003" s="156"/>
    </row>
    <row r="1004" spans="1:17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37"/>
      <c r="Q1004" s="156"/>
    </row>
    <row r="1005" spans="1:17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37"/>
      <c r="Q1005" s="156"/>
    </row>
    <row r="1006" spans="1:17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37"/>
      <c r="Q1006" s="156"/>
    </row>
    <row r="1007" spans="1:17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37"/>
      <c r="Q1007" s="156"/>
    </row>
    <row r="1008" spans="1:17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37"/>
      <c r="Q1008" s="156"/>
    </row>
    <row r="1009" spans="1:17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37"/>
      <c r="Q1009" s="156"/>
    </row>
    <row r="1010" spans="1:17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37"/>
      <c r="Q1010" s="156"/>
    </row>
    <row r="1011" spans="1:17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37"/>
      <c r="Q1011" s="156"/>
    </row>
    <row r="1012" spans="1:17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37"/>
      <c r="Q1012" s="156"/>
    </row>
    <row r="1013" spans="1:17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37"/>
      <c r="Q1013" s="156"/>
    </row>
    <row r="1014" spans="1:17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37"/>
      <c r="Q1014" s="156"/>
    </row>
    <row r="1015" spans="1:17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37"/>
      <c r="Q1015" s="156"/>
    </row>
    <row r="1016" spans="1:17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37"/>
      <c r="Q1016" s="156"/>
    </row>
    <row r="1017" spans="1:17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37"/>
      <c r="Q1017" s="156"/>
    </row>
    <row r="1018" spans="1:17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37"/>
      <c r="Q1018" s="156"/>
    </row>
    <row r="1019" spans="1:17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37"/>
      <c r="Q1019" s="156"/>
    </row>
    <row r="1020" spans="1:17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37"/>
      <c r="Q1020" s="156"/>
    </row>
    <row r="1021" spans="1:17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37"/>
      <c r="Q1021" s="156"/>
    </row>
    <row r="1022" spans="1:17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37"/>
      <c r="Q1022" s="156"/>
    </row>
    <row r="1023" spans="1:17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37"/>
      <c r="Q1023" s="156"/>
    </row>
    <row r="1024" spans="1:17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37"/>
      <c r="Q1024" s="156"/>
    </row>
    <row r="1025" spans="1:17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37"/>
      <c r="Q1025" s="156"/>
    </row>
    <row r="1026" spans="1:17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37"/>
      <c r="Q1026" s="156"/>
    </row>
    <row r="1027" spans="1:17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37"/>
      <c r="Q1027" s="156"/>
    </row>
    <row r="1028" spans="1:17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37"/>
      <c r="Q1028" s="156"/>
    </row>
    <row r="1029" spans="1:17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37"/>
      <c r="Q1029" s="156"/>
    </row>
    <row r="1030" spans="1:17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37"/>
      <c r="Q1030" s="156"/>
    </row>
    <row r="1031" spans="1:17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37"/>
      <c r="Q1031" s="156"/>
    </row>
    <row r="1032" spans="1:17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37"/>
      <c r="Q1032" s="156"/>
    </row>
    <row r="1033" spans="1:17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37"/>
      <c r="Q1033" s="156"/>
    </row>
    <row r="1034" spans="1:17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37"/>
      <c r="Q1034" s="156"/>
    </row>
    <row r="1035" spans="1:17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37"/>
      <c r="Q1035" s="156"/>
    </row>
    <row r="1036" spans="1:17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37"/>
      <c r="Q1036" s="156"/>
    </row>
    <row r="1037" spans="1:17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37"/>
      <c r="Q1037" s="156"/>
    </row>
    <row r="1038" spans="1:17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37"/>
      <c r="Q1038" s="156"/>
    </row>
    <row r="1039" spans="1:17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37"/>
      <c r="Q1039" s="156"/>
    </row>
    <row r="1040" spans="1:17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37"/>
      <c r="Q1040" s="156"/>
    </row>
    <row r="1041" spans="1:17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37"/>
      <c r="Q1041" s="156"/>
    </row>
    <row r="1042" spans="1:17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37"/>
      <c r="Q1042" s="156"/>
    </row>
    <row r="1043" spans="1:17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37"/>
      <c r="Q1043" s="156"/>
    </row>
    <row r="1044" spans="1:17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37"/>
      <c r="Q1044" s="156"/>
    </row>
    <row r="1045" spans="1:17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37"/>
      <c r="Q1045" s="156"/>
    </row>
    <row r="1046" spans="1:17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37"/>
      <c r="Q1046" s="156"/>
    </row>
    <row r="1047" spans="1:17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37"/>
      <c r="Q1047" s="156"/>
    </row>
    <row r="1048" spans="1:17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37"/>
      <c r="Q1048" s="156"/>
    </row>
    <row r="1049" spans="1:17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37"/>
      <c r="Q1049" s="156"/>
    </row>
    <row r="1050" spans="1:17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37"/>
      <c r="Q1050" s="156"/>
    </row>
    <row r="1051" spans="1:17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37"/>
      <c r="Q1051" s="156"/>
    </row>
    <row r="1052" spans="1:17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37"/>
      <c r="Q1052" s="156"/>
    </row>
    <row r="1053" spans="1:17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37"/>
      <c r="Q1053" s="156"/>
    </row>
    <row r="1054" spans="1:17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37"/>
      <c r="Q1054" s="156"/>
    </row>
    <row r="1055" spans="1:17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37"/>
      <c r="Q1055" s="156"/>
    </row>
    <row r="1056" spans="1:17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37"/>
      <c r="Q1056" s="156"/>
    </row>
    <row r="1057" spans="1:17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37"/>
      <c r="Q1057" s="156"/>
    </row>
    <row r="1058" spans="1:17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37"/>
      <c r="Q1058" s="156"/>
    </row>
    <row r="1059" spans="1:17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37"/>
      <c r="Q1059" s="156"/>
    </row>
    <row r="1060" spans="1:17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37"/>
      <c r="Q1060" s="156"/>
    </row>
    <row r="1061" spans="1:17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37"/>
      <c r="Q1061" s="156"/>
    </row>
    <row r="1062" spans="1:17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37"/>
      <c r="Q1062" s="156"/>
    </row>
    <row r="1063" spans="1:17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37"/>
      <c r="Q1063" s="156"/>
    </row>
    <row r="1064" spans="1:17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37"/>
      <c r="Q1064" s="156"/>
    </row>
    <row r="1065" spans="1:17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37"/>
      <c r="Q1065" s="156"/>
    </row>
    <row r="1066" spans="1:17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37"/>
      <c r="Q1066" s="156"/>
    </row>
    <row r="1067" spans="1:17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37"/>
      <c r="Q1067" s="156"/>
    </row>
    <row r="1068" spans="1:17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37"/>
      <c r="Q1068" s="156"/>
    </row>
    <row r="1069" spans="1:17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37"/>
      <c r="Q1069" s="156"/>
    </row>
    <row r="1070" spans="1:17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37"/>
      <c r="Q1070" s="156"/>
    </row>
    <row r="1071" spans="1:17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37"/>
      <c r="Q1071" s="156"/>
    </row>
    <row r="1072" spans="1:17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37"/>
      <c r="Q1072" s="156"/>
    </row>
    <row r="1073" spans="1:17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37"/>
      <c r="Q1073" s="156"/>
    </row>
    <row r="1074" spans="1:17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37"/>
      <c r="Q1074" s="156"/>
    </row>
    <row r="1075" spans="1:17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37"/>
      <c r="Q1075" s="156"/>
    </row>
    <row r="1076" spans="1:17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37"/>
      <c r="Q1076" s="156"/>
    </row>
    <row r="1077" spans="1:17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37"/>
      <c r="Q1077" s="156"/>
    </row>
    <row r="1078" spans="1:17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37"/>
      <c r="Q1078" s="156"/>
    </row>
    <row r="1079" spans="1:17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37"/>
      <c r="Q1079" s="156"/>
    </row>
    <row r="1080" spans="1:17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37"/>
      <c r="Q1080" s="156"/>
    </row>
    <row r="1081" spans="1:17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37"/>
      <c r="Q1081" s="156"/>
    </row>
    <row r="1082" spans="1:17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37"/>
      <c r="Q1082" s="156"/>
    </row>
    <row r="1083" spans="1:17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37"/>
      <c r="Q1083" s="156"/>
    </row>
    <row r="1084" spans="1:17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37"/>
      <c r="Q1084" s="156"/>
    </row>
    <row r="1085" spans="1:17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37"/>
      <c r="Q1085" s="156"/>
    </row>
    <row r="1086" spans="1:17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37"/>
      <c r="Q1086" s="156"/>
    </row>
    <row r="1087" spans="1:17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37"/>
      <c r="Q1087" s="156"/>
    </row>
    <row r="1088" spans="1:17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37"/>
      <c r="Q1088" s="156"/>
    </row>
    <row r="1089" spans="1:17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37"/>
      <c r="Q1089" s="156"/>
    </row>
    <row r="1090" spans="1:17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37"/>
      <c r="Q1090" s="156"/>
    </row>
    <row r="1091" spans="1:17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37"/>
      <c r="Q1091" s="156"/>
    </row>
    <row r="1092" spans="1:17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37"/>
      <c r="Q1092" s="156"/>
    </row>
    <row r="1093" spans="1:17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37"/>
      <c r="Q1093" s="156"/>
    </row>
    <row r="1094" spans="1:17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37"/>
      <c r="Q1094" s="156"/>
    </row>
    <row r="1095" spans="1:17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37"/>
      <c r="Q1095" s="156"/>
    </row>
    <row r="1096" spans="1:17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37"/>
      <c r="Q1096" s="156"/>
    </row>
    <row r="1097" spans="1:17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37"/>
      <c r="Q1097" s="156"/>
    </row>
    <row r="1098" spans="1:17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37"/>
      <c r="Q1098" s="156"/>
    </row>
    <row r="1099" spans="1:17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37"/>
      <c r="Q1099" s="156"/>
    </row>
    <row r="1100" spans="1:17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37"/>
      <c r="Q1100" s="156"/>
    </row>
    <row r="1101" spans="1:17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37"/>
      <c r="Q1101" s="156"/>
    </row>
    <row r="1102" spans="1:17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37"/>
      <c r="Q1102" s="156"/>
    </row>
    <row r="1103" spans="1:17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37"/>
      <c r="Q1103" s="156"/>
    </row>
    <row r="1104" spans="1:17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37"/>
      <c r="Q1104" s="156"/>
    </row>
    <row r="1105" spans="1:17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37"/>
      <c r="Q1105" s="156"/>
    </row>
    <row r="1106" spans="1:17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37"/>
      <c r="Q1106" s="156"/>
    </row>
    <row r="1107" spans="1:17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37"/>
      <c r="Q1107" s="156"/>
    </row>
    <row r="1108" spans="1:17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37"/>
      <c r="Q1108" s="156"/>
    </row>
    <row r="1109" spans="1:17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37"/>
      <c r="Q1109" s="156"/>
    </row>
    <row r="1110" spans="1:17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37"/>
      <c r="Q1110" s="156"/>
    </row>
    <row r="1111" spans="1:17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37"/>
      <c r="Q1111" s="156"/>
    </row>
    <row r="1112" spans="1:17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37"/>
      <c r="Q1112" s="156"/>
    </row>
    <row r="1113" spans="1:17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37"/>
      <c r="Q1113" s="156"/>
    </row>
    <row r="1114" spans="1:17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37"/>
      <c r="Q1114" s="156"/>
    </row>
    <row r="1115" spans="1:17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37"/>
      <c r="Q1115" s="156"/>
    </row>
    <row r="1116" spans="1:17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37"/>
      <c r="Q1116" s="156"/>
    </row>
    <row r="1117" spans="1:17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37"/>
      <c r="Q1117" s="156"/>
    </row>
    <row r="1118" spans="1:17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37"/>
      <c r="Q1118" s="156"/>
    </row>
    <row r="1119" spans="1:17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37"/>
      <c r="Q1119" s="156"/>
    </row>
    <row r="1120" spans="1:17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37"/>
      <c r="Q1120" s="156"/>
    </row>
    <row r="1121" spans="1:17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37"/>
      <c r="Q1121" s="156"/>
    </row>
    <row r="1122" spans="1:17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37"/>
      <c r="Q1122" s="156"/>
    </row>
    <row r="1123" spans="1:17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37"/>
      <c r="Q1123" s="156"/>
    </row>
    <row r="1124" spans="1:17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37"/>
      <c r="Q1124" s="156"/>
    </row>
    <row r="1125" spans="1:17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37"/>
      <c r="Q1125" s="156"/>
    </row>
    <row r="1126" spans="1:17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37"/>
      <c r="Q1126" s="156"/>
    </row>
    <row r="1127" spans="1:17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37"/>
      <c r="Q1127" s="156"/>
    </row>
    <row r="1128" spans="1:17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37"/>
      <c r="Q1128" s="156"/>
    </row>
    <row r="1129" spans="1:17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37"/>
      <c r="Q1129" s="156"/>
    </row>
    <row r="1130" spans="1:17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37"/>
      <c r="Q1130" s="156"/>
    </row>
    <row r="1131" spans="1:17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37"/>
      <c r="Q1131" s="156"/>
    </row>
    <row r="1132" spans="1:17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37"/>
      <c r="Q1132" s="156"/>
    </row>
    <row r="1133" spans="1:17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37"/>
      <c r="Q1133" s="156"/>
    </row>
    <row r="1134" spans="1:17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37"/>
      <c r="Q1134" s="156"/>
    </row>
    <row r="1135" spans="1:17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37"/>
      <c r="Q1135" s="156"/>
    </row>
    <row r="1136" spans="1:17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37"/>
      <c r="Q1136" s="156"/>
    </row>
    <row r="1137" spans="1:17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37"/>
      <c r="Q1137" s="156"/>
    </row>
    <row r="1138" spans="1:17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37"/>
      <c r="Q1138" s="156"/>
    </row>
    <row r="1139" spans="1:17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37"/>
      <c r="Q1139" s="156"/>
    </row>
    <row r="1140" spans="1:17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37"/>
      <c r="Q1140" s="156"/>
    </row>
    <row r="1141" spans="1:17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37"/>
      <c r="Q1141" s="156"/>
    </row>
    <row r="1142" spans="1:17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37"/>
      <c r="Q1142" s="156"/>
    </row>
    <row r="1143" spans="1:17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37"/>
      <c r="Q1143" s="156"/>
    </row>
    <row r="1144" spans="1:17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37"/>
      <c r="Q1144" s="156"/>
    </row>
    <row r="1145" spans="1:17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37"/>
      <c r="Q1145" s="156"/>
    </row>
    <row r="1146" spans="1:17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37"/>
      <c r="Q1146" s="156"/>
    </row>
    <row r="1147" spans="1:17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37"/>
      <c r="Q1147" s="156"/>
    </row>
    <row r="1148" spans="1:17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37"/>
      <c r="Q1148" s="156"/>
    </row>
    <row r="1149" spans="1:17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37"/>
      <c r="Q1149" s="156"/>
    </row>
    <row r="1150" spans="1:17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37"/>
      <c r="Q1150" s="156"/>
    </row>
    <row r="1151" spans="1:17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37"/>
      <c r="Q1151" s="156"/>
    </row>
    <row r="1152" spans="1:17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37"/>
      <c r="Q1152" s="156"/>
    </row>
    <row r="1153" spans="1:17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37"/>
      <c r="Q1153" s="156"/>
    </row>
    <row r="1154" spans="1:17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37"/>
      <c r="Q1154" s="156"/>
    </row>
    <row r="1155" spans="1:17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37"/>
      <c r="Q1155" s="156"/>
    </row>
    <row r="1156" spans="1:17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37"/>
      <c r="Q1156" s="156"/>
    </row>
    <row r="1157" spans="1:17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37"/>
      <c r="Q1157" s="156"/>
    </row>
    <row r="1158" spans="1:17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37"/>
      <c r="Q1158" s="156"/>
    </row>
    <row r="1159" spans="1:17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37"/>
      <c r="Q1159" s="156"/>
    </row>
    <row r="1160" spans="1:17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37"/>
      <c r="Q1160" s="156"/>
    </row>
    <row r="1161" spans="1:17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37"/>
      <c r="Q1161" s="156"/>
    </row>
    <row r="1162" spans="1:17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37"/>
      <c r="Q1162" s="156"/>
    </row>
    <row r="1163" spans="1:17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37"/>
      <c r="Q1163" s="156"/>
    </row>
    <row r="1164" spans="1:17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37"/>
      <c r="Q1164" s="156"/>
    </row>
    <row r="1165" spans="1:17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37"/>
      <c r="Q1165" s="156"/>
    </row>
    <row r="1166" spans="1:17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37"/>
      <c r="Q1166" s="156"/>
    </row>
    <row r="1167" spans="1:17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37"/>
      <c r="Q1167" s="156"/>
    </row>
    <row r="1168" spans="1:17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37"/>
      <c r="Q1168" s="156"/>
    </row>
    <row r="1169" spans="1:17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37"/>
      <c r="Q1169" s="156"/>
    </row>
    <row r="1170" spans="1:17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37"/>
      <c r="Q1170" s="156"/>
    </row>
    <row r="1171" spans="1:17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37"/>
      <c r="Q1171" s="156"/>
    </row>
    <row r="1172" spans="1:17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37"/>
      <c r="Q1172" s="156"/>
    </row>
    <row r="1173" spans="1:17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37"/>
      <c r="Q1173" s="156"/>
    </row>
    <row r="1174" spans="1:17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37"/>
      <c r="Q1174" s="156"/>
    </row>
    <row r="1175" spans="1:17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37"/>
      <c r="Q1175" s="156"/>
    </row>
    <row r="1176" spans="1:17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37"/>
      <c r="Q1176" s="156"/>
    </row>
    <row r="1177" spans="1:17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37"/>
      <c r="Q1177" s="156"/>
    </row>
    <row r="1178" spans="1:17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37"/>
      <c r="Q1178" s="156"/>
    </row>
    <row r="1179" spans="1:17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37"/>
      <c r="Q1179" s="156"/>
    </row>
    <row r="1180" spans="1:17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37"/>
      <c r="Q1180" s="156"/>
    </row>
    <row r="1181" spans="1:17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37"/>
      <c r="Q1181" s="156"/>
    </row>
    <row r="1182" spans="1:17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37"/>
      <c r="Q1182" s="156"/>
    </row>
    <row r="1183" spans="1:17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37"/>
      <c r="Q1183" s="156"/>
    </row>
    <row r="1184" spans="1:17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37"/>
      <c r="Q1184" s="156"/>
    </row>
    <row r="1185" spans="1:17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37"/>
      <c r="Q1185" s="156"/>
    </row>
    <row r="1186" spans="1:17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37"/>
      <c r="Q1186" s="156"/>
    </row>
    <row r="1187" spans="1:17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37"/>
      <c r="Q1187" s="156"/>
    </row>
    <row r="1188" spans="1:17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37"/>
      <c r="Q1188" s="156"/>
    </row>
    <row r="1189" spans="1:17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37"/>
      <c r="Q1189" s="156"/>
    </row>
    <row r="1190" spans="1:17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37"/>
      <c r="Q1190" s="156"/>
    </row>
    <row r="1191" spans="1:17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37"/>
      <c r="Q1191" s="156"/>
    </row>
    <row r="1192" spans="1:17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37"/>
      <c r="Q1192" s="156"/>
    </row>
    <row r="1193" spans="1:17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37"/>
      <c r="Q1193" s="156"/>
    </row>
    <row r="1194" spans="1:17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37"/>
      <c r="Q1194" s="156"/>
    </row>
    <row r="1195" spans="1:17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37"/>
      <c r="Q1195" s="156"/>
    </row>
    <row r="1196" spans="1:17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37"/>
      <c r="Q1196" s="156"/>
    </row>
    <row r="1197" spans="1:17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37"/>
      <c r="Q1197" s="156"/>
    </row>
    <row r="1198" spans="1:17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37"/>
      <c r="Q1198" s="156"/>
    </row>
    <row r="1199" spans="1:17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37"/>
      <c r="Q1199" s="156"/>
    </row>
    <row r="1200" spans="1:17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37"/>
      <c r="Q1200" s="156"/>
    </row>
    <row r="1201" spans="1:17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37"/>
      <c r="Q1201" s="156"/>
    </row>
    <row r="1202" spans="1:17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37"/>
      <c r="Q1202" s="156"/>
    </row>
    <row r="1203" spans="1:17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37"/>
      <c r="Q1203" s="156"/>
    </row>
    <row r="1204" spans="1:17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37"/>
      <c r="Q1204" s="156"/>
    </row>
    <row r="1205" spans="1:17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37"/>
      <c r="Q1205" s="156"/>
    </row>
    <row r="1206" spans="1:17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37"/>
      <c r="Q1206" s="156"/>
    </row>
    <row r="1207" spans="1:17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37"/>
      <c r="Q1207" s="156"/>
    </row>
    <row r="1208" spans="1:17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37"/>
      <c r="Q1208" s="156"/>
    </row>
    <row r="1209" spans="1:17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37"/>
      <c r="Q1209" s="156"/>
    </row>
    <row r="1210" spans="1:17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37"/>
      <c r="Q1210" s="156"/>
    </row>
    <row r="1211" spans="1:17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37"/>
      <c r="Q1211" s="156"/>
    </row>
    <row r="1212" spans="1:17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37"/>
      <c r="Q1212" s="156"/>
    </row>
    <row r="1213" spans="1:17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37"/>
      <c r="Q1213" s="156"/>
    </row>
    <row r="1214" spans="1:17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37"/>
      <c r="Q1214" s="156"/>
    </row>
    <row r="1215" spans="1:17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37"/>
      <c r="Q1215" s="156"/>
    </row>
    <row r="1216" spans="1:17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37"/>
      <c r="Q1216" s="156"/>
    </row>
    <row r="1217" spans="1:17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37"/>
      <c r="Q1217" s="156"/>
    </row>
    <row r="1218" spans="1:17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37"/>
      <c r="Q1218" s="156"/>
    </row>
    <row r="1219" spans="1:17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37"/>
      <c r="Q1219" s="156"/>
    </row>
    <row r="1220" spans="1:17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37"/>
      <c r="Q1220" s="156"/>
    </row>
    <row r="1221" spans="1:17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37"/>
      <c r="Q1221" s="156"/>
    </row>
    <row r="1222" spans="1:17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37"/>
      <c r="Q1222" s="156"/>
    </row>
    <row r="1223" spans="1:17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37"/>
      <c r="Q1223" s="156"/>
    </row>
    <row r="1224" spans="1:17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37"/>
      <c r="Q1224" s="156"/>
    </row>
    <row r="1225" spans="1:17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37"/>
      <c r="Q1225" s="156"/>
    </row>
    <row r="1226" spans="1:17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37"/>
      <c r="Q1226" s="156"/>
    </row>
    <row r="1227" spans="1:17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37"/>
      <c r="Q1227" s="156"/>
    </row>
    <row r="1228" spans="1:17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37"/>
      <c r="Q1228" s="156"/>
    </row>
    <row r="1229" spans="1:17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37"/>
      <c r="Q1229" s="156"/>
    </row>
    <row r="1230" spans="1:17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37"/>
      <c r="Q1230" s="156"/>
    </row>
    <row r="1231" spans="1:17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37"/>
      <c r="Q1231" s="156"/>
    </row>
    <row r="1232" spans="1:17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37"/>
      <c r="Q1232" s="156"/>
    </row>
    <row r="1233" spans="1:17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37"/>
      <c r="Q1233" s="156"/>
    </row>
    <row r="1234" spans="1:17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37"/>
      <c r="Q1234" s="156"/>
    </row>
    <row r="1235" spans="1:17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37"/>
      <c r="Q1235" s="156"/>
    </row>
    <row r="1236" spans="1:17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37"/>
      <c r="Q1236" s="156"/>
    </row>
    <row r="1237" spans="1:17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37"/>
      <c r="Q1237" s="156"/>
    </row>
    <row r="1238" spans="1:17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37"/>
      <c r="Q1238" s="156"/>
    </row>
    <row r="1239" spans="1:17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37"/>
      <c r="Q1239" s="156"/>
    </row>
    <row r="1240" spans="1:17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37"/>
      <c r="Q1240" s="156"/>
    </row>
    <row r="1241" spans="1:17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37"/>
      <c r="Q1241" s="156"/>
    </row>
    <row r="1242" spans="1:17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37"/>
      <c r="Q1242" s="156"/>
    </row>
    <row r="1243" spans="1:17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37"/>
      <c r="Q1243" s="156"/>
    </row>
    <row r="1244" spans="1:17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37"/>
      <c r="Q1244" s="156"/>
    </row>
    <row r="1245" spans="1:17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37"/>
      <c r="Q1245" s="156"/>
    </row>
    <row r="1246" spans="1:17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37"/>
      <c r="Q1246" s="156"/>
    </row>
    <row r="1247" spans="1:17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37"/>
      <c r="Q1247" s="156"/>
    </row>
    <row r="1248" spans="1:17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37"/>
      <c r="Q1248" s="156"/>
    </row>
    <row r="1249" spans="1:17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37"/>
      <c r="Q1249" s="156"/>
    </row>
    <row r="1250" spans="1:17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37"/>
      <c r="Q1250" s="156"/>
    </row>
    <row r="1251" spans="1:17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37"/>
      <c r="Q1251" s="156"/>
    </row>
    <row r="1252" spans="1:17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37"/>
      <c r="Q1252" s="156"/>
    </row>
    <row r="1253" spans="1:17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37"/>
      <c r="Q1253" s="156"/>
    </row>
    <row r="1254" spans="1:17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37"/>
      <c r="Q1254" s="156"/>
    </row>
    <row r="1255" spans="1:17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37"/>
      <c r="Q1255" s="156"/>
    </row>
    <row r="1256" spans="1:17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37"/>
      <c r="Q1256" s="156"/>
    </row>
    <row r="1257" spans="1:17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37"/>
      <c r="Q1257" s="156"/>
    </row>
    <row r="1258" spans="1:17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37"/>
      <c r="Q1258" s="156"/>
    </row>
    <row r="1259" spans="1:17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37"/>
      <c r="Q1259" s="156"/>
    </row>
    <row r="1260" spans="1:17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37"/>
      <c r="Q1260" s="156"/>
    </row>
    <row r="1261" spans="1:17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37"/>
      <c r="Q1261" s="156"/>
    </row>
    <row r="1262" spans="1:17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37"/>
      <c r="Q1262" s="156"/>
    </row>
    <row r="1263" spans="1:17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37"/>
      <c r="Q1263" s="156"/>
    </row>
    <row r="1264" spans="1:17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37"/>
      <c r="Q1264" s="156"/>
    </row>
    <row r="1265" spans="1:17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37"/>
      <c r="Q1265" s="156"/>
    </row>
    <row r="1266" spans="1:17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37"/>
      <c r="Q1266" s="156"/>
    </row>
    <row r="1267" spans="1:17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37"/>
      <c r="Q1267" s="156"/>
    </row>
    <row r="1268" spans="1:17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37"/>
      <c r="Q1268" s="156"/>
    </row>
    <row r="1269" spans="1:17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37"/>
      <c r="Q1269" s="156"/>
    </row>
    <row r="1270" spans="1:17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37"/>
      <c r="Q1270" s="156"/>
    </row>
    <row r="1271" spans="1:17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37"/>
      <c r="Q1271" s="156"/>
    </row>
    <row r="1272" spans="1:17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37"/>
      <c r="Q1272" s="156"/>
    </row>
    <row r="1273" spans="1:17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37"/>
      <c r="Q1273" s="156"/>
    </row>
    <row r="1274" spans="1:17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37"/>
      <c r="Q1274" s="156"/>
    </row>
    <row r="1275" spans="1:17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37"/>
      <c r="Q1275" s="156"/>
    </row>
    <row r="1276" spans="1:17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37"/>
      <c r="Q1276" s="156"/>
    </row>
    <row r="1277" spans="1:17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37"/>
      <c r="Q1277" s="156"/>
    </row>
    <row r="1278" spans="1:17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37"/>
      <c r="Q1278" s="156"/>
    </row>
    <row r="1279" spans="1:17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37"/>
      <c r="Q1279" s="156"/>
    </row>
    <row r="1280" spans="1:17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37"/>
      <c r="Q1280" s="156"/>
    </row>
    <row r="1281" spans="1:17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37"/>
      <c r="Q1281" s="156"/>
    </row>
    <row r="1282" spans="1:17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37"/>
      <c r="Q1282" s="156"/>
    </row>
    <row r="1283" spans="1:17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37"/>
      <c r="Q1283" s="156"/>
    </row>
    <row r="1284" spans="1:17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37"/>
      <c r="Q1284" s="156"/>
    </row>
    <row r="1285" spans="1:17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37"/>
      <c r="Q1285" s="156"/>
    </row>
    <row r="1286" spans="1:17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37"/>
      <c r="Q1286" s="156"/>
    </row>
    <row r="1287" spans="1:17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37"/>
      <c r="Q1287" s="156"/>
    </row>
    <row r="1288" spans="1:17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37"/>
      <c r="Q1288" s="156"/>
    </row>
    <row r="1289" spans="1:17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37"/>
      <c r="Q1289" s="156"/>
    </row>
    <row r="1290" spans="1:17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37"/>
      <c r="Q1290" s="156"/>
    </row>
    <row r="1291" spans="1:17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37"/>
      <c r="Q1291" s="156"/>
    </row>
    <row r="1292" spans="1:17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37"/>
      <c r="Q1292" s="156"/>
    </row>
    <row r="1293" spans="1:17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37"/>
      <c r="Q1293" s="156"/>
    </row>
    <row r="1294" spans="1:17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37"/>
      <c r="Q1294" s="156"/>
    </row>
    <row r="1295" spans="1:17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37"/>
      <c r="Q1295" s="156"/>
    </row>
    <row r="1296" spans="1:17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37"/>
      <c r="Q1296" s="156"/>
    </row>
    <row r="1297" spans="1:17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37"/>
      <c r="Q1297" s="156"/>
    </row>
    <row r="1298" spans="1:17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37"/>
      <c r="Q1298" s="156"/>
    </row>
    <row r="1299" spans="1:17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37"/>
      <c r="Q1299" s="156"/>
    </row>
    <row r="1300" spans="1:17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37"/>
      <c r="Q1300" s="156"/>
    </row>
    <row r="1301" spans="1:17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37"/>
      <c r="Q1301" s="156"/>
    </row>
    <row r="1302" spans="1:17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37"/>
      <c r="Q1302" s="156"/>
    </row>
    <row r="1303" spans="1:17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37"/>
      <c r="Q1303" s="156"/>
    </row>
    <row r="1304" spans="1:17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37"/>
      <c r="Q1304" s="156"/>
    </row>
    <row r="1305" spans="1:17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37"/>
      <c r="Q1305" s="156"/>
    </row>
    <row r="1306" spans="1:17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37"/>
      <c r="Q1306" s="156"/>
    </row>
    <row r="1307" spans="1:17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37"/>
      <c r="Q1307" s="156"/>
    </row>
    <row r="1308" spans="1:17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37"/>
      <c r="Q1308" s="156"/>
    </row>
    <row r="1309" spans="1:17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37"/>
      <c r="Q1309" s="156"/>
    </row>
    <row r="1310" spans="1:17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37"/>
      <c r="Q1310" s="156"/>
    </row>
    <row r="1311" spans="1:17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37"/>
      <c r="Q1311" s="156"/>
    </row>
    <row r="1312" spans="1:17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37"/>
      <c r="Q1312" s="156"/>
    </row>
    <row r="1313" spans="1:17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37"/>
      <c r="Q1313" s="156"/>
    </row>
    <row r="1314" spans="1:17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37"/>
      <c r="Q1314" s="156"/>
    </row>
    <row r="1315" spans="1:17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37"/>
      <c r="Q1315" s="156"/>
    </row>
    <row r="1316" spans="1:17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37"/>
      <c r="Q1316" s="156"/>
    </row>
    <row r="1317" spans="1:17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37"/>
      <c r="Q1317" s="156"/>
    </row>
    <row r="1318" spans="1:17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37"/>
      <c r="Q1318" s="156"/>
    </row>
    <row r="1319" spans="1:17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37"/>
      <c r="Q1319" s="156"/>
    </row>
    <row r="1320" spans="1:17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37"/>
      <c r="Q1320" s="156"/>
    </row>
    <row r="1321" spans="1:17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37"/>
      <c r="Q1321" s="156"/>
    </row>
    <row r="1322" spans="1:17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37"/>
      <c r="Q1322" s="156"/>
    </row>
    <row r="1323" spans="1:17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37"/>
      <c r="Q1323" s="156"/>
    </row>
    <row r="1324" spans="1:17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37"/>
      <c r="Q1324" s="156"/>
    </row>
    <row r="1325" spans="1:17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37"/>
      <c r="Q1325" s="156"/>
    </row>
    <row r="1326" spans="1:17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37"/>
      <c r="Q1326" s="156"/>
    </row>
    <row r="1327" spans="1:17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37"/>
      <c r="Q1327" s="156"/>
    </row>
    <row r="1328" spans="1:17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37"/>
      <c r="Q1328" s="156"/>
    </row>
    <row r="1329" spans="1:17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37"/>
      <c r="Q1329" s="156"/>
    </row>
    <row r="1330" spans="1:17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37"/>
      <c r="Q1330" s="156"/>
    </row>
    <row r="1331" spans="1:17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37"/>
      <c r="Q1331" s="156"/>
    </row>
    <row r="1332" spans="1:17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37"/>
      <c r="Q1332" s="156"/>
    </row>
    <row r="1333" spans="1:17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37"/>
      <c r="Q1333" s="156"/>
    </row>
    <row r="1334" spans="1:17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37"/>
      <c r="Q1334" s="156"/>
    </row>
    <row r="1335" spans="1:17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37"/>
      <c r="Q1335" s="156"/>
    </row>
    <row r="1336" spans="1:17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37"/>
      <c r="Q1336" s="156"/>
    </row>
    <row r="1337" spans="1:17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37"/>
      <c r="Q1337" s="156"/>
    </row>
    <row r="1338" spans="1:17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37"/>
      <c r="Q1338" s="156"/>
    </row>
    <row r="1339" spans="1:17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37"/>
      <c r="Q1339" s="156"/>
    </row>
    <row r="1340" spans="1:17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37"/>
      <c r="Q1340" s="156"/>
    </row>
    <row r="1341" spans="1:17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37"/>
      <c r="Q1341" s="156"/>
    </row>
    <row r="1342" spans="1:17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37"/>
      <c r="Q1342" s="156"/>
    </row>
    <row r="1343" spans="1:17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37"/>
      <c r="Q1343" s="156"/>
    </row>
    <row r="1344" spans="1:17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37"/>
      <c r="Q1344" s="156"/>
    </row>
    <row r="1345" spans="1:17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37"/>
      <c r="Q1345" s="156"/>
    </row>
    <row r="1346" spans="1:17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37"/>
      <c r="Q1346" s="156"/>
    </row>
    <row r="1347" spans="1:17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37"/>
      <c r="Q1347" s="156"/>
    </row>
    <row r="1348" spans="1:17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37"/>
      <c r="Q1348" s="156"/>
    </row>
    <row r="1349" spans="1:17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37"/>
      <c r="Q1349" s="156"/>
    </row>
    <row r="1350" spans="1:17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37"/>
      <c r="Q1350" s="156"/>
    </row>
    <row r="1351" spans="1:17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37"/>
      <c r="Q1351" s="156"/>
    </row>
    <row r="1352" spans="1:17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37"/>
      <c r="Q1352" s="156"/>
    </row>
    <row r="1353" spans="1:17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37"/>
      <c r="Q1353" s="156"/>
    </row>
    <row r="1354" spans="1:17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37"/>
      <c r="Q1354" s="156"/>
    </row>
    <row r="1355" spans="1:17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37"/>
      <c r="Q1355" s="156"/>
    </row>
    <row r="1356" spans="1:17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37"/>
      <c r="Q1356" s="156"/>
    </row>
    <row r="1357" spans="1:17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37"/>
      <c r="Q1357" s="156"/>
    </row>
    <row r="1358" spans="1:17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37"/>
      <c r="Q1358" s="156"/>
    </row>
    <row r="1359" spans="1:17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37"/>
      <c r="Q1359" s="156"/>
    </row>
    <row r="1360" spans="1:17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37"/>
      <c r="Q1360" s="156"/>
    </row>
    <row r="1361" spans="1:17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37"/>
      <c r="Q1361" s="156"/>
    </row>
    <row r="1362" spans="1:17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37"/>
      <c r="Q1362" s="156"/>
    </row>
    <row r="1363" spans="1:17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37"/>
      <c r="Q1363" s="156"/>
    </row>
    <row r="1364" spans="1:17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37"/>
      <c r="Q1364" s="156"/>
    </row>
    <row r="1365" spans="1:17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37"/>
      <c r="Q1365" s="156"/>
    </row>
    <row r="1366" spans="1:17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37"/>
      <c r="Q1366" s="156"/>
    </row>
    <row r="1367" spans="1:17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37"/>
      <c r="Q1367" s="156"/>
    </row>
    <row r="1368" spans="1:17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37"/>
      <c r="Q1368" s="156"/>
    </row>
    <row r="1369" spans="1:17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37"/>
      <c r="Q1369" s="156"/>
    </row>
    <row r="1370" spans="1:17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37"/>
      <c r="Q1370" s="156"/>
    </row>
    <row r="1371" spans="1:17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37"/>
      <c r="Q1371" s="156"/>
    </row>
    <row r="1372" spans="1:17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37"/>
      <c r="Q1372" s="156"/>
    </row>
    <row r="1373" spans="1:17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37"/>
      <c r="Q1373" s="156"/>
    </row>
    <row r="1374" spans="1:17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37"/>
      <c r="Q1374" s="156"/>
    </row>
    <row r="1375" spans="1:17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37"/>
      <c r="Q1375" s="156"/>
    </row>
    <row r="1376" spans="1:17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37"/>
      <c r="Q1376" s="156"/>
    </row>
    <row r="1377" spans="1:17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37"/>
      <c r="Q1377" s="156"/>
    </row>
    <row r="1378" spans="1:17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37"/>
      <c r="Q1378" s="156"/>
    </row>
    <row r="1379" spans="1:17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37"/>
      <c r="Q1379" s="156"/>
    </row>
    <row r="1380" spans="1:17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37"/>
      <c r="Q1380" s="156"/>
    </row>
    <row r="1381" spans="1:17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37"/>
      <c r="Q1381" s="156"/>
    </row>
    <row r="1382" spans="1:17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37"/>
      <c r="Q1382" s="156"/>
    </row>
    <row r="1383" spans="1:17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37"/>
      <c r="Q1383" s="156"/>
    </row>
    <row r="1384" spans="1:17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37"/>
      <c r="Q1384" s="156"/>
    </row>
    <row r="1385" spans="1:17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37"/>
      <c r="Q1385" s="156"/>
    </row>
    <row r="1386" spans="1:17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37"/>
      <c r="Q1386" s="156"/>
    </row>
    <row r="1387" spans="1:17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37"/>
      <c r="Q1387" s="156"/>
    </row>
    <row r="1388" spans="1:17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37"/>
      <c r="Q1388" s="156"/>
    </row>
    <row r="1389" spans="1:17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37"/>
      <c r="Q1389" s="156"/>
    </row>
    <row r="1390" spans="1:17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37"/>
      <c r="Q1390" s="156"/>
    </row>
    <row r="1391" spans="1:17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37"/>
      <c r="Q1391" s="156"/>
    </row>
    <row r="1392" spans="1:17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37"/>
      <c r="Q1392" s="156"/>
    </row>
    <row r="1393" spans="1:17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37"/>
      <c r="Q1393" s="156"/>
    </row>
    <row r="1394" spans="1:17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37"/>
      <c r="Q1394" s="156"/>
    </row>
    <row r="1395" spans="1:17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37"/>
      <c r="Q1395" s="156"/>
    </row>
    <row r="1396" spans="1:17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37"/>
      <c r="Q1396" s="156"/>
    </row>
    <row r="1397" spans="1:17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37"/>
      <c r="Q1397" s="156"/>
    </row>
    <row r="1398" spans="1:17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37"/>
      <c r="Q1398" s="156"/>
    </row>
    <row r="1399" spans="1:17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37"/>
      <c r="Q1399" s="156"/>
    </row>
    <row r="1400" spans="1:17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37"/>
      <c r="Q1400" s="156"/>
    </row>
    <row r="1401" spans="1:17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37"/>
      <c r="Q1401" s="156"/>
    </row>
    <row r="1402" spans="1:17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37"/>
      <c r="Q1402" s="156"/>
    </row>
    <row r="1403" spans="1:17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37"/>
      <c r="Q1403" s="156"/>
    </row>
    <row r="1404" spans="1:17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37"/>
      <c r="Q1404" s="156"/>
    </row>
    <row r="1405" spans="1:17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37"/>
      <c r="Q1405" s="156"/>
    </row>
    <row r="1406" spans="1:17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37"/>
      <c r="Q1406" s="156"/>
    </row>
    <row r="1407" spans="1:17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37"/>
      <c r="Q1407" s="156"/>
    </row>
    <row r="1408" spans="1:17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37"/>
      <c r="Q1408" s="156"/>
    </row>
    <row r="1409" spans="1:17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37"/>
      <c r="Q1409" s="156"/>
    </row>
    <row r="1410" spans="1:17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37"/>
      <c r="Q1410" s="156"/>
    </row>
    <row r="1411" spans="1:17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37"/>
      <c r="Q1411" s="156"/>
    </row>
    <row r="1412" spans="1:17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37"/>
      <c r="Q1412" s="156"/>
    </row>
    <row r="1413" spans="1:17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37"/>
      <c r="Q1413" s="156"/>
    </row>
    <row r="1414" spans="1:17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37"/>
      <c r="Q1414" s="156"/>
    </row>
    <row r="1415" spans="1:17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37"/>
      <c r="Q1415" s="156"/>
    </row>
    <row r="1416" spans="1:17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37"/>
      <c r="Q1416" s="156"/>
    </row>
    <row r="1417" spans="1:17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37"/>
      <c r="Q1417" s="156"/>
    </row>
    <row r="1418" spans="1:17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37"/>
      <c r="Q1418" s="156"/>
    </row>
    <row r="1419" spans="1:17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37"/>
      <c r="Q1419" s="156"/>
    </row>
    <row r="1420" spans="1:17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37"/>
      <c r="Q1420" s="156"/>
    </row>
    <row r="1421" spans="1:17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37"/>
      <c r="Q1421" s="156"/>
    </row>
    <row r="1422" spans="1:17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37"/>
      <c r="Q1422" s="156"/>
    </row>
    <row r="1423" spans="1:17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37"/>
      <c r="Q1423" s="156"/>
    </row>
    <row r="1424" spans="1:17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37"/>
      <c r="Q1424" s="156"/>
    </row>
    <row r="1425" spans="1:17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37"/>
      <c r="Q1425" s="156"/>
    </row>
    <row r="1426" spans="1:17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37"/>
      <c r="Q1426" s="156"/>
    </row>
    <row r="1427" spans="1:17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37"/>
      <c r="Q1427" s="156"/>
    </row>
    <row r="1428" spans="1:17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37"/>
      <c r="Q1428" s="156"/>
    </row>
    <row r="1429" spans="1:17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37"/>
      <c r="Q1429" s="156"/>
    </row>
    <row r="1430" spans="1:17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37"/>
      <c r="Q1430" s="156"/>
    </row>
    <row r="1431" spans="1:17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37"/>
      <c r="Q1431" s="156"/>
    </row>
    <row r="1432" spans="1:17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37"/>
      <c r="Q1432" s="156"/>
    </row>
    <row r="1433" spans="1:17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37"/>
      <c r="Q1433" s="156"/>
    </row>
    <row r="1434" spans="1:17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37"/>
      <c r="Q1434" s="156"/>
    </row>
    <row r="1435" spans="1:17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37"/>
      <c r="Q1435" s="156"/>
    </row>
    <row r="1436" spans="1:17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37"/>
      <c r="Q1436" s="156"/>
    </row>
    <row r="1437" spans="1:17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37"/>
      <c r="Q1437" s="156"/>
    </row>
    <row r="1438" spans="1:17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37"/>
      <c r="Q1438" s="156"/>
    </row>
    <row r="1439" spans="1:17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37"/>
      <c r="Q1439" s="156"/>
    </row>
    <row r="1440" spans="1:17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37"/>
      <c r="Q1440" s="156"/>
    </row>
    <row r="1441" spans="1:17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37"/>
      <c r="Q1441" s="156"/>
    </row>
    <row r="1442" spans="1:17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37"/>
      <c r="Q1442" s="156"/>
    </row>
    <row r="1443" spans="1:17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37"/>
      <c r="Q1443" s="156"/>
    </row>
    <row r="1444" spans="1:17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37"/>
      <c r="Q1444" s="156"/>
    </row>
    <row r="1445" spans="1:17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37"/>
      <c r="Q1445" s="156"/>
    </row>
    <row r="1446" spans="1:17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37"/>
      <c r="Q1446" s="156"/>
    </row>
    <row r="1447" spans="1:17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37"/>
      <c r="Q1447" s="156"/>
    </row>
    <row r="1448" spans="1:17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37"/>
      <c r="Q1448" s="156"/>
    </row>
    <row r="1449" spans="1:17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37"/>
      <c r="Q1449" s="156"/>
    </row>
    <row r="1450" spans="1:17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37"/>
      <c r="Q1450" s="156"/>
    </row>
    <row r="1451" spans="1:17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37"/>
      <c r="Q1451" s="156"/>
    </row>
    <row r="1452" spans="1:17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37"/>
      <c r="Q1452" s="156"/>
    </row>
    <row r="1453" spans="1:17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37"/>
      <c r="Q1453" s="156"/>
    </row>
    <row r="1454" spans="1:17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37"/>
      <c r="Q1454" s="156"/>
    </row>
    <row r="1455" spans="1:17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37"/>
      <c r="Q1455" s="156"/>
    </row>
    <row r="1456" spans="1:17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37"/>
      <c r="Q1456" s="156"/>
    </row>
    <row r="1457" spans="1:17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37"/>
      <c r="Q1457" s="156"/>
    </row>
    <row r="1458" spans="1:17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37"/>
      <c r="Q1458" s="156"/>
    </row>
    <row r="1459" spans="1:17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37"/>
      <c r="Q1459" s="156"/>
    </row>
    <row r="1460" spans="1:17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37"/>
      <c r="Q1460" s="156"/>
    </row>
    <row r="1461" spans="1:17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37"/>
      <c r="Q1461" s="156"/>
    </row>
    <row r="1462" spans="1:17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37"/>
      <c r="Q1462" s="156"/>
    </row>
    <row r="1463" spans="1:17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37"/>
      <c r="Q1463" s="156"/>
    </row>
    <row r="1464" spans="1:17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37"/>
      <c r="Q1464" s="156"/>
    </row>
    <row r="1465" spans="1:17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37"/>
      <c r="Q1465" s="156"/>
    </row>
    <row r="1466" spans="1:17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37"/>
      <c r="Q1466" s="156"/>
    </row>
    <row r="1467" spans="1:17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37"/>
      <c r="Q1467" s="156"/>
    </row>
    <row r="1468" spans="1:17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37"/>
      <c r="Q1468" s="156"/>
    </row>
    <row r="1469" spans="1:17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37"/>
      <c r="Q1469" s="156"/>
    </row>
    <row r="1470" spans="1:17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37"/>
      <c r="Q1470" s="156"/>
    </row>
    <row r="1471" spans="1:17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37"/>
      <c r="Q1471" s="156"/>
    </row>
    <row r="1472" spans="1:17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37"/>
      <c r="Q1472" s="156"/>
    </row>
    <row r="1473" spans="1:17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37"/>
      <c r="Q1473" s="156"/>
    </row>
    <row r="1474" spans="1:17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37"/>
      <c r="Q1474" s="156"/>
    </row>
    <row r="1475" spans="1:17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37"/>
      <c r="Q1475" s="156"/>
    </row>
    <row r="1476" spans="1:17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37"/>
      <c r="Q1476" s="156"/>
    </row>
    <row r="1477" spans="1:17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37"/>
      <c r="Q1477" s="156"/>
    </row>
    <row r="1478" spans="1:17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37"/>
      <c r="Q1478" s="156"/>
    </row>
    <row r="1479" spans="1:17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37"/>
      <c r="Q1479" s="156"/>
    </row>
    <row r="1480" spans="1:17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37"/>
      <c r="Q1480" s="156"/>
    </row>
    <row r="1481" spans="1:17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37"/>
      <c r="Q1481" s="156"/>
    </row>
    <row r="1482" spans="1:17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37"/>
      <c r="Q1482" s="156"/>
    </row>
    <row r="1483" spans="1:17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37"/>
      <c r="Q1483" s="156"/>
    </row>
    <row r="1484" spans="1:17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37"/>
      <c r="Q1484" s="156"/>
    </row>
    <row r="1485" spans="1:17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37"/>
      <c r="Q1485" s="156"/>
    </row>
    <row r="1486" spans="1:17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37"/>
      <c r="Q1486" s="156"/>
    </row>
    <row r="1487" spans="1:17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37"/>
      <c r="Q1487" s="156"/>
    </row>
    <row r="1488" spans="1:17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37"/>
      <c r="Q1488" s="156"/>
    </row>
    <row r="1489" spans="1:17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37"/>
      <c r="Q1489" s="156"/>
    </row>
    <row r="1490" spans="1:17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37"/>
      <c r="Q1490" s="156"/>
    </row>
    <row r="1491" spans="1:17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37"/>
      <c r="Q1491" s="156"/>
    </row>
    <row r="1492" spans="1:17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37"/>
      <c r="Q1492" s="156"/>
    </row>
    <row r="1493" spans="1:17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37"/>
      <c r="Q1493" s="156"/>
    </row>
    <row r="1494" spans="1:17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37"/>
      <c r="Q1494" s="156"/>
    </row>
    <row r="1495" spans="1:17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37"/>
      <c r="Q1495" s="156"/>
    </row>
    <row r="1496" spans="1:17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37"/>
      <c r="Q1496" s="156"/>
    </row>
    <row r="1497" spans="1:17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37"/>
      <c r="Q1497" s="156"/>
    </row>
    <row r="1498" spans="1:17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37"/>
      <c r="Q1498" s="156"/>
    </row>
    <row r="1499" spans="1:17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37"/>
      <c r="Q1499" s="156"/>
    </row>
    <row r="1500" spans="1:17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37"/>
      <c r="Q1500" s="156"/>
    </row>
    <row r="1501" spans="1:17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37"/>
      <c r="Q1501" s="156"/>
    </row>
    <row r="1502" spans="1:17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37"/>
      <c r="Q1502" s="156"/>
    </row>
    <row r="1503" spans="1:17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37"/>
      <c r="Q1503" s="156"/>
    </row>
    <row r="1504" spans="1:17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37"/>
      <c r="Q1504" s="156"/>
    </row>
    <row r="1505" spans="1:17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37"/>
      <c r="Q1505" s="156"/>
    </row>
    <row r="1506" spans="1:17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37"/>
      <c r="Q1506" s="156"/>
    </row>
    <row r="1507" spans="1:17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37"/>
      <c r="Q1507" s="156"/>
    </row>
    <row r="1508" spans="1:17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37"/>
      <c r="Q1508" s="156"/>
    </row>
    <row r="1509" spans="1:17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37"/>
      <c r="Q1509" s="156"/>
    </row>
    <row r="1510" spans="1:17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37"/>
      <c r="Q1510" s="156"/>
    </row>
    <row r="1511" spans="1:17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37"/>
      <c r="Q1511" s="156"/>
    </row>
    <row r="1512" spans="1:17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37"/>
      <c r="Q1512" s="156"/>
    </row>
    <row r="1513" spans="1:17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37"/>
      <c r="Q1513" s="156"/>
    </row>
    <row r="1514" spans="1:17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37"/>
      <c r="Q1514" s="156"/>
    </row>
    <row r="1515" spans="1:17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37"/>
      <c r="Q1515" s="156"/>
    </row>
    <row r="1516" spans="1:17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37"/>
      <c r="Q1516" s="156"/>
    </row>
    <row r="1517" spans="1:17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37"/>
      <c r="Q1517" s="156"/>
    </row>
    <row r="1518" spans="1:17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37"/>
      <c r="Q1518" s="156"/>
    </row>
    <row r="1519" spans="1:17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37"/>
      <c r="Q1519" s="156"/>
    </row>
    <row r="1520" spans="1:17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37"/>
      <c r="Q1520" s="156"/>
    </row>
    <row r="1521" spans="1:17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37"/>
      <c r="Q1521" s="156"/>
    </row>
    <row r="1522" spans="1:17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37"/>
      <c r="Q1522" s="156"/>
    </row>
    <row r="1523" spans="1:17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37"/>
      <c r="Q1523" s="156"/>
    </row>
    <row r="1524" spans="1:17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37"/>
      <c r="Q1524" s="156"/>
    </row>
    <row r="1525" spans="1:17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37"/>
      <c r="Q1525" s="156"/>
    </row>
    <row r="1526" spans="1:17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37"/>
      <c r="Q1526" s="156"/>
    </row>
    <row r="1527" spans="1:17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37"/>
      <c r="Q1527" s="156"/>
    </row>
    <row r="1528" spans="1:17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37"/>
      <c r="Q1528" s="156"/>
    </row>
    <row r="1529" spans="1:17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37"/>
      <c r="Q1529" s="156"/>
    </row>
    <row r="1530" spans="1:17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37"/>
      <c r="Q1530" s="156"/>
    </row>
    <row r="1531" spans="1:17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37"/>
      <c r="Q1531" s="156"/>
    </row>
    <row r="1532" spans="1:17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37"/>
      <c r="Q1532" s="156"/>
    </row>
    <row r="1533" spans="1:17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37"/>
      <c r="Q1533" s="156"/>
    </row>
    <row r="1534" spans="1:17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37"/>
      <c r="Q1534" s="156"/>
    </row>
    <row r="1535" spans="1:17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37"/>
      <c r="Q1535" s="156"/>
    </row>
    <row r="1536" spans="1:17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37"/>
      <c r="Q1536" s="156"/>
    </row>
    <row r="1537" spans="1:17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37"/>
      <c r="Q1537" s="156"/>
    </row>
    <row r="1538" spans="1:17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37"/>
      <c r="Q1538" s="156"/>
    </row>
    <row r="1539" spans="1:17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37"/>
      <c r="Q1539" s="156"/>
    </row>
    <row r="1540" spans="1:17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37"/>
      <c r="Q1540" s="156"/>
    </row>
    <row r="1541" spans="1:17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37"/>
      <c r="Q1541" s="156"/>
    </row>
    <row r="1542" spans="1:17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37"/>
      <c r="Q1542" s="156"/>
    </row>
    <row r="1543" spans="1:17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37"/>
      <c r="Q1543" s="156"/>
    </row>
    <row r="1544" spans="1:17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37"/>
      <c r="Q1544" s="156"/>
    </row>
    <row r="1545" spans="1:17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37"/>
      <c r="Q1545" s="156"/>
    </row>
    <row r="1546" spans="1:17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37"/>
      <c r="Q1546" s="156"/>
    </row>
    <row r="1547" spans="1:17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37"/>
      <c r="Q1547" s="156"/>
    </row>
    <row r="1548" spans="1:17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37"/>
      <c r="Q1548" s="156"/>
    </row>
    <row r="1549" spans="1:17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37"/>
      <c r="Q1549" s="156"/>
    </row>
    <row r="1550" spans="1:17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37"/>
      <c r="Q1550" s="156"/>
    </row>
    <row r="1551" spans="1:17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37"/>
      <c r="Q1551" s="156"/>
    </row>
    <row r="1552" spans="1:17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37"/>
      <c r="Q1552" s="156"/>
    </row>
    <row r="1553" spans="1:17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37"/>
      <c r="Q1553" s="156"/>
    </row>
    <row r="1554" spans="1:17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37"/>
      <c r="Q1554" s="156"/>
    </row>
    <row r="1555" spans="1:17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37"/>
      <c r="Q1555" s="156"/>
    </row>
    <row r="1556" spans="1:17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37"/>
      <c r="Q1556" s="156"/>
    </row>
    <row r="1557" spans="1:17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37"/>
      <c r="Q1557" s="156"/>
    </row>
    <row r="1558" spans="1:17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37"/>
      <c r="Q1558" s="156"/>
    </row>
    <row r="1559" spans="1:17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37"/>
      <c r="Q1559" s="156"/>
    </row>
    <row r="1560" spans="1:17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37"/>
      <c r="Q1560" s="156"/>
    </row>
    <row r="1561" spans="1:17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37"/>
      <c r="Q1561" s="156"/>
    </row>
    <row r="1562" spans="1:17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37"/>
      <c r="Q1562" s="156"/>
    </row>
    <row r="1563" spans="1:17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37"/>
      <c r="Q1563" s="156"/>
    </row>
    <row r="1564" spans="1:17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37"/>
      <c r="Q1564" s="156"/>
    </row>
    <row r="1565" spans="1:17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37"/>
      <c r="Q1565" s="156"/>
    </row>
    <row r="1566" spans="1:17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37"/>
      <c r="Q1566" s="156"/>
    </row>
    <row r="1567" spans="1:17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37"/>
      <c r="Q1567" s="156"/>
    </row>
    <row r="1568" spans="1:17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37"/>
      <c r="Q1568" s="156"/>
    </row>
    <row r="1569" spans="1:17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37"/>
      <c r="Q1569" s="156"/>
    </row>
    <row r="1570" spans="1:17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37"/>
      <c r="Q1570" s="156"/>
    </row>
    <row r="1571" spans="1:17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37"/>
      <c r="Q1571" s="156"/>
    </row>
    <row r="1572" spans="1:17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37"/>
      <c r="Q1572" s="156"/>
    </row>
    <row r="1573" spans="1:17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37"/>
      <c r="Q1573" s="156"/>
    </row>
    <row r="1574" spans="1:17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37"/>
      <c r="Q1574" s="156"/>
    </row>
    <row r="1575" spans="1:17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37"/>
      <c r="Q1575" s="156"/>
    </row>
    <row r="1576" spans="1:17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37"/>
      <c r="Q1576" s="156"/>
    </row>
    <row r="1577" spans="1:17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37"/>
      <c r="Q1577" s="156"/>
    </row>
    <row r="1578" spans="1:17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37"/>
      <c r="Q1578" s="156"/>
    </row>
    <row r="1579" spans="1:17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37"/>
      <c r="Q1579" s="156"/>
    </row>
    <row r="1580" spans="1:17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37"/>
      <c r="Q1580" s="156"/>
    </row>
    <row r="1581" spans="1:17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37"/>
      <c r="Q1581" s="156"/>
    </row>
    <row r="1582" spans="1:17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37"/>
      <c r="Q1582" s="156"/>
    </row>
    <row r="1583" spans="1:17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37"/>
      <c r="Q1583" s="156"/>
    </row>
    <row r="1584" spans="1:17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37"/>
      <c r="Q1584" s="156"/>
    </row>
    <row r="1585" spans="1:17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37"/>
      <c r="Q1585" s="156"/>
    </row>
    <row r="1586" spans="1:17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37"/>
      <c r="Q1586" s="156"/>
    </row>
    <row r="1587" spans="1:17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37"/>
      <c r="Q1587" s="156"/>
    </row>
    <row r="1588" spans="1:17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37"/>
      <c r="Q1588" s="156"/>
    </row>
    <row r="1589" spans="1:17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37"/>
      <c r="Q1589" s="156"/>
    </row>
    <row r="1590" spans="1:17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37"/>
      <c r="Q1590" s="156"/>
    </row>
    <row r="1591" spans="1:17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37"/>
      <c r="Q1591" s="156"/>
    </row>
    <row r="1592" spans="1:17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37"/>
      <c r="Q1592" s="156"/>
    </row>
    <row r="1593" spans="1:17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37"/>
      <c r="Q1593" s="156"/>
    </row>
    <row r="1594" spans="1:17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37"/>
      <c r="Q1594" s="156"/>
    </row>
    <row r="1595" spans="1:17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37"/>
      <c r="Q1595" s="156"/>
    </row>
    <row r="1596" spans="1:17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37"/>
      <c r="Q1596" s="156"/>
    </row>
    <row r="1597" spans="1:17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37"/>
      <c r="Q1597" s="156"/>
    </row>
    <row r="1598" spans="1:17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37"/>
      <c r="Q1598" s="156"/>
    </row>
    <row r="1599" spans="1:17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37"/>
      <c r="Q1599" s="156"/>
    </row>
    <row r="1600" spans="1:17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37"/>
      <c r="Q1600" s="156"/>
    </row>
    <row r="1601" spans="1:17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37"/>
      <c r="Q1601" s="156"/>
    </row>
    <row r="1602" spans="1:17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37"/>
      <c r="Q1602" s="156"/>
    </row>
    <row r="1603" spans="1:17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37"/>
      <c r="Q1603" s="156"/>
    </row>
    <row r="1604" spans="1:17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37"/>
      <c r="Q1604" s="156"/>
    </row>
    <row r="1605" spans="1:17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37"/>
      <c r="Q1605" s="156"/>
    </row>
    <row r="1606" spans="1:17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37"/>
      <c r="Q1606" s="156"/>
    </row>
    <row r="1607" spans="1:17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37"/>
      <c r="Q1607" s="156"/>
    </row>
    <row r="1608" spans="1:17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37"/>
      <c r="Q1608" s="156"/>
    </row>
    <row r="1609" spans="1:17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37"/>
      <c r="Q1609" s="156"/>
    </row>
    <row r="1610" spans="1:17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37"/>
      <c r="Q1610" s="156"/>
    </row>
    <row r="1611" spans="1:17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37"/>
      <c r="Q1611" s="156"/>
    </row>
    <row r="1612" spans="1:17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37"/>
      <c r="Q1612" s="156"/>
    </row>
    <row r="1613" spans="1:17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37"/>
      <c r="Q1613" s="156"/>
    </row>
    <row r="1614" spans="1:17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37"/>
      <c r="Q1614" s="156"/>
    </row>
    <row r="1615" spans="1:17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37"/>
      <c r="Q1615" s="156"/>
    </row>
    <row r="1616" spans="1:17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37"/>
      <c r="Q1616" s="156"/>
    </row>
    <row r="1617" spans="1:17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37"/>
      <c r="Q1617" s="156"/>
    </row>
    <row r="1618" spans="1:17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37"/>
      <c r="Q1618" s="156"/>
    </row>
    <row r="1619" spans="1:17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37"/>
      <c r="Q1619" s="156"/>
    </row>
    <row r="1620" spans="1:17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37"/>
      <c r="Q1620" s="156"/>
    </row>
    <row r="1621" spans="1:17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37"/>
      <c r="Q1621" s="156"/>
    </row>
    <row r="1622" spans="1:17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37"/>
      <c r="Q1622" s="156"/>
    </row>
    <row r="1623" spans="1:17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37"/>
      <c r="Q1623" s="156"/>
    </row>
    <row r="1624" spans="1:17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37"/>
      <c r="Q1624" s="156"/>
    </row>
    <row r="1625" spans="1:17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37"/>
      <c r="Q1625" s="156"/>
    </row>
    <row r="1626" spans="1:17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37"/>
      <c r="Q1626" s="156"/>
    </row>
    <row r="1627" spans="1:17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37"/>
      <c r="Q1627" s="156"/>
    </row>
    <row r="1628" spans="1:17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37"/>
      <c r="Q1628" s="156"/>
    </row>
    <row r="1629" spans="1:17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37"/>
      <c r="Q1629" s="156"/>
    </row>
    <row r="1630" spans="1:17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37"/>
      <c r="Q1630" s="156"/>
    </row>
    <row r="1631" spans="1:17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37"/>
      <c r="Q1631" s="156"/>
    </row>
    <row r="1632" spans="1:17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37"/>
      <c r="Q1632" s="156"/>
    </row>
    <row r="1633" spans="1:17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37"/>
      <c r="Q1633" s="156"/>
    </row>
    <row r="1634" spans="1:17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37"/>
      <c r="Q1634" s="156"/>
    </row>
    <row r="1635" spans="1:17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37"/>
      <c r="Q1635" s="156"/>
    </row>
    <row r="1636" spans="1:17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37"/>
      <c r="Q1636" s="156"/>
    </row>
    <row r="1637" spans="1:17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37"/>
      <c r="Q1637" s="156"/>
    </row>
    <row r="1638" spans="1:17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37"/>
      <c r="Q1638" s="156"/>
    </row>
    <row r="1639" spans="1:17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37"/>
      <c r="Q1639" s="156"/>
    </row>
    <row r="1640" spans="1:17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37"/>
      <c r="Q1640" s="156"/>
    </row>
    <row r="1641" spans="1:17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37"/>
      <c r="Q1641" s="156"/>
    </row>
    <row r="1642" spans="1:17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37"/>
      <c r="Q1642" s="156"/>
    </row>
    <row r="1643" spans="1:17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37"/>
      <c r="Q1643" s="156"/>
    </row>
    <row r="1644" spans="1:17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37"/>
      <c r="Q1644" s="156"/>
    </row>
    <row r="1645" spans="1:17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37"/>
      <c r="Q1645" s="156"/>
    </row>
    <row r="1646" spans="1:17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37"/>
      <c r="Q1646" s="156"/>
    </row>
    <row r="1647" spans="1:17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37"/>
      <c r="Q1647" s="156"/>
    </row>
    <row r="1648" spans="1:17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37"/>
      <c r="Q1648" s="156"/>
    </row>
    <row r="1649" spans="1:17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37"/>
      <c r="Q1649" s="156"/>
    </row>
    <row r="1650" spans="1:17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37"/>
      <c r="Q1650" s="156"/>
    </row>
    <row r="1651" spans="1:17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37"/>
      <c r="Q1651" s="156"/>
    </row>
    <row r="1652" spans="1:17" s="28" customFormat="1" x14ac:dyDescent="0.25">
      <c r="A1652" s="56"/>
      <c r="B1652" s="62"/>
      <c r="C1652" s="62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37"/>
      <c r="Q1652" s="156"/>
    </row>
    <row r="1653" spans="1:17" s="28" customFormat="1" x14ac:dyDescent="0.25">
      <c r="A1653" s="56"/>
      <c r="B1653" s="62"/>
      <c r="C1653" s="62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37"/>
      <c r="Q1653" s="156"/>
    </row>
    <row r="1654" spans="1:17" s="28" customFormat="1" x14ac:dyDescent="0.25">
      <c r="A1654" s="56"/>
      <c r="B1654" s="62"/>
      <c r="C1654" s="62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37"/>
      <c r="Q1654" s="156"/>
    </row>
    <row r="1655" spans="1:17" s="28" customFormat="1" x14ac:dyDescent="0.25">
      <c r="A1655" s="56"/>
      <c r="B1655" s="62"/>
      <c r="C1655" s="62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37"/>
      <c r="Q1655" s="156"/>
    </row>
    <row r="1656" spans="1:17" s="28" customFormat="1" x14ac:dyDescent="0.25">
      <c r="A1656" s="56"/>
      <c r="B1656" s="62"/>
      <c r="C1656" s="62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37"/>
      <c r="Q1656" s="156"/>
    </row>
    <row r="1657" spans="1:17" s="28" customFormat="1" x14ac:dyDescent="0.25">
      <c r="A1657" s="56"/>
      <c r="B1657" s="62"/>
      <c r="C1657" s="62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37"/>
      <c r="Q1657" s="156"/>
    </row>
    <row r="1658" spans="1:17" s="28" customFormat="1" x14ac:dyDescent="0.25">
      <c r="A1658" s="56"/>
      <c r="B1658" s="62"/>
      <c r="C1658" s="62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37"/>
      <c r="Q1658" s="156"/>
    </row>
    <row r="1659" spans="1:17" s="28" customFormat="1" x14ac:dyDescent="0.25">
      <c r="A1659" s="56"/>
      <c r="B1659" s="62"/>
      <c r="C1659" s="62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37"/>
      <c r="Q1659" s="156"/>
    </row>
    <row r="1660" spans="1:17" s="28" customFormat="1" x14ac:dyDescent="0.25">
      <c r="A1660" s="56"/>
      <c r="B1660" s="62"/>
      <c r="C1660" s="62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37"/>
      <c r="Q1660" s="156"/>
    </row>
    <row r="1661" spans="1:17" s="28" customFormat="1" x14ac:dyDescent="0.25">
      <c r="A1661" s="56"/>
      <c r="B1661" s="62"/>
      <c r="C1661" s="62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37"/>
      <c r="Q1661" s="156"/>
    </row>
    <row r="1662" spans="1:17" s="28" customFormat="1" x14ac:dyDescent="0.25">
      <c r="A1662" s="56"/>
      <c r="B1662" s="62"/>
      <c r="C1662" s="62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37"/>
      <c r="Q1662" s="156"/>
    </row>
    <row r="1663" spans="1:17" s="28" customFormat="1" x14ac:dyDescent="0.25">
      <c r="A1663" s="56"/>
      <c r="B1663" s="62"/>
      <c r="C1663" s="62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37"/>
      <c r="Q1663" s="156"/>
    </row>
    <row r="1664" spans="1:17" s="28" customFormat="1" x14ac:dyDescent="0.25">
      <c r="A1664" s="56"/>
      <c r="B1664" s="62"/>
      <c r="C1664" s="62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37"/>
      <c r="Q1664" s="156"/>
    </row>
    <row r="1665" spans="1:17" s="28" customFormat="1" x14ac:dyDescent="0.25">
      <c r="A1665" s="56"/>
      <c r="B1665" s="62"/>
      <c r="C1665" s="62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37"/>
      <c r="Q1665" s="156"/>
    </row>
    <row r="1666" spans="1:17" s="28" customFormat="1" x14ac:dyDescent="0.25">
      <c r="A1666" s="56"/>
      <c r="B1666" s="62"/>
      <c r="C1666" s="62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37"/>
      <c r="Q1666" s="156"/>
    </row>
    <row r="1667" spans="1:17" s="28" customFormat="1" x14ac:dyDescent="0.25">
      <c r="A1667" s="56"/>
      <c r="B1667" s="62"/>
      <c r="C1667" s="62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37"/>
      <c r="Q1667" s="156"/>
    </row>
    <row r="1668" spans="1:17" s="28" customFormat="1" x14ac:dyDescent="0.25">
      <c r="A1668" s="56"/>
      <c r="B1668" s="62"/>
      <c r="C1668" s="62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37"/>
      <c r="Q1668" s="156"/>
    </row>
    <row r="1669" spans="1:17" s="28" customFormat="1" x14ac:dyDescent="0.25">
      <c r="A1669" s="56"/>
      <c r="B1669" s="62"/>
      <c r="C1669" s="62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37"/>
      <c r="Q1669" s="156"/>
    </row>
    <row r="1670" spans="1:17" s="28" customFormat="1" x14ac:dyDescent="0.25">
      <c r="A1670" s="56"/>
      <c r="B1670" s="62"/>
      <c r="C1670" s="62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37"/>
      <c r="Q1670" s="156"/>
    </row>
    <row r="1671" spans="1:17" s="28" customFormat="1" x14ac:dyDescent="0.25">
      <c r="A1671" s="56"/>
      <c r="B1671" s="62"/>
      <c r="C1671" s="62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37"/>
      <c r="Q1671" s="156"/>
    </row>
  </sheetData>
  <mergeCells count="33">
    <mergeCell ref="Q159:Q192"/>
    <mergeCell ref="Q193:Q227"/>
    <mergeCell ref="Q228:Q259"/>
    <mergeCell ref="Q260:Q286"/>
    <mergeCell ref="Q287:Q299"/>
    <mergeCell ref="Q1:Q34"/>
    <mergeCell ref="Q35:Q60"/>
    <mergeCell ref="Q61:Q87"/>
    <mergeCell ref="Q88:Q116"/>
    <mergeCell ref="Q117:Q158"/>
    <mergeCell ref="A297:D297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  <mergeCell ref="M15:N15"/>
    <mergeCell ref="O15:O16"/>
    <mergeCell ref="K3:P3"/>
    <mergeCell ref="K4:P4"/>
    <mergeCell ref="K5:P5"/>
    <mergeCell ref="K6:P6"/>
    <mergeCell ref="K8:P8"/>
  </mergeCells>
  <phoneticPr fontId="3" type="noConversion"/>
  <printOptions horizontalCentered="1"/>
  <pageMargins left="0.19685039370078741" right="0" top="0.70866141732283472" bottom="0.47244094488188981" header="0.47244094488188981" footer="0.19685039370078741"/>
  <pageSetup paperSize="9" scale="46" fitToHeight="100" orientation="landscape" useFirstPageNumber="1" r:id="rId1"/>
  <headerFooter scaleWithDoc="0" alignWithMargins="0">
    <oddHeader xml:space="preserve">&amp;RПродовження додатку
</oddHeader>
  </headerFooter>
  <rowBreaks count="3" manualBreakCount="3">
    <brk id="34" max="16" man="1"/>
    <brk id="60" max="16" man="1"/>
    <brk id="2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T240"/>
  <sheetViews>
    <sheetView showGridLines="0" showZeros="0" view="pageBreakPreview" topLeftCell="A156" zoomScale="55" zoomScaleNormal="87" zoomScaleSheetLayoutView="55" workbookViewId="0">
      <selection activeCell="C157" sqref="C157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6" width="20.5" style="4" customWidth="1"/>
    <col min="7" max="7" width="18" style="4" customWidth="1"/>
    <col min="8" max="8" width="17.5" style="4" customWidth="1"/>
    <col min="9" max="9" width="18.83203125" style="4" customWidth="1"/>
    <col min="10" max="10" width="19.1640625" style="4" customWidth="1"/>
    <col min="11" max="11" width="17.6640625" style="4" customWidth="1"/>
    <col min="12" max="12" width="15.83203125" style="4" customWidth="1"/>
    <col min="13" max="13" width="14.83203125" style="4" customWidth="1"/>
    <col min="14" max="14" width="18.83203125" style="4" customWidth="1"/>
    <col min="15" max="15" width="20.5" style="4" customWidth="1"/>
    <col min="16" max="16" width="9.6640625" style="159" customWidth="1"/>
    <col min="17" max="16384" width="9.1640625" style="4"/>
  </cols>
  <sheetData>
    <row r="1" spans="1:16" ht="27.75" customHeight="1" x14ac:dyDescent="0.4">
      <c r="J1" s="183" t="s">
        <v>557</v>
      </c>
      <c r="K1" s="183"/>
      <c r="L1" s="183"/>
      <c r="M1" s="183"/>
      <c r="N1" s="183"/>
      <c r="O1" s="183"/>
    </row>
    <row r="2" spans="1:16" ht="24" customHeight="1" x14ac:dyDescent="0.25">
      <c r="J2" s="96" t="s">
        <v>536</v>
      </c>
      <c r="K2" s="96"/>
      <c r="L2" s="96"/>
      <c r="M2" s="96"/>
      <c r="N2" s="96"/>
      <c r="O2" s="96"/>
    </row>
    <row r="3" spans="1:16" ht="26.25" customHeight="1" x14ac:dyDescent="0.4">
      <c r="J3" s="171" t="s">
        <v>533</v>
      </c>
      <c r="K3" s="171"/>
      <c r="L3" s="171"/>
      <c r="M3" s="171"/>
      <c r="N3" s="171"/>
      <c r="O3" s="171"/>
    </row>
    <row r="4" spans="1:16" ht="26.25" customHeight="1" x14ac:dyDescent="0.4">
      <c r="J4" s="171" t="s">
        <v>534</v>
      </c>
      <c r="K4" s="171"/>
      <c r="L4" s="171"/>
      <c r="M4" s="171"/>
      <c r="N4" s="171"/>
      <c r="O4" s="171"/>
    </row>
    <row r="5" spans="1:16" ht="29.25" customHeight="1" x14ac:dyDescent="0.4">
      <c r="J5" s="171" t="s">
        <v>535</v>
      </c>
      <c r="K5" s="171"/>
      <c r="L5" s="171"/>
      <c r="M5" s="171"/>
      <c r="N5" s="171"/>
      <c r="O5" s="171"/>
    </row>
    <row r="6" spans="1:16" ht="29.25" customHeight="1" x14ac:dyDescent="0.4">
      <c r="J6" s="171" t="s">
        <v>537</v>
      </c>
      <c r="K6" s="171"/>
      <c r="L6" s="171"/>
      <c r="M6" s="171"/>
      <c r="N6" s="171"/>
      <c r="O6" s="171"/>
    </row>
    <row r="7" spans="1:16" ht="29.25" customHeight="1" x14ac:dyDescent="0.4">
      <c r="J7" s="134" t="s">
        <v>556</v>
      </c>
      <c r="K7" s="134"/>
      <c r="L7" s="134"/>
      <c r="M7" s="134"/>
      <c r="N7" s="134"/>
      <c r="O7" s="134"/>
    </row>
    <row r="8" spans="1:16" ht="29.25" customHeight="1" x14ac:dyDescent="0.4">
      <c r="J8" s="171" t="s">
        <v>569</v>
      </c>
      <c r="K8" s="171"/>
      <c r="L8" s="171"/>
      <c r="M8" s="171"/>
      <c r="N8" s="171"/>
      <c r="O8" s="171"/>
    </row>
    <row r="9" spans="1:16" ht="29.25" customHeight="1" x14ac:dyDescent="0.25">
      <c r="J9" s="96"/>
      <c r="K9" s="96"/>
      <c r="L9" s="96"/>
      <c r="M9" s="96"/>
      <c r="N9" s="96"/>
      <c r="O9" s="96"/>
    </row>
    <row r="10" spans="1:16" ht="105.75" customHeight="1" x14ac:dyDescent="0.25">
      <c r="A10" s="184" t="s">
        <v>454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</row>
    <row r="11" spans="1:16" ht="23.25" customHeight="1" x14ac:dyDescent="0.25">
      <c r="A11" s="65"/>
      <c r="B11" s="65"/>
      <c r="C11" s="58"/>
      <c r="D11" s="58"/>
      <c r="E11" s="58"/>
      <c r="F11" s="125" t="s">
        <v>529</v>
      </c>
      <c r="G11" s="58"/>
      <c r="H11" s="58"/>
      <c r="I11" s="58"/>
      <c r="J11" s="58"/>
      <c r="K11" s="58"/>
      <c r="L11" s="58"/>
      <c r="M11" s="58"/>
      <c r="N11" s="58"/>
      <c r="O11" s="58"/>
    </row>
    <row r="12" spans="1:16" ht="21" customHeight="1" x14ac:dyDescent="0.25">
      <c r="A12" s="66"/>
      <c r="B12" s="66"/>
      <c r="C12" s="58"/>
      <c r="D12" s="58"/>
      <c r="E12" s="58"/>
      <c r="F12" s="66" t="s">
        <v>530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1:16" s="17" customFormat="1" ht="24" customHeight="1" x14ac:dyDescent="0.3">
      <c r="A13" s="14"/>
      <c r="B13" s="15"/>
      <c r="C13" s="16"/>
      <c r="O13" s="136" t="s">
        <v>360</v>
      </c>
      <c r="P13" s="159"/>
    </row>
    <row r="14" spans="1:16" s="52" customFormat="1" ht="21.75" customHeight="1" x14ac:dyDescent="0.25">
      <c r="A14" s="170" t="s">
        <v>339</v>
      </c>
      <c r="B14" s="170" t="s">
        <v>329</v>
      </c>
      <c r="C14" s="170" t="s">
        <v>341</v>
      </c>
      <c r="D14" s="176" t="s">
        <v>226</v>
      </c>
      <c r="E14" s="176"/>
      <c r="F14" s="176"/>
      <c r="G14" s="176"/>
      <c r="H14" s="176"/>
      <c r="I14" s="176" t="s">
        <v>227</v>
      </c>
      <c r="J14" s="176"/>
      <c r="K14" s="176"/>
      <c r="L14" s="176"/>
      <c r="M14" s="176"/>
      <c r="N14" s="176"/>
      <c r="O14" s="176" t="s">
        <v>228</v>
      </c>
      <c r="P14" s="159"/>
    </row>
    <row r="15" spans="1:16" s="52" customFormat="1" ht="29.25" customHeight="1" x14ac:dyDescent="0.25">
      <c r="A15" s="170"/>
      <c r="B15" s="170"/>
      <c r="C15" s="170"/>
      <c r="D15" s="175" t="s">
        <v>330</v>
      </c>
      <c r="E15" s="175" t="s">
        <v>229</v>
      </c>
      <c r="F15" s="169" t="s">
        <v>230</v>
      </c>
      <c r="G15" s="169"/>
      <c r="H15" s="175" t="s">
        <v>231</v>
      </c>
      <c r="I15" s="175" t="s">
        <v>330</v>
      </c>
      <c r="J15" s="175" t="s">
        <v>331</v>
      </c>
      <c r="K15" s="175" t="s">
        <v>229</v>
      </c>
      <c r="L15" s="169" t="s">
        <v>230</v>
      </c>
      <c r="M15" s="169"/>
      <c r="N15" s="175" t="s">
        <v>231</v>
      </c>
      <c r="O15" s="176"/>
      <c r="P15" s="159"/>
    </row>
    <row r="16" spans="1:16" s="52" customFormat="1" ht="60.75" customHeight="1" x14ac:dyDescent="0.25">
      <c r="A16" s="170"/>
      <c r="B16" s="170"/>
      <c r="C16" s="170"/>
      <c r="D16" s="175"/>
      <c r="E16" s="175"/>
      <c r="F16" s="132" t="s">
        <v>232</v>
      </c>
      <c r="G16" s="132" t="s">
        <v>233</v>
      </c>
      <c r="H16" s="175"/>
      <c r="I16" s="175"/>
      <c r="J16" s="175"/>
      <c r="K16" s="175"/>
      <c r="L16" s="132" t="s">
        <v>232</v>
      </c>
      <c r="M16" s="132" t="s">
        <v>233</v>
      </c>
      <c r="N16" s="175"/>
      <c r="O16" s="176"/>
      <c r="P16" s="159"/>
    </row>
    <row r="17" spans="1:16" s="52" customFormat="1" ht="21" customHeight="1" x14ac:dyDescent="0.25">
      <c r="A17" s="7" t="s">
        <v>44</v>
      </c>
      <c r="B17" s="8"/>
      <c r="C17" s="9" t="s">
        <v>45</v>
      </c>
      <c r="D17" s="48">
        <f>D19+D20+D21+D22</f>
        <v>261224809</v>
      </c>
      <c r="E17" s="48">
        <f t="shared" ref="E17:O17" si="0">E19+E20+E21+E22</f>
        <v>261224809</v>
      </c>
      <c r="F17" s="48">
        <f>F19+F20+F21+F22</f>
        <v>197271700</v>
      </c>
      <c r="G17" s="48">
        <f t="shared" si="0"/>
        <v>4257209</v>
      </c>
      <c r="H17" s="48">
        <f t="shared" si="0"/>
        <v>0</v>
      </c>
      <c r="I17" s="48">
        <f t="shared" si="0"/>
        <v>2614000</v>
      </c>
      <c r="J17" s="48">
        <f t="shared" si="0"/>
        <v>714000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714000</v>
      </c>
      <c r="O17" s="48">
        <f t="shared" si="0"/>
        <v>263838809</v>
      </c>
      <c r="P17" s="180">
        <v>106</v>
      </c>
    </row>
    <row r="18" spans="1:16" s="52" customFormat="1" ht="61.5" hidden="1" customHeight="1" x14ac:dyDescent="0.25">
      <c r="A18" s="7"/>
      <c r="B18" s="8"/>
      <c r="C18" s="9" t="s">
        <v>442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  <c r="P18" s="180"/>
    </row>
    <row r="19" spans="1:16" ht="37.5" customHeight="1" x14ac:dyDescent="0.25">
      <c r="A19" s="37" t="s">
        <v>121</v>
      </c>
      <c r="B19" s="37" t="s">
        <v>47</v>
      </c>
      <c r="C19" s="6" t="s">
        <v>504</v>
      </c>
      <c r="D19" s="49">
        <f>'дод 3'!E21+'дод 3'!E73+'дод 3'!E117+'дод 3'!E147+'дод 3'!E182+'дод 3'!E189+'дод 3'!E204+'дод 3'!E235+'дод 3'!E239+'дод 3'!E257+'дод 3'!E263+'дод 3'!E266+'дод 3'!E277+'дод 3'!E274</f>
        <v>259589309</v>
      </c>
      <c r="E19" s="49">
        <f>'дод 3'!F21+'дод 3'!F73+'дод 3'!F117+'дод 3'!F147+'дод 3'!F182+'дод 3'!F189+'дод 3'!F204+'дод 3'!F235+'дод 3'!F239+'дод 3'!F257+'дод 3'!F263+'дод 3'!F266+'дод 3'!F277+'дод 3'!F274</f>
        <v>259589309</v>
      </c>
      <c r="F19" s="49">
        <f>'дод 3'!G21+'дод 3'!G73+'дод 3'!G117+'дод 3'!G147+'дод 3'!G182+'дод 3'!G189+'дод 3'!G204+'дод 3'!G235+'дод 3'!G239+'дод 3'!G257+'дод 3'!G263+'дод 3'!G266+'дод 3'!G277+'дод 3'!G274</f>
        <v>197271700</v>
      </c>
      <c r="G19" s="49">
        <f>'дод 3'!H21+'дод 3'!H73+'дод 3'!H117+'дод 3'!H147+'дод 3'!H182+'дод 3'!H189+'дод 3'!H204+'дод 3'!H235+'дод 3'!H239+'дод 3'!H257+'дод 3'!H263+'дод 3'!H266+'дод 3'!H277+'дод 3'!H274</f>
        <v>4257209</v>
      </c>
      <c r="H19" s="49">
        <f>'дод 3'!I21+'дод 3'!I73+'дод 3'!I117+'дод 3'!I147+'дод 3'!I182+'дод 3'!I189+'дод 3'!I204+'дод 3'!I235+'дод 3'!I239+'дод 3'!I257+'дод 3'!I263+'дод 3'!I266+'дод 3'!I277+'дод 3'!I274</f>
        <v>0</v>
      </c>
      <c r="I19" s="49">
        <f>'дод 3'!J21+'дод 3'!J73+'дод 3'!J117+'дод 3'!J147+'дод 3'!J182+'дод 3'!J189+'дод 3'!J204+'дод 3'!J235+'дод 3'!J239+'дод 3'!J257+'дод 3'!J263+'дод 3'!J266+'дод 3'!J277+'дод 3'!J274</f>
        <v>2614000</v>
      </c>
      <c r="J19" s="49">
        <f>'дод 3'!K21+'дод 3'!K73+'дод 3'!K117+'дод 3'!K147+'дод 3'!K182+'дод 3'!K189+'дод 3'!K204+'дод 3'!K235+'дод 3'!K239+'дод 3'!K257+'дод 3'!K263+'дод 3'!K266+'дод 3'!K277+'дод 3'!K274</f>
        <v>714000</v>
      </c>
      <c r="K19" s="49">
        <f>'дод 3'!L21+'дод 3'!L73+'дод 3'!L117+'дод 3'!L147+'дод 3'!L182+'дод 3'!L189+'дод 3'!L204+'дод 3'!L235+'дод 3'!L239+'дод 3'!L257+'дод 3'!L263+'дод 3'!L266+'дод 3'!L277+'дод 3'!L274</f>
        <v>1900000</v>
      </c>
      <c r="L19" s="49">
        <f>'дод 3'!M21+'дод 3'!M73+'дод 3'!M117+'дод 3'!M147+'дод 3'!M182+'дод 3'!M189+'дод 3'!M204+'дод 3'!M235+'дод 3'!M239+'дод 3'!M257+'дод 3'!M263+'дод 3'!M266+'дод 3'!M277+'дод 3'!M274</f>
        <v>1332000</v>
      </c>
      <c r="M19" s="49">
        <f>'дод 3'!N21+'дод 3'!N73+'дод 3'!N117+'дод 3'!N147+'дод 3'!N182+'дод 3'!N189+'дод 3'!N204+'дод 3'!N235+'дод 3'!N239+'дод 3'!N257+'дод 3'!N263+'дод 3'!N266+'дод 3'!N277+'дод 3'!N274</f>
        <v>71500</v>
      </c>
      <c r="N19" s="49">
        <f>'дод 3'!O21+'дод 3'!O73+'дод 3'!O117+'дод 3'!O147+'дод 3'!O182+'дод 3'!O189+'дод 3'!O204+'дод 3'!O235+'дод 3'!O239+'дод 3'!O257+'дод 3'!O263+'дод 3'!O266+'дод 3'!O277+'дод 3'!O274</f>
        <v>714000</v>
      </c>
      <c r="O19" s="49">
        <f>'дод 3'!P21+'дод 3'!P73+'дод 3'!P117+'дод 3'!P147+'дод 3'!P182+'дод 3'!P189+'дод 3'!P204+'дод 3'!P235+'дод 3'!P239+'дод 3'!P257+'дод 3'!P263+'дод 3'!P266+'дод 3'!P277+'дод 3'!P274</f>
        <v>262203309</v>
      </c>
      <c r="P19" s="180"/>
    </row>
    <row r="20" spans="1:16" ht="33" customHeight="1" x14ac:dyDescent="0.25">
      <c r="A20" s="59" t="s">
        <v>92</v>
      </c>
      <c r="B20" s="59" t="s">
        <v>466</v>
      </c>
      <c r="C20" s="6" t="s">
        <v>457</v>
      </c>
      <c r="D20" s="49">
        <f>'дод 3'!E22</f>
        <v>200000</v>
      </c>
      <c r="E20" s="49">
        <f>'дод 3'!F22</f>
        <v>200000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200000</v>
      </c>
    </row>
    <row r="21" spans="1:16" ht="22.5" customHeight="1" x14ac:dyDescent="0.25">
      <c r="A21" s="37" t="s">
        <v>46</v>
      </c>
      <c r="B21" s="37" t="s">
        <v>95</v>
      </c>
      <c r="C21" s="6" t="s">
        <v>244</v>
      </c>
      <c r="D21" s="49">
        <f>'дод 3'!E23+'дод 3'!E148+'дод 3'!E205</f>
        <v>1435500</v>
      </c>
      <c r="E21" s="49">
        <f>'дод 3'!F23+'дод 3'!F148+'дод 3'!F205</f>
        <v>1435500</v>
      </c>
      <c r="F21" s="49">
        <f>'дод 3'!G23+'дод 3'!G148+'дод 3'!G205</f>
        <v>0</v>
      </c>
      <c r="G21" s="49">
        <f>'дод 3'!H23+'дод 3'!H148+'дод 3'!H205</f>
        <v>0</v>
      </c>
      <c r="H21" s="49">
        <f>'дод 3'!I23+'дод 3'!I148+'дод 3'!I205</f>
        <v>0</v>
      </c>
      <c r="I21" s="49">
        <f>'дод 3'!J23+'дод 3'!J148+'дод 3'!J205</f>
        <v>0</v>
      </c>
      <c r="J21" s="49">
        <f>'дод 3'!K23+'дод 3'!K148+'дод 3'!K205</f>
        <v>0</v>
      </c>
      <c r="K21" s="49">
        <f>'дод 3'!L23+'дод 3'!L148+'дод 3'!L205</f>
        <v>0</v>
      </c>
      <c r="L21" s="49">
        <f>'дод 3'!M23+'дод 3'!M148+'дод 3'!M205</f>
        <v>0</v>
      </c>
      <c r="M21" s="49">
        <f>'дод 3'!N23+'дод 3'!N148+'дод 3'!N205</f>
        <v>0</v>
      </c>
      <c r="N21" s="49">
        <f>'дод 3'!O23+'дод 3'!O148+'дод 3'!O205</f>
        <v>0</v>
      </c>
      <c r="O21" s="49">
        <f>'дод 3'!P23+'дод 3'!P148+'дод 3'!P205</f>
        <v>1435500</v>
      </c>
    </row>
    <row r="22" spans="1:16" ht="27" hidden="1" customHeight="1" x14ac:dyDescent="0.25">
      <c r="A22" s="59" t="s">
        <v>438</v>
      </c>
      <c r="B22" s="59" t="s">
        <v>121</v>
      </c>
      <c r="C22" s="6" t="s">
        <v>439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6" s="54" customFormat="1" ht="63" hidden="1" customHeight="1" x14ac:dyDescent="0.25">
      <c r="A23" s="82"/>
      <c r="B23" s="92"/>
      <c r="C23" s="83" t="s">
        <v>442</v>
      </c>
      <c r="D23" s="84">
        <f>'дод 3'!E25</f>
        <v>0</v>
      </c>
      <c r="E23" s="84">
        <f>'дод 3'!F25</f>
        <v>0</v>
      </c>
      <c r="F23" s="84">
        <f>'дод 3'!G25</f>
        <v>0</v>
      </c>
      <c r="G23" s="84">
        <f>'дод 3'!H25</f>
        <v>0</v>
      </c>
      <c r="H23" s="84">
        <f>'дод 3'!I25</f>
        <v>0</v>
      </c>
      <c r="I23" s="84">
        <f>'дод 3'!J25</f>
        <v>0</v>
      </c>
      <c r="J23" s="84">
        <f>'дод 3'!K25</f>
        <v>0</v>
      </c>
      <c r="K23" s="84">
        <f>'дод 3'!L25</f>
        <v>0</v>
      </c>
      <c r="L23" s="84">
        <f>'дод 3'!M25</f>
        <v>0</v>
      </c>
      <c r="M23" s="84">
        <f>'дод 3'!N25</f>
        <v>0</v>
      </c>
      <c r="N23" s="84">
        <f>'дод 3'!O25</f>
        <v>0</v>
      </c>
      <c r="O23" s="84">
        <f>'дод 3'!P25</f>
        <v>0</v>
      </c>
      <c r="P23" s="159"/>
    </row>
    <row r="24" spans="1:16" s="52" customFormat="1" ht="18.75" customHeight="1" x14ac:dyDescent="0.25">
      <c r="A24" s="38" t="s">
        <v>48</v>
      </c>
      <c r="B24" s="39"/>
      <c r="C24" s="9" t="s">
        <v>405</v>
      </c>
      <c r="D24" s="48">
        <f>D33+D35+D42+D44+D47+D49+D52+D54+D55+D56+D57+D58+D59+D61+D62+D64</f>
        <v>1106201190.23</v>
      </c>
      <c r="E24" s="48">
        <f t="shared" ref="E24:O24" si="2">E33+E35+E42+E44+E47+E49+E52+E54+E55+E56+E57+E58+E59+E61+E62+E64</f>
        <v>1106201190.23</v>
      </c>
      <c r="F24" s="48">
        <f t="shared" si="2"/>
        <v>810172830</v>
      </c>
      <c r="G24" s="48">
        <f t="shared" si="2"/>
        <v>57096650</v>
      </c>
      <c r="H24" s="48">
        <f t="shared" si="2"/>
        <v>0</v>
      </c>
      <c r="I24" s="48">
        <f t="shared" si="2"/>
        <v>46315434</v>
      </c>
      <c r="J24" s="48">
        <f t="shared" si="2"/>
        <v>6695834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6698964</v>
      </c>
      <c r="O24" s="48">
        <f t="shared" si="2"/>
        <v>1152516624.23</v>
      </c>
      <c r="P24" s="159"/>
    </row>
    <row r="25" spans="1:16" s="53" customFormat="1" ht="31.5" x14ac:dyDescent="0.25">
      <c r="A25" s="75"/>
      <c r="B25" s="78"/>
      <c r="C25" s="79" t="s">
        <v>391</v>
      </c>
      <c r="D25" s="80">
        <f>D45+D48</f>
        <v>482448000</v>
      </c>
      <c r="E25" s="80">
        <f t="shared" ref="E25:O25" si="3">E45+E48</f>
        <v>482448000</v>
      </c>
      <c r="F25" s="80">
        <f t="shared" si="3"/>
        <v>396066000</v>
      </c>
      <c r="G25" s="80">
        <f t="shared" si="3"/>
        <v>0</v>
      </c>
      <c r="H25" s="80">
        <f t="shared" si="3"/>
        <v>0</v>
      </c>
      <c r="I25" s="80">
        <f t="shared" si="3"/>
        <v>0</v>
      </c>
      <c r="J25" s="80">
        <f t="shared" si="3"/>
        <v>0</v>
      </c>
      <c r="K25" s="80">
        <f t="shared" si="3"/>
        <v>0</v>
      </c>
      <c r="L25" s="80">
        <f t="shared" si="3"/>
        <v>0</v>
      </c>
      <c r="M25" s="80">
        <f t="shared" si="3"/>
        <v>0</v>
      </c>
      <c r="N25" s="80">
        <f t="shared" si="3"/>
        <v>0</v>
      </c>
      <c r="O25" s="80">
        <f t="shared" si="3"/>
        <v>482448000</v>
      </c>
      <c r="P25" s="159"/>
    </row>
    <row r="26" spans="1:16" s="53" customFormat="1" ht="47.25" x14ac:dyDescent="0.25">
      <c r="A26" s="75"/>
      <c r="B26" s="78"/>
      <c r="C26" s="81" t="s">
        <v>567</v>
      </c>
      <c r="D26" s="80">
        <f>D50</f>
        <v>246000</v>
      </c>
      <c r="E26" s="80">
        <f t="shared" ref="E26:O26" si="4">E50</f>
        <v>246000</v>
      </c>
      <c r="F26" s="80">
        <f t="shared" si="4"/>
        <v>0</v>
      </c>
      <c r="G26" s="80">
        <f t="shared" si="4"/>
        <v>0</v>
      </c>
      <c r="H26" s="80">
        <f t="shared" si="4"/>
        <v>0</v>
      </c>
      <c r="I26" s="80">
        <f t="shared" si="4"/>
        <v>1754000</v>
      </c>
      <c r="J26" s="80">
        <f t="shared" si="4"/>
        <v>1754000</v>
      </c>
      <c r="K26" s="80">
        <f t="shared" si="4"/>
        <v>0</v>
      </c>
      <c r="L26" s="80">
        <f t="shared" si="4"/>
        <v>0</v>
      </c>
      <c r="M26" s="80">
        <f t="shared" si="4"/>
        <v>0</v>
      </c>
      <c r="N26" s="80">
        <f t="shared" si="4"/>
        <v>1754000</v>
      </c>
      <c r="O26" s="80">
        <f t="shared" si="4"/>
        <v>2000000</v>
      </c>
      <c r="P26" s="159"/>
    </row>
    <row r="27" spans="1:16" s="53" customFormat="1" ht="47.25" x14ac:dyDescent="0.25">
      <c r="A27" s="75"/>
      <c r="B27" s="78"/>
      <c r="C27" s="79" t="s">
        <v>386</v>
      </c>
      <c r="D27" s="80">
        <f>D46+D60</f>
        <v>3578416</v>
      </c>
      <c r="E27" s="80">
        <f t="shared" ref="E27:O27" si="5">E46+E60</f>
        <v>3578416</v>
      </c>
      <c r="F27" s="80">
        <f t="shared" si="5"/>
        <v>1228720</v>
      </c>
      <c r="G27" s="80">
        <f t="shared" si="5"/>
        <v>0</v>
      </c>
      <c r="H27" s="80">
        <f t="shared" si="5"/>
        <v>0</v>
      </c>
      <c r="I27" s="80">
        <f t="shared" si="5"/>
        <v>0</v>
      </c>
      <c r="J27" s="80">
        <f t="shared" si="5"/>
        <v>0</v>
      </c>
      <c r="K27" s="80">
        <f t="shared" si="5"/>
        <v>0</v>
      </c>
      <c r="L27" s="80">
        <f t="shared" si="5"/>
        <v>0</v>
      </c>
      <c r="M27" s="80">
        <f t="shared" si="5"/>
        <v>0</v>
      </c>
      <c r="N27" s="80">
        <f t="shared" si="5"/>
        <v>0</v>
      </c>
      <c r="O27" s="80">
        <f t="shared" si="5"/>
        <v>3578416</v>
      </c>
      <c r="P27" s="159"/>
    </row>
    <row r="28" spans="1:16" s="53" customFormat="1" ht="47.25" hidden="1" customHeight="1" x14ac:dyDescent="0.25">
      <c r="A28" s="75"/>
      <c r="B28" s="78"/>
      <c r="C28" s="79" t="s">
        <v>388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59"/>
    </row>
    <row r="29" spans="1:16" s="53" customFormat="1" ht="63" x14ac:dyDescent="0.25">
      <c r="A29" s="75"/>
      <c r="B29" s="78"/>
      <c r="C29" s="81" t="s">
        <v>385</v>
      </c>
      <c r="D29" s="80">
        <f>D63</f>
        <v>2586117</v>
      </c>
      <c r="E29" s="80">
        <f t="shared" ref="E29:O29" si="6">E63</f>
        <v>2586117</v>
      </c>
      <c r="F29" s="80">
        <f t="shared" si="6"/>
        <v>1459720</v>
      </c>
      <c r="G29" s="80">
        <f t="shared" si="6"/>
        <v>0</v>
      </c>
      <c r="H29" s="80">
        <f t="shared" si="6"/>
        <v>0</v>
      </c>
      <c r="I29" s="80">
        <f t="shared" si="6"/>
        <v>98583</v>
      </c>
      <c r="J29" s="80">
        <f t="shared" si="6"/>
        <v>98583</v>
      </c>
      <c r="K29" s="80">
        <f t="shared" si="6"/>
        <v>0</v>
      </c>
      <c r="L29" s="80">
        <f t="shared" si="6"/>
        <v>0</v>
      </c>
      <c r="M29" s="80">
        <f t="shared" si="6"/>
        <v>0</v>
      </c>
      <c r="N29" s="80">
        <f t="shared" si="6"/>
        <v>98583</v>
      </c>
      <c r="O29" s="80">
        <f t="shared" si="6"/>
        <v>2684700</v>
      </c>
      <c r="P29" s="159"/>
    </row>
    <row r="30" spans="1:16" s="53" customFormat="1" ht="63" hidden="1" customHeight="1" x14ac:dyDescent="0.25">
      <c r="A30" s="75"/>
      <c r="B30" s="78"/>
      <c r="C30" s="79" t="s">
        <v>387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59"/>
    </row>
    <row r="31" spans="1:16" s="53" customFormat="1" ht="63" x14ac:dyDescent="0.25">
      <c r="A31" s="75"/>
      <c r="B31" s="75"/>
      <c r="C31" s="81" t="s">
        <v>545</v>
      </c>
      <c r="D31" s="80">
        <f>D65</f>
        <v>1174231</v>
      </c>
      <c r="E31" s="80">
        <f t="shared" ref="E31:O31" si="7">E65</f>
        <v>1174231</v>
      </c>
      <c r="F31" s="80">
        <f t="shared" si="7"/>
        <v>962484</v>
      </c>
      <c r="G31" s="80">
        <f t="shared" si="7"/>
        <v>0</v>
      </c>
      <c r="H31" s="80">
        <f t="shared" si="7"/>
        <v>0</v>
      </c>
      <c r="I31" s="80">
        <f t="shared" si="7"/>
        <v>0</v>
      </c>
      <c r="J31" s="80">
        <f t="shared" si="7"/>
        <v>0</v>
      </c>
      <c r="K31" s="80">
        <f t="shared" si="7"/>
        <v>0</v>
      </c>
      <c r="L31" s="80">
        <f t="shared" si="7"/>
        <v>0</v>
      </c>
      <c r="M31" s="80">
        <f t="shared" si="7"/>
        <v>0</v>
      </c>
      <c r="N31" s="80">
        <f t="shared" si="7"/>
        <v>0</v>
      </c>
      <c r="O31" s="80">
        <f t="shared" si="7"/>
        <v>1174231</v>
      </c>
      <c r="P31" s="159"/>
    </row>
    <row r="32" spans="1:16" s="53" customFormat="1" ht="31.5" x14ac:dyDescent="0.25">
      <c r="A32" s="75"/>
      <c r="B32" s="75"/>
      <c r="C32" s="81" t="s">
        <v>564</v>
      </c>
      <c r="D32" s="80">
        <f>D51+D53</f>
        <v>704981.6</v>
      </c>
      <c r="E32" s="80">
        <f t="shared" ref="E32:O32" si="8">E51+E53</f>
        <v>704981.6</v>
      </c>
      <c r="F32" s="80">
        <f t="shared" si="8"/>
        <v>0</v>
      </c>
      <c r="G32" s="80">
        <f t="shared" si="8"/>
        <v>0</v>
      </c>
      <c r="H32" s="80">
        <f t="shared" si="8"/>
        <v>0</v>
      </c>
      <c r="I32" s="80">
        <f t="shared" si="8"/>
        <v>3630851</v>
      </c>
      <c r="J32" s="80">
        <f t="shared" si="8"/>
        <v>3630851</v>
      </c>
      <c r="K32" s="80">
        <f t="shared" si="8"/>
        <v>0</v>
      </c>
      <c r="L32" s="80">
        <f t="shared" si="8"/>
        <v>0</v>
      </c>
      <c r="M32" s="80">
        <f t="shared" si="8"/>
        <v>0</v>
      </c>
      <c r="N32" s="80">
        <f t="shared" si="8"/>
        <v>3630851</v>
      </c>
      <c r="O32" s="80">
        <f t="shared" si="8"/>
        <v>4335832.5999999996</v>
      </c>
      <c r="P32" s="159"/>
    </row>
    <row r="33" spans="1:16" ht="17.25" customHeight="1" x14ac:dyDescent="0.25">
      <c r="A33" s="37" t="s">
        <v>49</v>
      </c>
      <c r="B33" s="37" t="s">
        <v>50</v>
      </c>
      <c r="C33" s="6" t="s">
        <v>513</v>
      </c>
      <c r="D33" s="49">
        <f>'дод 3'!E74</f>
        <v>291901844.63</v>
      </c>
      <c r="E33" s="49">
        <f>'дод 3'!F74</f>
        <v>291901844.63</v>
      </c>
      <c r="F33" s="49">
        <f>'дод 3'!G74</f>
        <v>205054200</v>
      </c>
      <c r="G33" s="49">
        <f>'дод 3'!H74</f>
        <v>21914800</v>
      </c>
      <c r="H33" s="49">
        <f>'дод 3'!I74</f>
        <v>0</v>
      </c>
      <c r="I33" s="49">
        <f>'дод 3'!J74</f>
        <v>12254200</v>
      </c>
      <c r="J33" s="49">
        <f>'дод 3'!K74</f>
        <v>494500</v>
      </c>
      <c r="K33" s="49">
        <f>'дод 3'!L74</f>
        <v>11759700</v>
      </c>
      <c r="L33" s="49">
        <f>'дод 3'!M74</f>
        <v>0</v>
      </c>
      <c r="M33" s="49">
        <f>'дод 3'!N74</f>
        <v>0</v>
      </c>
      <c r="N33" s="49">
        <f>'дод 3'!O74</f>
        <v>494500</v>
      </c>
      <c r="O33" s="49">
        <f>'дод 3'!P74</f>
        <v>304156044.63</v>
      </c>
    </row>
    <row r="34" spans="1:16" s="54" customFormat="1" ht="47.25" hidden="1" customHeight="1" x14ac:dyDescent="0.25">
      <c r="A34" s="82"/>
      <c r="B34" s="82"/>
      <c r="C34" s="83" t="s">
        <v>385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159"/>
    </row>
    <row r="35" spans="1:16" ht="38.25" customHeight="1" x14ac:dyDescent="0.25">
      <c r="A35" s="37">
        <v>1021</v>
      </c>
      <c r="B35" s="37" t="s">
        <v>52</v>
      </c>
      <c r="C35" s="61" t="s">
        <v>481</v>
      </c>
      <c r="D35" s="49">
        <f>'дод 3'!E75</f>
        <v>209985250</v>
      </c>
      <c r="E35" s="49">
        <f>'дод 3'!F75</f>
        <v>209985250</v>
      </c>
      <c r="F35" s="49">
        <f>'дод 3'!G75</f>
        <v>119662706</v>
      </c>
      <c r="G35" s="49">
        <f>'дод 3'!H75</f>
        <v>30342200</v>
      </c>
      <c r="H35" s="49">
        <f>'дод 3'!I75</f>
        <v>0</v>
      </c>
      <c r="I35" s="49">
        <f>'дод 3'!J75</f>
        <v>25506200</v>
      </c>
      <c r="J35" s="49">
        <f>'дод 3'!K75</f>
        <v>375400</v>
      </c>
      <c r="K35" s="49">
        <f>'дод 3'!L75</f>
        <v>25130800</v>
      </c>
      <c r="L35" s="49">
        <f>'дод 3'!M75</f>
        <v>2268060</v>
      </c>
      <c r="M35" s="49">
        <f>'дод 3'!N75</f>
        <v>139890</v>
      </c>
      <c r="N35" s="49">
        <f>'дод 3'!O75</f>
        <v>375400</v>
      </c>
      <c r="O35" s="49">
        <f>'дод 3'!P75</f>
        <v>235491450</v>
      </c>
    </row>
    <row r="36" spans="1:16" s="54" customFormat="1" ht="63" hidden="1" customHeight="1" x14ac:dyDescent="0.25">
      <c r="A36" s="82"/>
      <c r="B36" s="82"/>
      <c r="C36" s="83" t="s">
        <v>389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159"/>
    </row>
    <row r="37" spans="1:16" s="54" customFormat="1" ht="47.25" hidden="1" customHeight="1" x14ac:dyDescent="0.25">
      <c r="A37" s="82"/>
      <c r="B37" s="82"/>
      <c r="C37" s="83" t="s">
        <v>386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159"/>
    </row>
    <row r="38" spans="1:16" s="54" customFormat="1" ht="47.25" hidden="1" customHeight="1" x14ac:dyDescent="0.25">
      <c r="A38" s="82"/>
      <c r="B38" s="82"/>
      <c r="C38" s="83" t="s">
        <v>388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159"/>
    </row>
    <row r="39" spans="1:16" s="54" customFormat="1" ht="47.25" hidden="1" customHeight="1" x14ac:dyDescent="0.25">
      <c r="A39" s="82"/>
      <c r="B39" s="82"/>
      <c r="C39" s="83" t="s">
        <v>385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159"/>
    </row>
    <row r="40" spans="1:16" s="54" customFormat="1" ht="31.5" hidden="1" customHeight="1" x14ac:dyDescent="0.25">
      <c r="A40" s="82"/>
      <c r="B40" s="82"/>
      <c r="C40" s="83" t="s">
        <v>391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159"/>
    </row>
    <row r="41" spans="1:16" s="54" customFormat="1" ht="63" hidden="1" customHeight="1" x14ac:dyDescent="0.25">
      <c r="A41" s="82"/>
      <c r="B41" s="82"/>
      <c r="C41" s="83" t="s">
        <v>387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159"/>
    </row>
    <row r="42" spans="1:16" ht="59.25" customHeight="1" x14ac:dyDescent="0.25">
      <c r="A42" s="37">
        <v>1022</v>
      </c>
      <c r="B42" s="60" t="s">
        <v>56</v>
      </c>
      <c r="C42" s="36" t="s">
        <v>483</v>
      </c>
      <c r="D42" s="49">
        <f>'дод 3'!E76</f>
        <v>13959400</v>
      </c>
      <c r="E42" s="49">
        <f>'дод 3'!F76</f>
        <v>13959400</v>
      </c>
      <c r="F42" s="49">
        <f>'дод 3'!G76</f>
        <v>8830500</v>
      </c>
      <c r="G42" s="49">
        <f>'дод 3'!H76</f>
        <v>1210000</v>
      </c>
      <c r="H42" s="49">
        <f>'дод 3'!I76</f>
        <v>0</v>
      </c>
      <c r="I42" s="49">
        <f>'дод 3'!J76</f>
        <v>180000</v>
      </c>
      <c r="J42" s="49">
        <f>'дод 3'!K76</f>
        <v>180000</v>
      </c>
      <c r="K42" s="49">
        <f>'дод 3'!L76</f>
        <v>0</v>
      </c>
      <c r="L42" s="49">
        <f>'дод 3'!M76</f>
        <v>0</v>
      </c>
      <c r="M42" s="49">
        <f>'дод 3'!N76</f>
        <v>0</v>
      </c>
      <c r="N42" s="49">
        <f>'дод 3'!O76</f>
        <v>180000</v>
      </c>
      <c r="O42" s="49">
        <f>'дод 3'!P76</f>
        <v>14139400</v>
      </c>
    </row>
    <row r="43" spans="1:16" ht="63" hidden="1" customHeight="1" x14ac:dyDescent="0.25">
      <c r="A43" s="37"/>
      <c r="B43" s="37"/>
      <c r="C43" s="83" t="s">
        <v>389</v>
      </c>
      <c r="D43" s="49" t="e">
        <f>'дод 3'!#REF!</f>
        <v>#REF!</v>
      </c>
      <c r="E43" s="49" t="e">
        <f>'дод 3'!#REF!</f>
        <v>#REF!</v>
      </c>
      <c r="F43" s="49" t="e">
        <f>'дод 3'!#REF!</f>
        <v>#REF!</v>
      </c>
      <c r="G43" s="49" t="e">
        <f>'дод 3'!#REF!</f>
        <v>#REF!</v>
      </c>
      <c r="H43" s="49" t="e">
        <f>'дод 3'!#REF!</f>
        <v>#REF!</v>
      </c>
      <c r="I43" s="49" t="e">
        <f>'дод 3'!#REF!</f>
        <v>#REF!</v>
      </c>
      <c r="J43" s="49" t="e">
        <f>'дод 3'!#REF!</f>
        <v>#REF!</v>
      </c>
      <c r="K43" s="49" t="e">
        <f>'дод 3'!#REF!</f>
        <v>#REF!</v>
      </c>
      <c r="L43" s="49" t="e">
        <f>'дод 3'!#REF!</f>
        <v>#REF!</v>
      </c>
      <c r="M43" s="49" t="e">
        <f>'дод 3'!#REF!</f>
        <v>#REF!</v>
      </c>
      <c r="N43" s="49" t="e">
        <f>'дод 3'!#REF!</f>
        <v>#REF!</v>
      </c>
      <c r="O43" s="49" t="e">
        <f>'дод 3'!#REF!</f>
        <v>#REF!</v>
      </c>
    </row>
    <row r="44" spans="1:16" s="54" customFormat="1" ht="35.25" customHeight="1" x14ac:dyDescent="0.25">
      <c r="A44" s="97">
        <v>1031</v>
      </c>
      <c r="B44" s="60" t="s">
        <v>52</v>
      </c>
      <c r="C44" s="61" t="s">
        <v>514</v>
      </c>
      <c r="D44" s="49">
        <f>'дод 3'!E77</f>
        <v>468962880</v>
      </c>
      <c r="E44" s="49">
        <f>'дод 3'!F77</f>
        <v>468962880</v>
      </c>
      <c r="F44" s="49">
        <f>'дод 3'!G77</f>
        <v>383296900</v>
      </c>
      <c r="G44" s="49">
        <f>'дод 3'!H77</f>
        <v>0</v>
      </c>
      <c r="H44" s="49">
        <f>'дод 3'!I77</f>
        <v>0</v>
      </c>
      <c r="I44" s="49">
        <f>'дод 3'!J77</f>
        <v>0</v>
      </c>
      <c r="J44" s="49">
        <f>'дод 3'!K77</f>
        <v>0</v>
      </c>
      <c r="K44" s="49">
        <f>'дод 3'!L77</f>
        <v>0</v>
      </c>
      <c r="L44" s="49">
        <f>'дод 3'!M77</f>
        <v>0</v>
      </c>
      <c r="M44" s="49">
        <f>'дод 3'!N77</f>
        <v>0</v>
      </c>
      <c r="N44" s="49">
        <f>'дод 3'!O77</f>
        <v>0</v>
      </c>
      <c r="O44" s="49">
        <f>'дод 3'!P77</f>
        <v>468962880</v>
      </c>
      <c r="P44" s="180">
        <v>107</v>
      </c>
    </row>
    <row r="45" spans="1:16" s="54" customFormat="1" ht="31.5" x14ac:dyDescent="0.25">
      <c r="A45" s="82"/>
      <c r="B45" s="82"/>
      <c r="C45" s="91" t="s">
        <v>391</v>
      </c>
      <c r="D45" s="84">
        <f>'дод 3'!E78</f>
        <v>466883500</v>
      </c>
      <c r="E45" s="84">
        <f>'дод 3'!F78</f>
        <v>466883500</v>
      </c>
      <c r="F45" s="84">
        <f>'дод 3'!G78</f>
        <v>383296900</v>
      </c>
      <c r="G45" s="84">
        <f>'дод 3'!H78</f>
        <v>0</v>
      </c>
      <c r="H45" s="84">
        <f>'дод 3'!I78</f>
        <v>0</v>
      </c>
      <c r="I45" s="84">
        <f>'дод 3'!J78</f>
        <v>0</v>
      </c>
      <c r="J45" s="84">
        <f>'дод 3'!K78</f>
        <v>0</v>
      </c>
      <c r="K45" s="84">
        <f>'дод 3'!L78</f>
        <v>0</v>
      </c>
      <c r="L45" s="84">
        <f>'дод 3'!M78</f>
        <v>0</v>
      </c>
      <c r="M45" s="84">
        <f>'дод 3'!N78</f>
        <v>0</v>
      </c>
      <c r="N45" s="84">
        <f>'дод 3'!O78</f>
        <v>0</v>
      </c>
      <c r="O45" s="84">
        <f>'дод 3'!P78</f>
        <v>466883500</v>
      </c>
      <c r="P45" s="180"/>
    </row>
    <row r="46" spans="1:16" ht="50.25" customHeight="1" x14ac:dyDescent="0.25">
      <c r="A46" s="37"/>
      <c r="B46" s="37"/>
      <c r="C46" s="91" t="s">
        <v>386</v>
      </c>
      <c r="D46" s="84">
        <f>'дод 3'!E79</f>
        <v>2079380</v>
      </c>
      <c r="E46" s="84">
        <f>'дод 3'!F79</f>
        <v>2079380</v>
      </c>
      <c r="F46" s="84">
        <f>'дод 3'!G79</f>
        <v>0</v>
      </c>
      <c r="G46" s="84">
        <f>'дод 3'!H79</f>
        <v>0</v>
      </c>
      <c r="H46" s="84">
        <f>'дод 3'!I79</f>
        <v>0</v>
      </c>
      <c r="I46" s="84">
        <f>'дод 3'!J79</f>
        <v>0</v>
      </c>
      <c r="J46" s="84">
        <f>'дод 3'!K79</f>
        <v>0</v>
      </c>
      <c r="K46" s="84">
        <f>'дод 3'!L79</f>
        <v>0</v>
      </c>
      <c r="L46" s="84">
        <f>'дод 3'!M79</f>
        <v>0</v>
      </c>
      <c r="M46" s="84">
        <f>'дод 3'!N79</f>
        <v>0</v>
      </c>
      <c r="N46" s="84">
        <f>'дод 3'!O79</f>
        <v>0</v>
      </c>
      <c r="O46" s="84">
        <f>'дод 3'!P79</f>
        <v>2079380</v>
      </c>
      <c r="P46" s="180"/>
    </row>
    <row r="47" spans="1:16" ht="63.75" customHeight="1" x14ac:dyDescent="0.25">
      <c r="A47" s="60" t="s">
        <v>486</v>
      </c>
      <c r="B47" s="60" t="s">
        <v>56</v>
      </c>
      <c r="C47" s="61" t="s">
        <v>515</v>
      </c>
      <c r="D47" s="49">
        <f>'дод 3'!E80</f>
        <v>15564500</v>
      </c>
      <c r="E47" s="49">
        <f>'дод 3'!F80</f>
        <v>15564500</v>
      </c>
      <c r="F47" s="49">
        <f>'дод 3'!G80</f>
        <v>12769100</v>
      </c>
      <c r="G47" s="49">
        <f>'дод 3'!H80</f>
        <v>0</v>
      </c>
      <c r="H47" s="49">
        <f>'дод 3'!I80</f>
        <v>0</v>
      </c>
      <c r="I47" s="49">
        <f>'дод 3'!J80</f>
        <v>0</v>
      </c>
      <c r="J47" s="49">
        <f>'дод 3'!K80</f>
        <v>0</v>
      </c>
      <c r="K47" s="49">
        <f>'дод 3'!L80</f>
        <v>0</v>
      </c>
      <c r="L47" s="49">
        <f>'дод 3'!M80</f>
        <v>0</v>
      </c>
      <c r="M47" s="49">
        <f>'дод 3'!N80</f>
        <v>0</v>
      </c>
      <c r="N47" s="49">
        <f>'дод 3'!O80</f>
        <v>0</v>
      </c>
      <c r="O47" s="49">
        <f>'дод 3'!P80</f>
        <v>15564500</v>
      </c>
      <c r="P47" s="180"/>
    </row>
    <row r="48" spans="1:16" ht="31.5" x14ac:dyDescent="0.25">
      <c r="A48" s="37"/>
      <c r="B48" s="37"/>
      <c r="C48" s="91" t="s">
        <v>391</v>
      </c>
      <c r="D48" s="84">
        <f>'дод 3'!E81</f>
        <v>15564500</v>
      </c>
      <c r="E48" s="84">
        <f>'дод 3'!F81</f>
        <v>15564500</v>
      </c>
      <c r="F48" s="84">
        <f>'дод 3'!G81</f>
        <v>12769100</v>
      </c>
      <c r="G48" s="84">
        <f>'дод 3'!H81</f>
        <v>0</v>
      </c>
      <c r="H48" s="84">
        <f>'дод 3'!I81</f>
        <v>0</v>
      </c>
      <c r="I48" s="84">
        <f>'дод 3'!J81</f>
        <v>0</v>
      </c>
      <c r="J48" s="84">
        <f>'дод 3'!K81</f>
        <v>0</v>
      </c>
      <c r="K48" s="84">
        <f>'дод 3'!L81</f>
        <v>0</v>
      </c>
      <c r="L48" s="84">
        <f>'дод 3'!M81</f>
        <v>0</v>
      </c>
      <c r="M48" s="84">
        <f>'дод 3'!N81</f>
        <v>0</v>
      </c>
      <c r="N48" s="84">
        <f>'дод 3'!O81</f>
        <v>0</v>
      </c>
      <c r="O48" s="84">
        <f>'дод 3'!P81</f>
        <v>15564500</v>
      </c>
      <c r="P48" s="180"/>
    </row>
    <row r="49" spans="1:16" ht="31.5" x14ac:dyDescent="0.25">
      <c r="A49" s="37">
        <v>1061</v>
      </c>
      <c r="B49" s="60" t="s">
        <v>52</v>
      </c>
      <c r="C49" s="36" t="s">
        <v>554</v>
      </c>
      <c r="D49" s="49">
        <f>'дод 3'!E82</f>
        <v>910981.6</v>
      </c>
      <c r="E49" s="49">
        <f>'дод 3'!F82</f>
        <v>910981.6</v>
      </c>
      <c r="F49" s="49">
        <f>'дод 3'!G82</f>
        <v>0</v>
      </c>
      <c r="G49" s="49">
        <f>'дод 3'!H82</f>
        <v>0</v>
      </c>
      <c r="H49" s="49">
        <f>'дод 3'!I82</f>
        <v>0</v>
      </c>
      <c r="I49" s="49">
        <f>'дод 3'!J82</f>
        <v>5384851</v>
      </c>
      <c r="J49" s="49">
        <f>'дод 3'!K82</f>
        <v>5384851</v>
      </c>
      <c r="K49" s="49">
        <f>'дод 3'!L82</f>
        <v>0</v>
      </c>
      <c r="L49" s="49">
        <f>'дод 3'!M82</f>
        <v>0</v>
      </c>
      <c r="M49" s="49">
        <f>'дод 3'!N82</f>
        <v>0</v>
      </c>
      <c r="N49" s="49">
        <f>'дод 3'!O82</f>
        <v>5384851</v>
      </c>
      <c r="O49" s="49">
        <f>'дод 3'!P82</f>
        <v>6295832.5999999996</v>
      </c>
      <c r="P49" s="180"/>
    </row>
    <row r="50" spans="1:16" ht="48.75" customHeight="1" x14ac:dyDescent="0.25">
      <c r="A50" s="37"/>
      <c r="B50" s="60"/>
      <c r="C50" s="91" t="s">
        <v>567</v>
      </c>
      <c r="D50" s="84">
        <f>'дод 3'!E83</f>
        <v>246000</v>
      </c>
      <c r="E50" s="84">
        <f>'дод 3'!F83</f>
        <v>246000</v>
      </c>
      <c r="F50" s="84">
        <f>'дод 3'!G83</f>
        <v>0</v>
      </c>
      <c r="G50" s="84">
        <f>'дод 3'!H83</f>
        <v>0</v>
      </c>
      <c r="H50" s="84">
        <f>'дод 3'!I83</f>
        <v>0</v>
      </c>
      <c r="I50" s="84">
        <f>'дод 3'!J83</f>
        <v>1754000</v>
      </c>
      <c r="J50" s="84">
        <f>'дод 3'!K83</f>
        <v>1754000</v>
      </c>
      <c r="K50" s="84">
        <f>'дод 3'!L83</f>
        <v>0</v>
      </c>
      <c r="L50" s="84">
        <f>'дод 3'!M83</f>
        <v>0</v>
      </c>
      <c r="M50" s="84">
        <f>'дод 3'!N83</f>
        <v>0</v>
      </c>
      <c r="N50" s="84">
        <f>'дод 3'!O83</f>
        <v>1754000</v>
      </c>
      <c r="O50" s="84">
        <f>'дод 3'!P83</f>
        <v>2000000</v>
      </c>
      <c r="P50" s="180"/>
    </row>
    <row r="51" spans="1:16" s="54" customFormat="1" ht="32.25" customHeight="1" x14ac:dyDescent="0.25">
      <c r="A51" s="82"/>
      <c r="B51" s="88"/>
      <c r="C51" s="91" t="s">
        <v>564</v>
      </c>
      <c r="D51" s="84">
        <f>'дод 3'!E84</f>
        <v>664981.6</v>
      </c>
      <c r="E51" s="84">
        <f>'дод 3'!F84</f>
        <v>664981.6</v>
      </c>
      <c r="F51" s="84">
        <f>'дод 3'!G84</f>
        <v>0</v>
      </c>
      <c r="G51" s="84">
        <f>'дод 3'!H84</f>
        <v>0</v>
      </c>
      <c r="H51" s="84">
        <f>'дод 3'!I84</f>
        <v>0</v>
      </c>
      <c r="I51" s="84">
        <f>'дод 3'!J84</f>
        <v>3630851</v>
      </c>
      <c r="J51" s="84">
        <f>'дод 3'!K84</f>
        <v>3630851</v>
      </c>
      <c r="K51" s="84">
        <f>'дод 3'!L84</f>
        <v>0</v>
      </c>
      <c r="L51" s="84">
        <f>'дод 3'!M84</f>
        <v>0</v>
      </c>
      <c r="M51" s="84">
        <f>'дод 3'!N84</f>
        <v>0</v>
      </c>
      <c r="N51" s="84">
        <f>'дод 3'!O84</f>
        <v>3630851</v>
      </c>
      <c r="O51" s="84">
        <f>'дод 3'!P84</f>
        <v>4295832.5999999996</v>
      </c>
      <c r="P51" s="180"/>
    </row>
    <row r="52" spans="1:16" s="54" customFormat="1" ht="63" x14ac:dyDescent="0.25">
      <c r="A52" s="37">
        <v>1062</v>
      </c>
      <c r="B52" s="60" t="s">
        <v>56</v>
      </c>
      <c r="C52" s="61" t="s">
        <v>515</v>
      </c>
      <c r="D52" s="49">
        <f>'дод 3'!E85</f>
        <v>40000</v>
      </c>
      <c r="E52" s="49">
        <f>'дод 3'!F85</f>
        <v>40000</v>
      </c>
      <c r="F52" s="49">
        <f>'дод 3'!G85</f>
        <v>0</v>
      </c>
      <c r="G52" s="49">
        <f>'дод 3'!H85</f>
        <v>0</v>
      </c>
      <c r="H52" s="49">
        <f>'дод 3'!I85</f>
        <v>0</v>
      </c>
      <c r="I52" s="49">
        <f>'дод 3'!J85</f>
        <v>0</v>
      </c>
      <c r="J52" s="49">
        <f>'дод 3'!K85</f>
        <v>0</v>
      </c>
      <c r="K52" s="49">
        <f>'дод 3'!L85</f>
        <v>0</v>
      </c>
      <c r="L52" s="49">
        <f>'дод 3'!M85</f>
        <v>0</v>
      </c>
      <c r="M52" s="49">
        <f>'дод 3'!N85</f>
        <v>0</v>
      </c>
      <c r="N52" s="49">
        <f>'дод 3'!O85</f>
        <v>0</v>
      </c>
      <c r="O52" s="49">
        <f>'дод 3'!P85</f>
        <v>40000</v>
      </c>
      <c r="P52" s="180"/>
    </row>
    <row r="53" spans="1:16" s="54" customFormat="1" ht="32.25" customHeight="1" x14ac:dyDescent="0.25">
      <c r="A53" s="82"/>
      <c r="B53" s="88"/>
      <c r="C53" s="91" t="s">
        <v>564</v>
      </c>
      <c r="D53" s="84">
        <f>'дод 3'!E86</f>
        <v>40000</v>
      </c>
      <c r="E53" s="84">
        <f>'дод 3'!F86</f>
        <v>40000</v>
      </c>
      <c r="F53" s="84">
        <f>'дод 3'!G86</f>
        <v>0</v>
      </c>
      <c r="G53" s="84">
        <f>'дод 3'!H86</f>
        <v>0</v>
      </c>
      <c r="H53" s="84">
        <f>'дод 3'!I86</f>
        <v>0</v>
      </c>
      <c r="I53" s="84">
        <f>'дод 3'!J86</f>
        <v>0</v>
      </c>
      <c r="J53" s="84">
        <f>'дод 3'!K86</f>
        <v>0</v>
      </c>
      <c r="K53" s="84">
        <f>'дод 3'!L86</f>
        <v>0</v>
      </c>
      <c r="L53" s="84">
        <f>'дод 3'!M86</f>
        <v>0</v>
      </c>
      <c r="M53" s="84">
        <f>'дод 3'!N86</f>
        <v>0</v>
      </c>
      <c r="N53" s="84">
        <f>'дод 3'!O86</f>
        <v>0</v>
      </c>
      <c r="O53" s="84">
        <f>'дод 3'!P86</f>
        <v>40000</v>
      </c>
      <c r="P53" s="180"/>
    </row>
    <row r="54" spans="1:16" s="54" customFormat="1" ht="38.25" customHeight="1" x14ac:dyDescent="0.25">
      <c r="A54" s="60" t="s">
        <v>55</v>
      </c>
      <c r="B54" s="60" t="s">
        <v>58</v>
      </c>
      <c r="C54" s="61" t="s">
        <v>367</v>
      </c>
      <c r="D54" s="49">
        <f>'дод 3'!E87</f>
        <v>34592700</v>
      </c>
      <c r="E54" s="49">
        <f>'дод 3'!F87</f>
        <v>34592700</v>
      </c>
      <c r="F54" s="49">
        <f>'дод 3'!G87</f>
        <v>25836800</v>
      </c>
      <c r="G54" s="49">
        <f>'дод 3'!H87</f>
        <v>2353200</v>
      </c>
      <c r="H54" s="49">
        <f>'дод 3'!I87</f>
        <v>0</v>
      </c>
      <c r="I54" s="49">
        <f>'дод 3'!J87</f>
        <v>112500</v>
      </c>
      <c r="J54" s="49">
        <f>'дод 3'!K87</f>
        <v>112500</v>
      </c>
      <c r="K54" s="49">
        <f>'дод 3'!L87</f>
        <v>0</v>
      </c>
      <c r="L54" s="49">
        <f>'дод 3'!M87</f>
        <v>0</v>
      </c>
      <c r="M54" s="49">
        <f>'дод 3'!N87</f>
        <v>0</v>
      </c>
      <c r="N54" s="49">
        <f>'дод 3'!O87</f>
        <v>112500</v>
      </c>
      <c r="O54" s="49">
        <f>'дод 3'!P87</f>
        <v>34705200</v>
      </c>
      <c r="P54" s="180"/>
    </row>
    <row r="55" spans="1:16" s="54" customFormat="1" ht="16.5" customHeight="1" x14ac:dyDescent="0.25">
      <c r="A55" s="97">
        <v>1080</v>
      </c>
      <c r="B55" s="60" t="s">
        <v>58</v>
      </c>
      <c r="C55" s="61" t="s">
        <v>520</v>
      </c>
      <c r="D55" s="49">
        <f>'дод 3'!E190</f>
        <v>50737500</v>
      </c>
      <c r="E55" s="49">
        <f>'дод 3'!F190</f>
        <v>50737500</v>
      </c>
      <c r="F55" s="49">
        <f>'дод 3'!G190</f>
        <v>40594000</v>
      </c>
      <c r="G55" s="49">
        <f>'дод 3'!H190</f>
        <v>612300</v>
      </c>
      <c r="H55" s="49">
        <f>'дод 3'!I190</f>
        <v>0</v>
      </c>
      <c r="I55" s="49">
        <f>'дод 3'!J190</f>
        <v>2729100</v>
      </c>
      <c r="J55" s="49">
        <f>'дод 3'!K190</f>
        <v>0</v>
      </c>
      <c r="K55" s="49">
        <f>'дод 3'!L190</f>
        <v>2725970</v>
      </c>
      <c r="L55" s="49">
        <f>'дод 3'!M190</f>
        <v>2226904</v>
      </c>
      <c r="M55" s="49">
        <f>'дод 3'!N190</f>
        <v>0</v>
      </c>
      <c r="N55" s="49">
        <f>'дод 3'!O190</f>
        <v>3130</v>
      </c>
      <c r="O55" s="49">
        <f>'дод 3'!P190</f>
        <v>53466600</v>
      </c>
      <c r="P55" s="180"/>
    </row>
    <row r="56" spans="1:16" s="54" customFormat="1" ht="21" customHeight="1" x14ac:dyDescent="0.25">
      <c r="A56" s="60" t="s">
        <v>489</v>
      </c>
      <c r="B56" s="60" t="s">
        <v>59</v>
      </c>
      <c r="C56" s="36" t="s">
        <v>521</v>
      </c>
      <c r="D56" s="49">
        <f>'дод 3'!E88</f>
        <v>11329130</v>
      </c>
      <c r="E56" s="49">
        <f>'дод 3'!F88</f>
        <v>11329130</v>
      </c>
      <c r="F56" s="49">
        <f>'дод 3'!G88</f>
        <v>8331500</v>
      </c>
      <c r="G56" s="49">
        <f>'дод 3'!H88</f>
        <v>527130</v>
      </c>
      <c r="H56" s="49">
        <f>'дод 3'!I88</f>
        <v>0</v>
      </c>
      <c r="I56" s="49">
        <f>'дод 3'!J88</f>
        <v>0</v>
      </c>
      <c r="J56" s="49">
        <f>'дод 3'!K88</f>
        <v>0</v>
      </c>
      <c r="K56" s="49">
        <f>'дод 3'!L88</f>
        <v>0</v>
      </c>
      <c r="L56" s="49">
        <f>'дод 3'!M88</f>
        <v>0</v>
      </c>
      <c r="M56" s="49">
        <f>'дод 3'!N88</f>
        <v>0</v>
      </c>
      <c r="N56" s="49">
        <f>'дод 3'!O88</f>
        <v>0</v>
      </c>
      <c r="O56" s="49">
        <f>'дод 3'!P88</f>
        <v>11329130</v>
      </c>
      <c r="P56" s="180"/>
    </row>
    <row r="57" spans="1:16" x14ac:dyDescent="0.25">
      <c r="A57" s="60" t="s">
        <v>491</v>
      </c>
      <c r="B57" s="60" t="s">
        <v>59</v>
      </c>
      <c r="C57" s="36" t="s">
        <v>283</v>
      </c>
      <c r="D57" s="49">
        <f>'дод 3'!E89</f>
        <v>113000</v>
      </c>
      <c r="E57" s="49">
        <f>'дод 3'!F89</f>
        <v>113000</v>
      </c>
      <c r="F57" s="49">
        <f>'дод 3'!G89</f>
        <v>0</v>
      </c>
      <c r="G57" s="49">
        <f>'дод 3'!H89</f>
        <v>0</v>
      </c>
      <c r="H57" s="49">
        <f>'дод 3'!I89</f>
        <v>0</v>
      </c>
      <c r="I57" s="49">
        <f>'дод 3'!J89</f>
        <v>0</v>
      </c>
      <c r="J57" s="49">
        <f>'дод 3'!K89</f>
        <v>0</v>
      </c>
      <c r="K57" s="49">
        <f>'дод 3'!L89</f>
        <v>0</v>
      </c>
      <c r="L57" s="49">
        <f>'дод 3'!M89</f>
        <v>0</v>
      </c>
      <c r="M57" s="49">
        <f>'дод 3'!N89</f>
        <v>0</v>
      </c>
      <c r="N57" s="49">
        <f>'дод 3'!O89</f>
        <v>0</v>
      </c>
      <c r="O57" s="49">
        <f>'дод 3'!P89</f>
        <v>113000</v>
      </c>
      <c r="P57" s="180"/>
    </row>
    <row r="58" spans="1:16" ht="31.5" x14ac:dyDescent="0.25">
      <c r="A58" s="60" t="s">
        <v>493</v>
      </c>
      <c r="B58" s="60" t="s">
        <v>59</v>
      </c>
      <c r="C58" s="61" t="s">
        <v>494</v>
      </c>
      <c r="D58" s="49">
        <f>'дод 3'!E90</f>
        <v>431850</v>
      </c>
      <c r="E58" s="49">
        <f>'дод 3'!F90</f>
        <v>431850</v>
      </c>
      <c r="F58" s="49">
        <f>'дод 3'!G90</f>
        <v>266200</v>
      </c>
      <c r="G58" s="49">
        <f>'дод 3'!H90</f>
        <v>52650</v>
      </c>
      <c r="H58" s="49">
        <f>'дод 3'!I90</f>
        <v>0</v>
      </c>
      <c r="I58" s="49">
        <f>'дод 3'!J90</f>
        <v>0</v>
      </c>
      <c r="J58" s="49">
        <f>'дод 3'!K90</f>
        <v>0</v>
      </c>
      <c r="K58" s="49">
        <f>'дод 3'!L90</f>
        <v>0</v>
      </c>
      <c r="L58" s="49">
        <f>'дод 3'!M90</f>
        <v>0</v>
      </c>
      <c r="M58" s="49">
        <f>'дод 3'!N90</f>
        <v>0</v>
      </c>
      <c r="N58" s="49">
        <f>'дод 3'!O90</f>
        <v>0</v>
      </c>
      <c r="O58" s="49">
        <f>'дод 3'!P90</f>
        <v>431850</v>
      </c>
      <c r="P58" s="180"/>
    </row>
    <row r="59" spans="1:16" ht="36.75" customHeight="1" x14ac:dyDescent="0.25">
      <c r="A59" s="60" t="s">
        <v>496</v>
      </c>
      <c r="B59" s="60" t="s">
        <v>59</v>
      </c>
      <c r="C59" s="61" t="s">
        <v>522</v>
      </c>
      <c r="D59" s="49">
        <f>'дод 3'!E91</f>
        <v>1499036</v>
      </c>
      <c r="E59" s="49">
        <f>'дод 3'!F91</f>
        <v>1499036</v>
      </c>
      <c r="F59" s="49">
        <f>'дод 3'!G91</f>
        <v>1228720</v>
      </c>
      <c r="G59" s="49">
        <f>'дод 3'!H91</f>
        <v>0</v>
      </c>
      <c r="H59" s="49">
        <f>'дод 3'!I91</f>
        <v>0</v>
      </c>
      <c r="I59" s="49">
        <f>'дод 3'!J91</f>
        <v>0</v>
      </c>
      <c r="J59" s="49">
        <f>'дод 3'!K91</f>
        <v>0</v>
      </c>
      <c r="K59" s="49">
        <f>'дод 3'!L91</f>
        <v>0</v>
      </c>
      <c r="L59" s="49">
        <f>'дод 3'!M91</f>
        <v>0</v>
      </c>
      <c r="M59" s="49">
        <f>'дод 3'!N91</f>
        <v>0</v>
      </c>
      <c r="N59" s="49">
        <f>'дод 3'!O91</f>
        <v>0</v>
      </c>
      <c r="O59" s="49">
        <f>'дод 3'!P91</f>
        <v>1499036</v>
      </c>
      <c r="P59" s="180"/>
    </row>
    <row r="60" spans="1:16" ht="49.5" customHeight="1" x14ac:dyDescent="0.25">
      <c r="A60" s="37"/>
      <c r="B60" s="37"/>
      <c r="C60" s="91" t="s">
        <v>386</v>
      </c>
      <c r="D60" s="84">
        <f>'дод 3'!E92</f>
        <v>1499036</v>
      </c>
      <c r="E60" s="84">
        <f>'дод 3'!F92</f>
        <v>1499036</v>
      </c>
      <c r="F60" s="84">
        <f>'дод 3'!G92</f>
        <v>1228720</v>
      </c>
      <c r="G60" s="84">
        <f>'дод 3'!H92</f>
        <v>0</v>
      </c>
      <c r="H60" s="84">
        <f>'дод 3'!I92</f>
        <v>0</v>
      </c>
      <c r="I60" s="84">
        <f>'дод 3'!J92</f>
        <v>0</v>
      </c>
      <c r="J60" s="84">
        <f>'дод 3'!K92</f>
        <v>0</v>
      </c>
      <c r="K60" s="84">
        <f>'дод 3'!L92</f>
        <v>0</v>
      </c>
      <c r="L60" s="84">
        <f>'дод 3'!M92</f>
        <v>0</v>
      </c>
      <c r="M60" s="84">
        <f>'дод 3'!N92</f>
        <v>0</v>
      </c>
      <c r="N60" s="84">
        <f>'дод 3'!O92</f>
        <v>0</v>
      </c>
      <c r="O60" s="84">
        <f>'дод 3'!P92</f>
        <v>1499036</v>
      </c>
      <c r="P60" s="180"/>
    </row>
    <row r="61" spans="1:16" s="54" customFormat="1" ht="31.5" x14ac:dyDescent="0.25">
      <c r="A61" s="60" t="s">
        <v>498</v>
      </c>
      <c r="B61" s="60" t="str">
        <f>'дод 8'!A19</f>
        <v>0160</v>
      </c>
      <c r="C61" s="61" t="s">
        <v>499</v>
      </c>
      <c r="D61" s="49">
        <f>'дод 3'!E93</f>
        <v>2412770</v>
      </c>
      <c r="E61" s="49">
        <f>'дод 3'!F93</f>
        <v>2412770</v>
      </c>
      <c r="F61" s="49">
        <f>'дод 3'!G93</f>
        <v>1880000</v>
      </c>
      <c r="G61" s="49">
        <f>'дод 3'!H93</f>
        <v>84370</v>
      </c>
      <c r="H61" s="49">
        <f>'дод 3'!I93</f>
        <v>0</v>
      </c>
      <c r="I61" s="49">
        <f>'дод 3'!J93</f>
        <v>50000</v>
      </c>
      <c r="J61" s="49">
        <f>'дод 3'!K93</f>
        <v>50000</v>
      </c>
      <c r="K61" s="49">
        <f>'дод 3'!L93</f>
        <v>0</v>
      </c>
      <c r="L61" s="49">
        <f>'дод 3'!M93</f>
        <v>0</v>
      </c>
      <c r="M61" s="49">
        <f>'дод 3'!N93</f>
        <v>0</v>
      </c>
      <c r="N61" s="49">
        <f>'дод 3'!O93</f>
        <v>50000</v>
      </c>
      <c r="O61" s="49">
        <f>'дод 3'!P93</f>
        <v>2462770</v>
      </c>
      <c r="P61" s="180"/>
    </row>
    <row r="62" spans="1:16" s="54" customFormat="1" ht="63" x14ac:dyDescent="0.25">
      <c r="A62" s="60" t="s">
        <v>501</v>
      </c>
      <c r="B62" s="60" t="s">
        <v>59</v>
      </c>
      <c r="C62" s="98" t="s">
        <v>523</v>
      </c>
      <c r="D62" s="49">
        <f>'дод 3'!E94</f>
        <v>2586117</v>
      </c>
      <c r="E62" s="49">
        <f>'дод 3'!F94</f>
        <v>2586117</v>
      </c>
      <c r="F62" s="49">
        <f>'дод 3'!G94</f>
        <v>1459720</v>
      </c>
      <c r="G62" s="49">
        <f>'дод 3'!H94</f>
        <v>0</v>
      </c>
      <c r="H62" s="49">
        <f>'дод 3'!I94</f>
        <v>0</v>
      </c>
      <c r="I62" s="49">
        <f>'дод 3'!J94</f>
        <v>98583</v>
      </c>
      <c r="J62" s="49">
        <f>'дод 3'!K94</f>
        <v>98583</v>
      </c>
      <c r="K62" s="49">
        <f>'дод 3'!L94</f>
        <v>0</v>
      </c>
      <c r="L62" s="49">
        <f>'дод 3'!M94</f>
        <v>0</v>
      </c>
      <c r="M62" s="49">
        <f>'дод 3'!N94</f>
        <v>0</v>
      </c>
      <c r="N62" s="49">
        <f>'дод 3'!O94</f>
        <v>98583</v>
      </c>
      <c r="O62" s="49">
        <f>'дод 3'!P94</f>
        <v>2684700</v>
      </c>
      <c r="P62" s="180"/>
    </row>
    <row r="63" spans="1:16" s="54" customFormat="1" ht="63" x14ac:dyDescent="0.25">
      <c r="A63" s="60"/>
      <c r="B63" s="60"/>
      <c r="C63" s="91" t="s">
        <v>385</v>
      </c>
      <c r="D63" s="84">
        <f>'дод 3'!E95</f>
        <v>2586117</v>
      </c>
      <c r="E63" s="84">
        <f>'дод 3'!F95</f>
        <v>2586117</v>
      </c>
      <c r="F63" s="84">
        <f>'дод 3'!G95</f>
        <v>1459720</v>
      </c>
      <c r="G63" s="84">
        <f>'дод 3'!H95</f>
        <v>0</v>
      </c>
      <c r="H63" s="84">
        <f>'дод 3'!I95</f>
        <v>0</v>
      </c>
      <c r="I63" s="84">
        <f>'дод 3'!J95</f>
        <v>98583</v>
      </c>
      <c r="J63" s="84">
        <f>'дод 3'!K95</f>
        <v>98583</v>
      </c>
      <c r="K63" s="84">
        <f>'дод 3'!L95</f>
        <v>0</v>
      </c>
      <c r="L63" s="84">
        <f>'дод 3'!M95</f>
        <v>0</v>
      </c>
      <c r="M63" s="84">
        <f>'дод 3'!N95</f>
        <v>0</v>
      </c>
      <c r="N63" s="84">
        <f>'дод 3'!O95</f>
        <v>98583</v>
      </c>
      <c r="O63" s="84">
        <f>'дод 3'!P95</f>
        <v>2684700</v>
      </c>
      <c r="P63" s="180"/>
    </row>
    <row r="64" spans="1:16" s="54" customFormat="1" ht="63" x14ac:dyDescent="0.25">
      <c r="A64" s="60" t="s">
        <v>546</v>
      </c>
      <c r="B64" s="60" t="s">
        <v>59</v>
      </c>
      <c r="C64" s="36" t="s">
        <v>544</v>
      </c>
      <c r="D64" s="49">
        <f>'дод 3'!E96</f>
        <v>1174231</v>
      </c>
      <c r="E64" s="49">
        <f>'дод 3'!F96</f>
        <v>1174231</v>
      </c>
      <c r="F64" s="49">
        <f>'дод 3'!G96</f>
        <v>962484</v>
      </c>
      <c r="G64" s="49">
        <f>'дод 3'!H96</f>
        <v>0</v>
      </c>
      <c r="H64" s="49">
        <f>'дод 3'!I96</f>
        <v>0</v>
      </c>
      <c r="I64" s="49">
        <f>'дод 3'!J96</f>
        <v>0</v>
      </c>
      <c r="J64" s="49">
        <f>'дод 3'!K96</f>
        <v>0</v>
      </c>
      <c r="K64" s="49">
        <f>'дод 3'!L96</f>
        <v>0</v>
      </c>
      <c r="L64" s="49">
        <f>'дод 3'!M96</f>
        <v>0</v>
      </c>
      <c r="M64" s="49">
        <f>'дод 3'!N96</f>
        <v>0</v>
      </c>
      <c r="N64" s="49">
        <f>'дод 3'!O96</f>
        <v>0</v>
      </c>
      <c r="O64" s="49">
        <f>'дод 3'!P96</f>
        <v>1174231</v>
      </c>
      <c r="P64" s="180"/>
    </row>
    <row r="65" spans="1:16" s="54" customFormat="1" ht="63" x14ac:dyDescent="0.25">
      <c r="A65" s="60"/>
      <c r="B65" s="60"/>
      <c r="C65" s="91" t="s">
        <v>545</v>
      </c>
      <c r="D65" s="84">
        <f>'дод 3'!E97</f>
        <v>1174231</v>
      </c>
      <c r="E65" s="84">
        <f>'дод 3'!F97</f>
        <v>1174231</v>
      </c>
      <c r="F65" s="84">
        <f>'дод 3'!G97</f>
        <v>962484</v>
      </c>
      <c r="G65" s="84">
        <f>'дод 3'!H97</f>
        <v>0</v>
      </c>
      <c r="H65" s="84">
        <f>'дод 3'!I97</f>
        <v>0</v>
      </c>
      <c r="I65" s="84">
        <f>'дод 3'!J97</f>
        <v>0</v>
      </c>
      <c r="J65" s="84">
        <f>'дод 3'!K97</f>
        <v>0</v>
      </c>
      <c r="K65" s="84">
        <f>'дод 3'!L97</f>
        <v>0</v>
      </c>
      <c r="L65" s="84">
        <f>'дод 3'!M97</f>
        <v>0</v>
      </c>
      <c r="M65" s="84">
        <f>'дод 3'!N97</f>
        <v>0</v>
      </c>
      <c r="N65" s="84">
        <f>'дод 3'!O97</f>
        <v>0</v>
      </c>
      <c r="O65" s="84">
        <f>'дод 3'!P97</f>
        <v>1174231</v>
      </c>
      <c r="P65" s="180"/>
    </row>
    <row r="66" spans="1:16" s="52" customFormat="1" ht="19.5" customHeight="1" x14ac:dyDescent="0.25">
      <c r="A66" s="38" t="s">
        <v>60</v>
      </c>
      <c r="B66" s="39"/>
      <c r="C66" s="9" t="s">
        <v>547</v>
      </c>
      <c r="D66" s="48">
        <f>D71+D76+D78+D80+D82+D85+D86+D75</f>
        <v>78183121</v>
      </c>
      <c r="E66" s="48">
        <f t="shared" ref="E66:O66" si="9">E71+E76+E78+E80+E82+E85+E86+E75</f>
        <v>78183121</v>
      </c>
      <c r="F66" s="48">
        <f t="shared" si="9"/>
        <v>2387600</v>
      </c>
      <c r="G66" s="48">
        <f t="shared" si="9"/>
        <v>48700</v>
      </c>
      <c r="H66" s="48">
        <f t="shared" si="9"/>
        <v>0</v>
      </c>
      <c r="I66" s="48">
        <f t="shared" si="9"/>
        <v>66742036.82</v>
      </c>
      <c r="J66" s="48">
        <f t="shared" si="9"/>
        <v>66742036.82</v>
      </c>
      <c r="K66" s="48">
        <f t="shared" si="9"/>
        <v>0</v>
      </c>
      <c r="L66" s="48">
        <f t="shared" si="9"/>
        <v>0</v>
      </c>
      <c r="M66" s="48">
        <f t="shared" si="9"/>
        <v>0</v>
      </c>
      <c r="N66" s="48">
        <f t="shared" si="9"/>
        <v>66742036.82</v>
      </c>
      <c r="O66" s="48">
        <f t="shared" si="9"/>
        <v>144925157.81999999</v>
      </c>
      <c r="P66" s="180"/>
    </row>
    <row r="67" spans="1:16" s="53" customFormat="1" ht="31.5" hidden="1" customHeight="1" x14ac:dyDescent="0.25">
      <c r="A67" s="75"/>
      <c r="B67" s="78"/>
      <c r="C67" s="79" t="s">
        <v>392</v>
      </c>
      <c r="D67" s="80">
        <f>D72+D77+D79</f>
        <v>0</v>
      </c>
      <c r="E67" s="80">
        <f t="shared" ref="E67:O67" si="10">E72+E77+E79</f>
        <v>0</v>
      </c>
      <c r="F67" s="80">
        <f t="shared" si="10"/>
        <v>0</v>
      </c>
      <c r="G67" s="80">
        <f t="shared" si="10"/>
        <v>0</v>
      </c>
      <c r="H67" s="80">
        <f t="shared" si="10"/>
        <v>0</v>
      </c>
      <c r="I67" s="80">
        <f t="shared" si="10"/>
        <v>0</v>
      </c>
      <c r="J67" s="80">
        <f t="shared" si="10"/>
        <v>0</v>
      </c>
      <c r="K67" s="80">
        <f t="shared" si="10"/>
        <v>0</v>
      </c>
      <c r="L67" s="80">
        <f t="shared" si="10"/>
        <v>0</v>
      </c>
      <c r="M67" s="80">
        <f t="shared" si="10"/>
        <v>0</v>
      </c>
      <c r="N67" s="80">
        <f t="shared" si="10"/>
        <v>0</v>
      </c>
      <c r="O67" s="80">
        <f t="shared" si="10"/>
        <v>0</v>
      </c>
      <c r="P67" s="180"/>
    </row>
    <row r="68" spans="1:16" s="53" customFormat="1" ht="47.25" hidden="1" customHeight="1" x14ac:dyDescent="0.25">
      <c r="A68" s="75"/>
      <c r="B68" s="78"/>
      <c r="C68" s="79" t="s">
        <v>393</v>
      </c>
      <c r="D68" s="80">
        <f>D73+D83</f>
        <v>0</v>
      </c>
      <c r="E68" s="80">
        <f t="shared" ref="E68:O68" si="11">E73+E83</f>
        <v>0</v>
      </c>
      <c r="F68" s="80">
        <f t="shared" si="11"/>
        <v>0</v>
      </c>
      <c r="G68" s="80">
        <f t="shared" si="11"/>
        <v>0</v>
      </c>
      <c r="H68" s="80">
        <f t="shared" si="11"/>
        <v>0</v>
      </c>
      <c r="I68" s="80">
        <f t="shared" si="11"/>
        <v>0</v>
      </c>
      <c r="J68" s="80">
        <f t="shared" si="11"/>
        <v>0</v>
      </c>
      <c r="K68" s="80">
        <f t="shared" si="11"/>
        <v>0</v>
      </c>
      <c r="L68" s="80">
        <f t="shared" si="11"/>
        <v>0</v>
      </c>
      <c r="M68" s="80">
        <f t="shared" si="11"/>
        <v>0</v>
      </c>
      <c r="N68" s="80">
        <f t="shared" si="11"/>
        <v>0</v>
      </c>
      <c r="O68" s="80">
        <f t="shared" si="11"/>
        <v>0</v>
      </c>
      <c r="P68" s="180"/>
    </row>
    <row r="69" spans="1:16" s="53" customFormat="1" ht="63" x14ac:dyDescent="0.25">
      <c r="A69" s="75"/>
      <c r="B69" s="78"/>
      <c r="C69" s="79" t="s">
        <v>394</v>
      </c>
      <c r="D69" s="80">
        <f>D81+D84</f>
        <v>7670800</v>
      </c>
      <c r="E69" s="80">
        <f t="shared" ref="E69:O69" si="12">E81+E84</f>
        <v>7670800</v>
      </c>
      <c r="F69" s="80">
        <f t="shared" si="12"/>
        <v>0</v>
      </c>
      <c r="G69" s="80">
        <f t="shared" si="12"/>
        <v>0</v>
      </c>
      <c r="H69" s="80">
        <f t="shared" si="12"/>
        <v>0</v>
      </c>
      <c r="I69" s="80">
        <f t="shared" si="12"/>
        <v>0</v>
      </c>
      <c r="J69" s="80">
        <f t="shared" si="12"/>
        <v>0</v>
      </c>
      <c r="K69" s="80">
        <f t="shared" si="12"/>
        <v>0</v>
      </c>
      <c r="L69" s="80">
        <f t="shared" si="12"/>
        <v>0</v>
      </c>
      <c r="M69" s="80">
        <f t="shared" si="12"/>
        <v>0</v>
      </c>
      <c r="N69" s="80">
        <f t="shared" si="12"/>
        <v>0</v>
      </c>
      <c r="O69" s="80">
        <f t="shared" si="12"/>
        <v>7670800</v>
      </c>
      <c r="P69" s="180"/>
    </row>
    <row r="70" spans="1:16" s="53" customFormat="1" hidden="1" x14ac:dyDescent="0.25">
      <c r="A70" s="75"/>
      <c r="B70" s="78"/>
      <c r="C70" s="79" t="s">
        <v>395</v>
      </c>
      <c r="D70" s="80">
        <f>D74</f>
        <v>0</v>
      </c>
      <c r="E70" s="80">
        <f t="shared" ref="E70:O70" si="13">E74</f>
        <v>0</v>
      </c>
      <c r="F70" s="80">
        <f t="shared" si="13"/>
        <v>0</v>
      </c>
      <c r="G70" s="80">
        <f t="shared" si="13"/>
        <v>0</v>
      </c>
      <c r="H70" s="80">
        <f t="shared" si="13"/>
        <v>0</v>
      </c>
      <c r="I70" s="80">
        <f t="shared" si="13"/>
        <v>0</v>
      </c>
      <c r="J70" s="80">
        <f t="shared" si="13"/>
        <v>0</v>
      </c>
      <c r="K70" s="80">
        <f t="shared" si="13"/>
        <v>0</v>
      </c>
      <c r="L70" s="80">
        <f t="shared" si="13"/>
        <v>0</v>
      </c>
      <c r="M70" s="80">
        <f t="shared" si="13"/>
        <v>0</v>
      </c>
      <c r="N70" s="80">
        <f t="shared" si="13"/>
        <v>0</v>
      </c>
      <c r="O70" s="80">
        <f t="shared" si="13"/>
        <v>0</v>
      </c>
      <c r="P70" s="159"/>
    </row>
    <row r="71" spans="1:16" ht="27.75" customHeight="1" x14ac:dyDescent="0.25">
      <c r="A71" s="37" t="s">
        <v>61</v>
      </c>
      <c r="B71" s="37" t="s">
        <v>62</v>
      </c>
      <c r="C71" s="6" t="s">
        <v>468</v>
      </c>
      <c r="D71" s="49">
        <f>'дод 3'!E118</f>
        <v>34023521</v>
      </c>
      <c r="E71" s="49">
        <f>'дод 3'!F118</f>
        <v>34023521</v>
      </c>
      <c r="F71" s="49">
        <f>'дод 3'!G118</f>
        <v>0</v>
      </c>
      <c r="G71" s="49">
        <f>'дод 3'!H118</f>
        <v>0</v>
      </c>
      <c r="H71" s="49">
        <f>'дод 3'!I118</f>
        <v>0</v>
      </c>
      <c r="I71" s="49">
        <f>'дод 3'!J118</f>
        <v>38610682.82</v>
      </c>
      <c r="J71" s="49">
        <f>'дод 3'!K118</f>
        <v>38610682.82</v>
      </c>
      <c r="K71" s="49">
        <f>'дод 3'!L118</f>
        <v>0</v>
      </c>
      <c r="L71" s="49">
        <f>'дод 3'!M118</f>
        <v>0</v>
      </c>
      <c r="M71" s="49">
        <f>'дод 3'!N118</f>
        <v>0</v>
      </c>
      <c r="N71" s="49">
        <f>'дод 3'!O118</f>
        <v>38610682.82</v>
      </c>
      <c r="O71" s="49">
        <f>'дод 3'!P118</f>
        <v>72634203.819999993</v>
      </c>
      <c r="P71" s="180">
        <v>108</v>
      </c>
    </row>
    <row r="72" spans="1:16" s="54" customFormat="1" ht="31.5" hidden="1" customHeight="1" x14ac:dyDescent="0.25">
      <c r="A72" s="82"/>
      <c r="B72" s="82"/>
      <c r="C72" s="83" t="s">
        <v>392</v>
      </c>
      <c r="D72" s="84">
        <f>'дод 3'!E119</f>
        <v>0</v>
      </c>
      <c r="E72" s="84">
        <f>'дод 3'!F119</f>
        <v>0</v>
      </c>
      <c r="F72" s="84">
        <f>'дод 3'!G119</f>
        <v>0</v>
      </c>
      <c r="G72" s="84">
        <f>'дод 3'!H119</f>
        <v>0</v>
      </c>
      <c r="H72" s="84">
        <f>'дод 3'!I119</f>
        <v>0</v>
      </c>
      <c r="I72" s="84">
        <f>'дод 3'!J119</f>
        <v>0</v>
      </c>
      <c r="J72" s="84">
        <f>'дод 3'!K119</f>
        <v>0</v>
      </c>
      <c r="K72" s="84">
        <f>'дод 3'!L119</f>
        <v>0</v>
      </c>
      <c r="L72" s="84">
        <f>'дод 3'!M119</f>
        <v>0</v>
      </c>
      <c r="M72" s="84">
        <f>'дод 3'!N119</f>
        <v>0</v>
      </c>
      <c r="N72" s="84">
        <f>'дод 3'!O119</f>
        <v>0</v>
      </c>
      <c r="O72" s="84">
        <f>'дод 3'!P119</f>
        <v>0</v>
      </c>
      <c r="P72" s="180"/>
    </row>
    <row r="73" spans="1:16" s="54" customFormat="1" ht="47.25" hidden="1" customHeight="1" x14ac:dyDescent="0.25">
      <c r="A73" s="82"/>
      <c r="B73" s="82"/>
      <c r="C73" s="83" t="s">
        <v>393</v>
      </c>
      <c r="D73" s="84">
        <f>'дод 3'!E120</f>
        <v>0</v>
      </c>
      <c r="E73" s="84">
        <f>'дод 3'!F120</f>
        <v>0</v>
      </c>
      <c r="F73" s="84">
        <f>'дод 3'!G120</f>
        <v>0</v>
      </c>
      <c r="G73" s="84">
        <f>'дод 3'!H120</f>
        <v>0</v>
      </c>
      <c r="H73" s="84">
        <f>'дод 3'!I120</f>
        <v>0</v>
      </c>
      <c r="I73" s="84">
        <f>'дод 3'!J120</f>
        <v>0</v>
      </c>
      <c r="J73" s="84">
        <f>'дод 3'!K120</f>
        <v>0</v>
      </c>
      <c r="K73" s="84">
        <f>'дод 3'!L120</f>
        <v>0</v>
      </c>
      <c r="L73" s="84">
        <f>'дод 3'!M120</f>
        <v>0</v>
      </c>
      <c r="M73" s="84">
        <f>'дод 3'!N120</f>
        <v>0</v>
      </c>
      <c r="N73" s="84">
        <f>'дод 3'!O120</f>
        <v>0</v>
      </c>
      <c r="O73" s="84">
        <f>'дод 3'!P120</f>
        <v>0</v>
      </c>
      <c r="P73" s="180"/>
    </row>
    <row r="74" spans="1:16" s="54" customFormat="1" ht="15.75" hidden="1" customHeight="1" x14ac:dyDescent="0.25">
      <c r="A74" s="82"/>
      <c r="B74" s="82"/>
      <c r="C74" s="83" t="s">
        <v>395</v>
      </c>
      <c r="D74" s="84">
        <f>'дод 3'!E121</f>
        <v>0</v>
      </c>
      <c r="E74" s="84">
        <f>'дод 3'!F121</f>
        <v>0</v>
      </c>
      <c r="F74" s="84">
        <f>'дод 3'!G121</f>
        <v>0</v>
      </c>
      <c r="G74" s="84">
        <f>'дод 3'!H121</f>
        <v>0</v>
      </c>
      <c r="H74" s="84">
        <f>'дод 3'!I121</f>
        <v>0</v>
      </c>
      <c r="I74" s="84">
        <f>'дод 3'!J121</f>
        <v>0</v>
      </c>
      <c r="J74" s="84">
        <f>'дод 3'!K121</f>
        <v>0</v>
      </c>
      <c r="K74" s="84">
        <f>'дод 3'!L121</f>
        <v>0</v>
      </c>
      <c r="L74" s="84">
        <f>'дод 3'!M121</f>
        <v>0</v>
      </c>
      <c r="M74" s="84">
        <f>'дод 3'!N121</f>
        <v>0</v>
      </c>
      <c r="N74" s="84">
        <f>'дод 3'!O121</f>
        <v>0</v>
      </c>
      <c r="O74" s="84">
        <f>'дод 3'!P121</f>
        <v>0</v>
      </c>
      <c r="P74" s="180"/>
    </row>
    <row r="75" spans="1:16" ht="24" hidden="1" customHeight="1" x14ac:dyDescent="0.25">
      <c r="A75" s="37">
        <v>2020</v>
      </c>
      <c r="B75" s="59" t="s">
        <v>452</v>
      </c>
      <c r="C75" s="6" t="s">
        <v>455</v>
      </c>
      <c r="D75" s="49">
        <f>'дод 3'!E122</f>
        <v>0</v>
      </c>
      <c r="E75" s="49">
        <f>'дод 3'!F122</f>
        <v>0</v>
      </c>
      <c r="F75" s="49">
        <f>'дод 3'!G122</f>
        <v>0</v>
      </c>
      <c r="G75" s="49">
        <f>'дод 3'!H122</f>
        <v>0</v>
      </c>
      <c r="H75" s="49">
        <f>'дод 3'!I122</f>
        <v>0</v>
      </c>
      <c r="I75" s="49">
        <f>'дод 3'!J122</f>
        <v>0</v>
      </c>
      <c r="J75" s="49">
        <f>'дод 3'!K122</f>
        <v>0</v>
      </c>
      <c r="K75" s="49">
        <f>'дод 3'!L122</f>
        <v>0</v>
      </c>
      <c r="L75" s="49">
        <f>'дод 3'!M122</f>
        <v>0</v>
      </c>
      <c r="M75" s="49">
        <f>'дод 3'!N122</f>
        <v>0</v>
      </c>
      <c r="N75" s="49">
        <f>'дод 3'!O122</f>
        <v>0</v>
      </c>
      <c r="O75" s="49">
        <f>'дод 3'!P122</f>
        <v>0</v>
      </c>
      <c r="P75" s="180"/>
    </row>
    <row r="76" spans="1:16" ht="36.75" customHeight="1" x14ac:dyDescent="0.25">
      <c r="A76" s="37" t="s">
        <v>122</v>
      </c>
      <c r="B76" s="37" t="s">
        <v>63</v>
      </c>
      <c r="C76" s="6" t="s">
        <v>469</v>
      </c>
      <c r="D76" s="49">
        <f>'дод 3'!E123</f>
        <v>3317600</v>
      </c>
      <c r="E76" s="49">
        <f>'дод 3'!F123</f>
        <v>3317600</v>
      </c>
      <c r="F76" s="49">
        <f>'дод 3'!G123</f>
        <v>0</v>
      </c>
      <c r="G76" s="49">
        <f>'дод 3'!H123</f>
        <v>0</v>
      </c>
      <c r="H76" s="49">
        <f>'дод 3'!I123</f>
        <v>0</v>
      </c>
      <c r="I76" s="49">
        <f>'дод 3'!J123</f>
        <v>5100000</v>
      </c>
      <c r="J76" s="49">
        <f>'дод 3'!K123</f>
        <v>5100000</v>
      </c>
      <c r="K76" s="49">
        <f>'дод 3'!L123</f>
        <v>0</v>
      </c>
      <c r="L76" s="49">
        <f>'дод 3'!M123</f>
        <v>0</v>
      </c>
      <c r="M76" s="49">
        <f>'дод 3'!N123</f>
        <v>0</v>
      </c>
      <c r="N76" s="49">
        <f>'дод 3'!O123</f>
        <v>5100000</v>
      </c>
      <c r="O76" s="49">
        <f>'дод 3'!P123</f>
        <v>8417600</v>
      </c>
      <c r="P76" s="180"/>
    </row>
    <row r="77" spans="1:16" s="54" customFormat="1" ht="31.5" hidden="1" customHeight="1" x14ac:dyDescent="0.25">
      <c r="A77" s="82"/>
      <c r="B77" s="82"/>
      <c r="C77" s="83" t="s">
        <v>392</v>
      </c>
      <c r="D77" s="84">
        <f>'дод 3'!E124</f>
        <v>0</v>
      </c>
      <c r="E77" s="84">
        <f>'дод 3'!F124</f>
        <v>0</v>
      </c>
      <c r="F77" s="84">
        <f>'дод 3'!G124</f>
        <v>0</v>
      </c>
      <c r="G77" s="84">
        <f>'дод 3'!H124</f>
        <v>0</v>
      </c>
      <c r="H77" s="84">
        <f>'дод 3'!I124</f>
        <v>0</v>
      </c>
      <c r="I77" s="84">
        <f>'дод 3'!J124</f>
        <v>0</v>
      </c>
      <c r="J77" s="84">
        <f>'дод 3'!K124</f>
        <v>0</v>
      </c>
      <c r="K77" s="84">
        <f>'дод 3'!L124</f>
        <v>0</v>
      </c>
      <c r="L77" s="84">
        <f>'дод 3'!M124</f>
        <v>0</v>
      </c>
      <c r="M77" s="84">
        <f>'дод 3'!N124</f>
        <v>0</v>
      </c>
      <c r="N77" s="84">
        <f>'дод 3'!O124</f>
        <v>0</v>
      </c>
      <c r="O77" s="84">
        <f>'дод 3'!P124</f>
        <v>0</v>
      </c>
      <c r="P77" s="180"/>
    </row>
    <row r="78" spans="1:16" ht="19.5" customHeight="1" x14ac:dyDescent="0.25">
      <c r="A78" s="37" t="s">
        <v>123</v>
      </c>
      <c r="B78" s="37" t="s">
        <v>64</v>
      </c>
      <c r="C78" s="6" t="s">
        <v>470</v>
      </c>
      <c r="D78" s="49">
        <f>'дод 3'!E125</f>
        <v>7602100</v>
      </c>
      <c r="E78" s="49">
        <f>'дод 3'!F125</f>
        <v>7602100</v>
      </c>
      <c r="F78" s="49">
        <f>'дод 3'!G125</f>
        <v>0</v>
      </c>
      <c r="G78" s="49">
        <f>'дод 3'!H125</f>
        <v>0</v>
      </c>
      <c r="H78" s="49">
        <f>'дод 3'!I125</f>
        <v>0</v>
      </c>
      <c r="I78" s="49">
        <f>'дод 3'!J125</f>
        <v>0</v>
      </c>
      <c r="J78" s="49">
        <f>'дод 3'!K125</f>
        <v>0</v>
      </c>
      <c r="K78" s="49">
        <f>'дод 3'!L125</f>
        <v>0</v>
      </c>
      <c r="L78" s="49">
        <f>'дод 3'!M125</f>
        <v>0</v>
      </c>
      <c r="M78" s="49">
        <f>'дод 3'!N125</f>
        <v>0</v>
      </c>
      <c r="N78" s="49">
        <f>'дод 3'!O125</f>
        <v>0</v>
      </c>
      <c r="O78" s="49">
        <f>'дод 3'!P125</f>
        <v>7602100</v>
      </c>
      <c r="P78" s="180"/>
    </row>
    <row r="79" spans="1:16" s="54" customFormat="1" ht="31.5" hidden="1" customHeight="1" x14ac:dyDescent="0.25">
      <c r="A79" s="82"/>
      <c r="B79" s="82"/>
      <c r="C79" s="83" t="s">
        <v>392</v>
      </c>
      <c r="D79" s="84">
        <f>'дод 3'!E126</f>
        <v>0</v>
      </c>
      <c r="E79" s="84">
        <f>'дод 3'!F126</f>
        <v>0</v>
      </c>
      <c r="F79" s="84">
        <f>'дод 3'!G126</f>
        <v>0</v>
      </c>
      <c r="G79" s="84">
        <f>'дод 3'!H126</f>
        <v>0</v>
      </c>
      <c r="H79" s="84">
        <f>'дод 3'!I126</f>
        <v>0</v>
      </c>
      <c r="I79" s="84">
        <f>'дод 3'!J126</f>
        <v>0</v>
      </c>
      <c r="J79" s="84">
        <f>'дод 3'!K126</f>
        <v>0</v>
      </c>
      <c r="K79" s="84">
        <f>'дод 3'!L126</f>
        <v>0</v>
      </c>
      <c r="L79" s="84">
        <f>'дод 3'!M126</f>
        <v>0</v>
      </c>
      <c r="M79" s="84">
        <f>'дод 3'!N126</f>
        <v>0</v>
      </c>
      <c r="N79" s="84">
        <f>'дод 3'!O126</f>
        <v>0</v>
      </c>
      <c r="O79" s="84">
        <f>'дод 3'!P126</f>
        <v>0</v>
      </c>
      <c r="P79" s="180"/>
    </row>
    <row r="80" spans="1:16" ht="48.75" customHeight="1" x14ac:dyDescent="0.25">
      <c r="A80" s="37" t="s">
        <v>124</v>
      </c>
      <c r="B80" s="37" t="s">
        <v>315</v>
      </c>
      <c r="C80" s="6" t="s">
        <v>471</v>
      </c>
      <c r="D80" s="49">
        <f>'дод 3'!E127</f>
        <v>2736000</v>
      </c>
      <c r="E80" s="49">
        <f>'дод 3'!F127</f>
        <v>2736000</v>
      </c>
      <c r="F80" s="49">
        <f>'дод 3'!G127</f>
        <v>0</v>
      </c>
      <c r="G80" s="49">
        <f>'дод 3'!H127</f>
        <v>0</v>
      </c>
      <c r="H80" s="49">
        <f>'дод 3'!I127</f>
        <v>0</v>
      </c>
      <c r="I80" s="49">
        <f>'дод 3'!J127</f>
        <v>0</v>
      </c>
      <c r="J80" s="49">
        <f>'дод 3'!K127</f>
        <v>0</v>
      </c>
      <c r="K80" s="49">
        <f>'дод 3'!L127</f>
        <v>0</v>
      </c>
      <c r="L80" s="49">
        <f>'дод 3'!M127</f>
        <v>0</v>
      </c>
      <c r="M80" s="49">
        <f>'дод 3'!N127</f>
        <v>0</v>
      </c>
      <c r="N80" s="49">
        <f>'дод 3'!O127</f>
        <v>0</v>
      </c>
      <c r="O80" s="49">
        <f>'дод 3'!P127</f>
        <v>2736000</v>
      </c>
      <c r="P80" s="180"/>
    </row>
    <row r="81" spans="1:16" s="54" customFormat="1" ht="47.25" hidden="1" customHeight="1" x14ac:dyDescent="0.25">
      <c r="A81" s="82"/>
      <c r="B81" s="82"/>
      <c r="C81" s="85" t="s">
        <v>394</v>
      </c>
      <c r="D81" s="84">
        <f>'дод 3'!E128</f>
        <v>0</v>
      </c>
      <c r="E81" s="84">
        <f>'дод 3'!F128</f>
        <v>0</v>
      </c>
      <c r="F81" s="84">
        <f>'дод 3'!G128</f>
        <v>0</v>
      </c>
      <c r="G81" s="84">
        <f>'дод 3'!H128</f>
        <v>0</v>
      </c>
      <c r="H81" s="84">
        <f>'дод 3'!I128</f>
        <v>0</v>
      </c>
      <c r="I81" s="84">
        <f>'дод 3'!J128</f>
        <v>0</v>
      </c>
      <c r="J81" s="84">
        <f>'дод 3'!K128</f>
        <v>0</v>
      </c>
      <c r="K81" s="84">
        <f>'дод 3'!L128</f>
        <v>0</v>
      </c>
      <c r="L81" s="84">
        <f>'дод 3'!M128</f>
        <v>0</v>
      </c>
      <c r="M81" s="84">
        <f>'дод 3'!N128</f>
        <v>0</v>
      </c>
      <c r="N81" s="84">
        <f>'дод 3'!O128</f>
        <v>0</v>
      </c>
      <c r="O81" s="84">
        <f>'дод 3'!P128</f>
        <v>0</v>
      </c>
      <c r="P81" s="180"/>
    </row>
    <row r="82" spans="1:16" ht="31.5" x14ac:dyDescent="0.25">
      <c r="A82" s="40">
        <v>2144</v>
      </c>
      <c r="B82" s="37" t="s">
        <v>65</v>
      </c>
      <c r="C82" s="6" t="s">
        <v>406</v>
      </c>
      <c r="D82" s="49">
        <f>'дод 3'!E129</f>
        <v>7670800</v>
      </c>
      <c r="E82" s="49">
        <f>'дод 3'!F129</f>
        <v>7670800</v>
      </c>
      <c r="F82" s="49">
        <f>'дод 3'!G129</f>
        <v>0</v>
      </c>
      <c r="G82" s="49">
        <f>'дод 3'!H129</f>
        <v>0</v>
      </c>
      <c r="H82" s="49">
        <f>'дод 3'!I129</f>
        <v>0</v>
      </c>
      <c r="I82" s="49">
        <f>'дод 3'!J129</f>
        <v>0</v>
      </c>
      <c r="J82" s="49">
        <f>'дод 3'!K129</f>
        <v>0</v>
      </c>
      <c r="K82" s="49">
        <f>'дод 3'!L129</f>
        <v>0</v>
      </c>
      <c r="L82" s="49">
        <f>'дод 3'!M129</f>
        <v>0</v>
      </c>
      <c r="M82" s="49">
        <f>'дод 3'!N129</f>
        <v>0</v>
      </c>
      <c r="N82" s="49">
        <f>'дод 3'!O129</f>
        <v>0</v>
      </c>
      <c r="O82" s="49">
        <f>'дод 3'!P129</f>
        <v>7670800</v>
      </c>
      <c r="P82" s="180"/>
    </row>
    <row r="83" spans="1:16" s="54" customFormat="1" ht="47.25" hidden="1" customHeight="1" x14ac:dyDescent="0.25">
      <c r="A83" s="86"/>
      <c r="B83" s="82"/>
      <c r="C83" s="83" t="s">
        <v>393</v>
      </c>
      <c r="D83" s="84">
        <f>'дод 3'!E130</f>
        <v>0</v>
      </c>
      <c r="E83" s="84">
        <f>'дод 3'!F130</f>
        <v>0</v>
      </c>
      <c r="F83" s="84">
        <f>'дод 3'!G130</f>
        <v>0</v>
      </c>
      <c r="G83" s="84">
        <f>'дод 3'!H130</f>
        <v>0</v>
      </c>
      <c r="H83" s="84">
        <f>'дод 3'!I130</f>
        <v>0</v>
      </c>
      <c r="I83" s="84">
        <f>'дод 3'!J130</f>
        <v>0</v>
      </c>
      <c r="J83" s="84">
        <f>'дод 3'!K130</f>
        <v>0</v>
      </c>
      <c r="K83" s="84">
        <f>'дод 3'!L130</f>
        <v>0</v>
      </c>
      <c r="L83" s="84">
        <f>'дод 3'!M130</f>
        <v>0</v>
      </c>
      <c r="M83" s="84">
        <f>'дод 3'!N130</f>
        <v>0</v>
      </c>
      <c r="N83" s="84">
        <f>'дод 3'!O130</f>
        <v>0</v>
      </c>
      <c r="O83" s="84">
        <f>'дод 3'!P130</f>
        <v>0</v>
      </c>
      <c r="P83" s="180"/>
    </row>
    <row r="84" spans="1:16" s="54" customFormat="1" ht="63" x14ac:dyDescent="0.25">
      <c r="A84" s="86"/>
      <c r="B84" s="82"/>
      <c r="C84" s="83" t="s">
        <v>394</v>
      </c>
      <c r="D84" s="84">
        <f>'дод 3'!E131</f>
        <v>7670800</v>
      </c>
      <c r="E84" s="84">
        <f>'дод 3'!F131</f>
        <v>7670800</v>
      </c>
      <c r="F84" s="84">
        <f>'дод 3'!G131</f>
        <v>0</v>
      </c>
      <c r="G84" s="84">
        <f>'дод 3'!H131</f>
        <v>0</v>
      </c>
      <c r="H84" s="84">
        <f>'дод 3'!I131</f>
        <v>0</v>
      </c>
      <c r="I84" s="84">
        <f>'дод 3'!J131</f>
        <v>0</v>
      </c>
      <c r="J84" s="84">
        <f>'дод 3'!K131</f>
        <v>0</v>
      </c>
      <c r="K84" s="84">
        <f>'дод 3'!L131</f>
        <v>0</v>
      </c>
      <c r="L84" s="84">
        <f>'дод 3'!M131</f>
        <v>0</v>
      </c>
      <c r="M84" s="84">
        <f>'дод 3'!N131</f>
        <v>0</v>
      </c>
      <c r="N84" s="84">
        <f>'дод 3'!O131</f>
        <v>0</v>
      </c>
      <c r="O84" s="84">
        <f>'дод 3'!P131</f>
        <v>7670800</v>
      </c>
      <c r="P84" s="180"/>
    </row>
    <row r="85" spans="1:16" ht="33.75" customHeight="1" x14ac:dyDescent="0.25">
      <c r="A85" s="37" t="s">
        <v>284</v>
      </c>
      <c r="B85" s="37" t="s">
        <v>65</v>
      </c>
      <c r="C85" s="3" t="s">
        <v>286</v>
      </c>
      <c r="D85" s="49">
        <f>'дод 3'!E132</f>
        <v>3049300</v>
      </c>
      <c r="E85" s="49">
        <f>'дод 3'!F132</f>
        <v>3049300</v>
      </c>
      <c r="F85" s="49">
        <f>'дод 3'!G132</f>
        <v>2387600</v>
      </c>
      <c r="G85" s="49">
        <f>'дод 3'!H132</f>
        <v>48700</v>
      </c>
      <c r="H85" s="49">
        <f>'дод 3'!I132</f>
        <v>0</v>
      </c>
      <c r="I85" s="49">
        <f>'дод 3'!J132</f>
        <v>0</v>
      </c>
      <c r="J85" s="49">
        <f>'дод 3'!K132</f>
        <v>0</v>
      </c>
      <c r="K85" s="49">
        <f>'дод 3'!L132</f>
        <v>0</v>
      </c>
      <c r="L85" s="49">
        <f>'дод 3'!M132</f>
        <v>0</v>
      </c>
      <c r="M85" s="49">
        <f>'дод 3'!N132</f>
        <v>0</v>
      </c>
      <c r="N85" s="49">
        <f>'дод 3'!O132</f>
        <v>0</v>
      </c>
      <c r="O85" s="49">
        <f>'дод 3'!P132</f>
        <v>3049300</v>
      </c>
      <c r="P85" s="180"/>
    </row>
    <row r="86" spans="1:16" ht="21.75" customHeight="1" x14ac:dyDescent="0.25">
      <c r="A86" s="37" t="s">
        <v>285</v>
      </c>
      <c r="B86" s="37" t="s">
        <v>65</v>
      </c>
      <c r="C86" s="3" t="s">
        <v>287</v>
      </c>
      <c r="D86" s="49">
        <f>'дод 3'!E133</f>
        <v>19783800</v>
      </c>
      <c r="E86" s="49">
        <f>'дод 3'!F133</f>
        <v>19783800</v>
      </c>
      <c r="F86" s="49">
        <f>'дод 3'!G133</f>
        <v>0</v>
      </c>
      <c r="G86" s="49">
        <f>'дод 3'!H133</f>
        <v>0</v>
      </c>
      <c r="H86" s="49">
        <f>'дод 3'!I133</f>
        <v>0</v>
      </c>
      <c r="I86" s="49">
        <f>'дод 3'!J133</f>
        <v>23031354</v>
      </c>
      <c r="J86" s="49">
        <f>'дод 3'!K133</f>
        <v>23031354</v>
      </c>
      <c r="K86" s="49">
        <f>'дод 3'!L133</f>
        <v>0</v>
      </c>
      <c r="L86" s="49">
        <f>'дод 3'!M133</f>
        <v>0</v>
      </c>
      <c r="M86" s="49">
        <f>'дод 3'!N133</f>
        <v>0</v>
      </c>
      <c r="N86" s="49">
        <f>'дод 3'!O133</f>
        <v>23031354</v>
      </c>
      <c r="O86" s="49">
        <f>'дод 3'!P133</f>
        <v>42815154</v>
      </c>
      <c r="P86" s="180"/>
    </row>
    <row r="87" spans="1:16" s="52" customFormat="1" ht="33" customHeight="1" x14ac:dyDescent="0.25">
      <c r="A87" s="38" t="s">
        <v>66</v>
      </c>
      <c r="B87" s="41"/>
      <c r="C87" s="2" t="s">
        <v>524</v>
      </c>
      <c r="D87" s="48">
        <f>D91+D92+D93+D95+D96+D97+D99+D101+D102+D103+D104+D105+D106+D107+D108+D110+D112+D113+D114+D115+D116+D121+D122</f>
        <v>146976679.35000002</v>
      </c>
      <c r="E87" s="48">
        <f t="shared" ref="E87:O87" si="14">E91+E92+E93+E95+E96+E97+E99+E101+E102+E103+E104+E105+E106+E107+E108+E110+E112+E113+E114+E115+E116+E121+E122</f>
        <v>146976679.35000002</v>
      </c>
      <c r="F87" s="48">
        <f t="shared" si="14"/>
        <v>21152900</v>
      </c>
      <c r="G87" s="48">
        <f t="shared" si="14"/>
        <v>704230</v>
      </c>
      <c r="H87" s="48">
        <f t="shared" si="14"/>
        <v>0</v>
      </c>
      <c r="I87" s="48">
        <f t="shared" si="14"/>
        <v>501200</v>
      </c>
      <c r="J87" s="48">
        <f t="shared" si="14"/>
        <v>405000</v>
      </c>
      <c r="K87" s="48">
        <f t="shared" si="14"/>
        <v>96200</v>
      </c>
      <c r="L87" s="48">
        <f t="shared" si="14"/>
        <v>75000</v>
      </c>
      <c r="M87" s="48">
        <f t="shared" si="14"/>
        <v>0</v>
      </c>
      <c r="N87" s="48">
        <f t="shared" si="14"/>
        <v>405000</v>
      </c>
      <c r="O87" s="48">
        <f t="shared" si="14"/>
        <v>147477879.35000002</v>
      </c>
      <c r="P87" s="180"/>
    </row>
    <row r="88" spans="1:16" s="53" customFormat="1" ht="262.5" hidden="1" customHeight="1" x14ac:dyDescent="0.25">
      <c r="A88" s="75"/>
      <c r="B88" s="76"/>
      <c r="C88" s="79" t="s">
        <v>448</v>
      </c>
      <c r="D88" s="80">
        <f>D118</f>
        <v>0</v>
      </c>
      <c r="E88" s="80">
        <f t="shared" ref="E88:O88" si="15">E118</f>
        <v>0</v>
      </c>
      <c r="F88" s="80">
        <f t="shared" si="15"/>
        <v>0</v>
      </c>
      <c r="G88" s="80">
        <f t="shared" si="15"/>
        <v>0</v>
      </c>
      <c r="H88" s="80">
        <f t="shared" si="15"/>
        <v>0</v>
      </c>
      <c r="I88" s="80">
        <f t="shared" si="15"/>
        <v>0</v>
      </c>
      <c r="J88" s="80">
        <f t="shared" si="15"/>
        <v>0</v>
      </c>
      <c r="K88" s="80">
        <f t="shared" si="15"/>
        <v>0</v>
      </c>
      <c r="L88" s="80">
        <f t="shared" si="15"/>
        <v>0</v>
      </c>
      <c r="M88" s="80">
        <f t="shared" si="15"/>
        <v>0</v>
      </c>
      <c r="N88" s="80">
        <f t="shared" si="15"/>
        <v>0</v>
      </c>
      <c r="O88" s="80">
        <f t="shared" si="15"/>
        <v>0</v>
      </c>
      <c r="P88" s="180"/>
    </row>
    <row r="89" spans="1:16" s="53" customFormat="1" ht="231" hidden="1" customHeight="1" x14ac:dyDescent="0.25">
      <c r="A89" s="75"/>
      <c r="B89" s="76"/>
      <c r="C89" s="79" t="s">
        <v>447</v>
      </c>
      <c r="D89" s="80">
        <f>D120</f>
        <v>0</v>
      </c>
      <c r="E89" s="80">
        <f t="shared" ref="E89:O89" si="16">E120</f>
        <v>0</v>
      </c>
      <c r="F89" s="80">
        <f t="shared" si="16"/>
        <v>0</v>
      </c>
      <c r="G89" s="80">
        <f t="shared" si="16"/>
        <v>0</v>
      </c>
      <c r="H89" s="80">
        <f t="shared" si="16"/>
        <v>0</v>
      </c>
      <c r="I89" s="80">
        <f t="shared" si="16"/>
        <v>0</v>
      </c>
      <c r="J89" s="80">
        <f t="shared" si="16"/>
        <v>0</v>
      </c>
      <c r="K89" s="80">
        <f t="shared" si="16"/>
        <v>0</v>
      </c>
      <c r="L89" s="80">
        <f t="shared" si="16"/>
        <v>0</v>
      </c>
      <c r="M89" s="80">
        <f t="shared" si="16"/>
        <v>0</v>
      </c>
      <c r="N89" s="80">
        <f t="shared" si="16"/>
        <v>0</v>
      </c>
      <c r="O89" s="80">
        <f t="shared" si="16"/>
        <v>0</v>
      </c>
      <c r="P89" s="180"/>
    </row>
    <row r="90" spans="1:16" s="53" customFormat="1" x14ac:dyDescent="0.25">
      <c r="A90" s="75"/>
      <c r="B90" s="76"/>
      <c r="C90" s="79" t="s">
        <v>397</v>
      </c>
      <c r="D90" s="80">
        <f>D94+D98+D100+D109+D111+D123</f>
        <v>4847050.24</v>
      </c>
      <c r="E90" s="80">
        <f t="shared" ref="E90:O90" si="17">E94+E98+E100+E109+E111+E123</f>
        <v>4847050.24</v>
      </c>
      <c r="F90" s="80">
        <f t="shared" si="17"/>
        <v>0</v>
      </c>
      <c r="G90" s="80">
        <f t="shared" si="17"/>
        <v>0</v>
      </c>
      <c r="H90" s="80">
        <f t="shared" si="17"/>
        <v>0</v>
      </c>
      <c r="I90" s="80">
        <f t="shared" si="17"/>
        <v>0</v>
      </c>
      <c r="J90" s="80">
        <f t="shared" si="17"/>
        <v>0</v>
      </c>
      <c r="K90" s="80">
        <f t="shared" si="17"/>
        <v>0</v>
      </c>
      <c r="L90" s="80">
        <f t="shared" si="17"/>
        <v>0</v>
      </c>
      <c r="M90" s="80">
        <f t="shared" si="17"/>
        <v>0</v>
      </c>
      <c r="N90" s="80">
        <f t="shared" si="17"/>
        <v>0</v>
      </c>
      <c r="O90" s="80">
        <f t="shared" si="17"/>
        <v>4847050.24</v>
      </c>
      <c r="P90" s="180"/>
    </row>
    <row r="91" spans="1:16" ht="38.25" customHeight="1" x14ac:dyDescent="0.25">
      <c r="A91" s="37" t="s">
        <v>100</v>
      </c>
      <c r="B91" s="37" t="s">
        <v>53</v>
      </c>
      <c r="C91" s="3" t="s">
        <v>125</v>
      </c>
      <c r="D91" s="49">
        <f>'дод 3'!E149</f>
        <v>604900</v>
      </c>
      <c r="E91" s="49">
        <f>'дод 3'!F149</f>
        <v>604900</v>
      </c>
      <c r="F91" s="49">
        <f>'дод 3'!G149</f>
        <v>0</v>
      </c>
      <c r="G91" s="49">
        <f>'дод 3'!H149</f>
        <v>0</v>
      </c>
      <c r="H91" s="49">
        <f>'дод 3'!I149</f>
        <v>0</v>
      </c>
      <c r="I91" s="49">
        <f>'дод 3'!J149</f>
        <v>0</v>
      </c>
      <c r="J91" s="49">
        <f>'дод 3'!K149</f>
        <v>0</v>
      </c>
      <c r="K91" s="49">
        <f>'дод 3'!L149</f>
        <v>0</v>
      </c>
      <c r="L91" s="49">
        <f>'дод 3'!M149</f>
        <v>0</v>
      </c>
      <c r="M91" s="49">
        <f>'дод 3'!N149</f>
        <v>0</v>
      </c>
      <c r="N91" s="49">
        <f>'дод 3'!O149</f>
        <v>0</v>
      </c>
      <c r="O91" s="49">
        <f>'дод 3'!P149</f>
        <v>604900</v>
      </c>
      <c r="P91" s="180"/>
    </row>
    <row r="92" spans="1:16" ht="36.75" customHeight="1" x14ac:dyDescent="0.25">
      <c r="A92" s="37" t="s">
        <v>126</v>
      </c>
      <c r="B92" s="37" t="s">
        <v>55</v>
      </c>
      <c r="C92" s="3" t="s">
        <v>362</v>
      </c>
      <c r="D92" s="49">
        <f>'дод 3'!E150</f>
        <v>1129230</v>
      </c>
      <c r="E92" s="49">
        <f>'дод 3'!F150</f>
        <v>1129230</v>
      </c>
      <c r="F92" s="49">
        <f>'дод 3'!G150</f>
        <v>0</v>
      </c>
      <c r="G92" s="49">
        <f>'дод 3'!H150</f>
        <v>0</v>
      </c>
      <c r="H92" s="49">
        <f>'дод 3'!I150</f>
        <v>0</v>
      </c>
      <c r="I92" s="49">
        <f>'дод 3'!J150</f>
        <v>0</v>
      </c>
      <c r="J92" s="49">
        <f>'дод 3'!K150</f>
        <v>0</v>
      </c>
      <c r="K92" s="49">
        <f>'дод 3'!L150</f>
        <v>0</v>
      </c>
      <c r="L92" s="49">
        <f>'дод 3'!M150</f>
        <v>0</v>
      </c>
      <c r="M92" s="49">
        <f>'дод 3'!N150</f>
        <v>0</v>
      </c>
      <c r="N92" s="49">
        <f>'дод 3'!O150</f>
        <v>0</v>
      </c>
      <c r="O92" s="49">
        <f>'дод 3'!P150</f>
        <v>1129230</v>
      </c>
      <c r="P92" s="180"/>
    </row>
    <row r="93" spans="1:16" ht="33.75" customHeight="1" x14ac:dyDescent="0.25">
      <c r="A93" s="37" t="s">
        <v>101</v>
      </c>
      <c r="B93" s="37" t="s">
        <v>55</v>
      </c>
      <c r="C93" s="3" t="s">
        <v>413</v>
      </c>
      <c r="D93" s="49">
        <f>'дод 3'!E151+'дод 3'!E26</f>
        <v>23358451.240000002</v>
      </c>
      <c r="E93" s="49">
        <f>'дод 3'!F151+'дод 3'!F26</f>
        <v>23358451.240000002</v>
      </c>
      <c r="F93" s="49">
        <f>'дод 3'!G151+'дод 3'!G26</f>
        <v>0</v>
      </c>
      <c r="G93" s="49">
        <f>'дод 3'!H151+'дод 3'!H26</f>
        <v>0</v>
      </c>
      <c r="H93" s="49">
        <f>'дод 3'!I151+'дод 3'!I26</f>
        <v>0</v>
      </c>
      <c r="I93" s="49">
        <f>'дод 3'!J151+'дод 3'!J26</f>
        <v>0</v>
      </c>
      <c r="J93" s="49">
        <f>'дод 3'!K151+'дод 3'!K26</f>
        <v>0</v>
      </c>
      <c r="K93" s="49">
        <f>'дод 3'!L151+'дод 3'!L26</f>
        <v>0</v>
      </c>
      <c r="L93" s="49">
        <f>'дод 3'!M151+'дод 3'!M26</f>
        <v>0</v>
      </c>
      <c r="M93" s="49">
        <f>'дод 3'!N151+'дод 3'!N26</f>
        <v>0</v>
      </c>
      <c r="N93" s="49">
        <f>'дод 3'!O151+'дод 3'!O26</f>
        <v>0</v>
      </c>
      <c r="O93" s="49">
        <f>'дод 3'!P151+'дод 3'!P26</f>
        <v>23358451.240000002</v>
      </c>
      <c r="P93" s="180"/>
    </row>
    <row r="94" spans="1:16" s="54" customFormat="1" ht="21.75" customHeight="1" x14ac:dyDescent="0.25">
      <c r="A94" s="82"/>
      <c r="B94" s="82"/>
      <c r="C94" s="83" t="s">
        <v>395</v>
      </c>
      <c r="D94" s="84">
        <f>'дод 3'!E152</f>
        <v>3388251.24</v>
      </c>
      <c r="E94" s="84">
        <f>'дод 3'!F152</f>
        <v>3388251.24</v>
      </c>
      <c r="F94" s="84">
        <f>'дод 3'!G152</f>
        <v>0</v>
      </c>
      <c r="G94" s="84">
        <f>'дод 3'!H152</f>
        <v>0</v>
      </c>
      <c r="H94" s="84">
        <f>'дод 3'!I152</f>
        <v>0</v>
      </c>
      <c r="I94" s="84">
        <f>'дод 3'!J152</f>
        <v>0</v>
      </c>
      <c r="J94" s="84">
        <f>'дод 3'!K152</f>
        <v>0</v>
      </c>
      <c r="K94" s="84">
        <f>'дод 3'!L152</f>
        <v>0</v>
      </c>
      <c r="L94" s="84">
        <f>'дод 3'!M152</f>
        <v>0</v>
      </c>
      <c r="M94" s="84">
        <f>'дод 3'!N152</f>
        <v>0</v>
      </c>
      <c r="N94" s="84">
        <f>'дод 3'!O152</f>
        <v>0</v>
      </c>
      <c r="O94" s="84">
        <f>'дод 3'!P152</f>
        <v>3388251.24</v>
      </c>
      <c r="P94" s="180"/>
    </row>
    <row r="95" spans="1:16" ht="36" customHeight="1" x14ac:dyDescent="0.25">
      <c r="A95" s="37" t="s">
        <v>325</v>
      </c>
      <c r="B95" s="37" t="s">
        <v>55</v>
      </c>
      <c r="C95" s="3" t="s">
        <v>324</v>
      </c>
      <c r="D95" s="49">
        <f>'дод 3'!E153</f>
        <v>1500000</v>
      </c>
      <c r="E95" s="49">
        <f>'дод 3'!F153</f>
        <v>1500000</v>
      </c>
      <c r="F95" s="49">
        <f>'дод 3'!G153</f>
        <v>0</v>
      </c>
      <c r="G95" s="49">
        <f>'дод 3'!H153</f>
        <v>0</v>
      </c>
      <c r="H95" s="49">
        <f>'дод 3'!I153</f>
        <v>0</v>
      </c>
      <c r="I95" s="49">
        <f>'дод 3'!J153</f>
        <v>0</v>
      </c>
      <c r="J95" s="49">
        <f>'дод 3'!K153</f>
        <v>0</v>
      </c>
      <c r="K95" s="49">
        <f>'дод 3'!L153</f>
        <v>0</v>
      </c>
      <c r="L95" s="49">
        <f>'дод 3'!M153</f>
        <v>0</v>
      </c>
      <c r="M95" s="49">
        <f>'дод 3'!N153</f>
        <v>0</v>
      </c>
      <c r="N95" s="49">
        <f>'дод 3'!O153</f>
        <v>0</v>
      </c>
      <c r="O95" s="49">
        <f>'дод 3'!P153</f>
        <v>1500000</v>
      </c>
      <c r="P95" s="180"/>
    </row>
    <row r="96" spans="1:16" ht="35.25" customHeight="1" x14ac:dyDescent="0.25">
      <c r="A96" s="37" t="s">
        <v>127</v>
      </c>
      <c r="B96" s="37" t="s">
        <v>55</v>
      </c>
      <c r="C96" s="3" t="s">
        <v>19</v>
      </c>
      <c r="D96" s="49">
        <f>'дод 3'!E154+'дод 3'!E27</f>
        <v>37759500</v>
      </c>
      <c r="E96" s="49">
        <f>'дод 3'!F154+'дод 3'!F27</f>
        <v>37759500</v>
      </c>
      <c r="F96" s="49">
        <f>'дод 3'!G154+'дод 3'!G27</f>
        <v>0</v>
      </c>
      <c r="G96" s="49">
        <f>'дод 3'!H154+'дод 3'!H27</f>
        <v>0</v>
      </c>
      <c r="H96" s="49">
        <f>'дод 3'!I154+'дод 3'!I27</f>
        <v>0</v>
      </c>
      <c r="I96" s="49">
        <f>'дод 3'!J154+'дод 3'!J27</f>
        <v>0</v>
      </c>
      <c r="J96" s="49">
        <f>'дод 3'!K154+'дод 3'!K27</f>
        <v>0</v>
      </c>
      <c r="K96" s="49">
        <f>'дод 3'!L154+'дод 3'!L27</f>
        <v>0</v>
      </c>
      <c r="L96" s="49">
        <f>'дод 3'!M154+'дод 3'!M27</f>
        <v>0</v>
      </c>
      <c r="M96" s="49">
        <f>'дод 3'!N154+'дод 3'!N27</f>
        <v>0</v>
      </c>
      <c r="N96" s="49">
        <f>'дод 3'!O154+'дод 3'!O27</f>
        <v>0</v>
      </c>
      <c r="O96" s="49">
        <f>'дод 3'!P154+'дод 3'!P27</f>
        <v>37759500</v>
      </c>
      <c r="P96" s="180"/>
    </row>
    <row r="97" spans="1:16" ht="40.5" customHeight="1" x14ac:dyDescent="0.25">
      <c r="A97" s="37" t="s">
        <v>103</v>
      </c>
      <c r="B97" s="37" t="s">
        <v>55</v>
      </c>
      <c r="C97" s="3" t="s">
        <v>411</v>
      </c>
      <c r="D97" s="49">
        <f>'дод 3'!E155</f>
        <v>667500</v>
      </c>
      <c r="E97" s="49">
        <f>'дод 3'!F155</f>
        <v>667500</v>
      </c>
      <c r="F97" s="49">
        <f>'дод 3'!G155</f>
        <v>0</v>
      </c>
      <c r="G97" s="49">
        <f>'дод 3'!H155</f>
        <v>0</v>
      </c>
      <c r="H97" s="49">
        <f>'дод 3'!I155</f>
        <v>0</v>
      </c>
      <c r="I97" s="49">
        <f>'дод 3'!J155</f>
        <v>0</v>
      </c>
      <c r="J97" s="49">
        <f>'дод 3'!K155</f>
        <v>0</v>
      </c>
      <c r="K97" s="49">
        <f>'дод 3'!L155</f>
        <v>0</v>
      </c>
      <c r="L97" s="49">
        <f>'дод 3'!M155</f>
        <v>0</v>
      </c>
      <c r="M97" s="49">
        <f>'дод 3'!N155</f>
        <v>0</v>
      </c>
      <c r="N97" s="49">
        <f>'дод 3'!O155</f>
        <v>0</v>
      </c>
      <c r="O97" s="49">
        <f>'дод 3'!P155</f>
        <v>667500</v>
      </c>
      <c r="P97" s="180"/>
    </row>
    <row r="98" spans="1:16" s="54" customFormat="1" x14ac:dyDescent="0.25">
      <c r="A98" s="82"/>
      <c r="B98" s="82"/>
      <c r="C98" s="83" t="s">
        <v>395</v>
      </c>
      <c r="D98" s="84">
        <f>'дод 3'!E156</f>
        <v>667500</v>
      </c>
      <c r="E98" s="84">
        <f>'дод 3'!F156</f>
        <v>667500</v>
      </c>
      <c r="F98" s="84">
        <f>'дод 3'!G156</f>
        <v>0</v>
      </c>
      <c r="G98" s="84">
        <f>'дод 3'!H156</f>
        <v>0</v>
      </c>
      <c r="H98" s="84">
        <f>'дод 3'!I156</f>
        <v>0</v>
      </c>
      <c r="I98" s="84">
        <f>'дод 3'!J156</f>
        <v>0</v>
      </c>
      <c r="J98" s="84">
        <f>'дод 3'!K156</f>
        <v>0</v>
      </c>
      <c r="K98" s="84">
        <f>'дод 3'!L156</f>
        <v>0</v>
      </c>
      <c r="L98" s="84">
        <f>'дод 3'!M156</f>
        <v>0</v>
      </c>
      <c r="M98" s="84">
        <f>'дод 3'!N156</f>
        <v>0</v>
      </c>
      <c r="N98" s="84">
        <f>'дод 3'!O156</f>
        <v>0</v>
      </c>
      <c r="O98" s="84">
        <f>'дод 3'!P156</f>
        <v>667500</v>
      </c>
      <c r="P98" s="180"/>
    </row>
    <row r="99" spans="1:16" ht="40.5" customHeight="1" x14ac:dyDescent="0.25">
      <c r="A99" s="37" t="s">
        <v>317</v>
      </c>
      <c r="B99" s="37" t="s">
        <v>53</v>
      </c>
      <c r="C99" s="3" t="s">
        <v>412</v>
      </c>
      <c r="D99" s="49">
        <f>'дод 3'!E157</f>
        <v>245000</v>
      </c>
      <c r="E99" s="49">
        <f>'дод 3'!F157</f>
        <v>245000</v>
      </c>
      <c r="F99" s="49">
        <f>'дод 3'!G157</f>
        <v>0</v>
      </c>
      <c r="G99" s="49">
        <f>'дод 3'!H157</f>
        <v>0</v>
      </c>
      <c r="H99" s="49">
        <f>'дод 3'!I157</f>
        <v>0</v>
      </c>
      <c r="I99" s="49">
        <f>'дод 3'!J157</f>
        <v>0</v>
      </c>
      <c r="J99" s="49">
        <f>'дод 3'!K157</f>
        <v>0</v>
      </c>
      <c r="K99" s="49">
        <f>'дод 3'!L157</f>
        <v>0</v>
      </c>
      <c r="L99" s="49">
        <f>'дод 3'!M157</f>
        <v>0</v>
      </c>
      <c r="M99" s="49">
        <f>'дод 3'!N157</f>
        <v>0</v>
      </c>
      <c r="N99" s="49">
        <f>'дод 3'!O157</f>
        <v>0</v>
      </c>
      <c r="O99" s="49">
        <f>'дод 3'!P157</f>
        <v>245000</v>
      </c>
      <c r="P99" s="180"/>
    </row>
    <row r="100" spans="1:16" s="54" customFormat="1" x14ac:dyDescent="0.25">
      <c r="A100" s="82"/>
      <c r="B100" s="82"/>
      <c r="C100" s="83" t="s">
        <v>395</v>
      </c>
      <c r="D100" s="84">
        <f>'дод 3'!E158</f>
        <v>245000</v>
      </c>
      <c r="E100" s="84">
        <f>'дод 3'!F158</f>
        <v>245000</v>
      </c>
      <c r="F100" s="84">
        <f>'дод 3'!G158</f>
        <v>0</v>
      </c>
      <c r="G100" s="84">
        <f>'дод 3'!H158</f>
        <v>0</v>
      </c>
      <c r="H100" s="84">
        <f>'дод 3'!I158</f>
        <v>0</v>
      </c>
      <c r="I100" s="84">
        <f>'дод 3'!J158</f>
        <v>0</v>
      </c>
      <c r="J100" s="84">
        <f>'дод 3'!K158</f>
        <v>0</v>
      </c>
      <c r="K100" s="84">
        <f>'дод 3'!L158</f>
        <v>0</v>
      </c>
      <c r="L100" s="84">
        <f>'дод 3'!M158</f>
        <v>0</v>
      </c>
      <c r="M100" s="84">
        <f>'дод 3'!N158</f>
        <v>0</v>
      </c>
      <c r="N100" s="84">
        <f>'дод 3'!O158</f>
        <v>0</v>
      </c>
      <c r="O100" s="84">
        <f>'дод 3'!P158</f>
        <v>245000</v>
      </c>
      <c r="P100" s="180"/>
    </row>
    <row r="101" spans="1:16" ht="66.75" customHeight="1" x14ac:dyDescent="0.25">
      <c r="A101" s="37" t="s">
        <v>104</v>
      </c>
      <c r="B101" s="37" t="s">
        <v>51</v>
      </c>
      <c r="C101" s="3" t="s">
        <v>31</v>
      </c>
      <c r="D101" s="49">
        <f>'дод 3'!E159</f>
        <v>17434450</v>
      </c>
      <c r="E101" s="49">
        <f>'дод 3'!F159</f>
        <v>17434450</v>
      </c>
      <c r="F101" s="49">
        <f>'дод 3'!G159</f>
        <v>13551350</v>
      </c>
      <c r="G101" s="49">
        <f>'дод 3'!H159</f>
        <v>234800</v>
      </c>
      <c r="H101" s="49">
        <f>'дод 3'!I159</f>
        <v>0</v>
      </c>
      <c r="I101" s="49">
        <f>'дод 3'!J159</f>
        <v>96200</v>
      </c>
      <c r="J101" s="49">
        <f>'дод 3'!K159</f>
        <v>0</v>
      </c>
      <c r="K101" s="49">
        <f>'дод 3'!L159</f>
        <v>96200</v>
      </c>
      <c r="L101" s="49">
        <f>'дод 3'!M159</f>
        <v>75000</v>
      </c>
      <c r="M101" s="49">
        <f>'дод 3'!N159</f>
        <v>0</v>
      </c>
      <c r="N101" s="49">
        <f>'дод 3'!O159</f>
        <v>0</v>
      </c>
      <c r="O101" s="49">
        <f>'дод 3'!P159</f>
        <v>17530650</v>
      </c>
      <c r="P101" s="180"/>
    </row>
    <row r="102" spans="1:16" ht="69.75" customHeight="1" x14ac:dyDescent="0.25">
      <c r="A102" s="37" t="s">
        <v>334</v>
      </c>
      <c r="B102" s="37" t="s">
        <v>102</v>
      </c>
      <c r="C102" s="36" t="s">
        <v>335</v>
      </c>
      <c r="D102" s="49">
        <f>SUM('дод 3'!E183)</f>
        <v>71140</v>
      </c>
      <c r="E102" s="49">
        <f>SUM('дод 3'!F183)</f>
        <v>71140</v>
      </c>
      <c r="F102" s="49">
        <f>SUM('дод 3'!G183)</f>
        <v>0</v>
      </c>
      <c r="G102" s="49">
        <f>SUM('дод 3'!H183)</f>
        <v>0</v>
      </c>
      <c r="H102" s="49">
        <f>SUM('дод 3'!I183)</f>
        <v>0</v>
      </c>
      <c r="I102" s="49">
        <f>SUM('дод 3'!J183)</f>
        <v>0</v>
      </c>
      <c r="J102" s="49">
        <f>SUM('дод 3'!K183)</f>
        <v>0</v>
      </c>
      <c r="K102" s="49">
        <f>SUM('дод 3'!L183)</f>
        <v>0</v>
      </c>
      <c r="L102" s="49">
        <f>SUM('дод 3'!M183)</f>
        <v>0</v>
      </c>
      <c r="M102" s="49">
        <f>SUM('дод 3'!N183)</f>
        <v>0</v>
      </c>
      <c r="N102" s="49">
        <f>SUM('дод 3'!O183)</f>
        <v>0</v>
      </c>
      <c r="O102" s="49">
        <f>SUM('дод 3'!P183)</f>
        <v>71140</v>
      </c>
      <c r="P102" s="180"/>
    </row>
    <row r="103" spans="1:16" s="54" customFormat="1" ht="36" customHeight="1" x14ac:dyDescent="0.25">
      <c r="A103" s="37" t="s">
        <v>105</v>
      </c>
      <c r="B103" s="37" t="s">
        <v>102</v>
      </c>
      <c r="C103" s="3" t="s">
        <v>32</v>
      </c>
      <c r="D103" s="49">
        <f>'дод 3'!E184</f>
        <v>96240</v>
      </c>
      <c r="E103" s="49">
        <f>'дод 3'!F184</f>
        <v>96240</v>
      </c>
      <c r="F103" s="49">
        <f>'дод 3'!G184</f>
        <v>0</v>
      </c>
      <c r="G103" s="49">
        <f>'дод 3'!H184</f>
        <v>0</v>
      </c>
      <c r="H103" s="49">
        <f>'дод 3'!I184</f>
        <v>0</v>
      </c>
      <c r="I103" s="49">
        <f>'дод 3'!J184</f>
        <v>0</v>
      </c>
      <c r="J103" s="49">
        <f>'дод 3'!K184</f>
        <v>0</v>
      </c>
      <c r="K103" s="49">
        <f>'дод 3'!L184</f>
        <v>0</v>
      </c>
      <c r="L103" s="49">
        <f>'дод 3'!M184</f>
        <v>0</v>
      </c>
      <c r="M103" s="49">
        <f>'дод 3'!N184</f>
        <v>0</v>
      </c>
      <c r="N103" s="49">
        <f>'дод 3'!O184</f>
        <v>0</v>
      </c>
      <c r="O103" s="49">
        <f>'дод 3'!P184</f>
        <v>96240</v>
      </c>
      <c r="P103" s="180"/>
    </row>
    <row r="104" spans="1:16" s="54" customFormat="1" ht="38.25" customHeight="1" x14ac:dyDescent="0.25">
      <c r="A104" s="37" t="s">
        <v>128</v>
      </c>
      <c r="B104" s="37" t="s">
        <v>102</v>
      </c>
      <c r="C104" s="3" t="s">
        <v>511</v>
      </c>
      <c r="D104" s="49">
        <f>'дод 3'!E28</f>
        <v>3206400</v>
      </c>
      <c r="E104" s="49">
        <f>'дод 3'!F28</f>
        <v>3206400</v>
      </c>
      <c r="F104" s="49">
        <f>'дод 3'!G28</f>
        <v>2407050</v>
      </c>
      <c r="G104" s="49">
        <f>'дод 3'!H28</f>
        <v>39590</v>
      </c>
      <c r="H104" s="49">
        <f>'дод 3'!I28</f>
        <v>0</v>
      </c>
      <c r="I104" s="49">
        <f>'дод 3'!J28</f>
        <v>0</v>
      </c>
      <c r="J104" s="49">
        <f>'дод 3'!K28</f>
        <v>0</v>
      </c>
      <c r="K104" s="49">
        <f>'дод 3'!L28</f>
        <v>0</v>
      </c>
      <c r="L104" s="49">
        <f>'дод 3'!M28</f>
        <v>0</v>
      </c>
      <c r="M104" s="49">
        <f>'дод 3'!N28</f>
        <v>0</v>
      </c>
      <c r="N104" s="49">
        <f>'дод 3'!O28</f>
        <v>0</v>
      </c>
      <c r="O104" s="49">
        <f>'дод 3'!P28</f>
        <v>3206400</v>
      </c>
      <c r="P104" s="180"/>
    </row>
    <row r="105" spans="1:16" s="54" customFormat="1" ht="43.5" customHeight="1" x14ac:dyDescent="0.25">
      <c r="A105" s="40" t="s">
        <v>109</v>
      </c>
      <c r="B105" s="40" t="s">
        <v>102</v>
      </c>
      <c r="C105" s="3" t="s">
        <v>342</v>
      </c>
      <c r="D105" s="49">
        <f>'дод 3'!E29</f>
        <v>684300</v>
      </c>
      <c r="E105" s="49">
        <f>'дод 3'!F29</f>
        <v>684300</v>
      </c>
      <c r="F105" s="49">
        <f>'дод 3'!G29</f>
        <v>0</v>
      </c>
      <c r="G105" s="49">
        <f>'дод 3'!H29</f>
        <v>0</v>
      </c>
      <c r="H105" s="49">
        <f>'дод 3'!I29</f>
        <v>0</v>
      </c>
      <c r="I105" s="49">
        <f>'дод 3'!J29</f>
        <v>0</v>
      </c>
      <c r="J105" s="49">
        <f>'дод 3'!K29</f>
        <v>0</v>
      </c>
      <c r="K105" s="49">
        <f>'дод 3'!L29</f>
        <v>0</v>
      </c>
      <c r="L105" s="49">
        <f>'дод 3'!M29</f>
        <v>0</v>
      </c>
      <c r="M105" s="49">
        <f>'дод 3'!N29</f>
        <v>0</v>
      </c>
      <c r="N105" s="49">
        <f>'дод 3'!O29</f>
        <v>0</v>
      </c>
      <c r="O105" s="49">
        <f>'дод 3'!P29</f>
        <v>684300</v>
      </c>
      <c r="P105" s="180"/>
    </row>
    <row r="106" spans="1:16" ht="69" customHeight="1" x14ac:dyDescent="0.25">
      <c r="A106" s="37" t="s">
        <v>110</v>
      </c>
      <c r="B106" s="37" t="s">
        <v>102</v>
      </c>
      <c r="C106" s="6" t="s">
        <v>20</v>
      </c>
      <c r="D106" s="49">
        <f>'дод 3'!E30+'дод 3'!E98</f>
        <v>3780000</v>
      </c>
      <c r="E106" s="49">
        <f>'дод 3'!F30+'дод 3'!F98</f>
        <v>3780000</v>
      </c>
      <c r="F106" s="49">
        <f>'дод 3'!G30+'дод 3'!G98</f>
        <v>0</v>
      </c>
      <c r="G106" s="49">
        <f>'дод 3'!H30+'дод 3'!H98</f>
        <v>0</v>
      </c>
      <c r="H106" s="49">
        <f>'дод 3'!I30+'дод 3'!I98</f>
        <v>0</v>
      </c>
      <c r="I106" s="49">
        <f>'дод 3'!J30+'дод 3'!J98</f>
        <v>0</v>
      </c>
      <c r="J106" s="49">
        <f>'дод 3'!K30+'дод 3'!K98</f>
        <v>0</v>
      </c>
      <c r="K106" s="49">
        <f>'дод 3'!L30+'дод 3'!L98</f>
        <v>0</v>
      </c>
      <c r="L106" s="49">
        <f>'дод 3'!M30+'дод 3'!M98</f>
        <v>0</v>
      </c>
      <c r="M106" s="49">
        <f>'дод 3'!N30+'дод 3'!N98</f>
        <v>0</v>
      </c>
      <c r="N106" s="49">
        <f>'дод 3'!O30+'дод 3'!O98</f>
        <v>0</v>
      </c>
      <c r="O106" s="49">
        <f>'дод 3'!P30+'дод 3'!P98</f>
        <v>3780000</v>
      </c>
      <c r="P106" s="180"/>
    </row>
    <row r="107" spans="1:16" ht="69.75" customHeight="1" x14ac:dyDescent="0.25">
      <c r="A107" s="37" t="s">
        <v>111</v>
      </c>
      <c r="B107" s="37">
        <v>1010</v>
      </c>
      <c r="C107" s="3" t="s">
        <v>288</v>
      </c>
      <c r="D107" s="49">
        <f>'дод 3'!E160</f>
        <v>2500000</v>
      </c>
      <c r="E107" s="49">
        <f>'дод 3'!F160</f>
        <v>2500000</v>
      </c>
      <c r="F107" s="49">
        <f>'дод 3'!G160</f>
        <v>0</v>
      </c>
      <c r="G107" s="49">
        <f>'дод 3'!H160</f>
        <v>0</v>
      </c>
      <c r="H107" s="49">
        <f>'дод 3'!I160</f>
        <v>0</v>
      </c>
      <c r="I107" s="49">
        <f>'дод 3'!J160</f>
        <v>0</v>
      </c>
      <c r="J107" s="49">
        <f>'дод 3'!K160</f>
        <v>0</v>
      </c>
      <c r="K107" s="49">
        <f>'дод 3'!L160</f>
        <v>0</v>
      </c>
      <c r="L107" s="49">
        <f>'дод 3'!M160</f>
        <v>0</v>
      </c>
      <c r="M107" s="49">
        <f>'дод 3'!N160</f>
        <v>0</v>
      </c>
      <c r="N107" s="49">
        <f>'дод 3'!O160</f>
        <v>0</v>
      </c>
      <c r="O107" s="49">
        <f>'дод 3'!P160</f>
        <v>2500000</v>
      </c>
      <c r="P107" s="180">
        <v>109</v>
      </c>
    </row>
    <row r="108" spans="1:16" s="54" customFormat="1" ht="64.5" customHeight="1" x14ac:dyDescent="0.25">
      <c r="A108" s="37" t="s">
        <v>318</v>
      </c>
      <c r="B108" s="37">
        <v>1010</v>
      </c>
      <c r="C108" s="3" t="s">
        <v>407</v>
      </c>
      <c r="D108" s="49">
        <f>'дод 3'!E161</f>
        <v>198209</v>
      </c>
      <c r="E108" s="49">
        <f>'дод 3'!F161</f>
        <v>198209</v>
      </c>
      <c r="F108" s="49">
        <f>'дод 3'!G161</f>
        <v>0</v>
      </c>
      <c r="G108" s="49">
        <f>'дод 3'!H161</f>
        <v>0</v>
      </c>
      <c r="H108" s="49">
        <f>'дод 3'!I161</f>
        <v>0</v>
      </c>
      <c r="I108" s="49">
        <f>'дод 3'!J161</f>
        <v>0</v>
      </c>
      <c r="J108" s="49">
        <f>'дод 3'!K161</f>
        <v>0</v>
      </c>
      <c r="K108" s="49">
        <f>'дод 3'!L161</f>
        <v>0</v>
      </c>
      <c r="L108" s="49">
        <f>'дод 3'!M161</f>
        <v>0</v>
      </c>
      <c r="M108" s="49">
        <f>'дод 3'!N161</f>
        <v>0</v>
      </c>
      <c r="N108" s="49">
        <f>'дод 3'!O161</f>
        <v>0</v>
      </c>
      <c r="O108" s="49">
        <f>'дод 3'!P161</f>
        <v>198209</v>
      </c>
      <c r="P108" s="180"/>
    </row>
    <row r="109" spans="1:16" s="54" customFormat="1" x14ac:dyDescent="0.25">
      <c r="A109" s="82"/>
      <c r="B109" s="82"/>
      <c r="C109" s="83" t="s">
        <v>395</v>
      </c>
      <c r="D109" s="84">
        <f>'дод 3'!E162</f>
        <v>198209</v>
      </c>
      <c r="E109" s="84">
        <f>'дод 3'!F162</f>
        <v>198209</v>
      </c>
      <c r="F109" s="84">
        <f>'дод 3'!G162</f>
        <v>0</v>
      </c>
      <c r="G109" s="84">
        <f>'дод 3'!H162</f>
        <v>0</v>
      </c>
      <c r="H109" s="84">
        <f>'дод 3'!I162</f>
        <v>0</v>
      </c>
      <c r="I109" s="84">
        <f>'дод 3'!J162</f>
        <v>0</v>
      </c>
      <c r="J109" s="84">
        <f>'дод 3'!K162</f>
        <v>0</v>
      </c>
      <c r="K109" s="84">
        <f>'дод 3'!L162</f>
        <v>0</v>
      </c>
      <c r="L109" s="84">
        <f>'дод 3'!M162</f>
        <v>0</v>
      </c>
      <c r="M109" s="84">
        <f>'дод 3'!N162</f>
        <v>0</v>
      </c>
      <c r="N109" s="84">
        <f>'дод 3'!O162</f>
        <v>0</v>
      </c>
      <c r="O109" s="84">
        <f>'дод 3'!P162</f>
        <v>198209</v>
      </c>
      <c r="P109" s="180"/>
    </row>
    <row r="110" spans="1:16" s="54" customFormat="1" ht="36" customHeight="1" x14ac:dyDescent="0.25">
      <c r="A110" s="37" t="s">
        <v>319</v>
      </c>
      <c r="B110" s="37">
        <v>1010</v>
      </c>
      <c r="C110" s="3" t="s">
        <v>408</v>
      </c>
      <c r="D110" s="49">
        <f>'дод 3'!E163</f>
        <v>90</v>
      </c>
      <c r="E110" s="49">
        <f>'дод 3'!F163</f>
        <v>90</v>
      </c>
      <c r="F110" s="49">
        <f>'дод 3'!G163</f>
        <v>0</v>
      </c>
      <c r="G110" s="49">
        <f>'дод 3'!H163</f>
        <v>0</v>
      </c>
      <c r="H110" s="49">
        <f>'дод 3'!I163</f>
        <v>0</v>
      </c>
      <c r="I110" s="49">
        <f>'дод 3'!J163</f>
        <v>0</v>
      </c>
      <c r="J110" s="49">
        <f>'дод 3'!K163</f>
        <v>0</v>
      </c>
      <c r="K110" s="49">
        <f>'дод 3'!L163</f>
        <v>0</v>
      </c>
      <c r="L110" s="49">
        <f>'дод 3'!M163</f>
        <v>0</v>
      </c>
      <c r="M110" s="49">
        <f>'дод 3'!N163</f>
        <v>0</v>
      </c>
      <c r="N110" s="49">
        <f>'дод 3'!O163</f>
        <v>0</v>
      </c>
      <c r="O110" s="49">
        <f>'дод 3'!P163</f>
        <v>90</v>
      </c>
      <c r="P110" s="180"/>
    </row>
    <row r="111" spans="1:16" s="54" customFormat="1" x14ac:dyDescent="0.25">
      <c r="A111" s="82"/>
      <c r="B111" s="82"/>
      <c r="C111" s="83" t="s">
        <v>395</v>
      </c>
      <c r="D111" s="84">
        <f>'дод 3'!E164</f>
        <v>90</v>
      </c>
      <c r="E111" s="84">
        <f>'дод 3'!F164</f>
        <v>90</v>
      </c>
      <c r="F111" s="84">
        <f>'дод 3'!G164</f>
        <v>0</v>
      </c>
      <c r="G111" s="84">
        <f>'дод 3'!H164</f>
        <v>0</v>
      </c>
      <c r="H111" s="84">
        <f>'дод 3'!I164</f>
        <v>0</v>
      </c>
      <c r="I111" s="84">
        <f>'дод 3'!J164</f>
        <v>0</v>
      </c>
      <c r="J111" s="84">
        <f>'дод 3'!K164</f>
        <v>0</v>
      </c>
      <c r="K111" s="84">
        <f>'дод 3'!L164</f>
        <v>0</v>
      </c>
      <c r="L111" s="84">
        <f>'дод 3'!M164</f>
        <v>0</v>
      </c>
      <c r="M111" s="84">
        <f>'дод 3'!N164</f>
        <v>0</v>
      </c>
      <c r="N111" s="84">
        <f>'дод 3'!O164</f>
        <v>0</v>
      </c>
      <c r="O111" s="84">
        <f>'дод 3'!P164</f>
        <v>90</v>
      </c>
      <c r="P111" s="180"/>
    </row>
    <row r="112" spans="1:16" ht="66" customHeight="1" x14ac:dyDescent="0.25">
      <c r="A112" s="37" t="s">
        <v>106</v>
      </c>
      <c r="B112" s="37" t="s">
        <v>54</v>
      </c>
      <c r="C112" s="3" t="s">
        <v>343</v>
      </c>
      <c r="D112" s="49">
        <f>'дод 3'!E165</f>
        <v>2213520</v>
      </c>
      <c r="E112" s="49">
        <f>'дод 3'!F165</f>
        <v>2213520</v>
      </c>
      <c r="F112" s="49">
        <f>'дод 3'!G165</f>
        <v>0</v>
      </c>
      <c r="G112" s="49">
        <f>'дод 3'!H165</f>
        <v>0</v>
      </c>
      <c r="H112" s="49">
        <f>'дод 3'!I165</f>
        <v>0</v>
      </c>
      <c r="I112" s="49">
        <f>'дод 3'!J165</f>
        <v>0</v>
      </c>
      <c r="J112" s="49">
        <f>'дод 3'!K165</f>
        <v>0</v>
      </c>
      <c r="K112" s="49">
        <f>'дод 3'!L165</f>
        <v>0</v>
      </c>
      <c r="L112" s="49">
        <f>'дод 3'!M165</f>
        <v>0</v>
      </c>
      <c r="M112" s="49">
        <f>'дод 3'!N165</f>
        <v>0</v>
      </c>
      <c r="N112" s="49">
        <f>'дод 3'!O165</f>
        <v>0</v>
      </c>
      <c r="O112" s="49">
        <f>'дод 3'!P165</f>
        <v>2213520</v>
      </c>
      <c r="P112" s="180"/>
    </row>
    <row r="113" spans="1:16" s="54" customFormat="1" ht="23.25" customHeight="1" x14ac:dyDescent="0.25">
      <c r="A113" s="37" t="s">
        <v>289</v>
      </c>
      <c r="B113" s="37" t="s">
        <v>53</v>
      </c>
      <c r="C113" s="3" t="s">
        <v>18</v>
      </c>
      <c r="D113" s="49">
        <f>'дод 3'!E166</f>
        <v>2089960</v>
      </c>
      <c r="E113" s="49">
        <f>'дод 3'!F166</f>
        <v>2089960</v>
      </c>
      <c r="F113" s="49">
        <f>'дод 3'!G166</f>
        <v>0</v>
      </c>
      <c r="G113" s="49">
        <f>'дод 3'!H166</f>
        <v>0</v>
      </c>
      <c r="H113" s="49">
        <f>'дод 3'!I166</f>
        <v>0</v>
      </c>
      <c r="I113" s="49">
        <f>'дод 3'!J166</f>
        <v>0</v>
      </c>
      <c r="J113" s="49">
        <f>'дод 3'!K166</f>
        <v>0</v>
      </c>
      <c r="K113" s="49">
        <f>'дод 3'!L166</f>
        <v>0</v>
      </c>
      <c r="L113" s="49">
        <f>'дод 3'!M166</f>
        <v>0</v>
      </c>
      <c r="M113" s="49">
        <f>'дод 3'!N166</f>
        <v>0</v>
      </c>
      <c r="N113" s="49">
        <f>'дод 3'!O166</f>
        <v>0</v>
      </c>
      <c r="O113" s="49">
        <f>'дод 3'!P166</f>
        <v>2089960</v>
      </c>
      <c r="P113" s="180"/>
    </row>
    <row r="114" spans="1:16" s="54" customFormat="1" ht="51" customHeight="1" x14ac:dyDescent="0.25">
      <c r="A114" s="37" t="s">
        <v>290</v>
      </c>
      <c r="B114" s="37" t="s">
        <v>53</v>
      </c>
      <c r="C114" s="61" t="s">
        <v>512</v>
      </c>
      <c r="D114" s="49">
        <f>'дод 3'!E167</f>
        <v>2250688</v>
      </c>
      <c r="E114" s="49">
        <f>'дод 3'!F167</f>
        <v>2250688</v>
      </c>
      <c r="F114" s="49">
        <f>'дод 3'!G167</f>
        <v>0</v>
      </c>
      <c r="G114" s="49">
        <f>'дод 3'!H167</f>
        <v>0</v>
      </c>
      <c r="H114" s="49">
        <f>'дод 3'!I167</f>
        <v>0</v>
      </c>
      <c r="I114" s="49">
        <f>'дод 3'!J167</f>
        <v>0</v>
      </c>
      <c r="J114" s="49">
        <f>'дод 3'!K167</f>
        <v>0</v>
      </c>
      <c r="K114" s="49">
        <f>'дод 3'!L167</f>
        <v>0</v>
      </c>
      <c r="L114" s="49">
        <f>'дод 3'!M167</f>
        <v>0</v>
      </c>
      <c r="M114" s="49">
        <f>'дод 3'!N167</f>
        <v>0</v>
      </c>
      <c r="N114" s="49">
        <f>'дод 3'!O167</f>
        <v>0</v>
      </c>
      <c r="O114" s="49">
        <f>'дод 3'!P167</f>
        <v>2250688</v>
      </c>
      <c r="P114" s="180"/>
    </row>
    <row r="115" spans="1:16" ht="36.75" customHeight="1" x14ac:dyDescent="0.25">
      <c r="A115" s="37" t="s">
        <v>107</v>
      </c>
      <c r="B115" s="37" t="s">
        <v>57</v>
      </c>
      <c r="C115" s="3" t="s">
        <v>344</v>
      </c>
      <c r="D115" s="49">
        <f>'дод 3'!E168</f>
        <v>92000</v>
      </c>
      <c r="E115" s="49">
        <f>'дод 3'!F168</f>
        <v>92000</v>
      </c>
      <c r="F115" s="49">
        <f>'дод 3'!G168</f>
        <v>0</v>
      </c>
      <c r="G115" s="49">
        <f>'дод 3'!H168</f>
        <v>0</v>
      </c>
      <c r="H115" s="49">
        <f>'дод 3'!I168</f>
        <v>0</v>
      </c>
      <c r="I115" s="49">
        <f>'дод 3'!J168</f>
        <v>0</v>
      </c>
      <c r="J115" s="49">
        <f>'дод 3'!K168</f>
        <v>0</v>
      </c>
      <c r="K115" s="49">
        <f>'дод 3'!L168</f>
        <v>0</v>
      </c>
      <c r="L115" s="49">
        <f>'дод 3'!M168</f>
        <v>0</v>
      </c>
      <c r="M115" s="49">
        <f>'дод 3'!N168</f>
        <v>0</v>
      </c>
      <c r="N115" s="49">
        <f>'дод 3'!O168</f>
        <v>0</v>
      </c>
      <c r="O115" s="49">
        <f>'дод 3'!P168</f>
        <v>92000</v>
      </c>
      <c r="P115" s="180"/>
    </row>
    <row r="116" spans="1:16" ht="20.25" customHeight="1" x14ac:dyDescent="0.25">
      <c r="A116" s="37" t="s">
        <v>291</v>
      </c>
      <c r="B116" s="37" t="s">
        <v>108</v>
      </c>
      <c r="C116" s="3" t="s">
        <v>38</v>
      </c>
      <c r="D116" s="49">
        <f>'дод 3'!E169+'дод 3'!E206</f>
        <v>250000</v>
      </c>
      <c r="E116" s="49">
        <f>'дод 3'!F169+'дод 3'!F206</f>
        <v>250000</v>
      </c>
      <c r="F116" s="49">
        <f>'дод 3'!G169+'дод 3'!G206</f>
        <v>40900</v>
      </c>
      <c r="G116" s="49">
        <f>'дод 3'!H169+'дод 3'!H206</f>
        <v>0</v>
      </c>
      <c r="H116" s="49">
        <f>'дод 3'!I169+'дод 3'!I206</f>
        <v>0</v>
      </c>
      <c r="I116" s="49">
        <f>'дод 3'!J169+'дод 3'!J206</f>
        <v>0</v>
      </c>
      <c r="J116" s="49">
        <f>'дод 3'!K169+'дод 3'!K206</f>
        <v>0</v>
      </c>
      <c r="K116" s="49">
        <f>'дод 3'!L169+'дод 3'!L206</f>
        <v>0</v>
      </c>
      <c r="L116" s="49">
        <f>'дод 3'!M169+'дод 3'!M206</f>
        <v>0</v>
      </c>
      <c r="M116" s="49">
        <f>'дод 3'!N169+'дод 3'!N206</f>
        <v>0</v>
      </c>
      <c r="N116" s="49">
        <f>'дод 3'!O169+'дод 3'!O206</f>
        <v>0</v>
      </c>
      <c r="O116" s="49">
        <f>'дод 3'!P169+'дод 3'!P206</f>
        <v>250000</v>
      </c>
      <c r="P116" s="180"/>
    </row>
    <row r="117" spans="1:16" ht="236.25" hidden="1" customHeight="1" x14ac:dyDescent="0.25">
      <c r="A117" s="37">
        <v>3221</v>
      </c>
      <c r="B117" s="59" t="s">
        <v>54</v>
      </c>
      <c r="C117" s="36" t="s">
        <v>445</v>
      </c>
      <c r="D117" s="49">
        <f>'дод 3'!E170</f>
        <v>0</v>
      </c>
      <c r="E117" s="49">
        <f>'дод 3'!F170</f>
        <v>0</v>
      </c>
      <c r="F117" s="49">
        <f>'дод 3'!G170</f>
        <v>0</v>
      </c>
      <c r="G117" s="49">
        <f>'дод 3'!H170</f>
        <v>0</v>
      </c>
      <c r="H117" s="49">
        <f>'дод 3'!I170</f>
        <v>0</v>
      </c>
      <c r="I117" s="49">
        <f>'дод 3'!J170</f>
        <v>0</v>
      </c>
      <c r="J117" s="49">
        <f>'дод 3'!K170</f>
        <v>0</v>
      </c>
      <c r="K117" s="49">
        <f>'дод 3'!L170</f>
        <v>0</v>
      </c>
      <c r="L117" s="49">
        <f>'дод 3'!M170</f>
        <v>0</v>
      </c>
      <c r="M117" s="49">
        <f>'дод 3'!N170</f>
        <v>0</v>
      </c>
      <c r="N117" s="49">
        <f>'дод 3'!O170</f>
        <v>0</v>
      </c>
      <c r="O117" s="49">
        <f>'дод 3'!P170</f>
        <v>0</v>
      </c>
      <c r="P117" s="180"/>
    </row>
    <row r="118" spans="1:16" s="54" customFormat="1" ht="283.5" hidden="1" customHeight="1" x14ac:dyDescent="0.25">
      <c r="A118" s="82"/>
      <c r="B118" s="93"/>
      <c r="C118" s="91" t="s">
        <v>448</v>
      </c>
      <c r="D118" s="84">
        <f>'дод 3'!E171</f>
        <v>0</v>
      </c>
      <c r="E118" s="84">
        <f>'дод 3'!F171</f>
        <v>0</v>
      </c>
      <c r="F118" s="84">
        <f>'дод 3'!G171</f>
        <v>0</v>
      </c>
      <c r="G118" s="84">
        <f>'дод 3'!H171</f>
        <v>0</v>
      </c>
      <c r="H118" s="84">
        <f>'дод 3'!I171</f>
        <v>0</v>
      </c>
      <c r="I118" s="84">
        <f>'дод 3'!J171</f>
        <v>0</v>
      </c>
      <c r="J118" s="84">
        <f>'дод 3'!K171</f>
        <v>0</v>
      </c>
      <c r="K118" s="84">
        <f>'дод 3'!L171</f>
        <v>0</v>
      </c>
      <c r="L118" s="84">
        <f>'дод 3'!M171</f>
        <v>0</v>
      </c>
      <c r="M118" s="84">
        <f>'дод 3'!N171</f>
        <v>0</v>
      </c>
      <c r="N118" s="84">
        <f>'дод 3'!O171</f>
        <v>0</v>
      </c>
      <c r="O118" s="84">
        <f>'дод 3'!P171</f>
        <v>0</v>
      </c>
      <c r="P118" s="180"/>
    </row>
    <row r="119" spans="1:16" ht="189" hidden="1" customHeight="1" x14ac:dyDescent="0.25">
      <c r="A119" s="37">
        <v>3223</v>
      </c>
      <c r="B119" s="59" t="s">
        <v>54</v>
      </c>
      <c r="C119" s="36" t="s">
        <v>446</v>
      </c>
      <c r="D119" s="49">
        <f>'дод 3'!E172</f>
        <v>0</v>
      </c>
      <c r="E119" s="49">
        <f>'дод 3'!F172</f>
        <v>0</v>
      </c>
      <c r="F119" s="49">
        <f>'дод 3'!G172</f>
        <v>0</v>
      </c>
      <c r="G119" s="49">
        <f>'дод 3'!H172</f>
        <v>0</v>
      </c>
      <c r="H119" s="49">
        <f>'дод 3'!I172</f>
        <v>0</v>
      </c>
      <c r="I119" s="49">
        <f>'дод 3'!J172</f>
        <v>0</v>
      </c>
      <c r="J119" s="49">
        <f>'дод 3'!K172</f>
        <v>0</v>
      </c>
      <c r="K119" s="49">
        <f>'дод 3'!L172</f>
        <v>0</v>
      </c>
      <c r="L119" s="49">
        <f>'дод 3'!M172</f>
        <v>0</v>
      </c>
      <c r="M119" s="49">
        <f>'дод 3'!N172</f>
        <v>0</v>
      </c>
      <c r="N119" s="49">
        <f>'дод 3'!O172</f>
        <v>0</v>
      </c>
      <c r="O119" s="49">
        <f>'дод 3'!P172</f>
        <v>0</v>
      </c>
      <c r="P119" s="180"/>
    </row>
    <row r="120" spans="1:16" s="54" customFormat="1" ht="236.25" hidden="1" customHeight="1" x14ac:dyDescent="0.25">
      <c r="A120" s="82"/>
      <c r="B120" s="93"/>
      <c r="C120" s="91" t="s">
        <v>447</v>
      </c>
      <c r="D120" s="84">
        <f>'дод 3'!E173</f>
        <v>0</v>
      </c>
      <c r="E120" s="84">
        <f>'дод 3'!F173</f>
        <v>0</v>
      </c>
      <c r="F120" s="84">
        <f>'дод 3'!G173</f>
        <v>0</v>
      </c>
      <c r="G120" s="84">
        <f>'дод 3'!H173</f>
        <v>0</v>
      </c>
      <c r="H120" s="84">
        <f>'дод 3'!I173</f>
        <v>0</v>
      </c>
      <c r="I120" s="84">
        <f>'дод 3'!J173</f>
        <v>0</v>
      </c>
      <c r="J120" s="84">
        <f>'дод 3'!K173</f>
        <v>0</v>
      </c>
      <c r="K120" s="84">
        <f>'дод 3'!L173</f>
        <v>0</v>
      </c>
      <c r="L120" s="84">
        <f>'дод 3'!M173</f>
        <v>0</v>
      </c>
      <c r="M120" s="84">
        <f>'дод 3'!N173</f>
        <v>0</v>
      </c>
      <c r="N120" s="84">
        <f>'дод 3'!O173</f>
        <v>0</v>
      </c>
      <c r="O120" s="84">
        <f>'дод 3'!P173</f>
        <v>0</v>
      </c>
      <c r="P120" s="180"/>
    </row>
    <row r="121" spans="1:16" s="54" customFormat="1" ht="32.25" customHeight="1" x14ac:dyDescent="0.25">
      <c r="A121" s="37" t="s">
        <v>292</v>
      </c>
      <c r="B121" s="37" t="s">
        <v>57</v>
      </c>
      <c r="C121" s="3" t="s">
        <v>294</v>
      </c>
      <c r="D121" s="49">
        <f>'дод 3'!E174+'дод 3'!E31</f>
        <v>8172008.5599999996</v>
      </c>
      <c r="E121" s="49">
        <f>'дод 3'!F174+'дод 3'!F31</f>
        <v>8172008.5599999996</v>
      </c>
      <c r="F121" s="49">
        <f>'дод 3'!G174+'дод 3'!G31</f>
        <v>5153600</v>
      </c>
      <c r="G121" s="49">
        <f>'дод 3'!H174+'дод 3'!H31</f>
        <v>429840</v>
      </c>
      <c r="H121" s="49">
        <f>'дод 3'!I174+'дод 3'!I31</f>
        <v>0</v>
      </c>
      <c r="I121" s="49">
        <f>'дод 3'!J174+'дод 3'!J31</f>
        <v>360000</v>
      </c>
      <c r="J121" s="49">
        <f>'дод 3'!K174+'дод 3'!K31</f>
        <v>360000</v>
      </c>
      <c r="K121" s="49">
        <f>'дод 3'!L174+'дод 3'!L31</f>
        <v>0</v>
      </c>
      <c r="L121" s="49">
        <f>'дод 3'!M174+'дод 3'!M31</f>
        <v>0</v>
      </c>
      <c r="M121" s="49">
        <f>'дод 3'!N174+'дод 3'!N31</f>
        <v>0</v>
      </c>
      <c r="N121" s="49">
        <f>'дод 3'!O174+'дод 3'!O31</f>
        <v>360000</v>
      </c>
      <c r="O121" s="49">
        <f>'дод 3'!P174+'дод 3'!P31</f>
        <v>8532008.5599999987</v>
      </c>
      <c r="P121" s="180"/>
    </row>
    <row r="122" spans="1:16" s="54" customFormat="1" ht="31.5" customHeight="1" x14ac:dyDescent="0.25">
      <c r="A122" s="37" t="s">
        <v>293</v>
      </c>
      <c r="B122" s="37" t="s">
        <v>57</v>
      </c>
      <c r="C122" s="3" t="s">
        <v>525</v>
      </c>
      <c r="D122" s="49">
        <f>'дод 3'!E32+'дод 3'!E99+'дод 3'!E175</f>
        <v>38673092.549999997</v>
      </c>
      <c r="E122" s="49">
        <f>'дод 3'!F32+'дод 3'!F99+'дод 3'!F175</f>
        <v>38673092.549999997</v>
      </c>
      <c r="F122" s="49">
        <f>'дод 3'!G32+'дод 3'!G99+'дод 3'!G175</f>
        <v>0</v>
      </c>
      <c r="G122" s="49">
        <f>'дод 3'!H32+'дод 3'!H99+'дод 3'!H175</f>
        <v>0</v>
      </c>
      <c r="H122" s="49">
        <f>'дод 3'!I32+'дод 3'!I99+'дод 3'!I175</f>
        <v>0</v>
      </c>
      <c r="I122" s="49">
        <f>'дод 3'!J32+'дод 3'!J99+'дод 3'!J175</f>
        <v>45000</v>
      </c>
      <c r="J122" s="49">
        <f>'дод 3'!K32+'дод 3'!K99+'дод 3'!K175</f>
        <v>45000</v>
      </c>
      <c r="K122" s="49">
        <f>'дод 3'!L32+'дод 3'!L99+'дод 3'!L175</f>
        <v>0</v>
      </c>
      <c r="L122" s="49">
        <f>'дод 3'!M32+'дод 3'!M99+'дод 3'!M175</f>
        <v>0</v>
      </c>
      <c r="M122" s="49">
        <f>'дод 3'!N32+'дод 3'!N99+'дод 3'!N175</f>
        <v>0</v>
      </c>
      <c r="N122" s="49">
        <f>'дод 3'!O32+'дод 3'!O99+'дод 3'!O175</f>
        <v>45000</v>
      </c>
      <c r="O122" s="49">
        <f>'дод 3'!P32+'дод 3'!P99+'дод 3'!P175</f>
        <v>38718092.549999997</v>
      </c>
      <c r="P122" s="180"/>
    </row>
    <row r="123" spans="1:16" s="54" customFormat="1" x14ac:dyDescent="0.25">
      <c r="A123" s="82"/>
      <c r="B123" s="82"/>
      <c r="C123" s="83" t="s">
        <v>395</v>
      </c>
      <c r="D123" s="84">
        <f>'дод 3'!E176</f>
        <v>348000</v>
      </c>
      <c r="E123" s="84">
        <f>'дод 3'!F176</f>
        <v>348000</v>
      </c>
      <c r="F123" s="84">
        <f>'дод 3'!G176</f>
        <v>0</v>
      </c>
      <c r="G123" s="84">
        <f>'дод 3'!H176</f>
        <v>0</v>
      </c>
      <c r="H123" s="84">
        <f>'дод 3'!I176</f>
        <v>0</v>
      </c>
      <c r="I123" s="84">
        <f>'дод 3'!J176</f>
        <v>0</v>
      </c>
      <c r="J123" s="84">
        <f>'дод 3'!K176</f>
        <v>0</v>
      </c>
      <c r="K123" s="84">
        <f>'дод 3'!L176</f>
        <v>0</v>
      </c>
      <c r="L123" s="84">
        <f>'дод 3'!M176</f>
        <v>0</v>
      </c>
      <c r="M123" s="84">
        <f>'дод 3'!N176</f>
        <v>0</v>
      </c>
      <c r="N123" s="84">
        <f>'дод 3'!O176</f>
        <v>0</v>
      </c>
      <c r="O123" s="84">
        <f>'дод 3'!P176</f>
        <v>348000</v>
      </c>
      <c r="P123" s="180"/>
    </row>
    <row r="124" spans="1:16" s="52" customFormat="1" ht="19.5" customHeight="1" x14ac:dyDescent="0.25">
      <c r="A124" s="38" t="s">
        <v>72</v>
      </c>
      <c r="B124" s="41"/>
      <c r="C124" s="2" t="s">
        <v>73</v>
      </c>
      <c r="D124" s="48">
        <f t="shared" ref="D124:O124" si="18">D125+D126+D127+D128</f>
        <v>35995541</v>
      </c>
      <c r="E124" s="48">
        <f t="shared" si="18"/>
        <v>35995541</v>
      </c>
      <c r="F124" s="48">
        <f t="shared" si="18"/>
        <v>24290500</v>
      </c>
      <c r="G124" s="48">
        <f t="shared" si="18"/>
        <v>1854460</v>
      </c>
      <c r="H124" s="48">
        <f t="shared" si="18"/>
        <v>0</v>
      </c>
      <c r="I124" s="48">
        <f t="shared" si="18"/>
        <v>479000</v>
      </c>
      <c r="J124" s="48">
        <f t="shared" si="18"/>
        <v>448000</v>
      </c>
      <c r="K124" s="48">
        <f t="shared" si="18"/>
        <v>31000</v>
      </c>
      <c r="L124" s="48">
        <f t="shared" si="18"/>
        <v>12100</v>
      </c>
      <c r="M124" s="48">
        <f t="shared" si="18"/>
        <v>3300</v>
      </c>
      <c r="N124" s="48">
        <f t="shared" si="18"/>
        <v>448000</v>
      </c>
      <c r="O124" s="48">
        <f t="shared" si="18"/>
        <v>36474541</v>
      </c>
      <c r="P124" s="180"/>
    </row>
    <row r="125" spans="1:16" ht="22.5" customHeight="1" x14ac:dyDescent="0.25">
      <c r="A125" s="37" t="s">
        <v>74</v>
      </c>
      <c r="B125" s="37" t="s">
        <v>75</v>
      </c>
      <c r="C125" s="3" t="s">
        <v>15</v>
      </c>
      <c r="D125" s="49">
        <f>'дод 3'!E191</f>
        <v>22816900</v>
      </c>
      <c r="E125" s="49">
        <f>'дод 3'!F191</f>
        <v>22816900</v>
      </c>
      <c r="F125" s="49">
        <f>'дод 3'!G191</f>
        <v>16852700</v>
      </c>
      <c r="G125" s="49">
        <f>'дод 3'!H191</f>
        <v>1133500</v>
      </c>
      <c r="H125" s="49">
        <f>'дод 3'!I191</f>
        <v>0</v>
      </c>
      <c r="I125" s="49">
        <f>'дод 3'!J191</f>
        <v>245000</v>
      </c>
      <c r="J125" s="49">
        <f>'дод 3'!K191</f>
        <v>220000</v>
      </c>
      <c r="K125" s="49">
        <f>'дод 3'!L191</f>
        <v>25000</v>
      </c>
      <c r="L125" s="49">
        <f>'дод 3'!M191</f>
        <v>12100</v>
      </c>
      <c r="M125" s="49">
        <f>'дод 3'!N191</f>
        <v>0</v>
      </c>
      <c r="N125" s="49">
        <f>'дод 3'!O191</f>
        <v>220000</v>
      </c>
      <c r="O125" s="49">
        <f>'дод 3'!P191</f>
        <v>23061900</v>
      </c>
      <c r="P125" s="180"/>
    </row>
    <row r="126" spans="1:16" ht="33.75" customHeight="1" x14ac:dyDescent="0.25">
      <c r="A126" s="37" t="s">
        <v>321</v>
      </c>
      <c r="B126" s="37" t="s">
        <v>322</v>
      </c>
      <c r="C126" s="3" t="s">
        <v>323</v>
      </c>
      <c r="D126" s="49">
        <f>'дод 3'!E33+'дод 3'!E192</f>
        <v>6620960</v>
      </c>
      <c r="E126" s="49">
        <f>'дод 3'!F33+'дод 3'!F192</f>
        <v>6620960</v>
      </c>
      <c r="F126" s="49">
        <f>'дод 3'!G33+'дод 3'!G192</f>
        <v>4057800</v>
      </c>
      <c r="G126" s="49">
        <f>'дод 3'!H33+'дод 3'!H192</f>
        <v>613560</v>
      </c>
      <c r="H126" s="49">
        <f>'дод 3'!I33+'дод 3'!I192</f>
        <v>0</v>
      </c>
      <c r="I126" s="49">
        <f>'дод 3'!J33+'дод 3'!J192</f>
        <v>146000</v>
      </c>
      <c r="J126" s="49">
        <f>'дод 3'!K33+'дод 3'!K192</f>
        <v>140000</v>
      </c>
      <c r="K126" s="49">
        <f>'дод 3'!L33+'дод 3'!L192</f>
        <v>6000</v>
      </c>
      <c r="L126" s="49">
        <f>'дод 3'!M33+'дод 3'!M192</f>
        <v>0</v>
      </c>
      <c r="M126" s="49">
        <f>'дод 3'!N33+'дод 3'!N192</f>
        <v>3300</v>
      </c>
      <c r="N126" s="49">
        <f>'дод 3'!O33+'дод 3'!O192</f>
        <v>140000</v>
      </c>
      <c r="O126" s="49">
        <f>'дод 3'!P33+'дод 3'!P192</f>
        <v>6766960</v>
      </c>
      <c r="P126" s="180"/>
    </row>
    <row r="127" spans="1:16" s="54" customFormat="1" ht="39.75" customHeight="1" x14ac:dyDescent="0.25">
      <c r="A127" s="37" t="s">
        <v>295</v>
      </c>
      <c r="B127" s="37" t="s">
        <v>76</v>
      </c>
      <c r="C127" s="3" t="s">
        <v>345</v>
      </c>
      <c r="D127" s="49">
        <f>'дод 3'!E34+'дод 3'!E193</f>
        <v>4917600</v>
      </c>
      <c r="E127" s="49">
        <f>'дод 3'!F34+'дод 3'!F193</f>
        <v>4917600</v>
      </c>
      <c r="F127" s="49">
        <f>'дод 3'!G34+'дод 3'!G193</f>
        <v>3380000</v>
      </c>
      <c r="G127" s="49">
        <f>'дод 3'!H34+'дод 3'!H193</f>
        <v>107400</v>
      </c>
      <c r="H127" s="49">
        <f>'дод 3'!I34+'дод 3'!I193</f>
        <v>0</v>
      </c>
      <c r="I127" s="49">
        <f>'дод 3'!J34+'дод 3'!J193</f>
        <v>88000</v>
      </c>
      <c r="J127" s="49">
        <f>'дод 3'!K34+'дод 3'!K193</f>
        <v>88000</v>
      </c>
      <c r="K127" s="49">
        <f>'дод 3'!L34+'дод 3'!L193</f>
        <v>0</v>
      </c>
      <c r="L127" s="49">
        <f>'дод 3'!M34+'дод 3'!M193</f>
        <v>0</v>
      </c>
      <c r="M127" s="49">
        <f>'дод 3'!N34+'дод 3'!N193</f>
        <v>0</v>
      </c>
      <c r="N127" s="49">
        <f>'дод 3'!O34+'дод 3'!O193</f>
        <v>88000</v>
      </c>
      <c r="O127" s="49">
        <f>'дод 3'!P34+'дод 3'!P193</f>
        <v>5005600</v>
      </c>
      <c r="P127" s="180"/>
    </row>
    <row r="128" spans="1:16" s="54" customFormat="1" ht="22.5" customHeight="1" x14ac:dyDescent="0.25">
      <c r="A128" s="37" t="s">
        <v>296</v>
      </c>
      <c r="B128" s="37" t="s">
        <v>76</v>
      </c>
      <c r="C128" s="3" t="s">
        <v>297</v>
      </c>
      <c r="D128" s="49">
        <f>'дод 3'!E35+'дод 3'!E194</f>
        <v>1640081</v>
      </c>
      <c r="E128" s="49">
        <f>'дод 3'!F35+'дод 3'!F194</f>
        <v>1640081</v>
      </c>
      <c r="F128" s="49">
        <f>'дод 3'!G35+'дод 3'!G194</f>
        <v>0</v>
      </c>
      <c r="G128" s="49">
        <f>'дод 3'!H35+'дод 3'!H194</f>
        <v>0</v>
      </c>
      <c r="H128" s="49">
        <f>'дод 3'!I35+'дод 3'!I194</f>
        <v>0</v>
      </c>
      <c r="I128" s="49">
        <f>'дод 3'!J35+'дод 3'!J194</f>
        <v>0</v>
      </c>
      <c r="J128" s="49">
        <f>'дод 3'!K35+'дод 3'!K194</f>
        <v>0</v>
      </c>
      <c r="K128" s="49">
        <f>'дод 3'!L35+'дод 3'!L194</f>
        <v>0</v>
      </c>
      <c r="L128" s="49">
        <f>'дод 3'!M35+'дод 3'!M194</f>
        <v>0</v>
      </c>
      <c r="M128" s="49">
        <f>'дод 3'!N35+'дод 3'!N194</f>
        <v>0</v>
      </c>
      <c r="N128" s="49">
        <f>'дод 3'!O35+'дод 3'!O194</f>
        <v>0</v>
      </c>
      <c r="O128" s="49">
        <f>'дод 3'!P35+'дод 3'!P194</f>
        <v>1640081</v>
      </c>
      <c r="P128" s="180"/>
    </row>
    <row r="129" spans="1:16" s="52" customFormat="1" ht="21.75" customHeight="1" x14ac:dyDescent="0.25">
      <c r="A129" s="38" t="s">
        <v>79</v>
      </c>
      <c r="B129" s="41"/>
      <c r="C129" s="2" t="s">
        <v>80</v>
      </c>
      <c r="D129" s="48">
        <f t="shared" ref="D129:O129" si="19">D130+D131+D132+D133+D134+D135</f>
        <v>57528300</v>
      </c>
      <c r="E129" s="48">
        <f t="shared" si="19"/>
        <v>57528300</v>
      </c>
      <c r="F129" s="48">
        <f t="shared" si="19"/>
        <v>22029200</v>
      </c>
      <c r="G129" s="48">
        <f t="shared" si="19"/>
        <v>1116955</v>
      </c>
      <c r="H129" s="48">
        <f t="shared" si="19"/>
        <v>0</v>
      </c>
      <c r="I129" s="48">
        <f t="shared" si="19"/>
        <v>2195394</v>
      </c>
      <c r="J129" s="48">
        <f t="shared" si="19"/>
        <v>1982400</v>
      </c>
      <c r="K129" s="48">
        <f t="shared" si="19"/>
        <v>212994</v>
      </c>
      <c r="L129" s="48">
        <f t="shared" si="19"/>
        <v>119291</v>
      </c>
      <c r="M129" s="48">
        <f t="shared" si="19"/>
        <v>50432</v>
      </c>
      <c r="N129" s="48">
        <f t="shared" si="19"/>
        <v>1982400</v>
      </c>
      <c r="O129" s="48">
        <f t="shared" si="19"/>
        <v>59723694</v>
      </c>
      <c r="P129" s="180"/>
    </row>
    <row r="130" spans="1:16" s="54" customFormat="1" ht="37.5" customHeight="1" x14ac:dyDescent="0.25">
      <c r="A130" s="37" t="s">
        <v>81</v>
      </c>
      <c r="B130" s="37" t="s">
        <v>82</v>
      </c>
      <c r="C130" s="3" t="s">
        <v>21</v>
      </c>
      <c r="D130" s="49">
        <f>'дод 3'!E36</f>
        <v>650000</v>
      </c>
      <c r="E130" s="49">
        <f>'дод 3'!F36</f>
        <v>650000</v>
      </c>
      <c r="F130" s="49">
        <f>'дод 3'!G36</f>
        <v>0</v>
      </c>
      <c r="G130" s="49">
        <f>'дод 3'!H36</f>
        <v>0</v>
      </c>
      <c r="H130" s="49">
        <f>'дод 3'!I36</f>
        <v>0</v>
      </c>
      <c r="I130" s="49">
        <f>'дод 3'!J36</f>
        <v>0</v>
      </c>
      <c r="J130" s="49">
        <f>'дод 3'!K36</f>
        <v>0</v>
      </c>
      <c r="K130" s="49">
        <f>'дод 3'!L36</f>
        <v>0</v>
      </c>
      <c r="L130" s="49">
        <f>'дод 3'!M36</f>
        <v>0</v>
      </c>
      <c r="M130" s="49">
        <f>'дод 3'!N36</f>
        <v>0</v>
      </c>
      <c r="N130" s="49">
        <f>'дод 3'!O36</f>
        <v>0</v>
      </c>
      <c r="O130" s="49">
        <f>'дод 3'!P36</f>
        <v>650000</v>
      </c>
      <c r="P130" s="180"/>
    </row>
    <row r="131" spans="1:16" s="54" customFormat="1" ht="34.5" customHeight="1" x14ac:dyDescent="0.25">
      <c r="A131" s="37" t="s">
        <v>83</v>
      </c>
      <c r="B131" s="37" t="s">
        <v>82</v>
      </c>
      <c r="C131" s="3" t="s">
        <v>16</v>
      </c>
      <c r="D131" s="49">
        <f>'дод 3'!E37</f>
        <v>833000</v>
      </c>
      <c r="E131" s="49">
        <f>'дод 3'!F37</f>
        <v>833000</v>
      </c>
      <c r="F131" s="49">
        <f>'дод 3'!G37</f>
        <v>0</v>
      </c>
      <c r="G131" s="49">
        <f>'дод 3'!H37</f>
        <v>0</v>
      </c>
      <c r="H131" s="49">
        <f>'дод 3'!I37</f>
        <v>0</v>
      </c>
      <c r="I131" s="49">
        <f>'дод 3'!J37</f>
        <v>0</v>
      </c>
      <c r="J131" s="49">
        <f>'дод 3'!K37</f>
        <v>0</v>
      </c>
      <c r="K131" s="49">
        <f>'дод 3'!L37</f>
        <v>0</v>
      </c>
      <c r="L131" s="49">
        <f>'дод 3'!M37</f>
        <v>0</v>
      </c>
      <c r="M131" s="49">
        <f>'дод 3'!N37</f>
        <v>0</v>
      </c>
      <c r="N131" s="49">
        <f>'дод 3'!O37</f>
        <v>0</v>
      </c>
      <c r="O131" s="49">
        <f>'дод 3'!P37</f>
        <v>833000</v>
      </c>
      <c r="P131" s="180"/>
    </row>
    <row r="132" spans="1:16" s="54" customFormat="1" ht="36.75" customHeight="1" x14ac:dyDescent="0.25">
      <c r="A132" s="37" t="s">
        <v>118</v>
      </c>
      <c r="B132" s="37" t="s">
        <v>82</v>
      </c>
      <c r="C132" s="3" t="s">
        <v>22</v>
      </c>
      <c r="D132" s="49">
        <f>'дод 3'!E38+'дод 3'!E100</f>
        <v>25463100</v>
      </c>
      <c r="E132" s="49">
        <f>'дод 3'!F38+'дод 3'!F100</f>
        <v>25463100</v>
      </c>
      <c r="F132" s="49">
        <f>'дод 3'!G38+'дод 3'!G100</f>
        <v>19041800</v>
      </c>
      <c r="G132" s="49">
        <f>'дод 3'!H38+'дод 3'!H100</f>
        <v>826700</v>
      </c>
      <c r="H132" s="49">
        <f>'дод 3'!I38+'дод 3'!I100</f>
        <v>0</v>
      </c>
      <c r="I132" s="49">
        <f>'дод 3'!J38+'дод 3'!J100</f>
        <v>110700</v>
      </c>
      <c r="J132" s="49">
        <f>'дод 3'!K38+'дод 3'!K100</f>
        <v>110700</v>
      </c>
      <c r="K132" s="49">
        <f>'дод 3'!L38+'дод 3'!L100</f>
        <v>0</v>
      </c>
      <c r="L132" s="49">
        <f>'дод 3'!M38+'дод 3'!M100</f>
        <v>0</v>
      </c>
      <c r="M132" s="49">
        <f>'дод 3'!N38+'дод 3'!N100</f>
        <v>0</v>
      </c>
      <c r="N132" s="49">
        <f>'дод 3'!O38+'дод 3'!O100</f>
        <v>110700</v>
      </c>
      <c r="O132" s="49">
        <f>'дод 3'!P38+'дод 3'!P100</f>
        <v>25573800</v>
      </c>
      <c r="P132" s="180"/>
    </row>
    <row r="133" spans="1:16" s="54" customFormat="1" ht="31.5" customHeight="1" x14ac:dyDescent="0.25">
      <c r="A133" s="37" t="s">
        <v>119</v>
      </c>
      <c r="B133" s="37" t="s">
        <v>82</v>
      </c>
      <c r="C133" s="3" t="s">
        <v>23</v>
      </c>
      <c r="D133" s="49">
        <f>'дод 3'!E39</f>
        <v>14250800</v>
      </c>
      <c r="E133" s="49">
        <f>'дод 3'!F39</f>
        <v>14250800</v>
      </c>
      <c r="F133" s="49">
        <f>'дод 3'!G39</f>
        <v>0</v>
      </c>
      <c r="G133" s="49">
        <f>'дод 3'!H39</f>
        <v>0</v>
      </c>
      <c r="H133" s="49">
        <f>'дод 3'!I39</f>
        <v>0</v>
      </c>
      <c r="I133" s="49">
        <f>'дод 3'!J39</f>
        <v>311700</v>
      </c>
      <c r="J133" s="49">
        <f>'дод 3'!K39</f>
        <v>311700</v>
      </c>
      <c r="K133" s="49">
        <f>'дод 3'!L39</f>
        <v>0</v>
      </c>
      <c r="L133" s="49">
        <f>'дод 3'!M39</f>
        <v>0</v>
      </c>
      <c r="M133" s="49">
        <f>'дод 3'!N39</f>
        <v>0</v>
      </c>
      <c r="N133" s="49">
        <f>'дод 3'!O39</f>
        <v>311700</v>
      </c>
      <c r="O133" s="49">
        <f>'дод 3'!P39</f>
        <v>14562500</v>
      </c>
      <c r="P133" s="180"/>
    </row>
    <row r="134" spans="1:16" s="54" customFormat="1" ht="54" customHeight="1" x14ac:dyDescent="0.25">
      <c r="A134" s="37" t="s">
        <v>114</v>
      </c>
      <c r="B134" s="37" t="s">
        <v>82</v>
      </c>
      <c r="C134" s="3" t="s">
        <v>115</v>
      </c>
      <c r="D134" s="49">
        <f>'дод 3'!E40</f>
        <v>4889100</v>
      </c>
      <c r="E134" s="49">
        <f>'дод 3'!F40</f>
        <v>4889100</v>
      </c>
      <c r="F134" s="49">
        <f>'дод 3'!G40</f>
        <v>2987400</v>
      </c>
      <c r="G134" s="49">
        <f>'дод 3'!H40</f>
        <v>290255</v>
      </c>
      <c r="H134" s="49">
        <f>'дод 3'!I40</f>
        <v>0</v>
      </c>
      <c r="I134" s="49">
        <f>'дод 3'!J40</f>
        <v>1772994</v>
      </c>
      <c r="J134" s="49">
        <f>'дод 3'!K40</f>
        <v>1560000</v>
      </c>
      <c r="K134" s="49">
        <f>'дод 3'!L40</f>
        <v>212994</v>
      </c>
      <c r="L134" s="49">
        <f>'дод 3'!M40</f>
        <v>119291</v>
      </c>
      <c r="M134" s="49">
        <f>'дод 3'!N40</f>
        <v>50432</v>
      </c>
      <c r="N134" s="49">
        <f>'дод 3'!O40</f>
        <v>1560000</v>
      </c>
      <c r="O134" s="49">
        <f>'дод 3'!P40</f>
        <v>6662094</v>
      </c>
      <c r="P134" s="180"/>
    </row>
    <row r="135" spans="1:16" s="54" customFormat="1" ht="35.25" customHeight="1" x14ac:dyDescent="0.25">
      <c r="A135" s="37" t="s">
        <v>117</v>
      </c>
      <c r="B135" s="37" t="s">
        <v>82</v>
      </c>
      <c r="C135" s="3" t="s">
        <v>116</v>
      </c>
      <c r="D135" s="49">
        <f>'дод 3'!E41</f>
        <v>11442300</v>
      </c>
      <c r="E135" s="49">
        <f>'дод 3'!F41</f>
        <v>11442300</v>
      </c>
      <c r="F135" s="49">
        <f>'дод 3'!G41</f>
        <v>0</v>
      </c>
      <c r="G135" s="49">
        <f>'дод 3'!H41</f>
        <v>0</v>
      </c>
      <c r="H135" s="49">
        <f>'дод 3'!I41</f>
        <v>0</v>
      </c>
      <c r="I135" s="49">
        <f>'дод 3'!J41</f>
        <v>0</v>
      </c>
      <c r="J135" s="49">
        <f>'дод 3'!K41</f>
        <v>0</v>
      </c>
      <c r="K135" s="49">
        <f>'дод 3'!L41</f>
        <v>0</v>
      </c>
      <c r="L135" s="49">
        <f>'дод 3'!M41</f>
        <v>0</v>
      </c>
      <c r="M135" s="49">
        <f>'дод 3'!N41</f>
        <v>0</v>
      </c>
      <c r="N135" s="49">
        <f>'дод 3'!O41</f>
        <v>0</v>
      </c>
      <c r="O135" s="49">
        <f>'дод 3'!P41</f>
        <v>11442300</v>
      </c>
      <c r="P135" s="180"/>
    </row>
    <row r="136" spans="1:16" s="52" customFormat="1" ht="18" customHeight="1" x14ac:dyDescent="0.25">
      <c r="A136" s="38" t="s">
        <v>67</v>
      </c>
      <c r="B136" s="41"/>
      <c r="C136" s="2" t="s">
        <v>68</v>
      </c>
      <c r="D136" s="48">
        <f>D138+D139+D140+D141+D142+D143+D146+D147</f>
        <v>273947909.79000002</v>
      </c>
      <c r="E136" s="48">
        <f t="shared" ref="E136:O136" si="20">E138+E139+E140+E141+E142+E143+E146+E147</f>
        <v>244747909.79000002</v>
      </c>
      <c r="F136" s="48">
        <f t="shared" si="20"/>
        <v>0</v>
      </c>
      <c r="G136" s="48">
        <f t="shared" si="20"/>
        <v>33764960</v>
      </c>
      <c r="H136" s="48">
        <f t="shared" si="20"/>
        <v>29200000</v>
      </c>
      <c r="I136" s="48">
        <f t="shared" si="20"/>
        <v>110334555.22999999</v>
      </c>
      <c r="J136" s="48">
        <f t="shared" si="20"/>
        <v>108391726.57999998</v>
      </c>
      <c r="K136" s="48">
        <f t="shared" si="20"/>
        <v>0</v>
      </c>
      <c r="L136" s="48">
        <f t="shared" si="20"/>
        <v>0</v>
      </c>
      <c r="M136" s="48">
        <f t="shared" si="20"/>
        <v>0</v>
      </c>
      <c r="N136" s="48">
        <f t="shared" si="20"/>
        <v>110334555.22999999</v>
      </c>
      <c r="O136" s="48">
        <f t="shared" si="20"/>
        <v>384282465.01999992</v>
      </c>
      <c r="P136" s="180"/>
    </row>
    <row r="137" spans="1:16" s="52" customFormat="1" ht="110.25" hidden="1" customHeight="1" x14ac:dyDescent="0.25">
      <c r="A137" s="38"/>
      <c r="B137" s="41"/>
      <c r="C137" s="2" t="s">
        <v>449</v>
      </c>
      <c r="D137" s="48">
        <f>D145</f>
        <v>0</v>
      </c>
      <c r="E137" s="48">
        <f t="shared" ref="E137:O137" si="21">E145</f>
        <v>0</v>
      </c>
      <c r="F137" s="48">
        <f t="shared" si="21"/>
        <v>0</v>
      </c>
      <c r="G137" s="48">
        <f t="shared" si="21"/>
        <v>0</v>
      </c>
      <c r="H137" s="48">
        <f t="shared" si="21"/>
        <v>0</v>
      </c>
      <c r="I137" s="48">
        <f t="shared" si="21"/>
        <v>0</v>
      </c>
      <c r="J137" s="48">
        <f t="shared" si="21"/>
        <v>0</v>
      </c>
      <c r="K137" s="48">
        <f t="shared" si="21"/>
        <v>0</v>
      </c>
      <c r="L137" s="48">
        <f t="shared" si="21"/>
        <v>0</v>
      </c>
      <c r="M137" s="48">
        <f t="shared" si="21"/>
        <v>0</v>
      </c>
      <c r="N137" s="48">
        <f t="shared" si="21"/>
        <v>0</v>
      </c>
      <c r="O137" s="48">
        <f t="shared" si="21"/>
        <v>0</v>
      </c>
      <c r="P137" s="180"/>
    </row>
    <row r="138" spans="1:16" s="54" customFormat="1" ht="29.25" customHeight="1" x14ac:dyDescent="0.25">
      <c r="A138" s="37" t="s">
        <v>129</v>
      </c>
      <c r="B138" s="37" t="s">
        <v>69</v>
      </c>
      <c r="C138" s="3" t="s">
        <v>130</v>
      </c>
      <c r="D138" s="49">
        <f>'дод 3'!E207</f>
        <v>0</v>
      </c>
      <c r="E138" s="49">
        <f>'дод 3'!F207</f>
        <v>0</v>
      </c>
      <c r="F138" s="49">
        <f>'дод 3'!G207</f>
        <v>0</v>
      </c>
      <c r="G138" s="49">
        <f>'дод 3'!H207</f>
        <v>0</v>
      </c>
      <c r="H138" s="49">
        <f>'дод 3'!I207</f>
        <v>0</v>
      </c>
      <c r="I138" s="49">
        <f>'дод 3'!J207</f>
        <v>8225522</v>
      </c>
      <c r="J138" s="49">
        <f>'дод 3'!K207</f>
        <v>8189042</v>
      </c>
      <c r="K138" s="49">
        <f>'дод 3'!L207</f>
        <v>0</v>
      </c>
      <c r="L138" s="49">
        <f>'дод 3'!M207</f>
        <v>0</v>
      </c>
      <c r="M138" s="49">
        <f>'дод 3'!N207</f>
        <v>0</v>
      </c>
      <c r="N138" s="49">
        <f>'дод 3'!O207</f>
        <v>8225522</v>
      </c>
      <c r="O138" s="49">
        <f>'дод 3'!P207</f>
        <v>8225522</v>
      </c>
      <c r="P138" s="180"/>
    </row>
    <row r="139" spans="1:16" s="54" customFormat="1" ht="36.75" customHeight="1" x14ac:dyDescent="0.25">
      <c r="A139" s="37" t="s">
        <v>131</v>
      </c>
      <c r="B139" s="37" t="s">
        <v>71</v>
      </c>
      <c r="C139" s="3" t="s">
        <v>149</v>
      </c>
      <c r="D139" s="49">
        <f>'дод 3'!E208</f>
        <v>29274040</v>
      </c>
      <c r="E139" s="49">
        <f>'дод 3'!F208</f>
        <v>774040</v>
      </c>
      <c r="F139" s="49">
        <f>'дод 3'!G208</f>
        <v>0</v>
      </c>
      <c r="G139" s="49">
        <f>'дод 3'!H208</f>
        <v>0</v>
      </c>
      <c r="H139" s="49">
        <f>'дод 3'!I208</f>
        <v>28500000</v>
      </c>
      <c r="I139" s="49">
        <f>'дод 3'!J208</f>
        <v>230000</v>
      </c>
      <c r="J139" s="49">
        <f>'дод 3'!K208</f>
        <v>230000</v>
      </c>
      <c r="K139" s="49">
        <f>'дод 3'!L208</f>
        <v>0</v>
      </c>
      <c r="L139" s="49">
        <f>'дод 3'!M208</f>
        <v>0</v>
      </c>
      <c r="M139" s="49">
        <f>'дод 3'!N208</f>
        <v>0</v>
      </c>
      <c r="N139" s="49">
        <f>'дод 3'!O208</f>
        <v>230000</v>
      </c>
      <c r="O139" s="49">
        <f>'дод 3'!P208</f>
        <v>29504040</v>
      </c>
      <c r="P139" s="180"/>
    </row>
    <row r="140" spans="1:16" s="54" customFormat="1" ht="22.5" customHeight="1" x14ac:dyDescent="0.25">
      <c r="A140" s="40" t="s">
        <v>262</v>
      </c>
      <c r="B140" s="40" t="s">
        <v>71</v>
      </c>
      <c r="C140" s="3" t="s">
        <v>263</v>
      </c>
      <c r="D140" s="49">
        <f>'дод 3'!E209</f>
        <v>107980</v>
      </c>
      <c r="E140" s="49">
        <f>'дод 3'!F209</f>
        <v>107980</v>
      </c>
      <c r="F140" s="49">
        <f>'дод 3'!G209</f>
        <v>0</v>
      </c>
      <c r="G140" s="49">
        <f>'дод 3'!H209</f>
        <v>0</v>
      </c>
      <c r="H140" s="49">
        <f>'дод 3'!I209</f>
        <v>0</v>
      </c>
      <c r="I140" s="49">
        <f>'дод 3'!J209</f>
        <v>13661600</v>
      </c>
      <c r="J140" s="49">
        <f>'дод 3'!K209</f>
        <v>13611600</v>
      </c>
      <c r="K140" s="49">
        <f>'дод 3'!L209</f>
        <v>0</v>
      </c>
      <c r="L140" s="49">
        <f>'дод 3'!M209</f>
        <v>0</v>
      </c>
      <c r="M140" s="49">
        <f>'дод 3'!N209</f>
        <v>0</v>
      </c>
      <c r="N140" s="49">
        <f>'дод 3'!O209</f>
        <v>13661600</v>
      </c>
      <c r="O140" s="49">
        <f>'дод 3'!P209</f>
        <v>13769580</v>
      </c>
      <c r="P140" s="180"/>
    </row>
    <row r="141" spans="1:16" s="54" customFormat="1" ht="33" customHeight="1" x14ac:dyDescent="0.25">
      <c r="A141" s="37" t="s">
        <v>265</v>
      </c>
      <c r="B141" s="37" t="s">
        <v>71</v>
      </c>
      <c r="C141" s="3" t="s">
        <v>346</v>
      </c>
      <c r="D141" s="49">
        <f>'дод 3'!E210</f>
        <v>100000</v>
      </c>
      <c r="E141" s="49">
        <f>'дод 3'!F210</f>
        <v>100000</v>
      </c>
      <c r="F141" s="49">
        <f>'дод 3'!G210</f>
        <v>0</v>
      </c>
      <c r="G141" s="49">
        <f>'дод 3'!H210</f>
        <v>0</v>
      </c>
      <c r="H141" s="49">
        <f>'дод 3'!I210</f>
        <v>0</v>
      </c>
      <c r="I141" s="49">
        <f>'дод 3'!J210</f>
        <v>0</v>
      </c>
      <c r="J141" s="49">
        <f>'дод 3'!K210</f>
        <v>0</v>
      </c>
      <c r="K141" s="49">
        <f>'дод 3'!L210</f>
        <v>0</v>
      </c>
      <c r="L141" s="49">
        <f>'дод 3'!M210</f>
        <v>0</v>
      </c>
      <c r="M141" s="49">
        <f>'дод 3'!N210</f>
        <v>0</v>
      </c>
      <c r="N141" s="49">
        <f>'дод 3'!O210</f>
        <v>0</v>
      </c>
      <c r="O141" s="49">
        <f>'дод 3'!P210</f>
        <v>100000</v>
      </c>
      <c r="P141" s="180">
        <v>110</v>
      </c>
    </row>
    <row r="142" spans="1:16" s="54" customFormat="1" ht="52.5" customHeight="1" x14ac:dyDescent="0.25">
      <c r="A142" s="37" t="s">
        <v>70</v>
      </c>
      <c r="B142" s="37" t="s">
        <v>71</v>
      </c>
      <c r="C142" s="3" t="s">
        <v>134</v>
      </c>
      <c r="D142" s="49">
        <f>'дод 3'!E211</f>
        <v>300000</v>
      </c>
      <c r="E142" s="49">
        <f>'дод 3'!F211</f>
        <v>0</v>
      </c>
      <c r="F142" s="49">
        <f>'дод 3'!G211</f>
        <v>0</v>
      </c>
      <c r="G142" s="49">
        <f>'дод 3'!H211</f>
        <v>0</v>
      </c>
      <c r="H142" s="49">
        <f>'дод 3'!I211</f>
        <v>300000</v>
      </c>
      <c r="I142" s="49">
        <f>'дод 3'!J211</f>
        <v>0</v>
      </c>
      <c r="J142" s="49">
        <f>'дод 3'!K211</f>
        <v>0</v>
      </c>
      <c r="K142" s="49">
        <f>'дод 3'!L211</f>
        <v>0</v>
      </c>
      <c r="L142" s="49">
        <f>'дод 3'!M211</f>
        <v>0</v>
      </c>
      <c r="M142" s="49">
        <f>'дод 3'!N211</f>
        <v>0</v>
      </c>
      <c r="N142" s="49">
        <f>'дод 3'!O211</f>
        <v>0</v>
      </c>
      <c r="O142" s="49">
        <f>'дод 3'!P211</f>
        <v>300000</v>
      </c>
      <c r="P142" s="180"/>
    </row>
    <row r="143" spans="1:16" ht="24" customHeight="1" x14ac:dyDescent="0.25">
      <c r="A143" s="37" t="s">
        <v>132</v>
      </c>
      <c r="B143" s="37" t="s">
        <v>71</v>
      </c>
      <c r="C143" s="3" t="s">
        <v>133</v>
      </c>
      <c r="D143" s="49">
        <f>'дод 3'!E212+'дод 3'!E240</f>
        <v>217542596.33000001</v>
      </c>
      <c r="E143" s="49">
        <f>'дод 3'!F212+'дод 3'!F240</f>
        <v>217442596.33000001</v>
      </c>
      <c r="F143" s="49">
        <f>'дод 3'!G212+'дод 3'!G240</f>
        <v>0</v>
      </c>
      <c r="G143" s="49">
        <f>'дод 3'!H212+'дод 3'!H240</f>
        <v>33740460</v>
      </c>
      <c r="H143" s="49">
        <f>'дод 3'!I212+'дод 3'!I240</f>
        <v>100000</v>
      </c>
      <c r="I143" s="49">
        <f>'дод 3'!J212+'дод 3'!J240</f>
        <v>86361084.579999983</v>
      </c>
      <c r="J143" s="49">
        <f>'дод 3'!K212+'дод 3'!K240</f>
        <v>86361084.579999983</v>
      </c>
      <c r="K143" s="49">
        <f>'дод 3'!L212+'дод 3'!L240</f>
        <v>0</v>
      </c>
      <c r="L143" s="49">
        <f>'дод 3'!M212+'дод 3'!M240</f>
        <v>0</v>
      </c>
      <c r="M143" s="49">
        <f>'дод 3'!N212+'дод 3'!N240</f>
        <v>0</v>
      </c>
      <c r="N143" s="49">
        <f>'дод 3'!O212+'дод 3'!O240</f>
        <v>86361084.579999983</v>
      </c>
      <c r="O143" s="49">
        <f>'дод 3'!P212+'дод 3'!P240</f>
        <v>303903680.90999997</v>
      </c>
      <c r="P143" s="180"/>
    </row>
    <row r="144" spans="1:16" ht="78.75" hidden="1" customHeight="1" x14ac:dyDescent="0.25">
      <c r="A144" s="37">
        <v>6083</v>
      </c>
      <c r="B144" s="59" t="s">
        <v>69</v>
      </c>
      <c r="C144" s="11" t="s">
        <v>441</v>
      </c>
      <c r="D144" s="49">
        <f>'дод 3'!E185</f>
        <v>0</v>
      </c>
      <c r="E144" s="49">
        <f>'дод 3'!F185</f>
        <v>0</v>
      </c>
      <c r="F144" s="49">
        <f>'дод 3'!G185</f>
        <v>0</v>
      </c>
      <c r="G144" s="49">
        <f>'дод 3'!H185</f>
        <v>0</v>
      </c>
      <c r="H144" s="49">
        <f>'дод 3'!I185</f>
        <v>0</v>
      </c>
      <c r="I144" s="49">
        <f>'дод 3'!J185</f>
        <v>0</v>
      </c>
      <c r="J144" s="49">
        <f>'дод 3'!K185</f>
        <v>0</v>
      </c>
      <c r="K144" s="49">
        <f>'дод 3'!L185</f>
        <v>0</v>
      </c>
      <c r="L144" s="49">
        <f>'дод 3'!M185</f>
        <v>0</v>
      </c>
      <c r="M144" s="49">
        <f>'дод 3'!N185</f>
        <v>0</v>
      </c>
      <c r="N144" s="49">
        <f>'дод 3'!O185</f>
        <v>0</v>
      </c>
      <c r="O144" s="49">
        <f>'дод 3'!P185</f>
        <v>0</v>
      </c>
      <c r="P144" s="180"/>
    </row>
    <row r="145" spans="1:16" s="54" customFormat="1" ht="110.25" hidden="1" customHeight="1" x14ac:dyDescent="0.25">
      <c r="A145" s="82"/>
      <c r="B145" s="93"/>
      <c r="C145" s="94" t="s">
        <v>449</v>
      </c>
      <c r="D145" s="84">
        <f>'дод 3'!E186</f>
        <v>0</v>
      </c>
      <c r="E145" s="84">
        <f>'дод 3'!F186</f>
        <v>0</v>
      </c>
      <c r="F145" s="84">
        <f>'дод 3'!G186</f>
        <v>0</v>
      </c>
      <c r="G145" s="84">
        <f>'дод 3'!H186</f>
        <v>0</v>
      </c>
      <c r="H145" s="84">
        <f>'дод 3'!I186</f>
        <v>0</v>
      </c>
      <c r="I145" s="84">
        <f>'дод 3'!J186</f>
        <v>0</v>
      </c>
      <c r="J145" s="84">
        <f>'дод 3'!K186</f>
        <v>0</v>
      </c>
      <c r="K145" s="84">
        <f>'дод 3'!L186</f>
        <v>0</v>
      </c>
      <c r="L145" s="84">
        <f>'дод 3'!M186</f>
        <v>0</v>
      </c>
      <c r="M145" s="84">
        <f>'дод 3'!N186</f>
        <v>0</v>
      </c>
      <c r="N145" s="84">
        <f>'дод 3'!O186</f>
        <v>0</v>
      </c>
      <c r="O145" s="84">
        <f>'дод 3'!P186</f>
        <v>0</v>
      </c>
      <c r="P145" s="180"/>
    </row>
    <row r="146" spans="1:16" s="54" customFormat="1" ht="53.25" customHeight="1" x14ac:dyDescent="0.25">
      <c r="A146" s="37" t="s">
        <v>136</v>
      </c>
      <c r="B146" s="42" t="s">
        <v>69</v>
      </c>
      <c r="C146" s="3" t="s">
        <v>137</v>
      </c>
      <c r="D146" s="49">
        <f>'дод 3'!E241</f>
        <v>0</v>
      </c>
      <c r="E146" s="49">
        <f>'дод 3'!F241</f>
        <v>0</v>
      </c>
      <c r="F146" s="49">
        <f>'дод 3'!G241</f>
        <v>0</v>
      </c>
      <c r="G146" s="49">
        <f>'дод 3'!H241</f>
        <v>0</v>
      </c>
      <c r="H146" s="49">
        <f>'дод 3'!I241</f>
        <v>0</v>
      </c>
      <c r="I146" s="49">
        <f>'дод 3'!J241</f>
        <v>71348.649999999994</v>
      </c>
      <c r="J146" s="49">
        <f>'дод 3'!K241</f>
        <v>0</v>
      </c>
      <c r="K146" s="49">
        <f>'дод 3'!L241</f>
        <v>0</v>
      </c>
      <c r="L146" s="49">
        <f>'дод 3'!M241</f>
        <v>0</v>
      </c>
      <c r="M146" s="49">
        <f>'дод 3'!N241</f>
        <v>0</v>
      </c>
      <c r="N146" s="49">
        <f>'дод 3'!O241</f>
        <v>71348.649999999994</v>
      </c>
      <c r="O146" s="49">
        <f>'дод 3'!P241</f>
        <v>71348.649999999994</v>
      </c>
      <c r="P146" s="180"/>
    </row>
    <row r="147" spans="1:16" ht="36" customHeight="1" x14ac:dyDescent="0.25">
      <c r="A147" s="37" t="s">
        <v>143</v>
      </c>
      <c r="B147" s="42" t="s">
        <v>314</v>
      </c>
      <c r="C147" s="3" t="s">
        <v>144</v>
      </c>
      <c r="D147" s="49">
        <f>'дод 3'!E213+'дод 3'!E258</f>
        <v>26623293.460000001</v>
      </c>
      <c r="E147" s="49">
        <f>'дод 3'!F213+'дод 3'!F258</f>
        <v>26323293.460000001</v>
      </c>
      <c r="F147" s="49">
        <f>'дод 3'!G213+'дод 3'!G258</f>
        <v>0</v>
      </c>
      <c r="G147" s="49">
        <f>'дод 3'!H213+'дод 3'!H258</f>
        <v>24500</v>
      </c>
      <c r="H147" s="49">
        <f>'дод 3'!I213+'дод 3'!I258</f>
        <v>300000</v>
      </c>
      <c r="I147" s="49">
        <f>'дод 3'!J213+'дод 3'!J258</f>
        <v>1785000</v>
      </c>
      <c r="J147" s="49">
        <f>'дод 3'!K213+'дод 3'!K258</f>
        <v>0</v>
      </c>
      <c r="K147" s="49">
        <f>'дод 3'!L213+'дод 3'!L258</f>
        <v>0</v>
      </c>
      <c r="L147" s="49">
        <f>'дод 3'!M213+'дод 3'!M258</f>
        <v>0</v>
      </c>
      <c r="M147" s="49">
        <f>'дод 3'!N213+'дод 3'!N258</f>
        <v>0</v>
      </c>
      <c r="N147" s="49">
        <f>'дод 3'!O213+'дод 3'!O258</f>
        <v>1785000</v>
      </c>
      <c r="O147" s="49">
        <f>'дод 3'!P213+'дод 3'!P258</f>
        <v>28408293.460000001</v>
      </c>
      <c r="P147" s="180"/>
    </row>
    <row r="148" spans="1:16" s="52" customFormat="1" ht="21.75" customHeight="1" x14ac:dyDescent="0.25">
      <c r="A148" s="38" t="s">
        <v>138</v>
      </c>
      <c r="B148" s="41"/>
      <c r="C148" s="2" t="s">
        <v>409</v>
      </c>
      <c r="D148" s="48">
        <f>D152+D154+D170+D182+D184+D196</f>
        <v>69880518</v>
      </c>
      <c r="E148" s="48">
        <f t="shared" ref="E148:O148" si="22">E152+E154+E170+E182+E184+E196</f>
        <v>18721022</v>
      </c>
      <c r="F148" s="48">
        <f t="shared" si="22"/>
        <v>0</v>
      </c>
      <c r="G148" s="48">
        <f t="shared" si="22"/>
        <v>0</v>
      </c>
      <c r="H148" s="48">
        <f t="shared" si="22"/>
        <v>51159496</v>
      </c>
      <c r="I148" s="48">
        <f t="shared" si="22"/>
        <v>406621230.56999999</v>
      </c>
      <c r="J148" s="48">
        <f t="shared" si="22"/>
        <v>389661258.69999999</v>
      </c>
      <c r="K148" s="48">
        <f t="shared" si="22"/>
        <v>2948437.8699999996</v>
      </c>
      <c r="L148" s="48">
        <f t="shared" si="22"/>
        <v>0</v>
      </c>
      <c r="M148" s="48">
        <f t="shared" si="22"/>
        <v>0</v>
      </c>
      <c r="N148" s="48">
        <f t="shared" si="22"/>
        <v>403672792.69999999</v>
      </c>
      <c r="O148" s="48">
        <f t="shared" si="22"/>
        <v>476501748.56999999</v>
      </c>
      <c r="P148" s="180"/>
    </row>
    <row r="149" spans="1:16" s="53" customFormat="1" ht="47.25" hidden="1" customHeight="1" x14ac:dyDescent="0.25">
      <c r="A149" s="75"/>
      <c r="B149" s="76"/>
      <c r="C149" s="79" t="s">
        <v>390</v>
      </c>
      <c r="D149" s="80" t="e">
        <f>D155</f>
        <v>#REF!</v>
      </c>
      <c r="E149" s="80" t="e">
        <f t="shared" ref="E149:O149" si="23">E155</f>
        <v>#REF!</v>
      </c>
      <c r="F149" s="80" t="e">
        <f t="shared" si="23"/>
        <v>#REF!</v>
      </c>
      <c r="G149" s="80" t="e">
        <f t="shared" si="23"/>
        <v>#REF!</v>
      </c>
      <c r="H149" s="80" t="e">
        <f t="shared" si="23"/>
        <v>#REF!</v>
      </c>
      <c r="I149" s="80" t="e">
        <f t="shared" si="23"/>
        <v>#REF!</v>
      </c>
      <c r="J149" s="80" t="e">
        <f t="shared" si="23"/>
        <v>#REF!</v>
      </c>
      <c r="K149" s="80" t="e">
        <f t="shared" si="23"/>
        <v>#REF!</v>
      </c>
      <c r="L149" s="80" t="e">
        <f t="shared" si="23"/>
        <v>#REF!</v>
      </c>
      <c r="M149" s="80" t="e">
        <f t="shared" si="23"/>
        <v>#REF!</v>
      </c>
      <c r="N149" s="80" t="e">
        <f t="shared" si="23"/>
        <v>#REF!</v>
      </c>
      <c r="O149" s="80" t="e">
        <f t="shared" si="23"/>
        <v>#REF!</v>
      </c>
      <c r="P149" s="180"/>
    </row>
    <row r="150" spans="1:16" s="53" customFormat="1" ht="94.5" hidden="1" customHeight="1" x14ac:dyDescent="0.25">
      <c r="A150" s="75"/>
      <c r="B150" s="76"/>
      <c r="C150" s="79" t="s">
        <v>399</v>
      </c>
      <c r="D150" s="80">
        <f>D171</f>
        <v>0</v>
      </c>
      <c r="E150" s="80">
        <f t="shared" ref="E150:N150" si="24">E171</f>
        <v>0</v>
      </c>
      <c r="F150" s="80">
        <f t="shared" si="24"/>
        <v>0</v>
      </c>
      <c r="G150" s="80">
        <f t="shared" si="24"/>
        <v>0</v>
      </c>
      <c r="H150" s="80">
        <f t="shared" si="24"/>
        <v>0</v>
      </c>
      <c r="I150" s="80">
        <f t="shared" si="24"/>
        <v>0</v>
      </c>
      <c r="J150" s="80">
        <f t="shared" si="24"/>
        <v>0</v>
      </c>
      <c r="K150" s="80">
        <f t="shared" si="24"/>
        <v>0</v>
      </c>
      <c r="L150" s="80">
        <f t="shared" si="24"/>
        <v>0</v>
      </c>
      <c r="M150" s="80">
        <f t="shared" si="24"/>
        <v>0</v>
      </c>
      <c r="N150" s="80">
        <f t="shared" si="24"/>
        <v>0</v>
      </c>
      <c r="O150" s="80">
        <f t="shared" ref="O150" si="25">O171</f>
        <v>0</v>
      </c>
      <c r="P150" s="180"/>
    </row>
    <row r="151" spans="1:16" s="53" customFormat="1" ht="18" customHeight="1" x14ac:dyDescent="0.25">
      <c r="A151" s="75"/>
      <c r="B151" s="75"/>
      <c r="C151" s="87" t="s">
        <v>421</v>
      </c>
      <c r="D151" s="80">
        <f>D185</f>
        <v>0</v>
      </c>
      <c r="E151" s="80">
        <f t="shared" ref="E151:O151" si="26">E185</f>
        <v>0</v>
      </c>
      <c r="F151" s="80">
        <f t="shared" si="26"/>
        <v>0</v>
      </c>
      <c r="G151" s="80">
        <f t="shared" si="26"/>
        <v>0</v>
      </c>
      <c r="H151" s="80">
        <f t="shared" si="26"/>
        <v>0</v>
      </c>
      <c r="I151" s="80">
        <f t="shared" si="26"/>
        <v>127771665.12</v>
      </c>
      <c r="J151" s="80">
        <f t="shared" si="26"/>
        <v>127771665.12</v>
      </c>
      <c r="K151" s="80">
        <f t="shared" si="26"/>
        <v>0</v>
      </c>
      <c r="L151" s="80">
        <f t="shared" si="26"/>
        <v>0</v>
      </c>
      <c r="M151" s="80">
        <f t="shared" si="26"/>
        <v>0</v>
      </c>
      <c r="N151" s="80">
        <f t="shared" si="26"/>
        <v>127771665.12</v>
      </c>
      <c r="O151" s="80">
        <f t="shared" si="26"/>
        <v>127771665.12</v>
      </c>
      <c r="P151" s="180"/>
    </row>
    <row r="152" spans="1:16" s="52" customFormat="1" x14ac:dyDescent="0.25">
      <c r="A152" s="38" t="s">
        <v>145</v>
      </c>
      <c r="B152" s="41"/>
      <c r="C152" s="2" t="s">
        <v>146</v>
      </c>
      <c r="D152" s="48">
        <f t="shared" ref="D152:O152" si="27">D153</f>
        <v>450000</v>
      </c>
      <c r="E152" s="48">
        <f t="shared" si="27"/>
        <v>450000</v>
      </c>
      <c r="F152" s="48">
        <f t="shared" si="27"/>
        <v>0</v>
      </c>
      <c r="G152" s="48">
        <f t="shared" si="27"/>
        <v>0</v>
      </c>
      <c r="H152" s="48">
        <f t="shared" si="27"/>
        <v>0</v>
      </c>
      <c r="I152" s="48">
        <f t="shared" si="27"/>
        <v>0</v>
      </c>
      <c r="J152" s="48">
        <f t="shared" si="27"/>
        <v>0</v>
      </c>
      <c r="K152" s="48">
        <f t="shared" si="27"/>
        <v>0</v>
      </c>
      <c r="L152" s="48">
        <f t="shared" si="27"/>
        <v>0</v>
      </c>
      <c r="M152" s="48">
        <f t="shared" si="27"/>
        <v>0</v>
      </c>
      <c r="N152" s="48">
        <f t="shared" si="27"/>
        <v>0</v>
      </c>
      <c r="O152" s="48">
        <f t="shared" si="27"/>
        <v>450000</v>
      </c>
      <c r="P152" s="180"/>
    </row>
    <row r="153" spans="1:16" ht="24" customHeight="1" x14ac:dyDescent="0.25">
      <c r="A153" s="37" t="s">
        <v>139</v>
      </c>
      <c r="B153" s="37" t="s">
        <v>85</v>
      </c>
      <c r="C153" s="3" t="s">
        <v>347</v>
      </c>
      <c r="D153" s="49">
        <f>'дод 3'!E267</f>
        <v>450000</v>
      </c>
      <c r="E153" s="49">
        <f>'дод 3'!F267</f>
        <v>450000</v>
      </c>
      <c r="F153" s="49">
        <f>'дод 3'!G267</f>
        <v>0</v>
      </c>
      <c r="G153" s="49">
        <f>'дод 3'!H267</f>
        <v>0</v>
      </c>
      <c r="H153" s="49">
        <f>'дод 3'!I267</f>
        <v>0</v>
      </c>
      <c r="I153" s="49">
        <f>'дод 3'!J267</f>
        <v>0</v>
      </c>
      <c r="J153" s="49">
        <f>'дод 3'!K267</f>
        <v>0</v>
      </c>
      <c r="K153" s="49">
        <f>'дод 3'!L267</f>
        <v>0</v>
      </c>
      <c r="L153" s="49">
        <f>'дод 3'!M267</f>
        <v>0</v>
      </c>
      <c r="M153" s="49">
        <f>'дод 3'!N267</f>
        <v>0</v>
      </c>
      <c r="N153" s="49">
        <f>'дод 3'!O267</f>
        <v>0</v>
      </c>
      <c r="O153" s="49">
        <f>'дод 3'!P267</f>
        <v>450000</v>
      </c>
      <c r="P153" s="180"/>
    </row>
    <row r="154" spans="1:16" s="52" customFormat="1" ht="18.75" customHeight="1" x14ac:dyDescent="0.25">
      <c r="A154" s="38" t="s">
        <v>99</v>
      </c>
      <c r="B154" s="38"/>
      <c r="C154" s="13" t="s">
        <v>472</v>
      </c>
      <c r="D154" s="48">
        <f>D156+D157+D158+D159+D160+D161+D162+D163+D164+D165+D169</f>
        <v>104420</v>
      </c>
      <c r="E154" s="48">
        <f t="shared" ref="E154:O154" si="28">E156+E157+E158+E159+E160+E161+E162+E163+E164+E165+E169</f>
        <v>104420</v>
      </c>
      <c r="F154" s="48">
        <f t="shared" si="28"/>
        <v>0</v>
      </c>
      <c r="G154" s="48">
        <f t="shared" si="28"/>
        <v>0</v>
      </c>
      <c r="H154" s="48">
        <f t="shared" si="28"/>
        <v>0</v>
      </c>
      <c r="I154" s="48">
        <f t="shared" si="28"/>
        <v>172746306.57999998</v>
      </c>
      <c r="J154" s="48">
        <f t="shared" si="28"/>
        <v>172746306.57999998</v>
      </c>
      <c r="K154" s="48">
        <f t="shared" si="28"/>
        <v>0</v>
      </c>
      <c r="L154" s="48">
        <f t="shared" si="28"/>
        <v>0</v>
      </c>
      <c r="M154" s="48">
        <f t="shared" si="28"/>
        <v>0</v>
      </c>
      <c r="N154" s="48">
        <f t="shared" si="28"/>
        <v>172746306.57999998</v>
      </c>
      <c r="O154" s="48">
        <f t="shared" si="28"/>
        <v>172850726.57999998</v>
      </c>
      <c r="P154" s="180"/>
    </row>
    <row r="155" spans="1:16" s="53" customFormat="1" ht="47.25" hidden="1" customHeight="1" x14ac:dyDescent="0.25">
      <c r="A155" s="75"/>
      <c r="B155" s="75"/>
      <c r="C155" s="79" t="s">
        <v>390</v>
      </c>
      <c r="D155" s="80" t="e">
        <f>D168</f>
        <v>#REF!</v>
      </c>
      <c r="E155" s="80" t="e">
        <f t="shared" ref="E155:O155" si="29">E168</f>
        <v>#REF!</v>
      </c>
      <c r="F155" s="80" t="e">
        <f t="shared" si="29"/>
        <v>#REF!</v>
      </c>
      <c r="G155" s="80" t="e">
        <f t="shared" si="29"/>
        <v>#REF!</v>
      </c>
      <c r="H155" s="80" t="e">
        <f t="shared" si="29"/>
        <v>#REF!</v>
      </c>
      <c r="I155" s="80" t="e">
        <f t="shared" si="29"/>
        <v>#REF!</v>
      </c>
      <c r="J155" s="80" t="e">
        <f t="shared" si="29"/>
        <v>#REF!</v>
      </c>
      <c r="K155" s="80" t="e">
        <f t="shared" si="29"/>
        <v>#REF!</v>
      </c>
      <c r="L155" s="80" t="e">
        <f t="shared" si="29"/>
        <v>#REF!</v>
      </c>
      <c r="M155" s="80" t="e">
        <f t="shared" si="29"/>
        <v>#REF!</v>
      </c>
      <c r="N155" s="80" t="e">
        <f t="shared" si="29"/>
        <v>#REF!</v>
      </c>
      <c r="O155" s="80" t="e">
        <f t="shared" si="29"/>
        <v>#REF!</v>
      </c>
      <c r="P155" s="180"/>
    </row>
    <row r="156" spans="1:16" ht="31.5" customHeight="1" x14ac:dyDescent="0.25">
      <c r="A156" s="40" t="s">
        <v>274</v>
      </c>
      <c r="B156" s="40" t="s">
        <v>113</v>
      </c>
      <c r="C156" s="157" t="s">
        <v>577</v>
      </c>
      <c r="D156" s="49">
        <f>'дод 3'!E242+'дод 3'!E214</f>
        <v>0</v>
      </c>
      <c r="E156" s="49">
        <f>'дод 3'!F242+'дод 3'!F214</f>
        <v>0</v>
      </c>
      <c r="F156" s="49">
        <f>'дод 3'!G242+'дод 3'!G214</f>
        <v>0</v>
      </c>
      <c r="G156" s="49">
        <f>'дод 3'!H242+'дод 3'!H214</f>
        <v>0</v>
      </c>
      <c r="H156" s="49">
        <f>'дод 3'!I242+'дод 3'!I214</f>
        <v>0</v>
      </c>
      <c r="I156" s="49">
        <f>'дод 3'!J242+'дод 3'!J214</f>
        <v>20178513</v>
      </c>
      <c r="J156" s="49">
        <f>'дод 3'!K242+'дод 3'!K214</f>
        <v>20178513</v>
      </c>
      <c r="K156" s="49">
        <f>'дод 3'!L242+'дод 3'!L214</f>
        <v>0</v>
      </c>
      <c r="L156" s="49">
        <f>'дод 3'!M242+'дод 3'!M214</f>
        <v>0</v>
      </c>
      <c r="M156" s="49">
        <f>'дод 3'!N242+'дод 3'!N214</f>
        <v>0</v>
      </c>
      <c r="N156" s="49">
        <f>'дод 3'!O242+'дод 3'!O214</f>
        <v>20178513</v>
      </c>
      <c r="O156" s="49">
        <f>'дод 3'!P242+'дод 3'!P214</f>
        <v>20178513</v>
      </c>
      <c r="P156" s="180"/>
    </row>
    <row r="157" spans="1:16" s="54" customFormat="1" ht="21.75" customHeight="1" x14ac:dyDescent="0.25">
      <c r="A157" s="40" t="s">
        <v>279</v>
      </c>
      <c r="B157" s="40" t="s">
        <v>113</v>
      </c>
      <c r="C157" s="157" t="s">
        <v>573</v>
      </c>
      <c r="D157" s="49">
        <f>'дод 3'!E101+'дод 3'!E243</f>
        <v>0</v>
      </c>
      <c r="E157" s="49">
        <f>'дод 3'!F101+'дод 3'!F243</f>
        <v>0</v>
      </c>
      <c r="F157" s="49">
        <f>'дод 3'!G101+'дод 3'!G243</f>
        <v>0</v>
      </c>
      <c r="G157" s="49">
        <f>'дод 3'!H101+'дод 3'!H243</f>
        <v>0</v>
      </c>
      <c r="H157" s="49">
        <f>'дод 3'!I101+'дод 3'!I243</f>
        <v>0</v>
      </c>
      <c r="I157" s="49">
        <f>'дод 3'!J101+'дод 3'!J243</f>
        <v>23635620</v>
      </c>
      <c r="J157" s="49">
        <f>'дод 3'!K101+'дод 3'!K243</f>
        <v>23635620</v>
      </c>
      <c r="K157" s="49">
        <f>'дод 3'!L101+'дод 3'!L243</f>
        <v>0</v>
      </c>
      <c r="L157" s="49">
        <f>'дод 3'!M101+'дод 3'!M243</f>
        <v>0</v>
      </c>
      <c r="M157" s="49">
        <f>'дод 3'!N101+'дод 3'!N243</f>
        <v>0</v>
      </c>
      <c r="N157" s="49">
        <f>'дод 3'!O101+'дод 3'!O243</f>
        <v>23635620</v>
      </c>
      <c r="O157" s="49">
        <f>'дод 3'!P101+'дод 3'!P243</f>
        <v>23635620</v>
      </c>
      <c r="P157" s="180"/>
    </row>
    <row r="158" spans="1:16" s="54" customFormat="1" ht="24" customHeight="1" x14ac:dyDescent="0.25">
      <c r="A158" s="40" t="s">
        <v>281</v>
      </c>
      <c r="B158" s="40" t="s">
        <v>113</v>
      </c>
      <c r="C158" s="157" t="s">
        <v>574</v>
      </c>
      <c r="D158" s="49">
        <f>'дод 3'!E244+'дод 3'!E134</f>
        <v>0</v>
      </c>
      <c r="E158" s="49">
        <f>'дод 3'!F244+'дод 3'!F134</f>
        <v>0</v>
      </c>
      <c r="F158" s="49">
        <f>'дод 3'!G244+'дод 3'!G134</f>
        <v>0</v>
      </c>
      <c r="G158" s="49">
        <f>'дод 3'!H244+'дод 3'!H134</f>
        <v>0</v>
      </c>
      <c r="H158" s="49">
        <f>'дод 3'!I244+'дод 3'!I134</f>
        <v>0</v>
      </c>
      <c r="I158" s="49">
        <f>'дод 3'!J244+'дод 3'!J134</f>
        <v>33803372</v>
      </c>
      <c r="J158" s="49">
        <f>'дод 3'!K244+'дод 3'!K134</f>
        <v>33803372</v>
      </c>
      <c r="K158" s="49">
        <f>'дод 3'!L244+'дод 3'!L134</f>
        <v>0</v>
      </c>
      <c r="L158" s="49">
        <f>'дод 3'!M244+'дод 3'!M134</f>
        <v>0</v>
      </c>
      <c r="M158" s="49">
        <f>'дод 3'!N244+'дод 3'!N134</f>
        <v>0</v>
      </c>
      <c r="N158" s="49">
        <f>'дод 3'!O244+'дод 3'!O134</f>
        <v>33803372</v>
      </c>
      <c r="O158" s="49">
        <f>'дод 3'!P244+'дод 3'!P134</f>
        <v>33803372</v>
      </c>
      <c r="P158" s="180"/>
    </row>
    <row r="159" spans="1:16" s="54" customFormat="1" ht="22.5" customHeight="1" x14ac:dyDescent="0.25">
      <c r="A159" s="40">
        <v>7323</v>
      </c>
      <c r="B159" s="77" t="s">
        <v>113</v>
      </c>
      <c r="C159" s="158" t="s">
        <v>575</v>
      </c>
      <c r="D159" s="49">
        <f>'дод 3'!E177</f>
        <v>0</v>
      </c>
      <c r="E159" s="49">
        <f>'дод 3'!F177</f>
        <v>0</v>
      </c>
      <c r="F159" s="49">
        <f>'дод 3'!G177</f>
        <v>0</v>
      </c>
      <c r="G159" s="49">
        <f>'дод 3'!H177</f>
        <v>0</v>
      </c>
      <c r="H159" s="49">
        <f>'дод 3'!I177</f>
        <v>0</v>
      </c>
      <c r="I159" s="49">
        <f>'дод 3'!J177</f>
        <v>400000</v>
      </c>
      <c r="J159" s="49">
        <f>'дод 3'!K177</f>
        <v>400000</v>
      </c>
      <c r="K159" s="49">
        <f>'дод 3'!L177</f>
        <v>0</v>
      </c>
      <c r="L159" s="49">
        <f>'дод 3'!M177</f>
        <v>0</v>
      </c>
      <c r="M159" s="49">
        <f>'дод 3'!N177</f>
        <v>0</v>
      </c>
      <c r="N159" s="49">
        <f>'дод 3'!O177</f>
        <v>400000</v>
      </c>
      <c r="O159" s="49">
        <f>'дод 3'!P177</f>
        <v>400000</v>
      </c>
      <c r="P159" s="180"/>
    </row>
    <row r="160" spans="1:16" s="54" customFormat="1" ht="19.5" customHeight="1" x14ac:dyDescent="0.25">
      <c r="A160" s="40">
        <v>7324</v>
      </c>
      <c r="B160" s="77" t="s">
        <v>113</v>
      </c>
      <c r="C160" s="157" t="s">
        <v>576</v>
      </c>
      <c r="D160" s="49">
        <f>'дод 3'!E195</f>
        <v>0</v>
      </c>
      <c r="E160" s="49">
        <f>'дод 3'!F195</f>
        <v>0</v>
      </c>
      <c r="F160" s="49">
        <f>'дод 3'!G195</f>
        <v>0</v>
      </c>
      <c r="G160" s="49">
        <f>'дод 3'!H195</f>
        <v>0</v>
      </c>
      <c r="H160" s="49">
        <f>'дод 3'!I195</f>
        <v>0</v>
      </c>
      <c r="I160" s="49">
        <f>'дод 3'!J195</f>
        <v>950000</v>
      </c>
      <c r="J160" s="49">
        <f>'дод 3'!K195</f>
        <v>950000</v>
      </c>
      <c r="K160" s="49">
        <f>'дод 3'!L195</f>
        <v>0</v>
      </c>
      <c r="L160" s="49">
        <f>'дод 3'!M195</f>
        <v>0</v>
      </c>
      <c r="M160" s="49">
        <f>'дод 3'!N195</f>
        <v>0</v>
      </c>
      <c r="N160" s="49">
        <f>'дод 3'!O195</f>
        <v>950000</v>
      </c>
      <c r="O160" s="49">
        <f>'дод 3'!P195</f>
        <v>950000</v>
      </c>
      <c r="P160" s="180"/>
    </row>
    <row r="161" spans="1:16" s="54" customFormat="1" ht="34.5" x14ac:dyDescent="0.25">
      <c r="A161" s="40">
        <v>7325</v>
      </c>
      <c r="B161" s="77" t="s">
        <v>113</v>
      </c>
      <c r="C161" s="157" t="s">
        <v>571</v>
      </c>
      <c r="D161" s="49">
        <f>'дод 3'!E245+'дод 3'!E42</f>
        <v>0</v>
      </c>
      <c r="E161" s="49">
        <f>'дод 3'!F245+'дод 3'!F42</f>
        <v>0</v>
      </c>
      <c r="F161" s="49">
        <f>'дод 3'!G245+'дод 3'!G42</f>
        <v>0</v>
      </c>
      <c r="G161" s="49">
        <f>'дод 3'!H245+'дод 3'!H42</f>
        <v>0</v>
      </c>
      <c r="H161" s="49">
        <f>'дод 3'!I245+'дод 3'!I42</f>
        <v>0</v>
      </c>
      <c r="I161" s="49">
        <f>'дод 3'!J245+'дод 3'!J42</f>
        <v>11589440</v>
      </c>
      <c r="J161" s="49">
        <f>'дод 3'!K245+'дод 3'!K42</f>
        <v>11589440</v>
      </c>
      <c r="K161" s="49">
        <f>'дод 3'!L245+'дод 3'!L42</f>
        <v>0</v>
      </c>
      <c r="L161" s="49">
        <f>'дод 3'!M245+'дод 3'!M42</f>
        <v>0</v>
      </c>
      <c r="M161" s="49">
        <f>'дод 3'!N245+'дод 3'!N42</f>
        <v>0</v>
      </c>
      <c r="N161" s="49">
        <f>'дод 3'!O245+'дод 3'!O42</f>
        <v>11589440</v>
      </c>
      <c r="O161" s="49">
        <f>'дод 3'!P245+'дод 3'!P42</f>
        <v>11589440</v>
      </c>
      <c r="P161" s="180"/>
    </row>
    <row r="162" spans="1:16" ht="21.75" customHeight="1" x14ac:dyDescent="0.25">
      <c r="A162" s="40" t="s">
        <v>276</v>
      </c>
      <c r="B162" s="40" t="s">
        <v>113</v>
      </c>
      <c r="C162" s="157" t="s">
        <v>572</v>
      </c>
      <c r="D162" s="49">
        <f>'дод 3'!E246+'дод 3'!E215+'дод 3'!E43</f>
        <v>0</v>
      </c>
      <c r="E162" s="49">
        <f>'дод 3'!F246+'дод 3'!F215+'дод 3'!F43</f>
        <v>0</v>
      </c>
      <c r="F162" s="49">
        <f>'дод 3'!G246+'дод 3'!G215+'дод 3'!G43</f>
        <v>0</v>
      </c>
      <c r="G162" s="49">
        <f>'дод 3'!H246+'дод 3'!H215+'дод 3'!H43</f>
        <v>0</v>
      </c>
      <c r="H162" s="49">
        <f>'дод 3'!I246+'дод 3'!I215+'дод 3'!I43</f>
        <v>0</v>
      </c>
      <c r="I162" s="49">
        <f>'дод 3'!J246+'дод 3'!J215+'дод 3'!J43</f>
        <v>34577688.579999998</v>
      </c>
      <c r="J162" s="49">
        <f>'дод 3'!K246+'дод 3'!K215+'дод 3'!K43</f>
        <v>34577688.579999998</v>
      </c>
      <c r="K162" s="49">
        <f>'дод 3'!L246+'дод 3'!L215+'дод 3'!L43</f>
        <v>0</v>
      </c>
      <c r="L162" s="49">
        <f>'дод 3'!M246+'дод 3'!M215+'дод 3'!M43</f>
        <v>0</v>
      </c>
      <c r="M162" s="49">
        <f>'дод 3'!N246+'дод 3'!N215+'дод 3'!N43</f>
        <v>0</v>
      </c>
      <c r="N162" s="49">
        <f>'дод 3'!O246+'дод 3'!O215+'дод 3'!O43</f>
        <v>34577688.579999998</v>
      </c>
      <c r="O162" s="49">
        <f>'дод 3'!P246+'дод 3'!P215+'дод 3'!P43</f>
        <v>34577688.579999998</v>
      </c>
      <c r="P162" s="180"/>
    </row>
    <row r="163" spans="1:16" ht="31.5" customHeight="1" x14ac:dyDescent="0.25">
      <c r="A163" s="37" t="s">
        <v>140</v>
      </c>
      <c r="B163" s="37" t="s">
        <v>113</v>
      </c>
      <c r="C163" s="3" t="s">
        <v>1</v>
      </c>
      <c r="D163" s="49">
        <f>'дод 3'!E216+'дод 3'!E247</f>
        <v>0</v>
      </c>
      <c r="E163" s="49">
        <f>'дод 3'!F216+'дод 3'!F247</f>
        <v>0</v>
      </c>
      <c r="F163" s="49">
        <f>'дод 3'!G216+'дод 3'!G247</f>
        <v>0</v>
      </c>
      <c r="G163" s="49">
        <f>'дод 3'!H216+'дод 3'!H247</f>
        <v>0</v>
      </c>
      <c r="H163" s="49">
        <f>'дод 3'!I216+'дод 3'!I247</f>
        <v>0</v>
      </c>
      <c r="I163" s="49">
        <f>'дод 3'!J216+'дод 3'!J247</f>
        <v>4250000</v>
      </c>
      <c r="J163" s="49">
        <f>'дод 3'!K216+'дод 3'!K247</f>
        <v>4250000</v>
      </c>
      <c r="K163" s="49">
        <f>'дод 3'!L216+'дод 3'!L247</f>
        <v>0</v>
      </c>
      <c r="L163" s="49">
        <f>'дод 3'!M216+'дод 3'!M247</f>
        <v>0</v>
      </c>
      <c r="M163" s="49">
        <f>'дод 3'!N216+'дод 3'!N247</f>
        <v>0</v>
      </c>
      <c r="N163" s="49">
        <f>'дод 3'!O216+'дод 3'!O247</f>
        <v>4250000</v>
      </c>
      <c r="O163" s="49">
        <f>'дод 3'!P216+'дод 3'!P247</f>
        <v>4250000</v>
      </c>
      <c r="P163" s="180"/>
    </row>
    <row r="164" spans="1:16" ht="35.25" customHeight="1" x14ac:dyDescent="0.25">
      <c r="A164" s="59" t="s">
        <v>463</v>
      </c>
      <c r="B164" s="59" t="s">
        <v>113</v>
      </c>
      <c r="C164" s="3" t="s">
        <v>464</v>
      </c>
      <c r="D164" s="49">
        <f>'дод 3'!E259</f>
        <v>0</v>
      </c>
      <c r="E164" s="49">
        <f>'дод 3'!F259</f>
        <v>0</v>
      </c>
      <c r="F164" s="49">
        <f>'дод 3'!G259</f>
        <v>0</v>
      </c>
      <c r="G164" s="49">
        <f>'дод 3'!H259</f>
        <v>0</v>
      </c>
      <c r="H164" s="49">
        <f>'дод 3'!I259</f>
        <v>0</v>
      </c>
      <c r="I164" s="49">
        <f>'дод 3'!J259</f>
        <v>900000</v>
      </c>
      <c r="J164" s="49">
        <f>'дод 3'!K259</f>
        <v>900000</v>
      </c>
      <c r="K164" s="49">
        <f>'дод 3'!L259</f>
        <v>0</v>
      </c>
      <c r="L164" s="49">
        <f>'дод 3'!M259</f>
        <v>0</v>
      </c>
      <c r="M164" s="49">
        <f>'дод 3'!N259</f>
        <v>0</v>
      </c>
      <c r="N164" s="49">
        <f>'дод 3'!O259</f>
        <v>900000</v>
      </c>
      <c r="O164" s="49">
        <f>'дод 3'!P259</f>
        <v>900000</v>
      </c>
      <c r="P164" s="180"/>
    </row>
    <row r="165" spans="1:16" ht="51.75" customHeight="1" x14ac:dyDescent="0.25">
      <c r="A165" s="37">
        <v>7361</v>
      </c>
      <c r="B165" s="37" t="s">
        <v>84</v>
      </c>
      <c r="C165" s="3" t="s">
        <v>374</v>
      </c>
      <c r="D165" s="49">
        <f>'дод 3'!E217+'дод 3'!E248+'дод 3'!E135</f>
        <v>0</v>
      </c>
      <c r="E165" s="49">
        <f>'дод 3'!F217+'дод 3'!F248+'дод 3'!F135</f>
        <v>0</v>
      </c>
      <c r="F165" s="49">
        <f>'дод 3'!G217+'дод 3'!G248+'дод 3'!G135</f>
        <v>0</v>
      </c>
      <c r="G165" s="49">
        <f>'дод 3'!H217+'дод 3'!H248+'дод 3'!H135</f>
        <v>0</v>
      </c>
      <c r="H165" s="49">
        <f>'дод 3'!I217+'дод 3'!I248+'дод 3'!I135</f>
        <v>0</v>
      </c>
      <c r="I165" s="49">
        <f>'дод 3'!J217+'дод 3'!J248+'дод 3'!J135</f>
        <v>42461673</v>
      </c>
      <c r="J165" s="49">
        <f>'дод 3'!K217+'дод 3'!K248+'дод 3'!K135</f>
        <v>42461673</v>
      </c>
      <c r="K165" s="49">
        <f>'дод 3'!L217+'дод 3'!L248+'дод 3'!L135</f>
        <v>0</v>
      </c>
      <c r="L165" s="49">
        <f>'дод 3'!M217+'дод 3'!M248+'дод 3'!M135</f>
        <v>0</v>
      </c>
      <c r="M165" s="49">
        <f>'дод 3'!N217+'дод 3'!N248+'дод 3'!N135</f>
        <v>0</v>
      </c>
      <c r="N165" s="49">
        <f>'дод 3'!O217+'дод 3'!O248+'дод 3'!O135</f>
        <v>42461673</v>
      </c>
      <c r="O165" s="49">
        <f>'дод 3'!P217+'дод 3'!P248+'дод 3'!P135</f>
        <v>42461673</v>
      </c>
      <c r="P165" s="180"/>
    </row>
    <row r="166" spans="1:16" s="54" customFormat="1" ht="46.5" hidden="1" customHeight="1" x14ac:dyDescent="0.25">
      <c r="A166" s="37">
        <v>7362</v>
      </c>
      <c r="B166" s="37" t="s">
        <v>84</v>
      </c>
      <c r="C166" s="3" t="s">
        <v>366</v>
      </c>
      <c r="D166" s="49">
        <f>'дод 3'!E218</f>
        <v>0</v>
      </c>
      <c r="E166" s="49">
        <f>'дод 3'!F218</f>
        <v>0</v>
      </c>
      <c r="F166" s="49">
        <f>'дод 3'!G218</f>
        <v>0</v>
      </c>
      <c r="G166" s="49">
        <f>'дод 3'!H218</f>
        <v>0</v>
      </c>
      <c r="H166" s="49">
        <f>'дод 3'!I218</f>
        <v>0</v>
      </c>
      <c r="I166" s="49">
        <f>'дод 3'!J218</f>
        <v>0</v>
      </c>
      <c r="J166" s="49">
        <f>'дод 3'!K218</f>
        <v>0</v>
      </c>
      <c r="K166" s="49">
        <f>'дод 3'!L218</f>
        <v>0</v>
      </c>
      <c r="L166" s="49">
        <f>'дод 3'!M218</f>
        <v>0</v>
      </c>
      <c r="M166" s="49">
        <f>'дод 3'!N218</f>
        <v>0</v>
      </c>
      <c r="N166" s="49">
        <f>'дод 3'!O218</f>
        <v>0</v>
      </c>
      <c r="O166" s="49">
        <f>'дод 3'!P218</f>
        <v>0</v>
      </c>
      <c r="P166" s="180"/>
    </row>
    <row r="167" spans="1:16" s="54" customFormat="1" ht="52.5" hidden="1" customHeight="1" x14ac:dyDescent="0.25">
      <c r="A167" s="37">
        <v>7363</v>
      </c>
      <c r="B167" s="60" t="s">
        <v>84</v>
      </c>
      <c r="C167" s="61" t="s">
        <v>400</v>
      </c>
      <c r="D167" s="49" t="e">
        <f>'дод 3'!#REF!+'дод 3'!E219+'дод 3'!E249+'дод 3'!E136</f>
        <v>#REF!</v>
      </c>
      <c r="E167" s="49" t="e">
        <f>'дод 3'!#REF!+'дод 3'!F219+'дод 3'!F249+'дод 3'!F136</f>
        <v>#REF!</v>
      </c>
      <c r="F167" s="49" t="e">
        <f>'дод 3'!#REF!+'дод 3'!G219+'дод 3'!G249+'дод 3'!G136</f>
        <v>#REF!</v>
      </c>
      <c r="G167" s="49" t="e">
        <f>'дод 3'!#REF!+'дод 3'!H219+'дод 3'!H249+'дод 3'!H136</f>
        <v>#REF!</v>
      </c>
      <c r="H167" s="49" t="e">
        <f>'дод 3'!#REF!+'дод 3'!I219+'дод 3'!I249+'дод 3'!I136</f>
        <v>#REF!</v>
      </c>
      <c r="I167" s="49" t="e">
        <f>'дод 3'!#REF!+'дод 3'!J219+'дод 3'!J249+'дод 3'!J136</f>
        <v>#REF!</v>
      </c>
      <c r="J167" s="49" t="e">
        <f>'дод 3'!#REF!+'дод 3'!K219+'дод 3'!K249+'дод 3'!K136</f>
        <v>#REF!</v>
      </c>
      <c r="K167" s="49" t="e">
        <f>'дод 3'!#REF!+'дод 3'!L219+'дод 3'!L249+'дод 3'!L136</f>
        <v>#REF!</v>
      </c>
      <c r="L167" s="49" t="e">
        <f>'дод 3'!#REF!+'дод 3'!M219+'дод 3'!M249+'дод 3'!M136</f>
        <v>#REF!</v>
      </c>
      <c r="M167" s="49" t="e">
        <f>'дод 3'!#REF!+'дод 3'!N219+'дод 3'!N249+'дод 3'!N136</f>
        <v>#REF!</v>
      </c>
      <c r="N167" s="49" t="e">
        <f>'дод 3'!#REF!+'дод 3'!O219+'дод 3'!O249+'дод 3'!O136</f>
        <v>#REF!</v>
      </c>
      <c r="O167" s="49" t="e">
        <f>'дод 3'!#REF!+'дод 3'!P219+'дод 3'!P249+'дод 3'!P136</f>
        <v>#REF!</v>
      </c>
      <c r="P167" s="180"/>
    </row>
    <row r="168" spans="1:16" s="54" customFormat="1" ht="47.25" hidden="1" customHeight="1" x14ac:dyDescent="0.25">
      <c r="A168" s="82"/>
      <c r="B168" s="88"/>
      <c r="C168" s="83" t="s">
        <v>390</v>
      </c>
      <c r="D168" s="84" t="e">
        <f>'дод 3'!#REF!+'дод 3'!E220+'дод 3'!E137</f>
        <v>#REF!</v>
      </c>
      <c r="E168" s="84" t="e">
        <f>'дод 3'!#REF!+'дод 3'!F220+'дод 3'!F137</f>
        <v>#REF!</v>
      </c>
      <c r="F168" s="84" t="e">
        <f>'дод 3'!#REF!+'дод 3'!G220+'дод 3'!G137</f>
        <v>#REF!</v>
      </c>
      <c r="G168" s="84" t="e">
        <f>'дод 3'!#REF!+'дод 3'!H220+'дод 3'!H137</f>
        <v>#REF!</v>
      </c>
      <c r="H168" s="84" t="e">
        <f>'дод 3'!#REF!+'дод 3'!I220+'дод 3'!I137</f>
        <v>#REF!</v>
      </c>
      <c r="I168" s="84" t="e">
        <f>'дод 3'!#REF!+'дод 3'!J220+'дод 3'!J137</f>
        <v>#REF!</v>
      </c>
      <c r="J168" s="84" t="e">
        <f>'дод 3'!#REF!+'дод 3'!K220+'дод 3'!K137</f>
        <v>#REF!</v>
      </c>
      <c r="K168" s="84" t="e">
        <f>'дод 3'!#REF!+'дод 3'!L220+'дод 3'!L137</f>
        <v>#REF!</v>
      </c>
      <c r="L168" s="84" t="e">
        <f>'дод 3'!#REF!+'дод 3'!M220+'дод 3'!M137</f>
        <v>#REF!</v>
      </c>
      <c r="M168" s="84" t="e">
        <f>'дод 3'!#REF!+'дод 3'!N220+'дод 3'!N137</f>
        <v>#REF!</v>
      </c>
      <c r="N168" s="84" t="e">
        <f>'дод 3'!#REF!+'дод 3'!O220+'дод 3'!O137</f>
        <v>#REF!</v>
      </c>
      <c r="O168" s="84" t="e">
        <f>'дод 3'!#REF!+'дод 3'!P220+'дод 3'!P137</f>
        <v>#REF!</v>
      </c>
      <c r="P168" s="180"/>
    </row>
    <row r="169" spans="1:16" s="54" customFormat="1" ht="31.5" x14ac:dyDescent="0.25">
      <c r="A169" s="37">
        <v>7370</v>
      </c>
      <c r="B169" s="60" t="s">
        <v>84</v>
      </c>
      <c r="C169" s="61" t="s">
        <v>434</v>
      </c>
      <c r="D169" s="49">
        <f>'дод 3'!E250</f>
        <v>104420</v>
      </c>
      <c r="E169" s="49">
        <f>'дод 3'!F250</f>
        <v>104420</v>
      </c>
      <c r="F169" s="49">
        <f>'дод 3'!G250</f>
        <v>0</v>
      </c>
      <c r="G169" s="49">
        <f>'дод 3'!H250</f>
        <v>0</v>
      </c>
      <c r="H169" s="49">
        <f>'дод 3'!I250</f>
        <v>0</v>
      </c>
      <c r="I169" s="49">
        <f>'дод 3'!J250</f>
        <v>0</v>
      </c>
      <c r="J169" s="49">
        <f>'дод 3'!K250</f>
        <v>0</v>
      </c>
      <c r="K169" s="49">
        <f>'дод 3'!L250</f>
        <v>0</v>
      </c>
      <c r="L169" s="49">
        <f>'дод 3'!M250</f>
        <v>0</v>
      </c>
      <c r="M169" s="49">
        <f>'дод 3'!N250</f>
        <v>0</v>
      </c>
      <c r="N169" s="49">
        <f>'дод 3'!O250</f>
        <v>0</v>
      </c>
      <c r="O169" s="49">
        <f>'дод 3'!P250</f>
        <v>104420</v>
      </c>
      <c r="P169" s="180"/>
    </row>
    <row r="170" spans="1:16" s="52" customFormat="1" ht="34.5" customHeight="1" x14ac:dyDescent="0.25">
      <c r="A170" s="38" t="s">
        <v>87</v>
      </c>
      <c r="B170" s="41"/>
      <c r="C170" s="2" t="s">
        <v>473</v>
      </c>
      <c r="D170" s="48">
        <f>D173+D174+D175+D179+D180</f>
        <v>53412322</v>
      </c>
      <c r="E170" s="48">
        <f t="shared" ref="E170:O170" si="30">E173+E174+E175+E179+E180</f>
        <v>4252826</v>
      </c>
      <c r="F170" s="48">
        <f t="shared" si="30"/>
        <v>0</v>
      </c>
      <c r="G170" s="48">
        <f t="shared" si="30"/>
        <v>0</v>
      </c>
      <c r="H170" s="48">
        <f t="shared" si="30"/>
        <v>49159496</v>
      </c>
      <c r="I170" s="48">
        <f t="shared" si="30"/>
        <v>0</v>
      </c>
      <c r="J170" s="48">
        <f t="shared" si="30"/>
        <v>0</v>
      </c>
      <c r="K170" s="48">
        <f t="shared" si="30"/>
        <v>0</v>
      </c>
      <c r="L170" s="48">
        <f t="shared" si="30"/>
        <v>0</v>
      </c>
      <c r="M170" s="48">
        <f t="shared" si="30"/>
        <v>0</v>
      </c>
      <c r="N170" s="48">
        <f t="shared" si="30"/>
        <v>0</v>
      </c>
      <c r="O170" s="48">
        <f t="shared" si="30"/>
        <v>53412322</v>
      </c>
      <c r="P170" s="180"/>
    </row>
    <row r="171" spans="1:16" s="53" customFormat="1" ht="94.5" hidden="1" customHeight="1" x14ac:dyDescent="0.25">
      <c r="A171" s="75"/>
      <c r="B171" s="76"/>
      <c r="C171" s="79" t="s">
        <v>399</v>
      </c>
      <c r="D171" s="80">
        <f>D177</f>
        <v>0</v>
      </c>
      <c r="E171" s="80">
        <f t="shared" ref="E171:O171" si="31">E177</f>
        <v>0</v>
      </c>
      <c r="F171" s="80">
        <f t="shared" si="31"/>
        <v>0</v>
      </c>
      <c r="G171" s="80">
        <f t="shared" si="31"/>
        <v>0</v>
      </c>
      <c r="H171" s="80">
        <f t="shared" si="31"/>
        <v>0</v>
      </c>
      <c r="I171" s="80">
        <f t="shared" si="31"/>
        <v>0</v>
      </c>
      <c r="J171" s="80">
        <f t="shared" si="31"/>
        <v>0</v>
      </c>
      <c r="K171" s="80">
        <f t="shared" si="31"/>
        <v>0</v>
      </c>
      <c r="L171" s="80">
        <f t="shared" si="31"/>
        <v>0</v>
      </c>
      <c r="M171" s="80">
        <f t="shared" si="31"/>
        <v>0</v>
      </c>
      <c r="N171" s="80">
        <f t="shared" si="31"/>
        <v>0</v>
      </c>
      <c r="O171" s="80">
        <f t="shared" si="31"/>
        <v>0</v>
      </c>
      <c r="P171" s="180"/>
    </row>
    <row r="172" spans="1:16" s="53" customFormat="1" ht="63" x14ac:dyDescent="0.25">
      <c r="A172" s="75"/>
      <c r="B172" s="76"/>
      <c r="C172" s="79" t="s">
        <v>450</v>
      </c>
      <c r="D172" s="80">
        <f>D181</f>
        <v>1527346</v>
      </c>
      <c r="E172" s="80">
        <f t="shared" ref="E172:O172" si="32">E181</f>
        <v>1527346</v>
      </c>
      <c r="F172" s="80">
        <f t="shared" si="32"/>
        <v>0</v>
      </c>
      <c r="G172" s="80">
        <f t="shared" si="32"/>
        <v>0</v>
      </c>
      <c r="H172" s="80">
        <f t="shared" si="32"/>
        <v>0</v>
      </c>
      <c r="I172" s="80">
        <f t="shared" si="32"/>
        <v>0</v>
      </c>
      <c r="J172" s="80">
        <f t="shared" si="32"/>
        <v>0</v>
      </c>
      <c r="K172" s="80">
        <f t="shared" si="32"/>
        <v>0</v>
      </c>
      <c r="L172" s="80">
        <f t="shared" si="32"/>
        <v>0</v>
      </c>
      <c r="M172" s="80">
        <f t="shared" si="32"/>
        <v>0</v>
      </c>
      <c r="N172" s="80">
        <f t="shared" si="32"/>
        <v>0</v>
      </c>
      <c r="O172" s="80">
        <f t="shared" si="32"/>
        <v>1527346</v>
      </c>
      <c r="P172" s="180"/>
    </row>
    <row r="173" spans="1:16" s="54" customFormat="1" ht="18.75" customHeight="1" x14ac:dyDescent="0.25">
      <c r="A173" s="37" t="s">
        <v>3</v>
      </c>
      <c r="B173" s="37" t="s">
        <v>86</v>
      </c>
      <c r="C173" s="3" t="s">
        <v>37</v>
      </c>
      <c r="D173" s="49">
        <f>'дод 3'!E44</f>
        <v>7417200</v>
      </c>
      <c r="E173" s="49">
        <f>'дод 3'!F44</f>
        <v>0</v>
      </c>
      <c r="F173" s="49">
        <f>'дод 3'!G44</f>
        <v>0</v>
      </c>
      <c r="G173" s="49">
        <f>'дод 3'!H44</f>
        <v>0</v>
      </c>
      <c r="H173" s="49">
        <f>'дод 3'!I44</f>
        <v>7417200</v>
      </c>
      <c r="I173" s="49">
        <f>'дод 3'!J44</f>
        <v>0</v>
      </c>
      <c r="J173" s="49">
        <f>'дод 3'!K44</f>
        <v>0</v>
      </c>
      <c r="K173" s="49">
        <f>'дод 3'!L44</f>
        <v>0</v>
      </c>
      <c r="L173" s="49">
        <f>'дод 3'!M44</f>
        <v>0</v>
      </c>
      <c r="M173" s="49">
        <f>'дод 3'!N44</f>
        <v>0</v>
      </c>
      <c r="N173" s="49">
        <f>'дод 3'!O44</f>
        <v>0</v>
      </c>
      <c r="O173" s="49">
        <f>'дод 3'!P44</f>
        <v>7417200</v>
      </c>
      <c r="P173" s="180"/>
    </row>
    <row r="174" spans="1:16" s="54" customFormat="1" ht="20.25" customHeight="1" x14ac:dyDescent="0.25">
      <c r="A174" s="37">
        <v>7413</v>
      </c>
      <c r="B174" s="37" t="s">
        <v>86</v>
      </c>
      <c r="C174" s="3" t="s">
        <v>377</v>
      </c>
      <c r="D174" s="49">
        <f>'дод 3'!E45</f>
        <v>11000000</v>
      </c>
      <c r="E174" s="49">
        <f>'дод 3'!F45</f>
        <v>0</v>
      </c>
      <c r="F174" s="49">
        <f>'дод 3'!G45</f>
        <v>0</v>
      </c>
      <c r="G174" s="49">
        <f>'дод 3'!H45</f>
        <v>0</v>
      </c>
      <c r="H174" s="49">
        <f>'дод 3'!I45</f>
        <v>11000000</v>
      </c>
      <c r="I174" s="49">
        <f>'дод 3'!J45</f>
        <v>0</v>
      </c>
      <c r="J174" s="49">
        <f>'дод 3'!K45</f>
        <v>0</v>
      </c>
      <c r="K174" s="49">
        <f>'дод 3'!L45</f>
        <v>0</v>
      </c>
      <c r="L174" s="49">
        <f>'дод 3'!M45</f>
        <v>0</v>
      </c>
      <c r="M174" s="49">
        <f>'дод 3'!N45</f>
        <v>0</v>
      </c>
      <c r="N174" s="49">
        <f>'дод 3'!O45</f>
        <v>0</v>
      </c>
      <c r="O174" s="49">
        <f>'дод 3'!P45</f>
        <v>11000000</v>
      </c>
      <c r="P174" s="180"/>
    </row>
    <row r="175" spans="1:16" s="54" customFormat="1" ht="24" customHeight="1" x14ac:dyDescent="0.25">
      <c r="A175" s="37">
        <v>7426</v>
      </c>
      <c r="B175" s="59" t="s">
        <v>415</v>
      </c>
      <c r="C175" s="3" t="s">
        <v>378</v>
      </c>
      <c r="D175" s="49">
        <f>'дод 3'!E46</f>
        <v>30742296</v>
      </c>
      <c r="E175" s="49">
        <f>'дод 3'!F46</f>
        <v>0</v>
      </c>
      <c r="F175" s="49">
        <f>'дод 3'!G46</f>
        <v>0</v>
      </c>
      <c r="G175" s="49">
        <f>'дод 3'!H46</f>
        <v>0</v>
      </c>
      <c r="H175" s="49">
        <f>'дод 3'!I46</f>
        <v>30742296</v>
      </c>
      <c r="I175" s="49">
        <f>'дод 3'!J46</f>
        <v>0</v>
      </c>
      <c r="J175" s="49">
        <f>'дод 3'!K46</f>
        <v>0</v>
      </c>
      <c r="K175" s="49">
        <f>'дод 3'!L46</f>
        <v>0</v>
      </c>
      <c r="L175" s="49">
        <f>'дод 3'!M46</f>
        <v>0</v>
      </c>
      <c r="M175" s="49">
        <f>'дод 3'!N46</f>
        <v>0</v>
      </c>
      <c r="N175" s="49">
        <f>'дод 3'!O46</f>
        <v>0</v>
      </c>
      <c r="O175" s="49">
        <f>'дод 3'!P46</f>
        <v>30742296</v>
      </c>
      <c r="P175" s="180"/>
    </row>
    <row r="176" spans="1:16" s="54" customFormat="1" ht="53.25" hidden="1" customHeight="1" x14ac:dyDescent="0.25">
      <c r="A176" s="37">
        <v>7462</v>
      </c>
      <c r="B176" s="59" t="s">
        <v>402</v>
      </c>
      <c r="C176" s="3" t="s">
        <v>401</v>
      </c>
      <c r="D176" s="49">
        <f>'дод 3'!E221</f>
        <v>1527346</v>
      </c>
      <c r="E176" s="49">
        <f>'дод 3'!F221</f>
        <v>1527346</v>
      </c>
      <c r="F176" s="49">
        <f>'дод 3'!G221</f>
        <v>0</v>
      </c>
      <c r="G176" s="49">
        <f>'дод 3'!H221</f>
        <v>0</v>
      </c>
      <c r="H176" s="49">
        <f>'дод 3'!I221</f>
        <v>0</v>
      </c>
      <c r="I176" s="49">
        <f>'дод 3'!J221</f>
        <v>0</v>
      </c>
      <c r="J176" s="49">
        <f>'дод 3'!K221</f>
        <v>0</v>
      </c>
      <c r="K176" s="49">
        <f>'дод 3'!L221</f>
        <v>0</v>
      </c>
      <c r="L176" s="49">
        <f>'дод 3'!M221</f>
        <v>0</v>
      </c>
      <c r="M176" s="49">
        <f>'дод 3'!N221</f>
        <v>0</v>
      </c>
      <c r="N176" s="49">
        <f>'дод 3'!O221</f>
        <v>0</v>
      </c>
      <c r="O176" s="49">
        <f>'дод 3'!P221</f>
        <v>1527346</v>
      </c>
      <c r="P176" s="180"/>
    </row>
    <row r="177" spans="1:16" s="54" customFormat="1" ht="94.5" hidden="1" customHeight="1" x14ac:dyDescent="0.25">
      <c r="A177" s="82"/>
      <c r="B177" s="82"/>
      <c r="C177" s="83" t="s">
        <v>399</v>
      </c>
      <c r="D177" s="84">
        <f>'дод 3'!E222</f>
        <v>0</v>
      </c>
      <c r="E177" s="84">
        <f>'дод 3'!F222</f>
        <v>0</v>
      </c>
      <c r="F177" s="84">
        <f>'дод 3'!G222</f>
        <v>0</v>
      </c>
      <c r="G177" s="84">
        <f>'дод 3'!H222</f>
        <v>0</v>
      </c>
      <c r="H177" s="84">
        <f>'дод 3'!I222</f>
        <v>0</v>
      </c>
      <c r="I177" s="84">
        <f>'дод 3'!J222</f>
        <v>0</v>
      </c>
      <c r="J177" s="84">
        <f>'дод 3'!K222</f>
        <v>0</v>
      </c>
      <c r="K177" s="84">
        <f>'дод 3'!L222</f>
        <v>0</v>
      </c>
      <c r="L177" s="84">
        <f>'дод 3'!M222</f>
        <v>0</v>
      </c>
      <c r="M177" s="84">
        <f>'дод 3'!N222</f>
        <v>0</v>
      </c>
      <c r="N177" s="84">
        <f>'дод 3'!O222</f>
        <v>0</v>
      </c>
      <c r="O177" s="84">
        <f>'дод 3'!P222</f>
        <v>0</v>
      </c>
      <c r="P177" s="180"/>
    </row>
    <row r="178" spans="1:16" s="54" customFormat="1" ht="63" hidden="1" customHeight="1" x14ac:dyDescent="0.25">
      <c r="A178" s="82"/>
      <c r="B178" s="82"/>
      <c r="C178" s="83" t="s">
        <v>450</v>
      </c>
      <c r="D178" s="84">
        <f>'дод 3'!E223</f>
        <v>1527346</v>
      </c>
      <c r="E178" s="84">
        <f>'дод 3'!F223</f>
        <v>1527346</v>
      </c>
      <c r="F178" s="84">
        <f>'дод 3'!G223</f>
        <v>0</v>
      </c>
      <c r="G178" s="84">
        <f>'дод 3'!H223</f>
        <v>0</v>
      </c>
      <c r="H178" s="84">
        <f>'дод 3'!I223</f>
        <v>0</v>
      </c>
      <c r="I178" s="84">
        <f>'дод 3'!J223</f>
        <v>0</v>
      </c>
      <c r="J178" s="84">
        <f>'дод 3'!K223</f>
        <v>0</v>
      </c>
      <c r="K178" s="84">
        <f>'дод 3'!L223</f>
        <v>0</v>
      </c>
      <c r="L178" s="84">
        <f>'дод 3'!M223</f>
        <v>0</v>
      </c>
      <c r="M178" s="84">
        <f>'дод 3'!N223</f>
        <v>0</v>
      </c>
      <c r="N178" s="84">
        <f>'дод 3'!O223</f>
        <v>0</v>
      </c>
      <c r="O178" s="84">
        <f>'дод 3'!P223</f>
        <v>1527346</v>
      </c>
      <c r="P178" s="180"/>
    </row>
    <row r="179" spans="1:16" s="54" customFormat="1" ht="18" customHeight="1" x14ac:dyDescent="0.25">
      <c r="A179" s="59" t="s">
        <v>459</v>
      </c>
      <c r="B179" s="59" t="s">
        <v>402</v>
      </c>
      <c r="C179" s="3" t="s">
        <v>465</v>
      </c>
      <c r="D179" s="49">
        <f>'дод 3'!E47</f>
        <v>2725480</v>
      </c>
      <c r="E179" s="49">
        <f>'дод 3'!F47</f>
        <v>2725480</v>
      </c>
      <c r="F179" s="49">
        <f>'дод 3'!G47</f>
        <v>0</v>
      </c>
      <c r="G179" s="49">
        <f>'дод 3'!H47</f>
        <v>0</v>
      </c>
      <c r="H179" s="49">
        <f>'дод 3'!I47</f>
        <v>0</v>
      </c>
      <c r="I179" s="49">
        <f>'дод 3'!J47</f>
        <v>0</v>
      </c>
      <c r="J179" s="49">
        <f>'дод 3'!K47</f>
        <v>0</v>
      </c>
      <c r="K179" s="49">
        <f>'дод 3'!L47</f>
        <v>0</v>
      </c>
      <c r="L179" s="49">
        <f>'дод 3'!M47</f>
        <v>0</v>
      </c>
      <c r="M179" s="49">
        <f>'дод 3'!N47</f>
        <v>0</v>
      </c>
      <c r="N179" s="49">
        <f>'дод 3'!O47</f>
        <v>0</v>
      </c>
      <c r="O179" s="49">
        <f>'дод 3'!P47</f>
        <v>2725480</v>
      </c>
      <c r="P179" s="180"/>
    </row>
    <row r="180" spans="1:16" s="54" customFormat="1" ht="54.75" customHeight="1" x14ac:dyDescent="0.25">
      <c r="A180" s="59" t="s">
        <v>565</v>
      </c>
      <c r="B180" s="59" t="s">
        <v>402</v>
      </c>
      <c r="C180" s="122" t="s">
        <v>401</v>
      </c>
      <c r="D180" s="49">
        <f>'дод 3'!E221</f>
        <v>1527346</v>
      </c>
      <c r="E180" s="49">
        <f>'дод 3'!F221</f>
        <v>1527346</v>
      </c>
      <c r="F180" s="49">
        <f>'дод 3'!G221</f>
        <v>0</v>
      </c>
      <c r="G180" s="49">
        <f>'дод 3'!H221</f>
        <v>0</v>
      </c>
      <c r="H180" s="49">
        <f>'дод 3'!I221</f>
        <v>0</v>
      </c>
      <c r="I180" s="49">
        <f>'дод 3'!J221</f>
        <v>0</v>
      </c>
      <c r="J180" s="49">
        <f>'дод 3'!K221</f>
        <v>0</v>
      </c>
      <c r="K180" s="49">
        <f>'дод 3'!L221</f>
        <v>0</v>
      </c>
      <c r="L180" s="49">
        <f>'дод 3'!M221</f>
        <v>0</v>
      </c>
      <c r="M180" s="49">
        <f>'дод 3'!N221</f>
        <v>0</v>
      </c>
      <c r="N180" s="49">
        <f>'дод 3'!O221</f>
        <v>0</v>
      </c>
      <c r="O180" s="49">
        <f>'дод 3'!P221</f>
        <v>1527346</v>
      </c>
      <c r="P180" s="180"/>
    </row>
    <row r="181" spans="1:16" s="54" customFormat="1" ht="67.5" customHeight="1" x14ac:dyDescent="0.25">
      <c r="A181" s="93"/>
      <c r="B181" s="93"/>
      <c r="C181" s="91" t="s">
        <v>563</v>
      </c>
      <c r="D181" s="84">
        <f>'дод 3'!E223</f>
        <v>1527346</v>
      </c>
      <c r="E181" s="84">
        <f>'дод 3'!F223</f>
        <v>1527346</v>
      </c>
      <c r="F181" s="84">
        <f>'дод 3'!G223</f>
        <v>0</v>
      </c>
      <c r="G181" s="84">
        <f>'дод 3'!H223</f>
        <v>0</v>
      </c>
      <c r="H181" s="84">
        <f>'дод 3'!I223</f>
        <v>0</v>
      </c>
      <c r="I181" s="84">
        <f>'дод 3'!J223</f>
        <v>0</v>
      </c>
      <c r="J181" s="84">
        <f>'дод 3'!K223</f>
        <v>0</v>
      </c>
      <c r="K181" s="84">
        <f>'дод 3'!L223</f>
        <v>0</v>
      </c>
      <c r="L181" s="84">
        <f>'дод 3'!M223</f>
        <v>0</v>
      </c>
      <c r="M181" s="84">
        <f>'дод 3'!N223</f>
        <v>0</v>
      </c>
      <c r="N181" s="84">
        <f>'дод 3'!O223</f>
        <v>0</v>
      </c>
      <c r="O181" s="84">
        <f>'дод 3'!P223</f>
        <v>1527346</v>
      </c>
      <c r="P181" s="180"/>
    </row>
    <row r="182" spans="1:16" s="52" customFormat="1" ht="18.75" customHeight="1" x14ac:dyDescent="0.25">
      <c r="A182" s="39" t="s">
        <v>239</v>
      </c>
      <c r="B182" s="41"/>
      <c r="C182" s="2" t="s">
        <v>240</v>
      </c>
      <c r="D182" s="48">
        <f>D183</f>
        <v>7250000</v>
      </c>
      <c r="E182" s="48">
        <f t="shared" ref="E182:O182" si="33">E183</f>
        <v>7250000</v>
      </c>
      <c r="F182" s="48">
        <f t="shared" si="33"/>
        <v>0</v>
      </c>
      <c r="G182" s="48">
        <f t="shared" si="33"/>
        <v>0</v>
      </c>
      <c r="H182" s="48">
        <f t="shared" si="33"/>
        <v>0</v>
      </c>
      <c r="I182" s="48">
        <f t="shared" si="33"/>
        <v>3150000</v>
      </c>
      <c r="J182" s="48">
        <f t="shared" si="33"/>
        <v>3150000</v>
      </c>
      <c r="K182" s="48">
        <f t="shared" si="33"/>
        <v>0</v>
      </c>
      <c r="L182" s="48">
        <f t="shared" si="33"/>
        <v>0</v>
      </c>
      <c r="M182" s="48">
        <f t="shared" si="33"/>
        <v>0</v>
      </c>
      <c r="N182" s="48">
        <f t="shared" si="33"/>
        <v>3150000</v>
      </c>
      <c r="O182" s="48">
        <f t="shared" si="33"/>
        <v>10400000</v>
      </c>
      <c r="P182" s="180"/>
    </row>
    <row r="183" spans="1:16" ht="37.5" customHeight="1" x14ac:dyDescent="0.25">
      <c r="A183" s="40" t="s">
        <v>237</v>
      </c>
      <c r="B183" s="40" t="s">
        <v>238</v>
      </c>
      <c r="C183" s="11" t="s">
        <v>236</v>
      </c>
      <c r="D183" s="49">
        <f>'дод 3'!E48+'дод 3'!E224</f>
        <v>7250000</v>
      </c>
      <c r="E183" s="49">
        <f>'дод 3'!F48+'дод 3'!F224</f>
        <v>7250000</v>
      </c>
      <c r="F183" s="49">
        <f>'дод 3'!G48+'дод 3'!G224</f>
        <v>0</v>
      </c>
      <c r="G183" s="49">
        <f>'дод 3'!H48+'дод 3'!H224</f>
        <v>0</v>
      </c>
      <c r="H183" s="49">
        <f>'дод 3'!I48+'дод 3'!I224</f>
        <v>0</v>
      </c>
      <c r="I183" s="49">
        <f>'дод 3'!J48+'дод 3'!J224</f>
        <v>3150000</v>
      </c>
      <c r="J183" s="49">
        <f>'дод 3'!K48+'дод 3'!K224</f>
        <v>3150000</v>
      </c>
      <c r="K183" s="49">
        <f>'дод 3'!L48+'дод 3'!L224</f>
        <v>0</v>
      </c>
      <c r="L183" s="49">
        <f>'дод 3'!M48+'дод 3'!M224</f>
        <v>0</v>
      </c>
      <c r="M183" s="49">
        <f>'дод 3'!N48+'дод 3'!N224</f>
        <v>0</v>
      </c>
      <c r="N183" s="49">
        <f>'дод 3'!O48+'дод 3'!O224</f>
        <v>3150000</v>
      </c>
      <c r="O183" s="49">
        <f>'дод 3'!P48+'дод 3'!P224</f>
        <v>10400000</v>
      </c>
      <c r="P183" s="180">
        <v>111</v>
      </c>
    </row>
    <row r="184" spans="1:16" s="52" customFormat="1" ht="31.5" customHeight="1" x14ac:dyDescent="0.25">
      <c r="A184" s="38" t="s">
        <v>90</v>
      </c>
      <c r="B184" s="41"/>
      <c r="C184" s="2" t="s">
        <v>423</v>
      </c>
      <c r="D184" s="48">
        <f>D186+D187+D189+D190+D191+D193+D194+D195</f>
        <v>8663776</v>
      </c>
      <c r="E184" s="48">
        <f t="shared" ref="E184:O184" si="34">E186+E187+E189+E190+E191+E193+E194+E195</f>
        <v>6663776</v>
      </c>
      <c r="F184" s="48">
        <f t="shared" si="34"/>
        <v>0</v>
      </c>
      <c r="G184" s="48">
        <f t="shared" si="34"/>
        <v>0</v>
      </c>
      <c r="H184" s="48">
        <f t="shared" si="34"/>
        <v>2000000</v>
      </c>
      <c r="I184" s="48">
        <f t="shared" si="34"/>
        <v>230094923.99000001</v>
      </c>
      <c r="J184" s="48">
        <f t="shared" si="34"/>
        <v>213764952.12</v>
      </c>
      <c r="K184" s="48">
        <f t="shared" si="34"/>
        <v>2948437.8699999996</v>
      </c>
      <c r="L184" s="48">
        <f t="shared" si="34"/>
        <v>0</v>
      </c>
      <c r="M184" s="48">
        <f t="shared" si="34"/>
        <v>0</v>
      </c>
      <c r="N184" s="48">
        <f t="shared" si="34"/>
        <v>227146486.12</v>
      </c>
      <c r="O184" s="48">
        <f t="shared" si="34"/>
        <v>238758699.99000001</v>
      </c>
      <c r="P184" s="180"/>
    </row>
    <row r="185" spans="1:16" s="53" customFormat="1" ht="16.5" customHeight="1" x14ac:dyDescent="0.25">
      <c r="A185" s="75"/>
      <c r="B185" s="75"/>
      <c r="C185" s="87" t="s">
        <v>421</v>
      </c>
      <c r="D185" s="80">
        <f>D188+D192</f>
        <v>0</v>
      </c>
      <c r="E185" s="80">
        <f t="shared" ref="E185:O185" si="35">E188+E192</f>
        <v>0</v>
      </c>
      <c r="F185" s="80">
        <f t="shared" si="35"/>
        <v>0</v>
      </c>
      <c r="G185" s="80">
        <f t="shared" si="35"/>
        <v>0</v>
      </c>
      <c r="H185" s="80">
        <f t="shared" si="35"/>
        <v>0</v>
      </c>
      <c r="I185" s="80">
        <f t="shared" si="35"/>
        <v>127771665.12</v>
      </c>
      <c r="J185" s="80">
        <f t="shared" si="35"/>
        <v>127771665.12</v>
      </c>
      <c r="K185" s="80">
        <f t="shared" si="35"/>
        <v>0</v>
      </c>
      <c r="L185" s="80">
        <f t="shared" si="35"/>
        <v>0</v>
      </c>
      <c r="M185" s="80">
        <f t="shared" si="35"/>
        <v>0</v>
      </c>
      <c r="N185" s="80">
        <f t="shared" si="35"/>
        <v>127771665.12</v>
      </c>
      <c r="O185" s="80">
        <f t="shared" si="35"/>
        <v>127771665.12</v>
      </c>
      <c r="P185" s="180"/>
    </row>
    <row r="186" spans="1:16" ht="28.5" customHeight="1" x14ac:dyDescent="0.25">
      <c r="A186" s="37" t="s">
        <v>4</v>
      </c>
      <c r="B186" s="37" t="s">
        <v>89</v>
      </c>
      <c r="C186" s="3" t="s">
        <v>24</v>
      </c>
      <c r="D186" s="49">
        <f>'дод 3'!E49+'дод 3'!E268</f>
        <v>975000</v>
      </c>
      <c r="E186" s="49">
        <f>'дод 3'!F49+'дод 3'!F268</f>
        <v>475000</v>
      </c>
      <c r="F186" s="49">
        <f>'дод 3'!G49+'дод 3'!G268</f>
        <v>0</v>
      </c>
      <c r="G186" s="49">
        <f>'дод 3'!H49+'дод 3'!H268</f>
        <v>0</v>
      </c>
      <c r="H186" s="49">
        <f>'дод 3'!I49+'дод 3'!I268</f>
        <v>500000</v>
      </c>
      <c r="I186" s="49">
        <f>'дод 3'!J49+'дод 3'!J268</f>
        <v>0</v>
      </c>
      <c r="J186" s="49">
        <f>'дод 3'!K49+'дод 3'!K268</f>
        <v>0</v>
      </c>
      <c r="K186" s="49">
        <f>'дод 3'!L49+'дод 3'!L268</f>
        <v>0</v>
      </c>
      <c r="L186" s="49">
        <f>'дод 3'!M49+'дод 3'!M268</f>
        <v>0</v>
      </c>
      <c r="M186" s="49">
        <f>'дод 3'!N49+'дод 3'!N268</f>
        <v>0</v>
      </c>
      <c r="N186" s="49">
        <f>'дод 3'!O49+'дод 3'!O268</f>
        <v>0</v>
      </c>
      <c r="O186" s="49">
        <f>'дод 3'!P49+'дод 3'!P268</f>
        <v>975000</v>
      </c>
      <c r="P186" s="180"/>
    </row>
    <row r="187" spans="1:16" ht="20.25" customHeight="1" x14ac:dyDescent="0.25">
      <c r="A187" s="37" t="s">
        <v>2</v>
      </c>
      <c r="B187" s="37" t="s">
        <v>88</v>
      </c>
      <c r="C187" s="3" t="s">
        <v>420</v>
      </c>
      <c r="D187" s="49">
        <f>'дод 3'!E102+'дод 3'!E138+'дод 3'!E196+'дод 3'!E225+'дод 3'!E251+'дод 3'!E278</f>
        <v>5062107</v>
      </c>
      <c r="E187" s="49">
        <f>'дод 3'!F102+'дод 3'!F138+'дод 3'!F196+'дод 3'!F225+'дод 3'!F251+'дод 3'!F278</f>
        <v>3562107</v>
      </c>
      <c r="F187" s="49">
        <f>'дод 3'!G102+'дод 3'!G138+'дод 3'!G196+'дод 3'!G225+'дод 3'!G251+'дод 3'!G278</f>
        <v>0</v>
      </c>
      <c r="G187" s="49">
        <f>'дод 3'!H102+'дод 3'!H138+'дод 3'!H196+'дод 3'!H225+'дод 3'!H251+'дод 3'!H278</f>
        <v>0</v>
      </c>
      <c r="H187" s="49">
        <f>'дод 3'!I102+'дод 3'!I138+'дод 3'!I196+'дод 3'!I225+'дод 3'!I251+'дод 3'!I278</f>
        <v>1500000</v>
      </c>
      <c r="I187" s="49">
        <f>'дод 3'!J102+'дод 3'!J138+'дод 3'!J196+'дод 3'!J225+'дод 3'!J251+'дод 3'!J278</f>
        <v>159385986.12</v>
      </c>
      <c r="J187" s="49">
        <f>'дод 3'!K102+'дод 3'!K138+'дод 3'!K196+'дод 3'!K225+'дод 3'!K251+'дод 3'!K278</f>
        <v>147912052.12</v>
      </c>
      <c r="K187" s="49">
        <f>'дод 3'!L102+'дод 3'!L138+'дод 3'!L196+'дод 3'!L225+'дод 3'!L251+'дод 3'!L278</f>
        <v>0</v>
      </c>
      <c r="L187" s="49">
        <f>'дод 3'!M102+'дод 3'!M138+'дод 3'!M196+'дод 3'!M225+'дод 3'!M251+'дод 3'!M278</f>
        <v>0</v>
      </c>
      <c r="M187" s="49">
        <f>'дод 3'!N102+'дод 3'!N138+'дод 3'!N196+'дод 3'!N225+'дод 3'!N251+'дод 3'!N278</f>
        <v>0</v>
      </c>
      <c r="N187" s="49">
        <f>'дод 3'!O102+'дод 3'!O138+'дод 3'!O196+'дод 3'!O225+'дод 3'!O251+'дод 3'!O278</f>
        <v>159385986.12</v>
      </c>
      <c r="O187" s="49">
        <f>'дод 3'!P102+'дод 3'!P138+'дод 3'!P196+'дод 3'!P225+'дод 3'!P251+'дод 3'!P278</f>
        <v>164448093.12</v>
      </c>
      <c r="P187" s="180"/>
    </row>
    <row r="188" spans="1:16" s="54" customFormat="1" ht="17.25" customHeight="1" x14ac:dyDescent="0.25">
      <c r="A188" s="82"/>
      <c r="B188" s="82"/>
      <c r="C188" s="89" t="s">
        <v>421</v>
      </c>
      <c r="D188" s="84">
        <f>'дод 3'!E139+'дод 3'!E252</f>
        <v>0</v>
      </c>
      <c r="E188" s="84">
        <f>'дод 3'!F139+'дод 3'!F252</f>
        <v>0</v>
      </c>
      <c r="F188" s="84">
        <f>'дод 3'!G139+'дод 3'!G252</f>
        <v>0</v>
      </c>
      <c r="G188" s="84">
        <f>'дод 3'!H139+'дод 3'!H252</f>
        <v>0</v>
      </c>
      <c r="H188" s="84">
        <f>'дод 3'!I139+'дод 3'!I252</f>
        <v>0</v>
      </c>
      <c r="I188" s="84">
        <f>'дод 3'!J139+'дод 3'!J252</f>
        <v>101521665.12</v>
      </c>
      <c r="J188" s="84">
        <f>'дод 3'!K139+'дод 3'!K252</f>
        <v>101521665.12</v>
      </c>
      <c r="K188" s="84">
        <f>'дод 3'!L139+'дод 3'!L252</f>
        <v>0</v>
      </c>
      <c r="L188" s="84">
        <f>'дод 3'!M139+'дод 3'!M252</f>
        <v>0</v>
      </c>
      <c r="M188" s="84">
        <f>'дод 3'!N139+'дод 3'!N252</f>
        <v>0</v>
      </c>
      <c r="N188" s="84">
        <f>'дод 3'!O139+'дод 3'!O252</f>
        <v>101521665.12</v>
      </c>
      <c r="O188" s="84">
        <f>'дод 3'!P139+'дод 3'!P252</f>
        <v>101521665.12</v>
      </c>
      <c r="P188" s="180"/>
    </row>
    <row r="189" spans="1:16" ht="33.75" customHeight="1" x14ac:dyDescent="0.25">
      <c r="A189" s="37" t="s">
        <v>269</v>
      </c>
      <c r="B189" s="37" t="s">
        <v>84</v>
      </c>
      <c r="C189" s="3" t="s">
        <v>348</v>
      </c>
      <c r="D189" s="49">
        <f>'дод 3'!E269</f>
        <v>0</v>
      </c>
      <c r="E189" s="49">
        <f>'дод 3'!F269</f>
        <v>0</v>
      </c>
      <c r="F189" s="49">
        <f>'дод 3'!G269</f>
        <v>0</v>
      </c>
      <c r="G189" s="49">
        <f>'дод 3'!H269</f>
        <v>0</v>
      </c>
      <c r="H189" s="49">
        <f>'дод 3'!I269</f>
        <v>0</v>
      </c>
      <c r="I189" s="49">
        <f>'дод 3'!J269</f>
        <v>20000</v>
      </c>
      <c r="J189" s="49">
        <f>'дод 3'!K269</f>
        <v>20000</v>
      </c>
      <c r="K189" s="49">
        <f>'дод 3'!L269</f>
        <v>0</v>
      </c>
      <c r="L189" s="49">
        <f>'дод 3'!M269</f>
        <v>0</v>
      </c>
      <c r="M189" s="49">
        <f>'дод 3'!N269</f>
        <v>0</v>
      </c>
      <c r="N189" s="49">
        <f>'дод 3'!O269</f>
        <v>20000</v>
      </c>
      <c r="O189" s="49">
        <f>'дод 3'!P269</f>
        <v>20000</v>
      </c>
      <c r="P189" s="180"/>
    </row>
    <row r="190" spans="1:16" ht="51" customHeight="1" x14ac:dyDescent="0.25">
      <c r="A190" s="37" t="s">
        <v>271</v>
      </c>
      <c r="B190" s="37" t="s">
        <v>84</v>
      </c>
      <c r="C190" s="3" t="s">
        <v>272</v>
      </c>
      <c r="D190" s="49">
        <f>'дод 3'!E270</f>
        <v>0</v>
      </c>
      <c r="E190" s="49">
        <f>'дод 3'!F270</f>
        <v>0</v>
      </c>
      <c r="F190" s="49">
        <f>'дод 3'!G270</f>
        <v>0</v>
      </c>
      <c r="G190" s="49">
        <f>'дод 3'!H270</f>
        <v>0</v>
      </c>
      <c r="H190" s="49">
        <f>'дод 3'!I270</f>
        <v>0</v>
      </c>
      <c r="I190" s="49">
        <f>'дод 3'!J270</f>
        <v>45000</v>
      </c>
      <c r="J190" s="49">
        <f>'дод 3'!K270</f>
        <v>45000</v>
      </c>
      <c r="K190" s="49">
        <f>'дод 3'!L270</f>
        <v>0</v>
      </c>
      <c r="L190" s="49">
        <f>'дод 3'!M270</f>
        <v>0</v>
      </c>
      <c r="M190" s="49">
        <f>'дод 3'!N270</f>
        <v>0</v>
      </c>
      <c r="N190" s="49">
        <f>'дод 3'!O270</f>
        <v>45000</v>
      </c>
      <c r="O190" s="49">
        <f>'дод 3'!P270</f>
        <v>45000</v>
      </c>
      <c r="P190" s="180"/>
    </row>
    <row r="191" spans="1:16" ht="30.75" customHeight="1" x14ac:dyDescent="0.25">
      <c r="A191" s="37" t="s">
        <v>5</v>
      </c>
      <c r="B191" s="37" t="s">
        <v>84</v>
      </c>
      <c r="C191" s="3" t="s">
        <v>474</v>
      </c>
      <c r="D191" s="49">
        <f>'дод 3'!E50+'дод 3'!E226</f>
        <v>0</v>
      </c>
      <c r="E191" s="49">
        <f>'дод 3'!F50+'дод 3'!F226</f>
        <v>0</v>
      </c>
      <c r="F191" s="49">
        <f>'дод 3'!G50+'дод 3'!G226</f>
        <v>0</v>
      </c>
      <c r="G191" s="49">
        <f>'дод 3'!H50+'дод 3'!H226</f>
        <v>0</v>
      </c>
      <c r="H191" s="49">
        <f>'дод 3'!I50+'дод 3'!I226</f>
        <v>0</v>
      </c>
      <c r="I191" s="49">
        <f>'дод 3'!J50+'дод 3'!J226</f>
        <v>65787900</v>
      </c>
      <c r="J191" s="49">
        <f>'дод 3'!K50+'дод 3'!K226</f>
        <v>65787900</v>
      </c>
      <c r="K191" s="49">
        <f>'дод 3'!L50+'дод 3'!L226</f>
        <v>0</v>
      </c>
      <c r="L191" s="49">
        <f>'дод 3'!M50+'дод 3'!M226</f>
        <v>0</v>
      </c>
      <c r="M191" s="49">
        <f>'дод 3'!N50+'дод 3'!N226</f>
        <v>0</v>
      </c>
      <c r="N191" s="49">
        <f>'дод 3'!O50+'дод 3'!O226</f>
        <v>65787900</v>
      </c>
      <c r="O191" s="49">
        <f>'дод 3'!P50+'дод 3'!P226</f>
        <v>65787900</v>
      </c>
      <c r="P191" s="180"/>
    </row>
    <row r="192" spans="1:16" ht="16.5" customHeight="1" x14ac:dyDescent="0.25">
      <c r="A192" s="37"/>
      <c r="B192" s="37"/>
      <c r="C192" s="89" t="s">
        <v>421</v>
      </c>
      <c r="D192" s="49">
        <f>'дод 3'!E227</f>
        <v>0</v>
      </c>
      <c r="E192" s="49">
        <f>'дод 3'!F227</f>
        <v>0</v>
      </c>
      <c r="F192" s="49">
        <f>'дод 3'!G227</f>
        <v>0</v>
      </c>
      <c r="G192" s="49">
        <f>'дод 3'!H227</f>
        <v>0</v>
      </c>
      <c r="H192" s="49">
        <f>'дод 3'!I227</f>
        <v>0</v>
      </c>
      <c r="I192" s="49">
        <f>'дод 3'!J227</f>
        <v>26250000</v>
      </c>
      <c r="J192" s="49">
        <f>'дод 3'!K227</f>
        <v>26250000</v>
      </c>
      <c r="K192" s="49">
        <f>'дод 3'!L227</f>
        <v>0</v>
      </c>
      <c r="L192" s="49">
        <f>'дод 3'!M227</f>
        <v>0</v>
      </c>
      <c r="M192" s="49">
        <f>'дод 3'!N227</f>
        <v>0</v>
      </c>
      <c r="N192" s="49">
        <f>'дод 3'!O227</f>
        <v>26250000</v>
      </c>
      <c r="O192" s="49">
        <f>'дод 3'!P227</f>
        <v>26250000</v>
      </c>
      <c r="P192" s="180"/>
    </row>
    <row r="193" spans="1:16" ht="36.75" customHeight="1" x14ac:dyDescent="0.25">
      <c r="A193" s="37" t="s">
        <v>250</v>
      </c>
      <c r="B193" s="37" t="s">
        <v>84</v>
      </c>
      <c r="C193" s="3" t="s">
        <v>251</v>
      </c>
      <c r="D193" s="49">
        <f>'дод 3'!E51</f>
        <v>356337</v>
      </c>
      <c r="E193" s="49">
        <f>'дод 3'!F51</f>
        <v>356337</v>
      </c>
      <c r="F193" s="49">
        <f>'дод 3'!G51</f>
        <v>0</v>
      </c>
      <c r="G193" s="49">
        <f>'дод 3'!H51</f>
        <v>0</v>
      </c>
      <c r="H193" s="49">
        <f>'дод 3'!I51</f>
        <v>0</v>
      </c>
      <c r="I193" s="49">
        <f>'дод 3'!J51</f>
        <v>0</v>
      </c>
      <c r="J193" s="49">
        <f>'дод 3'!K51</f>
        <v>0</v>
      </c>
      <c r="K193" s="49">
        <f>'дод 3'!L51</f>
        <v>0</v>
      </c>
      <c r="L193" s="49">
        <f>'дод 3'!M51</f>
        <v>0</v>
      </c>
      <c r="M193" s="49">
        <f>'дод 3'!N51</f>
        <v>0</v>
      </c>
      <c r="N193" s="49">
        <f>'дод 3'!O51</f>
        <v>0</v>
      </c>
      <c r="O193" s="49">
        <f>'дод 3'!P51</f>
        <v>356337</v>
      </c>
      <c r="P193" s="180"/>
    </row>
    <row r="194" spans="1:16" s="54" customFormat="1" ht="97.5" customHeight="1" x14ac:dyDescent="0.25">
      <c r="A194" s="37" t="s">
        <v>298</v>
      </c>
      <c r="B194" s="37" t="s">
        <v>84</v>
      </c>
      <c r="C194" s="3" t="s">
        <v>316</v>
      </c>
      <c r="D194" s="49">
        <f>'дод 3'!E52+'дод 3'!E228+'дод 3'!E253+'дод 3'!E260</f>
        <v>0</v>
      </c>
      <c r="E194" s="49">
        <f>'дод 3'!F52+'дод 3'!F228+'дод 3'!F253+'дод 3'!F260</f>
        <v>0</v>
      </c>
      <c r="F194" s="49">
        <f>'дод 3'!G52+'дод 3'!G228+'дод 3'!G253+'дод 3'!G260</f>
        <v>0</v>
      </c>
      <c r="G194" s="49">
        <f>'дод 3'!H52+'дод 3'!H228+'дод 3'!H253+'дод 3'!H260</f>
        <v>0</v>
      </c>
      <c r="H194" s="49">
        <f>'дод 3'!I52+'дод 3'!I228+'дод 3'!I253+'дод 3'!I260</f>
        <v>0</v>
      </c>
      <c r="I194" s="49">
        <f>'дод 3'!J52+'дод 3'!J228+'дод 3'!J253+'дод 3'!J260</f>
        <v>4856037.8699999992</v>
      </c>
      <c r="J194" s="49">
        <f>'дод 3'!K52+'дод 3'!K228+'дод 3'!K253+'дод 3'!K260</f>
        <v>0</v>
      </c>
      <c r="K194" s="49">
        <f>'дод 3'!L52+'дод 3'!L228+'дод 3'!L253+'дод 3'!L260</f>
        <v>2948437.8699999996</v>
      </c>
      <c r="L194" s="49">
        <f>'дод 3'!M52+'дод 3'!M228+'дод 3'!M253+'дод 3'!M260</f>
        <v>0</v>
      </c>
      <c r="M194" s="49">
        <f>'дод 3'!N52+'дод 3'!N228+'дод 3'!N253+'дод 3'!N260</f>
        <v>0</v>
      </c>
      <c r="N194" s="49">
        <f>'дод 3'!O52+'дод 3'!O228+'дод 3'!O253+'дод 3'!O260</f>
        <v>1907600</v>
      </c>
      <c r="O194" s="49">
        <f>'дод 3'!P52+'дод 3'!P228+'дод 3'!P253+'дод 3'!P260</f>
        <v>4856037.8699999992</v>
      </c>
      <c r="P194" s="180"/>
    </row>
    <row r="195" spans="1:16" s="54" customFormat="1" ht="23.25" customHeight="1" x14ac:dyDescent="0.25">
      <c r="A195" s="37" t="s">
        <v>241</v>
      </c>
      <c r="B195" s="37" t="s">
        <v>84</v>
      </c>
      <c r="C195" s="3" t="s">
        <v>17</v>
      </c>
      <c r="D195" s="49">
        <f>'дод 3'!E53+'дод 3'!E271+'дод 3'!E279</f>
        <v>2270332</v>
      </c>
      <c r="E195" s="49">
        <f>'дод 3'!F53+'дод 3'!F271+'дод 3'!F279</f>
        <v>2270332</v>
      </c>
      <c r="F195" s="49">
        <f>'дод 3'!G53+'дод 3'!G271+'дод 3'!G279</f>
        <v>0</v>
      </c>
      <c r="G195" s="49">
        <f>'дод 3'!H53+'дод 3'!H271+'дод 3'!H279</f>
        <v>0</v>
      </c>
      <c r="H195" s="49">
        <f>'дод 3'!I53+'дод 3'!I271+'дод 3'!I279</f>
        <v>0</v>
      </c>
      <c r="I195" s="49">
        <f>'дод 3'!J53+'дод 3'!J271+'дод 3'!J279</f>
        <v>0</v>
      </c>
      <c r="J195" s="49">
        <f>'дод 3'!K53+'дод 3'!K271+'дод 3'!K279</f>
        <v>0</v>
      </c>
      <c r="K195" s="49">
        <f>'дод 3'!L53+'дод 3'!L271+'дод 3'!L279</f>
        <v>0</v>
      </c>
      <c r="L195" s="49">
        <f>'дод 3'!M53+'дод 3'!M271+'дод 3'!M279</f>
        <v>0</v>
      </c>
      <c r="M195" s="49">
        <f>'дод 3'!N53+'дод 3'!N271+'дод 3'!N279</f>
        <v>0</v>
      </c>
      <c r="N195" s="49">
        <f>'дод 3'!O53+'дод 3'!O271+'дод 3'!O279</f>
        <v>0</v>
      </c>
      <c r="O195" s="49">
        <f>'дод 3'!P53+'дод 3'!P271+'дод 3'!P279</f>
        <v>2270332</v>
      </c>
      <c r="P195" s="180"/>
    </row>
    <row r="196" spans="1:16" s="53" customFormat="1" ht="48.75" customHeight="1" x14ac:dyDescent="0.25">
      <c r="A196" s="38">
        <v>7700</v>
      </c>
      <c r="B196" s="38"/>
      <c r="C196" s="95" t="s">
        <v>364</v>
      </c>
      <c r="D196" s="48">
        <f>D197</f>
        <v>0</v>
      </c>
      <c r="E196" s="48">
        <f t="shared" ref="E196:O196" si="36">E197</f>
        <v>0</v>
      </c>
      <c r="F196" s="48">
        <f t="shared" si="36"/>
        <v>0</v>
      </c>
      <c r="G196" s="48">
        <f t="shared" si="36"/>
        <v>0</v>
      </c>
      <c r="H196" s="48">
        <f t="shared" si="36"/>
        <v>0</v>
      </c>
      <c r="I196" s="48">
        <f t="shared" si="36"/>
        <v>630000</v>
      </c>
      <c r="J196" s="48">
        <f t="shared" si="36"/>
        <v>0</v>
      </c>
      <c r="K196" s="48">
        <f t="shared" si="36"/>
        <v>0</v>
      </c>
      <c r="L196" s="48">
        <f t="shared" si="36"/>
        <v>0</v>
      </c>
      <c r="M196" s="48">
        <f t="shared" si="36"/>
        <v>0</v>
      </c>
      <c r="N196" s="48">
        <f t="shared" si="36"/>
        <v>630000</v>
      </c>
      <c r="O196" s="48">
        <f t="shared" si="36"/>
        <v>630000</v>
      </c>
      <c r="P196" s="180"/>
    </row>
    <row r="197" spans="1:16" s="54" customFormat="1" ht="46.5" customHeight="1" x14ac:dyDescent="0.25">
      <c r="A197" s="37">
        <v>7700</v>
      </c>
      <c r="B197" s="59" t="s">
        <v>95</v>
      </c>
      <c r="C197" s="61" t="s">
        <v>364</v>
      </c>
      <c r="D197" s="49">
        <f>'дод 3'!E103</f>
        <v>0</v>
      </c>
      <c r="E197" s="49">
        <f>'дод 3'!F103</f>
        <v>0</v>
      </c>
      <c r="F197" s="49">
        <f>'дод 3'!G103</f>
        <v>0</v>
      </c>
      <c r="G197" s="49">
        <f>'дод 3'!H103</f>
        <v>0</v>
      </c>
      <c r="H197" s="49">
        <f>'дод 3'!I103</f>
        <v>0</v>
      </c>
      <c r="I197" s="49">
        <f>'дод 3'!J103</f>
        <v>630000</v>
      </c>
      <c r="J197" s="49">
        <f>'дод 3'!K103</f>
        <v>0</v>
      </c>
      <c r="K197" s="49">
        <f>'дод 3'!L103</f>
        <v>0</v>
      </c>
      <c r="L197" s="49">
        <f>'дод 3'!M103</f>
        <v>0</v>
      </c>
      <c r="M197" s="49">
        <f>'дод 3'!N103</f>
        <v>0</v>
      </c>
      <c r="N197" s="49">
        <f>'дод 3'!O103</f>
        <v>630000</v>
      </c>
      <c r="O197" s="49">
        <f>'дод 3'!P103</f>
        <v>630000</v>
      </c>
      <c r="P197" s="180"/>
    </row>
    <row r="198" spans="1:16" s="52" customFormat="1" ht="51.75" customHeight="1" x14ac:dyDescent="0.25">
      <c r="A198" s="38" t="s">
        <v>96</v>
      </c>
      <c r="B198" s="39"/>
      <c r="C198" s="2" t="s">
        <v>539</v>
      </c>
      <c r="D198" s="48">
        <f t="shared" ref="D198:O198" si="37">D200+D205+D207+D210+D212+D213</f>
        <v>11246916.309999999</v>
      </c>
      <c r="E198" s="48">
        <f t="shared" si="37"/>
        <v>5774892.8700000001</v>
      </c>
      <c r="F198" s="48">
        <f t="shared" si="37"/>
        <v>1906900</v>
      </c>
      <c r="G198" s="48">
        <f t="shared" si="37"/>
        <v>279360</v>
      </c>
      <c r="H198" s="48">
        <f t="shared" si="37"/>
        <v>0</v>
      </c>
      <c r="I198" s="48">
        <f t="shared" si="37"/>
        <v>5155752</v>
      </c>
      <c r="J198" s="48">
        <f t="shared" si="37"/>
        <v>1430052</v>
      </c>
      <c r="K198" s="48">
        <f t="shared" si="37"/>
        <v>2395700</v>
      </c>
      <c r="L198" s="48">
        <f t="shared" si="37"/>
        <v>0</v>
      </c>
      <c r="M198" s="48">
        <f t="shared" si="37"/>
        <v>1400</v>
      </c>
      <c r="N198" s="48">
        <f t="shared" si="37"/>
        <v>2760052</v>
      </c>
      <c r="O198" s="48">
        <f t="shared" si="37"/>
        <v>16402668.310000001</v>
      </c>
      <c r="P198" s="180"/>
    </row>
    <row r="199" spans="1:16" s="53" customFormat="1" ht="54.75" customHeight="1" x14ac:dyDescent="0.25">
      <c r="A199" s="75"/>
      <c r="B199" s="78"/>
      <c r="C199" s="79" t="s">
        <v>384</v>
      </c>
      <c r="D199" s="80">
        <f>D201</f>
        <v>588815</v>
      </c>
      <c r="E199" s="80">
        <f t="shared" ref="E199:O199" si="38">E201</f>
        <v>588815</v>
      </c>
      <c r="F199" s="80">
        <f t="shared" si="38"/>
        <v>482635</v>
      </c>
      <c r="G199" s="80">
        <f t="shared" si="38"/>
        <v>0</v>
      </c>
      <c r="H199" s="80">
        <f t="shared" si="38"/>
        <v>0</v>
      </c>
      <c r="I199" s="80">
        <f t="shared" si="38"/>
        <v>0</v>
      </c>
      <c r="J199" s="80">
        <f t="shared" si="38"/>
        <v>0</v>
      </c>
      <c r="K199" s="80">
        <f t="shared" si="38"/>
        <v>0</v>
      </c>
      <c r="L199" s="80">
        <f t="shared" si="38"/>
        <v>0</v>
      </c>
      <c r="M199" s="80">
        <f t="shared" si="38"/>
        <v>0</v>
      </c>
      <c r="N199" s="80">
        <f t="shared" si="38"/>
        <v>0</v>
      </c>
      <c r="O199" s="80">
        <f t="shared" si="38"/>
        <v>588815</v>
      </c>
      <c r="P199" s="180"/>
    </row>
    <row r="200" spans="1:16" s="52" customFormat="1" ht="51.75" customHeight="1" x14ac:dyDescent="0.25">
      <c r="A200" s="38" t="s">
        <v>98</v>
      </c>
      <c r="B200" s="39"/>
      <c r="C200" s="2" t="s">
        <v>542</v>
      </c>
      <c r="D200" s="48">
        <f t="shared" ref="D200:O200" si="39">D202+D203</f>
        <v>3383853.87</v>
      </c>
      <c r="E200" s="48">
        <f t="shared" si="39"/>
        <v>3383853.87</v>
      </c>
      <c r="F200" s="48">
        <f t="shared" si="39"/>
        <v>1906900</v>
      </c>
      <c r="G200" s="48">
        <f t="shared" si="39"/>
        <v>85760</v>
      </c>
      <c r="H200" s="48">
        <f t="shared" si="39"/>
        <v>0</v>
      </c>
      <c r="I200" s="48">
        <f t="shared" si="39"/>
        <v>1435752</v>
      </c>
      <c r="J200" s="48">
        <f t="shared" si="39"/>
        <v>1430052</v>
      </c>
      <c r="K200" s="48">
        <f t="shared" si="39"/>
        <v>5700</v>
      </c>
      <c r="L200" s="48">
        <f t="shared" si="39"/>
        <v>0</v>
      </c>
      <c r="M200" s="48">
        <f t="shared" si="39"/>
        <v>1400</v>
      </c>
      <c r="N200" s="48">
        <f t="shared" si="39"/>
        <v>1430052</v>
      </c>
      <c r="O200" s="48">
        <f t="shared" si="39"/>
        <v>4819605.87</v>
      </c>
      <c r="P200" s="180"/>
    </row>
    <row r="201" spans="1:16" s="53" customFormat="1" ht="47.25" hidden="1" customHeight="1" x14ac:dyDescent="0.25">
      <c r="A201" s="75"/>
      <c r="B201" s="78"/>
      <c r="C201" s="81" t="str">
        <f>C204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01" s="80">
        <f>D204</f>
        <v>588815</v>
      </c>
      <c r="E201" s="80">
        <f t="shared" ref="E201:O201" si="40">E204</f>
        <v>588815</v>
      </c>
      <c r="F201" s="80">
        <f t="shared" si="40"/>
        <v>482635</v>
      </c>
      <c r="G201" s="80">
        <f t="shared" si="40"/>
        <v>0</v>
      </c>
      <c r="H201" s="80">
        <f t="shared" si="40"/>
        <v>0</v>
      </c>
      <c r="I201" s="80">
        <f t="shared" si="40"/>
        <v>0</v>
      </c>
      <c r="J201" s="80">
        <f t="shared" si="40"/>
        <v>0</v>
      </c>
      <c r="K201" s="80">
        <f t="shared" si="40"/>
        <v>0</v>
      </c>
      <c r="L201" s="80">
        <f t="shared" si="40"/>
        <v>0</v>
      </c>
      <c r="M201" s="80">
        <f t="shared" si="40"/>
        <v>0</v>
      </c>
      <c r="N201" s="80">
        <f t="shared" si="40"/>
        <v>0</v>
      </c>
      <c r="O201" s="80">
        <f t="shared" si="40"/>
        <v>588815</v>
      </c>
      <c r="P201" s="180"/>
    </row>
    <row r="202" spans="1:16" s="52" customFormat="1" ht="36.75" customHeight="1" x14ac:dyDescent="0.25">
      <c r="A202" s="40" t="s">
        <v>7</v>
      </c>
      <c r="B202" s="40" t="s">
        <v>91</v>
      </c>
      <c r="C202" s="3" t="s">
        <v>299</v>
      </c>
      <c r="D202" s="49">
        <f>'дод 3'!E54+'дод 3'!E229</f>
        <v>929193.87</v>
      </c>
      <c r="E202" s="49">
        <f>'дод 3'!F54+'дод 3'!F229</f>
        <v>929193.87</v>
      </c>
      <c r="F202" s="49">
        <f>'дод 3'!G54+'дод 3'!G229</f>
        <v>0</v>
      </c>
      <c r="G202" s="49">
        <f>'дод 3'!H54+'дод 3'!H229</f>
        <v>6500</v>
      </c>
      <c r="H202" s="49">
        <f>'дод 3'!I54+'дод 3'!I229</f>
        <v>0</v>
      </c>
      <c r="I202" s="49">
        <f>'дод 3'!J54+'дод 3'!J229</f>
        <v>1430052</v>
      </c>
      <c r="J202" s="49">
        <f>'дод 3'!K54+'дод 3'!K229</f>
        <v>1430052</v>
      </c>
      <c r="K202" s="49">
        <f>'дод 3'!L54+'дод 3'!L229</f>
        <v>0</v>
      </c>
      <c r="L202" s="49">
        <f>'дод 3'!M54+'дод 3'!M229</f>
        <v>0</v>
      </c>
      <c r="M202" s="49">
        <f>'дод 3'!N54+'дод 3'!N229</f>
        <v>0</v>
      </c>
      <c r="N202" s="49">
        <f>'дод 3'!O54+'дод 3'!O229</f>
        <v>1430052</v>
      </c>
      <c r="O202" s="49">
        <f>'дод 3'!P54+'дод 3'!P229</f>
        <v>2359245.87</v>
      </c>
      <c r="P202" s="180"/>
    </row>
    <row r="203" spans="1:16" ht="34.5" customHeight="1" x14ac:dyDescent="0.25">
      <c r="A203" s="37" t="s">
        <v>150</v>
      </c>
      <c r="B203" s="42" t="s">
        <v>91</v>
      </c>
      <c r="C203" s="3" t="s">
        <v>538</v>
      </c>
      <c r="D203" s="49">
        <f>'дод 3'!E55</f>
        <v>2454660</v>
      </c>
      <c r="E203" s="49">
        <f>'дод 3'!F55</f>
        <v>2454660</v>
      </c>
      <c r="F203" s="49">
        <f>'дод 3'!G55</f>
        <v>1906900</v>
      </c>
      <c r="G203" s="49">
        <f>'дод 3'!H55</f>
        <v>79260</v>
      </c>
      <c r="H203" s="49">
        <f>'дод 3'!I55</f>
        <v>0</v>
      </c>
      <c r="I203" s="49">
        <f>'дод 3'!J55</f>
        <v>5700</v>
      </c>
      <c r="J203" s="49">
        <f>'дод 3'!K55</f>
        <v>0</v>
      </c>
      <c r="K203" s="49">
        <f>'дод 3'!L55</f>
        <v>5700</v>
      </c>
      <c r="L203" s="49">
        <f>'дод 3'!M55</f>
        <v>0</v>
      </c>
      <c r="M203" s="49">
        <f>'дод 3'!N55</f>
        <v>1400</v>
      </c>
      <c r="N203" s="49">
        <f>'дод 3'!O55</f>
        <v>0</v>
      </c>
      <c r="O203" s="49">
        <f>'дод 3'!P55</f>
        <v>2460360</v>
      </c>
      <c r="P203" s="180"/>
    </row>
    <row r="204" spans="1:16" s="54" customFormat="1" ht="47.25" x14ac:dyDescent="0.25">
      <c r="A204" s="82"/>
      <c r="B204" s="92"/>
      <c r="C204" s="91" t="s">
        <v>384</v>
      </c>
      <c r="D204" s="84">
        <f>'дод 3'!E56</f>
        <v>588815</v>
      </c>
      <c r="E204" s="84">
        <f>'дод 3'!F56</f>
        <v>588815</v>
      </c>
      <c r="F204" s="84">
        <f>'дод 3'!G56</f>
        <v>482635</v>
      </c>
      <c r="G204" s="84">
        <f>'дод 3'!H56</f>
        <v>0</v>
      </c>
      <c r="H204" s="84">
        <f>'дод 3'!I56</f>
        <v>0</v>
      </c>
      <c r="I204" s="84">
        <f>'дод 3'!J56</f>
        <v>0</v>
      </c>
      <c r="J204" s="84">
        <f>'дод 3'!K56</f>
        <v>0</v>
      </c>
      <c r="K204" s="84">
        <f>'дод 3'!L56</f>
        <v>0</v>
      </c>
      <c r="L204" s="84">
        <f>'дод 3'!M56</f>
        <v>0</v>
      </c>
      <c r="M204" s="84">
        <f>'дод 3'!N56</f>
        <v>0</v>
      </c>
      <c r="N204" s="84">
        <f>'дод 3'!O56</f>
        <v>0</v>
      </c>
      <c r="O204" s="84">
        <f>'дод 3'!P56</f>
        <v>588815</v>
      </c>
      <c r="P204" s="180"/>
    </row>
    <row r="205" spans="1:16" s="52" customFormat="1" ht="23.25" customHeight="1" x14ac:dyDescent="0.25">
      <c r="A205" s="38" t="s">
        <v>252</v>
      </c>
      <c r="B205" s="38"/>
      <c r="C205" s="12" t="s">
        <v>253</v>
      </c>
      <c r="D205" s="48">
        <f t="shared" ref="D205:O205" si="41">D206</f>
        <v>351800</v>
      </c>
      <c r="E205" s="48">
        <f t="shared" si="41"/>
        <v>351800</v>
      </c>
      <c r="F205" s="48">
        <f t="shared" si="41"/>
        <v>0</v>
      </c>
      <c r="G205" s="48">
        <f t="shared" si="41"/>
        <v>193600</v>
      </c>
      <c r="H205" s="48">
        <f t="shared" si="41"/>
        <v>0</v>
      </c>
      <c r="I205" s="48">
        <f t="shared" si="41"/>
        <v>0</v>
      </c>
      <c r="J205" s="48">
        <f t="shared" si="41"/>
        <v>0</v>
      </c>
      <c r="K205" s="48">
        <f t="shared" si="41"/>
        <v>0</v>
      </c>
      <c r="L205" s="48">
        <f t="shared" si="41"/>
        <v>0</v>
      </c>
      <c r="M205" s="48">
        <f t="shared" si="41"/>
        <v>0</v>
      </c>
      <c r="N205" s="48">
        <f t="shared" si="41"/>
        <v>0</v>
      </c>
      <c r="O205" s="48">
        <f t="shared" si="41"/>
        <v>351800</v>
      </c>
      <c r="P205" s="180"/>
    </row>
    <row r="206" spans="1:16" ht="22.5" customHeight="1" x14ac:dyDescent="0.25">
      <c r="A206" s="37" t="s">
        <v>246</v>
      </c>
      <c r="B206" s="42" t="s">
        <v>247</v>
      </c>
      <c r="C206" s="3" t="s">
        <v>248</v>
      </c>
      <c r="D206" s="49">
        <f>'дод 3'!E57+'дод 3'!E230</f>
        <v>351800</v>
      </c>
      <c r="E206" s="49">
        <f>'дод 3'!F57+'дод 3'!F230</f>
        <v>351800</v>
      </c>
      <c r="F206" s="49">
        <f>'дод 3'!G57+'дод 3'!G230</f>
        <v>0</v>
      </c>
      <c r="G206" s="49">
        <f>'дод 3'!H57+'дод 3'!H230</f>
        <v>193600</v>
      </c>
      <c r="H206" s="49">
        <f>'дод 3'!I57+'дод 3'!I230</f>
        <v>0</v>
      </c>
      <c r="I206" s="49">
        <f>'дод 3'!J57+'дод 3'!J230</f>
        <v>0</v>
      </c>
      <c r="J206" s="49">
        <f>'дод 3'!K57+'дод 3'!K230</f>
        <v>0</v>
      </c>
      <c r="K206" s="49">
        <f>'дод 3'!L57+'дод 3'!L230</f>
        <v>0</v>
      </c>
      <c r="L206" s="49">
        <f>'дод 3'!M57+'дод 3'!M230</f>
        <v>0</v>
      </c>
      <c r="M206" s="49">
        <f>'дод 3'!N57+'дод 3'!N230</f>
        <v>0</v>
      </c>
      <c r="N206" s="49">
        <f>'дод 3'!O57+'дод 3'!O230</f>
        <v>0</v>
      </c>
      <c r="O206" s="49">
        <f>'дод 3'!P57+'дод 3'!P230</f>
        <v>351800</v>
      </c>
      <c r="P206" s="180"/>
    </row>
    <row r="207" spans="1:16" s="52" customFormat="1" ht="22.5" customHeight="1" x14ac:dyDescent="0.25">
      <c r="A207" s="38" t="s">
        <v>6</v>
      </c>
      <c r="B207" s="39"/>
      <c r="C207" s="2" t="s">
        <v>8</v>
      </c>
      <c r="D207" s="48">
        <f t="shared" ref="D207:O207" si="42">D209+D208</f>
        <v>75000</v>
      </c>
      <c r="E207" s="48">
        <f t="shared" si="42"/>
        <v>75000</v>
      </c>
      <c r="F207" s="48">
        <f t="shared" si="42"/>
        <v>0</v>
      </c>
      <c r="G207" s="48">
        <f t="shared" si="42"/>
        <v>0</v>
      </c>
      <c r="H207" s="48">
        <f t="shared" si="42"/>
        <v>0</v>
      </c>
      <c r="I207" s="48">
        <f t="shared" si="42"/>
        <v>3720000</v>
      </c>
      <c r="J207" s="48">
        <f t="shared" si="42"/>
        <v>0</v>
      </c>
      <c r="K207" s="48">
        <f t="shared" si="42"/>
        <v>2390000</v>
      </c>
      <c r="L207" s="48">
        <f t="shared" si="42"/>
        <v>0</v>
      </c>
      <c r="M207" s="48">
        <f t="shared" si="42"/>
        <v>0</v>
      </c>
      <c r="N207" s="48">
        <f t="shared" si="42"/>
        <v>1330000</v>
      </c>
      <c r="O207" s="48">
        <f t="shared" si="42"/>
        <v>3795000</v>
      </c>
      <c r="P207" s="180"/>
    </row>
    <row r="208" spans="1:16" s="52" customFormat="1" ht="33.75" customHeight="1" x14ac:dyDescent="0.25">
      <c r="A208" s="37">
        <v>8330</v>
      </c>
      <c r="B208" s="59" t="s">
        <v>94</v>
      </c>
      <c r="C208" s="3" t="s">
        <v>350</v>
      </c>
      <c r="D208" s="49">
        <f>'дод 3'!E280</f>
        <v>75000</v>
      </c>
      <c r="E208" s="49">
        <f>'дод 3'!F280</f>
        <v>75000</v>
      </c>
      <c r="F208" s="49">
        <f>'дод 3'!G280</f>
        <v>0</v>
      </c>
      <c r="G208" s="49">
        <f>'дод 3'!H280</f>
        <v>0</v>
      </c>
      <c r="H208" s="49">
        <f>'дод 3'!I280</f>
        <v>0</v>
      </c>
      <c r="I208" s="49">
        <f>'дод 3'!J280</f>
        <v>0</v>
      </c>
      <c r="J208" s="49">
        <f>'дод 3'!K280</f>
        <v>0</v>
      </c>
      <c r="K208" s="49">
        <f>'дод 3'!L280</f>
        <v>0</v>
      </c>
      <c r="L208" s="49">
        <f>'дод 3'!M280</f>
        <v>0</v>
      </c>
      <c r="M208" s="49">
        <f>'дод 3'!N280</f>
        <v>0</v>
      </c>
      <c r="N208" s="49">
        <f>'дод 3'!O280</f>
        <v>0</v>
      </c>
      <c r="O208" s="49">
        <f>'дод 3'!P280</f>
        <v>75000</v>
      </c>
      <c r="P208" s="180"/>
    </row>
    <row r="209" spans="1:16" s="52" customFormat="1" ht="19.5" customHeight="1" x14ac:dyDescent="0.25">
      <c r="A209" s="37" t="s">
        <v>9</v>
      </c>
      <c r="B209" s="37" t="s">
        <v>94</v>
      </c>
      <c r="C209" s="3" t="s">
        <v>10</v>
      </c>
      <c r="D209" s="49">
        <f>'дод 3'!E58+'дод 3'!E104+'дод 3'!E231+'дод 3'!E281</f>
        <v>0</v>
      </c>
      <c r="E209" s="49">
        <f>'дод 3'!F58+'дод 3'!F104+'дод 3'!F231+'дод 3'!F281</f>
        <v>0</v>
      </c>
      <c r="F209" s="49">
        <f>'дод 3'!G58+'дод 3'!G104+'дод 3'!G231+'дод 3'!G281</f>
        <v>0</v>
      </c>
      <c r="G209" s="49">
        <f>'дод 3'!H58+'дод 3'!H104+'дод 3'!H231+'дод 3'!H281</f>
        <v>0</v>
      </c>
      <c r="H209" s="49">
        <f>'дод 3'!I58+'дод 3'!I104+'дод 3'!I231+'дод 3'!I281</f>
        <v>0</v>
      </c>
      <c r="I209" s="49">
        <f>'дод 3'!J58+'дод 3'!J104+'дод 3'!J231+'дод 3'!J281</f>
        <v>3720000</v>
      </c>
      <c r="J209" s="49">
        <f>'дод 3'!K58+'дод 3'!K104+'дод 3'!K231+'дод 3'!K281</f>
        <v>0</v>
      </c>
      <c r="K209" s="49">
        <f>'дод 3'!L58+'дод 3'!L104+'дод 3'!L231+'дод 3'!L281</f>
        <v>2390000</v>
      </c>
      <c r="L209" s="49">
        <f>'дод 3'!M58+'дод 3'!M104+'дод 3'!M231+'дод 3'!M281</f>
        <v>0</v>
      </c>
      <c r="M209" s="49">
        <f>'дод 3'!N58+'дод 3'!N104+'дод 3'!N231+'дод 3'!N281</f>
        <v>0</v>
      </c>
      <c r="N209" s="49">
        <f>'дод 3'!O58+'дод 3'!O104+'дод 3'!O231+'дод 3'!O281</f>
        <v>1330000</v>
      </c>
      <c r="O209" s="49">
        <f>'дод 3'!P58+'дод 3'!P104+'дод 3'!P231+'дод 3'!P281</f>
        <v>3720000</v>
      </c>
      <c r="P209" s="180"/>
    </row>
    <row r="210" spans="1:16" s="52" customFormat="1" ht="20.25" hidden="1" customHeight="1" x14ac:dyDescent="0.25">
      <c r="A210" s="38" t="s">
        <v>135</v>
      </c>
      <c r="B210" s="39"/>
      <c r="C210" s="2" t="s">
        <v>77</v>
      </c>
      <c r="D210" s="48">
        <f t="shared" ref="D210:O210" si="43">D211</f>
        <v>0</v>
      </c>
      <c r="E210" s="48">
        <f t="shared" si="43"/>
        <v>0</v>
      </c>
      <c r="F210" s="48">
        <f t="shared" si="43"/>
        <v>0</v>
      </c>
      <c r="G210" s="48">
        <f t="shared" si="43"/>
        <v>0</v>
      </c>
      <c r="H210" s="48">
        <f t="shared" si="43"/>
        <v>0</v>
      </c>
      <c r="I210" s="48">
        <f t="shared" si="43"/>
        <v>0</v>
      </c>
      <c r="J210" s="48">
        <f t="shared" si="43"/>
        <v>0</v>
      </c>
      <c r="K210" s="48">
        <f t="shared" si="43"/>
        <v>0</v>
      </c>
      <c r="L210" s="48">
        <f t="shared" si="43"/>
        <v>0</v>
      </c>
      <c r="M210" s="48">
        <f t="shared" si="43"/>
        <v>0</v>
      </c>
      <c r="N210" s="48">
        <f t="shared" si="43"/>
        <v>0</v>
      </c>
      <c r="O210" s="48">
        <f t="shared" si="43"/>
        <v>0</v>
      </c>
      <c r="P210" s="180"/>
    </row>
    <row r="211" spans="1:16" s="52" customFormat="1" ht="21" hidden="1" customHeight="1" x14ac:dyDescent="0.25">
      <c r="A211" s="37" t="s">
        <v>257</v>
      </c>
      <c r="B211" s="42" t="s">
        <v>78</v>
      </c>
      <c r="C211" s="3" t="s">
        <v>258</v>
      </c>
      <c r="D211" s="49">
        <f>'дод 3'!E59</f>
        <v>0</v>
      </c>
      <c r="E211" s="49">
        <f>'дод 3'!F59</f>
        <v>0</v>
      </c>
      <c r="F211" s="49">
        <f>'дод 3'!G59</f>
        <v>0</v>
      </c>
      <c r="G211" s="49">
        <f>'дод 3'!H59</f>
        <v>0</v>
      </c>
      <c r="H211" s="49">
        <f>'дод 3'!I59</f>
        <v>0</v>
      </c>
      <c r="I211" s="49">
        <f>'дод 3'!J59</f>
        <v>0</v>
      </c>
      <c r="J211" s="49">
        <f>'дод 3'!K59</f>
        <v>0</v>
      </c>
      <c r="K211" s="49">
        <f>'дод 3'!L59</f>
        <v>0</v>
      </c>
      <c r="L211" s="49">
        <f>'дод 3'!M59</f>
        <v>0</v>
      </c>
      <c r="M211" s="49">
        <f>'дод 3'!N59</f>
        <v>0</v>
      </c>
      <c r="N211" s="49">
        <f>'дод 3'!O59</f>
        <v>0</v>
      </c>
      <c r="O211" s="49">
        <f>'дод 3'!P59</f>
        <v>0</v>
      </c>
      <c r="P211" s="180"/>
    </row>
    <row r="212" spans="1:16" s="52" customFormat="1" ht="21" customHeight="1" x14ac:dyDescent="0.25">
      <c r="A212" s="38" t="s">
        <v>97</v>
      </c>
      <c r="B212" s="38" t="s">
        <v>92</v>
      </c>
      <c r="C212" s="2" t="s">
        <v>11</v>
      </c>
      <c r="D212" s="48">
        <f>'дод 3'!E282</f>
        <v>1964239</v>
      </c>
      <c r="E212" s="48">
        <f>'дод 3'!F282</f>
        <v>1964239</v>
      </c>
      <c r="F212" s="48">
        <f>'дод 3'!G282</f>
        <v>0</v>
      </c>
      <c r="G212" s="48">
        <f>'дод 3'!H282</f>
        <v>0</v>
      </c>
      <c r="H212" s="48">
        <f>'дод 3'!I282</f>
        <v>0</v>
      </c>
      <c r="I212" s="48">
        <f>'дод 3'!J282</f>
        <v>0</v>
      </c>
      <c r="J212" s="48">
        <f>'дод 3'!K282</f>
        <v>0</v>
      </c>
      <c r="K212" s="48">
        <f>'дод 3'!L282</f>
        <v>0</v>
      </c>
      <c r="L212" s="48">
        <f>'дод 3'!M282</f>
        <v>0</v>
      </c>
      <c r="M212" s="48">
        <f>'дод 3'!N282</f>
        <v>0</v>
      </c>
      <c r="N212" s="48">
        <f>'дод 3'!O282</f>
        <v>0</v>
      </c>
      <c r="O212" s="48">
        <f>'дод 3'!P282</f>
        <v>1964239</v>
      </c>
      <c r="P212" s="180"/>
    </row>
    <row r="213" spans="1:16" s="52" customFormat="1" ht="21" customHeight="1" x14ac:dyDescent="0.25">
      <c r="A213" s="38">
        <v>8710</v>
      </c>
      <c r="B213" s="38" t="s">
        <v>95</v>
      </c>
      <c r="C213" s="2" t="s">
        <v>528</v>
      </c>
      <c r="D213" s="48">
        <f>'дод 3'!E283</f>
        <v>5472023.4399999995</v>
      </c>
      <c r="E213" s="48">
        <f>'дод 3'!F283</f>
        <v>0</v>
      </c>
      <c r="F213" s="48">
        <f>'дод 3'!G283</f>
        <v>0</v>
      </c>
      <c r="G213" s="48">
        <f>'дод 3'!H283</f>
        <v>0</v>
      </c>
      <c r="H213" s="48">
        <f>'дод 3'!I283</f>
        <v>0</v>
      </c>
      <c r="I213" s="48">
        <f>'дод 3'!J283</f>
        <v>0</v>
      </c>
      <c r="J213" s="48">
        <f>'дод 3'!K283</f>
        <v>0</v>
      </c>
      <c r="K213" s="48">
        <f>'дод 3'!L283</f>
        <v>0</v>
      </c>
      <c r="L213" s="48">
        <f>'дод 3'!M283</f>
        <v>0</v>
      </c>
      <c r="M213" s="48">
        <f>'дод 3'!N283</f>
        <v>0</v>
      </c>
      <c r="N213" s="48">
        <f>'дод 3'!O283</f>
        <v>0</v>
      </c>
      <c r="O213" s="48">
        <f>'дод 3'!P283</f>
        <v>5472023.4399999995</v>
      </c>
      <c r="P213" s="180"/>
    </row>
    <row r="214" spans="1:16" s="52" customFormat="1" ht="20.25" customHeight="1" x14ac:dyDescent="0.25">
      <c r="A214" s="38" t="s">
        <v>12</v>
      </c>
      <c r="B214" s="38"/>
      <c r="C214" s="2" t="s">
        <v>570</v>
      </c>
      <c r="D214" s="48">
        <f>D216+D218+D222+D225</f>
        <v>163831099</v>
      </c>
      <c r="E214" s="48">
        <f t="shared" ref="E214:O214" si="44">E216+E218+E222+E225</f>
        <v>163831099</v>
      </c>
      <c r="F214" s="48">
        <f t="shared" si="44"/>
        <v>0</v>
      </c>
      <c r="G214" s="48">
        <f t="shared" si="44"/>
        <v>0</v>
      </c>
      <c r="H214" s="48">
        <f t="shared" si="44"/>
        <v>0</v>
      </c>
      <c r="I214" s="48">
        <f t="shared" si="44"/>
        <v>12393000</v>
      </c>
      <c r="J214" s="48">
        <f t="shared" si="44"/>
        <v>12393000</v>
      </c>
      <c r="K214" s="48">
        <f t="shared" si="44"/>
        <v>0</v>
      </c>
      <c r="L214" s="48">
        <f t="shared" si="44"/>
        <v>0</v>
      </c>
      <c r="M214" s="48">
        <f t="shared" si="44"/>
        <v>0</v>
      </c>
      <c r="N214" s="48">
        <f t="shared" si="44"/>
        <v>12393000</v>
      </c>
      <c r="O214" s="48">
        <f t="shared" si="44"/>
        <v>176224099</v>
      </c>
      <c r="P214" s="181">
        <v>112</v>
      </c>
    </row>
    <row r="215" spans="1:16" s="52" customFormat="1" ht="31.5" customHeight="1" x14ac:dyDescent="0.25">
      <c r="A215" s="38"/>
      <c r="B215" s="38"/>
      <c r="C215" s="81" t="s">
        <v>564</v>
      </c>
      <c r="D215" s="80">
        <f>D219</f>
        <v>693000</v>
      </c>
      <c r="E215" s="80">
        <f t="shared" ref="E215:O215" si="45">E219</f>
        <v>693000</v>
      </c>
      <c r="F215" s="80">
        <f t="shared" si="45"/>
        <v>0</v>
      </c>
      <c r="G215" s="80">
        <f t="shared" si="45"/>
        <v>0</v>
      </c>
      <c r="H215" s="80">
        <f t="shared" si="45"/>
        <v>0</v>
      </c>
      <c r="I215" s="80">
        <f t="shared" si="45"/>
        <v>3307000</v>
      </c>
      <c r="J215" s="80">
        <f t="shared" si="45"/>
        <v>3307000</v>
      </c>
      <c r="K215" s="80">
        <f t="shared" si="45"/>
        <v>0</v>
      </c>
      <c r="L215" s="80">
        <f t="shared" si="45"/>
        <v>0</v>
      </c>
      <c r="M215" s="80">
        <f t="shared" si="45"/>
        <v>0</v>
      </c>
      <c r="N215" s="80">
        <f t="shared" si="45"/>
        <v>3307000</v>
      </c>
      <c r="O215" s="80">
        <f t="shared" si="45"/>
        <v>4000000</v>
      </c>
      <c r="P215" s="181"/>
    </row>
    <row r="216" spans="1:16" s="52" customFormat="1" ht="21.75" customHeight="1" x14ac:dyDescent="0.25">
      <c r="A216" s="38" t="s">
        <v>255</v>
      </c>
      <c r="B216" s="38"/>
      <c r="C216" s="2" t="s">
        <v>300</v>
      </c>
      <c r="D216" s="48">
        <f t="shared" ref="D216:O216" si="46">D217</f>
        <v>100870700</v>
      </c>
      <c r="E216" s="48">
        <f t="shared" si="46"/>
        <v>100870700</v>
      </c>
      <c r="F216" s="48">
        <f t="shared" si="46"/>
        <v>0</v>
      </c>
      <c r="G216" s="48">
        <f t="shared" si="46"/>
        <v>0</v>
      </c>
      <c r="H216" s="48">
        <f t="shared" si="46"/>
        <v>0</v>
      </c>
      <c r="I216" s="48">
        <f t="shared" si="46"/>
        <v>0</v>
      </c>
      <c r="J216" s="48">
        <f t="shared" si="46"/>
        <v>0</v>
      </c>
      <c r="K216" s="48">
        <f t="shared" si="46"/>
        <v>0</v>
      </c>
      <c r="L216" s="48">
        <f t="shared" si="46"/>
        <v>0</v>
      </c>
      <c r="M216" s="48">
        <f t="shared" si="46"/>
        <v>0</v>
      </c>
      <c r="N216" s="48">
        <f t="shared" si="46"/>
        <v>0</v>
      </c>
      <c r="O216" s="48">
        <f t="shared" si="46"/>
        <v>100870700</v>
      </c>
      <c r="P216" s="181"/>
    </row>
    <row r="217" spans="1:16" s="52" customFormat="1" x14ac:dyDescent="0.25">
      <c r="A217" s="37" t="s">
        <v>93</v>
      </c>
      <c r="B217" s="42" t="s">
        <v>46</v>
      </c>
      <c r="C217" s="3" t="s">
        <v>112</v>
      </c>
      <c r="D217" s="49">
        <f>'дод 3'!E284</f>
        <v>100870700</v>
      </c>
      <c r="E217" s="49">
        <f>'дод 3'!F284</f>
        <v>100870700</v>
      </c>
      <c r="F217" s="49">
        <f>'дод 3'!G284</f>
        <v>0</v>
      </c>
      <c r="G217" s="49">
        <f>'дод 3'!H284</f>
        <v>0</v>
      </c>
      <c r="H217" s="49">
        <f>'дод 3'!I284</f>
        <v>0</v>
      </c>
      <c r="I217" s="49">
        <f>'дод 3'!J284</f>
        <v>0</v>
      </c>
      <c r="J217" s="49">
        <f>'дод 3'!K284</f>
        <v>0</v>
      </c>
      <c r="K217" s="49">
        <f>'дод 3'!L284</f>
        <v>0</v>
      </c>
      <c r="L217" s="49">
        <f>'дод 3'!M284</f>
        <v>0</v>
      </c>
      <c r="M217" s="49">
        <f>'дод 3'!N284</f>
        <v>0</v>
      </c>
      <c r="N217" s="49">
        <f>'дод 3'!O284</f>
        <v>0</v>
      </c>
      <c r="O217" s="49">
        <f>'дод 3'!P284</f>
        <v>100870700</v>
      </c>
      <c r="P217" s="181"/>
    </row>
    <row r="218" spans="1:16" s="52" customFormat="1" ht="63" x14ac:dyDescent="0.25">
      <c r="A218" s="38">
        <v>9300</v>
      </c>
      <c r="B218" s="110"/>
      <c r="C218" s="2" t="s">
        <v>561</v>
      </c>
      <c r="D218" s="48">
        <f>D220</f>
        <v>693000</v>
      </c>
      <c r="E218" s="48">
        <f t="shared" ref="E218:O218" si="47">E220</f>
        <v>693000</v>
      </c>
      <c r="F218" s="48">
        <f t="shared" si="47"/>
        <v>0</v>
      </c>
      <c r="G218" s="48">
        <f t="shared" si="47"/>
        <v>0</v>
      </c>
      <c r="H218" s="48">
        <f t="shared" si="47"/>
        <v>0</v>
      </c>
      <c r="I218" s="48">
        <f t="shared" si="47"/>
        <v>3307000</v>
      </c>
      <c r="J218" s="48">
        <f t="shared" si="47"/>
        <v>3307000</v>
      </c>
      <c r="K218" s="48">
        <f t="shared" si="47"/>
        <v>0</v>
      </c>
      <c r="L218" s="48">
        <f t="shared" si="47"/>
        <v>0</v>
      </c>
      <c r="M218" s="48">
        <f t="shared" si="47"/>
        <v>0</v>
      </c>
      <c r="N218" s="48">
        <f t="shared" si="47"/>
        <v>3307000</v>
      </c>
      <c r="O218" s="48">
        <f t="shared" si="47"/>
        <v>4000000</v>
      </c>
      <c r="P218" s="181"/>
    </row>
    <row r="219" spans="1:16" s="52" customFormat="1" ht="31.5" x14ac:dyDescent="0.25">
      <c r="A219" s="38"/>
      <c r="B219" s="107"/>
      <c r="C219" s="81" t="s">
        <v>564</v>
      </c>
      <c r="D219" s="80">
        <f>D221</f>
        <v>693000</v>
      </c>
      <c r="E219" s="80">
        <f t="shared" ref="E219:O219" si="48">E221</f>
        <v>693000</v>
      </c>
      <c r="F219" s="80">
        <f t="shared" si="48"/>
        <v>0</v>
      </c>
      <c r="G219" s="80">
        <f t="shared" si="48"/>
        <v>0</v>
      </c>
      <c r="H219" s="80">
        <f t="shared" si="48"/>
        <v>0</v>
      </c>
      <c r="I219" s="80">
        <f t="shared" si="48"/>
        <v>3307000</v>
      </c>
      <c r="J219" s="80">
        <f t="shared" si="48"/>
        <v>3307000</v>
      </c>
      <c r="K219" s="80">
        <f t="shared" si="48"/>
        <v>0</v>
      </c>
      <c r="L219" s="80">
        <f t="shared" si="48"/>
        <v>0</v>
      </c>
      <c r="M219" s="80">
        <f t="shared" si="48"/>
        <v>0</v>
      </c>
      <c r="N219" s="80">
        <f t="shared" si="48"/>
        <v>3307000</v>
      </c>
      <c r="O219" s="80">
        <f t="shared" si="48"/>
        <v>4000000</v>
      </c>
      <c r="P219" s="181"/>
    </row>
    <row r="220" spans="1:16" s="52" customFormat="1" ht="47.25" x14ac:dyDescent="0.25">
      <c r="A220" s="37">
        <v>9320</v>
      </c>
      <c r="B220" s="107" t="s">
        <v>46</v>
      </c>
      <c r="C220" s="6" t="s">
        <v>562</v>
      </c>
      <c r="D220" s="49">
        <f>'дод 3'!E106</f>
        <v>693000</v>
      </c>
      <c r="E220" s="49">
        <f>'дод 3'!F106</f>
        <v>693000</v>
      </c>
      <c r="F220" s="49">
        <f>'дод 3'!G106</f>
        <v>0</v>
      </c>
      <c r="G220" s="49">
        <f>'дод 3'!H106</f>
        <v>0</v>
      </c>
      <c r="H220" s="49">
        <f>'дод 3'!I106</f>
        <v>0</v>
      </c>
      <c r="I220" s="49">
        <f>'дод 3'!J106</f>
        <v>3307000</v>
      </c>
      <c r="J220" s="49">
        <f>'дод 3'!K106</f>
        <v>3307000</v>
      </c>
      <c r="K220" s="49">
        <f>'дод 3'!L106</f>
        <v>0</v>
      </c>
      <c r="L220" s="49">
        <f>'дод 3'!M106</f>
        <v>0</v>
      </c>
      <c r="M220" s="49">
        <f>'дод 3'!N106</f>
        <v>0</v>
      </c>
      <c r="N220" s="49">
        <f>'дод 3'!O106</f>
        <v>3307000</v>
      </c>
      <c r="O220" s="49">
        <f>'дод 3'!P106</f>
        <v>4000000</v>
      </c>
      <c r="P220" s="181"/>
    </row>
    <row r="221" spans="1:16" s="53" customFormat="1" ht="31.5" x14ac:dyDescent="0.25">
      <c r="A221" s="82"/>
      <c r="B221" s="109"/>
      <c r="C221" s="91" t="s">
        <v>564</v>
      </c>
      <c r="D221" s="84">
        <f>'дод 3'!E107</f>
        <v>693000</v>
      </c>
      <c r="E221" s="84">
        <f>'дод 3'!F107</f>
        <v>693000</v>
      </c>
      <c r="F221" s="84">
        <f>'дод 3'!G107</f>
        <v>0</v>
      </c>
      <c r="G221" s="84">
        <f>'дод 3'!H107</f>
        <v>0</v>
      </c>
      <c r="H221" s="84">
        <f>'дод 3'!I107</f>
        <v>0</v>
      </c>
      <c r="I221" s="84">
        <f>'дод 3'!J107</f>
        <v>3307000</v>
      </c>
      <c r="J221" s="84">
        <f>'дод 3'!K107</f>
        <v>3307000</v>
      </c>
      <c r="K221" s="84">
        <f>'дод 3'!L107</f>
        <v>0</v>
      </c>
      <c r="L221" s="84">
        <f>'дод 3'!M107</f>
        <v>0</v>
      </c>
      <c r="M221" s="84">
        <f>'дод 3'!N107</f>
        <v>0</v>
      </c>
      <c r="N221" s="84">
        <f>'дод 3'!O107</f>
        <v>3307000</v>
      </c>
      <c r="O221" s="84">
        <f>'дод 3'!P107</f>
        <v>4000000</v>
      </c>
      <c r="P221" s="181"/>
    </row>
    <row r="222" spans="1:16" s="52" customFormat="1" ht="50.25" customHeight="1" x14ac:dyDescent="0.25">
      <c r="A222" s="38" t="s">
        <v>13</v>
      </c>
      <c r="B222" s="110"/>
      <c r="C222" s="2" t="s">
        <v>349</v>
      </c>
      <c r="D222" s="48">
        <f>D223+D224</f>
        <v>61810000</v>
      </c>
      <c r="E222" s="48">
        <f t="shared" ref="E222:O222" si="49">E223+E224</f>
        <v>61810000</v>
      </c>
      <c r="F222" s="48">
        <f t="shared" si="49"/>
        <v>0</v>
      </c>
      <c r="G222" s="48">
        <f t="shared" si="49"/>
        <v>0</v>
      </c>
      <c r="H222" s="48">
        <f t="shared" si="49"/>
        <v>0</v>
      </c>
      <c r="I222" s="48">
        <f t="shared" si="49"/>
        <v>9086000</v>
      </c>
      <c r="J222" s="48">
        <f t="shared" si="49"/>
        <v>9086000</v>
      </c>
      <c r="K222" s="48">
        <f t="shared" si="49"/>
        <v>0</v>
      </c>
      <c r="L222" s="48">
        <f t="shared" si="49"/>
        <v>0</v>
      </c>
      <c r="M222" s="48">
        <f t="shared" si="49"/>
        <v>0</v>
      </c>
      <c r="N222" s="48">
        <f t="shared" si="49"/>
        <v>9086000</v>
      </c>
      <c r="O222" s="48">
        <f t="shared" si="49"/>
        <v>70896000</v>
      </c>
      <c r="P222" s="181"/>
    </row>
    <row r="223" spans="1:16" ht="31.5" x14ac:dyDescent="0.25">
      <c r="A223" s="37">
        <v>9750</v>
      </c>
      <c r="B223" s="42" t="s">
        <v>46</v>
      </c>
      <c r="C223" s="61" t="s">
        <v>550</v>
      </c>
      <c r="D223" s="49">
        <f>'дод 3'!E254</f>
        <v>0</v>
      </c>
      <c r="E223" s="49">
        <f>'дод 3'!F254</f>
        <v>0</v>
      </c>
      <c r="F223" s="49">
        <f>'дод 3'!G254</f>
        <v>0</v>
      </c>
      <c r="G223" s="49">
        <f>'дод 3'!H254</f>
        <v>0</v>
      </c>
      <c r="H223" s="49">
        <f>'дод 3'!I254</f>
        <v>0</v>
      </c>
      <c r="I223" s="49">
        <f>'дод 3'!J254</f>
        <v>86000</v>
      </c>
      <c r="J223" s="49">
        <f>'дод 3'!K254</f>
        <v>86000</v>
      </c>
      <c r="K223" s="49">
        <f>'дод 3'!L254</f>
        <v>0</v>
      </c>
      <c r="L223" s="49">
        <f>'дод 3'!M254</f>
        <v>0</v>
      </c>
      <c r="M223" s="49">
        <f>'дод 3'!N254</f>
        <v>0</v>
      </c>
      <c r="N223" s="49">
        <f>'дод 3'!O254</f>
        <v>86000</v>
      </c>
      <c r="O223" s="49">
        <f>'дод 3'!P254</f>
        <v>86000</v>
      </c>
      <c r="P223" s="181"/>
    </row>
    <row r="224" spans="1:16" s="52" customFormat="1" ht="17.25" customHeight="1" x14ac:dyDescent="0.25">
      <c r="A224" s="37" t="s">
        <v>14</v>
      </c>
      <c r="B224" s="42" t="s">
        <v>46</v>
      </c>
      <c r="C224" s="6" t="s">
        <v>358</v>
      </c>
      <c r="D224" s="49">
        <f>'дод 3'!E105+'дод 3'!E178+'дод 3'!E232+'дод 3'!E141</f>
        <v>61810000</v>
      </c>
      <c r="E224" s="49">
        <f>'дод 3'!F105+'дод 3'!F178+'дод 3'!F232+'дод 3'!F141</f>
        <v>61810000</v>
      </c>
      <c r="F224" s="49">
        <f>'дод 3'!G105+'дод 3'!G178+'дод 3'!G232+'дод 3'!G141</f>
        <v>0</v>
      </c>
      <c r="G224" s="49">
        <f>'дод 3'!H105+'дод 3'!H178+'дод 3'!H232+'дод 3'!H141</f>
        <v>0</v>
      </c>
      <c r="H224" s="49">
        <f>'дод 3'!I105+'дод 3'!I178+'дод 3'!I232+'дод 3'!I141</f>
        <v>0</v>
      </c>
      <c r="I224" s="49">
        <f>'дод 3'!J105+'дод 3'!J178+'дод 3'!J232+'дод 3'!J141</f>
        <v>9000000</v>
      </c>
      <c r="J224" s="49">
        <f>'дод 3'!K105+'дод 3'!K178+'дод 3'!K232+'дод 3'!K141</f>
        <v>9000000</v>
      </c>
      <c r="K224" s="49">
        <f>'дод 3'!L105+'дод 3'!L178+'дод 3'!L232+'дод 3'!L141</f>
        <v>0</v>
      </c>
      <c r="L224" s="49">
        <f>'дод 3'!M105+'дод 3'!M178+'дод 3'!M232+'дод 3'!M141</f>
        <v>0</v>
      </c>
      <c r="M224" s="49">
        <f>'дод 3'!N105+'дод 3'!N178+'дод 3'!N232+'дод 3'!N141</f>
        <v>0</v>
      </c>
      <c r="N224" s="49">
        <f>'дод 3'!O105+'дод 3'!O178+'дод 3'!O232+'дод 3'!O141</f>
        <v>9000000</v>
      </c>
      <c r="O224" s="49">
        <f>'дод 3'!P105+'дод 3'!P178+'дод 3'!P232+'дод 3'!P141</f>
        <v>70810000</v>
      </c>
      <c r="P224" s="181"/>
    </row>
    <row r="225" spans="1:514" s="52" customFormat="1" ht="45.75" customHeight="1" x14ac:dyDescent="0.25">
      <c r="A225" s="38">
        <v>9800</v>
      </c>
      <c r="B225" s="39" t="s">
        <v>46</v>
      </c>
      <c r="C225" s="9" t="s">
        <v>369</v>
      </c>
      <c r="D225" s="48">
        <f>'дод 3'!E108+'дод 3'!E60</f>
        <v>457399</v>
      </c>
      <c r="E225" s="48">
        <f>'дод 3'!F108+'дод 3'!F60</f>
        <v>457399</v>
      </c>
      <c r="F225" s="48">
        <f>'дод 3'!G108+'дод 3'!G60</f>
        <v>0</v>
      </c>
      <c r="G225" s="48">
        <f>'дод 3'!H108+'дод 3'!H60</f>
        <v>0</v>
      </c>
      <c r="H225" s="48">
        <f>'дод 3'!I108+'дод 3'!I60</f>
        <v>0</v>
      </c>
      <c r="I225" s="48">
        <f>'дод 3'!J108+'дод 3'!J60</f>
        <v>0</v>
      </c>
      <c r="J225" s="48">
        <f>'дод 3'!K108+'дод 3'!K60</f>
        <v>0</v>
      </c>
      <c r="K225" s="48">
        <f>'дод 3'!L108+'дод 3'!L60</f>
        <v>0</v>
      </c>
      <c r="L225" s="48">
        <f>'дод 3'!M108+'дод 3'!M60</f>
        <v>0</v>
      </c>
      <c r="M225" s="48">
        <f>'дод 3'!N108+'дод 3'!N60</f>
        <v>0</v>
      </c>
      <c r="N225" s="48">
        <f>'дод 3'!O108+'дод 3'!O60</f>
        <v>0</v>
      </c>
      <c r="O225" s="48">
        <f>'дод 3'!P108+'дод 3'!P60</f>
        <v>457399</v>
      </c>
      <c r="P225" s="181"/>
    </row>
    <row r="226" spans="1:514" s="52" customFormat="1" ht="18.75" customHeight="1" x14ac:dyDescent="0.25">
      <c r="A226" s="7"/>
      <c r="B226" s="7"/>
      <c r="C226" s="2" t="s">
        <v>410</v>
      </c>
      <c r="D226" s="48">
        <f>D17+D24+D66+D87+D124+D129+D136+D148+D198+D214</f>
        <v>2205016083.6799998</v>
      </c>
      <c r="E226" s="48">
        <f t="shared" ref="E226:O226" si="50">E17+E24+E66+E87+E124+E129+E136+E148+E198+E214</f>
        <v>2119184564.2399998</v>
      </c>
      <c r="F226" s="48">
        <f t="shared" si="50"/>
        <v>1079211630</v>
      </c>
      <c r="G226" s="48">
        <f t="shared" si="50"/>
        <v>99122524</v>
      </c>
      <c r="H226" s="48">
        <f t="shared" si="50"/>
        <v>80359496</v>
      </c>
      <c r="I226" s="48">
        <f t="shared" si="50"/>
        <v>653351602.62</v>
      </c>
      <c r="J226" s="48">
        <f t="shared" si="50"/>
        <v>588863308.0999999</v>
      </c>
      <c r="K226" s="48">
        <f t="shared" si="50"/>
        <v>47200801.869999997</v>
      </c>
      <c r="L226" s="48">
        <f t="shared" si="50"/>
        <v>6033355</v>
      </c>
      <c r="M226" s="48">
        <f t="shared" si="50"/>
        <v>266522</v>
      </c>
      <c r="N226" s="48">
        <f t="shared" si="50"/>
        <v>606150800.75</v>
      </c>
      <c r="O226" s="48">
        <f t="shared" si="50"/>
        <v>2858367686.3000002</v>
      </c>
      <c r="P226" s="181"/>
    </row>
    <row r="227" spans="1:514" s="53" customFormat="1" ht="18" customHeight="1" x14ac:dyDescent="0.25">
      <c r="A227" s="90"/>
      <c r="B227" s="90"/>
      <c r="C227" s="79" t="s">
        <v>403</v>
      </c>
      <c r="D227" s="80">
        <f>D25+D32+D172+D215</f>
        <v>485373327.60000002</v>
      </c>
      <c r="E227" s="80">
        <f t="shared" ref="E227:O227" si="51">E25+E32+E172+E215</f>
        <v>485373327.60000002</v>
      </c>
      <c r="F227" s="80">
        <f t="shared" si="51"/>
        <v>396066000</v>
      </c>
      <c r="G227" s="80">
        <f t="shared" si="51"/>
        <v>0</v>
      </c>
      <c r="H227" s="80">
        <f t="shared" si="51"/>
        <v>0</v>
      </c>
      <c r="I227" s="80">
        <f t="shared" si="51"/>
        <v>6937851</v>
      </c>
      <c r="J227" s="80">
        <f t="shared" si="51"/>
        <v>6937851</v>
      </c>
      <c r="K227" s="80">
        <f t="shared" si="51"/>
        <v>0</v>
      </c>
      <c r="L227" s="80">
        <f t="shared" si="51"/>
        <v>0</v>
      </c>
      <c r="M227" s="80">
        <f t="shared" si="51"/>
        <v>0</v>
      </c>
      <c r="N227" s="80">
        <f t="shared" si="51"/>
        <v>6937851</v>
      </c>
      <c r="O227" s="80">
        <f t="shared" si="51"/>
        <v>492311178.60000002</v>
      </c>
      <c r="P227" s="181"/>
    </row>
    <row r="228" spans="1:514" s="53" customFormat="1" ht="31.5" x14ac:dyDescent="0.25">
      <c r="A228" s="90"/>
      <c r="B228" s="90"/>
      <c r="C228" s="79" t="s">
        <v>404</v>
      </c>
      <c r="D228" s="80">
        <f>D26+D27+D29+D90+D204+D31+D69</f>
        <v>20691429.240000002</v>
      </c>
      <c r="E228" s="80">
        <f t="shared" ref="E228:O228" si="52">E26+E27+E29+E90+E204+E31+E69</f>
        <v>20691429.240000002</v>
      </c>
      <c r="F228" s="80">
        <f t="shared" si="52"/>
        <v>4133559</v>
      </c>
      <c r="G228" s="80">
        <f t="shared" si="52"/>
        <v>0</v>
      </c>
      <c r="H228" s="80">
        <f t="shared" si="52"/>
        <v>0</v>
      </c>
      <c r="I228" s="80">
        <f t="shared" si="52"/>
        <v>1852583</v>
      </c>
      <c r="J228" s="80">
        <f t="shared" si="52"/>
        <v>1852583</v>
      </c>
      <c r="K228" s="80">
        <f t="shared" si="52"/>
        <v>0</v>
      </c>
      <c r="L228" s="80">
        <f t="shared" si="52"/>
        <v>0</v>
      </c>
      <c r="M228" s="80">
        <f t="shared" si="52"/>
        <v>0</v>
      </c>
      <c r="N228" s="80">
        <f t="shared" si="52"/>
        <v>1852583</v>
      </c>
      <c r="O228" s="80">
        <f t="shared" si="52"/>
        <v>22544012.240000002</v>
      </c>
      <c r="P228" s="181"/>
    </row>
    <row r="229" spans="1:514" s="53" customFormat="1" ht="23.25" customHeight="1" x14ac:dyDescent="0.25">
      <c r="A229" s="75"/>
      <c r="B229" s="75"/>
      <c r="C229" s="87" t="s">
        <v>421</v>
      </c>
      <c r="D229" s="80">
        <f>D151</f>
        <v>0</v>
      </c>
      <c r="E229" s="80">
        <f t="shared" ref="E229:O229" si="53">E151</f>
        <v>0</v>
      </c>
      <c r="F229" s="80">
        <f t="shared" si="53"/>
        <v>0</v>
      </c>
      <c r="G229" s="80">
        <f t="shared" si="53"/>
        <v>0</v>
      </c>
      <c r="H229" s="80">
        <f t="shared" si="53"/>
        <v>0</v>
      </c>
      <c r="I229" s="80">
        <f t="shared" si="53"/>
        <v>127771665.12</v>
      </c>
      <c r="J229" s="80">
        <f t="shared" si="53"/>
        <v>127771665.12</v>
      </c>
      <c r="K229" s="80">
        <f t="shared" si="53"/>
        <v>0</v>
      </c>
      <c r="L229" s="80">
        <f t="shared" si="53"/>
        <v>0</v>
      </c>
      <c r="M229" s="80">
        <f t="shared" si="53"/>
        <v>0</v>
      </c>
      <c r="N229" s="80">
        <f t="shared" si="53"/>
        <v>127771665.12</v>
      </c>
      <c r="O229" s="80">
        <f t="shared" si="53"/>
        <v>127771665.12</v>
      </c>
      <c r="P229" s="181"/>
    </row>
    <row r="230" spans="1:514" s="52" customFormat="1" ht="28.5" customHeight="1" x14ac:dyDescent="0.25">
      <c r="A230" s="67"/>
      <c r="B230" s="67"/>
      <c r="C230" s="68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181"/>
    </row>
    <row r="231" spans="1:514" s="52" customFormat="1" ht="28.5" customHeight="1" x14ac:dyDescent="0.25">
      <c r="A231" s="67"/>
      <c r="B231" s="67"/>
      <c r="C231" s="68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181"/>
    </row>
    <row r="232" spans="1:514" s="52" customFormat="1" ht="24" customHeight="1" x14ac:dyDescent="0.25">
      <c r="A232" s="67"/>
      <c r="B232" s="67"/>
      <c r="C232" s="68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181"/>
    </row>
    <row r="233" spans="1:514" s="168" customFormat="1" ht="39.75" customHeight="1" x14ac:dyDescent="0.4">
      <c r="A233" s="163" t="s">
        <v>477</v>
      </c>
      <c r="B233" s="152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 t="s">
        <v>478</v>
      </c>
      <c r="M233" s="166"/>
      <c r="N233" s="166"/>
      <c r="O233" s="166"/>
      <c r="P233" s="181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7"/>
      <c r="BZ233" s="167"/>
      <c r="CA233" s="167"/>
      <c r="CB233" s="167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7"/>
      <c r="CN233" s="167"/>
      <c r="CO233" s="167"/>
      <c r="CP233" s="167"/>
      <c r="CQ233" s="167"/>
      <c r="CR233" s="167"/>
      <c r="CS233" s="167"/>
      <c r="CT233" s="167"/>
      <c r="CU233" s="167"/>
      <c r="CV233" s="167"/>
      <c r="CW233" s="167"/>
      <c r="CX233" s="167"/>
      <c r="CY233" s="167"/>
      <c r="CZ233" s="167"/>
      <c r="DA233" s="167"/>
      <c r="DB233" s="167"/>
      <c r="DC233" s="167"/>
      <c r="DD233" s="167"/>
      <c r="DE233" s="167"/>
      <c r="DF233" s="167"/>
      <c r="DG233" s="167"/>
      <c r="DH233" s="167"/>
      <c r="DI233" s="167"/>
      <c r="DJ233" s="167"/>
      <c r="DK233" s="167"/>
      <c r="DL233" s="167"/>
      <c r="DM233" s="167"/>
      <c r="DN233" s="167"/>
      <c r="DO233" s="167"/>
      <c r="DP233" s="167"/>
      <c r="DQ233" s="167"/>
      <c r="DR233" s="167"/>
      <c r="DS233" s="167"/>
      <c r="DT233" s="167"/>
      <c r="DU233" s="167"/>
      <c r="DV233" s="167"/>
      <c r="DW233" s="167"/>
      <c r="DX233" s="167"/>
      <c r="DY233" s="167"/>
      <c r="DZ233" s="167"/>
      <c r="EA233" s="167"/>
      <c r="EB233" s="167"/>
      <c r="EC233" s="167"/>
      <c r="ED233" s="167"/>
      <c r="EE233" s="167"/>
      <c r="EF233" s="167"/>
      <c r="EG233" s="167"/>
      <c r="EH233" s="167"/>
      <c r="EI233" s="167"/>
      <c r="EJ233" s="167"/>
      <c r="EK233" s="167"/>
      <c r="EL233" s="167"/>
      <c r="EM233" s="167"/>
      <c r="EN233" s="167"/>
      <c r="EO233" s="167"/>
      <c r="EP233" s="167"/>
      <c r="EQ233" s="167"/>
      <c r="ER233" s="167"/>
      <c r="ES233" s="167"/>
      <c r="ET233" s="167"/>
      <c r="EU233" s="167"/>
      <c r="EV233" s="167"/>
      <c r="EW233" s="167"/>
      <c r="EX233" s="167"/>
      <c r="EY233" s="167"/>
      <c r="EZ233" s="167"/>
      <c r="FA233" s="167"/>
      <c r="FB233" s="167"/>
      <c r="FC233" s="167"/>
      <c r="FD233" s="167"/>
      <c r="FE233" s="167"/>
      <c r="FF233" s="167"/>
      <c r="FG233" s="167"/>
      <c r="FH233" s="167"/>
      <c r="FI233" s="167"/>
      <c r="FJ233" s="167"/>
      <c r="FK233" s="167"/>
      <c r="FL233" s="167"/>
      <c r="FM233" s="167"/>
      <c r="FN233" s="167"/>
      <c r="FO233" s="167"/>
      <c r="FP233" s="167"/>
      <c r="FQ233" s="167"/>
      <c r="FR233" s="167"/>
      <c r="FS233" s="167"/>
      <c r="FT233" s="167"/>
      <c r="FU233" s="167"/>
      <c r="FV233" s="167"/>
      <c r="FW233" s="167"/>
      <c r="FX233" s="167"/>
      <c r="FY233" s="167"/>
      <c r="FZ233" s="167"/>
      <c r="GA233" s="167"/>
      <c r="GB233" s="167"/>
      <c r="GC233" s="167"/>
      <c r="GD233" s="167"/>
      <c r="GE233" s="167"/>
      <c r="GF233" s="167"/>
      <c r="GG233" s="167"/>
      <c r="GH233" s="167"/>
      <c r="GI233" s="167"/>
      <c r="GJ233" s="167"/>
      <c r="GK233" s="167"/>
      <c r="GL233" s="167"/>
      <c r="GM233" s="167"/>
      <c r="GN233" s="167"/>
      <c r="GO233" s="167"/>
      <c r="GP233" s="167"/>
      <c r="GQ233" s="167"/>
      <c r="GR233" s="167"/>
      <c r="GS233" s="167"/>
      <c r="GT233" s="167"/>
      <c r="GU233" s="167"/>
      <c r="GV233" s="167"/>
      <c r="GW233" s="167"/>
      <c r="GX233" s="167"/>
      <c r="GY233" s="167"/>
      <c r="GZ233" s="167"/>
      <c r="HA233" s="167"/>
      <c r="HB233" s="167"/>
      <c r="HC233" s="167"/>
      <c r="HD233" s="167"/>
      <c r="HE233" s="167"/>
      <c r="HF233" s="167"/>
      <c r="HG233" s="167"/>
      <c r="HH233" s="167"/>
      <c r="HI233" s="167"/>
      <c r="HJ233" s="167"/>
      <c r="HK233" s="167"/>
      <c r="HL233" s="167"/>
      <c r="HM233" s="167"/>
      <c r="HN233" s="167"/>
      <c r="HO233" s="167"/>
      <c r="HP233" s="167"/>
      <c r="HQ233" s="167"/>
      <c r="HR233" s="167"/>
      <c r="HS233" s="167"/>
      <c r="HT233" s="167"/>
      <c r="HU233" s="167"/>
      <c r="HV233" s="167"/>
      <c r="HW233" s="167"/>
      <c r="HX233" s="167"/>
      <c r="HY233" s="167"/>
      <c r="HZ233" s="167"/>
      <c r="IA233" s="167"/>
      <c r="IB233" s="167"/>
      <c r="IC233" s="167"/>
      <c r="ID233" s="167"/>
      <c r="IE233" s="167"/>
      <c r="IF233" s="167"/>
      <c r="IG233" s="167"/>
      <c r="IH233" s="167"/>
      <c r="II233" s="167"/>
      <c r="IJ233" s="167"/>
      <c r="IK233" s="167"/>
      <c r="IL233" s="167"/>
      <c r="IM233" s="167"/>
      <c r="IN233" s="167"/>
      <c r="IO233" s="167"/>
      <c r="IP233" s="167"/>
      <c r="IQ233" s="167"/>
      <c r="IR233" s="167"/>
      <c r="IS233" s="167"/>
      <c r="IT233" s="167"/>
      <c r="IU233" s="167"/>
      <c r="IV233" s="167"/>
      <c r="IW233" s="167"/>
      <c r="IX233" s="167"/>
      <c r="IY233" s="167"/>
      <c r="IZ233" s="167"/>
      <c r="JA233" s="167"/>
      <c r="JB233" s="167"/>
      <c r="JC233" s="167"/>
      <c r="JD233" s="167"/>
      <c r="JE233" s="167"/>
      <c r="JF233" s="167"/>
      <c r="JG233" s="167"/>
      <c r="JH233" s="167"/>
      <c r="JI233" s="167"/>
      <c r="JJ233" s="167"/>
      <c r="JK233" s="167"/>
      <c r="JL233" s="167"/>
      <c r="JM233" s="167"/>
      <c r="JN233" s="167"/>
      <c r="JO233" s="167"/>
      <c r="JP233" s="167"/>
      <c r="JQ233" s="167"/>
      <c r="JR233" s="167"/>
      <c r="JS233" s="167"/>
      <c r="JT233" s="167"/>
      <c r="JU233" s="167"/>
      <c r="JV233" s="167"/>
      <c r="JW233" s="167"/>
      <c r="JX233" s="167"/>
      <c r="JY233" s="167"/>
      <c r="JZ233" s="167"/>
      <c r="KA233" s="167"/>
      <c r="KB233" s="167"/>
      <c r="KC233" s="167"/>
      <c r="KD233" s="167"/>
      <c r="KE233" s="167"/>
      <c r="KF233" s="167"/>
      <c r="KG233" s="167"/>
      <c r="KH233" s="167"/>
      <c r="KI233" s="167"/>
      <c r="KJ233" s="167"/>
      <c r="KK233" s="167"/>
      <c r="KL233" s="167"/>
      <c r="KM233" s="167"/>
      <c r="KN233" s="167"/>
      <c r="KO233" s="167"/>
      <c r="KP233" s="167"/>
      <c r="KQ233" s="167"/>
      <c r="KR233" s="167"/>
      <c r="KS233" s="167"/>
      <c r="KT233" s="167"/>
      <c r="KU233" s="167"/>
      <c r="KV233" s="167"/>
      <c r="KW233" s="167"/>
      <c r="KX233" s="167"/>
      <c r="KY233" s="167"/>
      <c r="KZ233" s="167"/>
      <c r="LA233" s="167"/>
      <c r="LB233" s="167"/>
      <c r="LC233" s="167"/>
      <c r="LD233" s="167"/>
      <c r="LE233" s="167"/>
      <c r="LF233" s="167"/>
      <c r="LG233" s="167"/>
      <c r="LH233" s="167"/>
      <c r="LI233" s="167"/>
      <c r="LJ233" s="167"/>
      <c r="LK233" s="167"/>
      <c r="LL233" s="167"/>
      <c r="LM233" s="167"/>
      <c r="LN233" s="167"/>
      <c r="LO233" s="167"/>
      <c r="LP233" s="167"/>
      <c r="LQ233" s="167"/>
      <c r="LR233" s="167"/>
      <c r="LS233" s="167"/>
      <c r="LT233" s="167"/>
      <c r="LU233" s="167"/>
      <c r="LV233" s="167"/>
      <c r="LW233" s="167"/>
      <c r="LX233" s="167"/>
      <c r="LY233" s="167"/>
      <c r="LZ233" s="167"/>
      <c r="MA233" s="167"/>
      <c r="MB233" s="167"/>
      <c r="MC233" s="167"/>
      <c r="MD233" s="167"/>
      <c r="ME233" s="167"/>
      <c r="MF233" s="167"/>
      <c r="MG233" s="167"/>
      <c r="MH233" s="167"/>
      <c r="MI233" s="167"/>
      <c r="MJ233" s="167"/>
      <c r="MK233" s="167"/>
      <c r="ML233" s="167"/>
      <c r="MM233" s="167"/>
      <c r="MN233" s="167"/>
      <c r="MO233" s="167"/>
      <c r="MP233" s="167"/>
      <c r="MQ233" s="167"/>
      <c r="MR233" s="167"/>
      <c r="MS233" s="167"/>
      <c r="MT233" s="167"/>
      <c r="MU233" s="167"/>
      <c r="MV233" s="167"/>
      <c r="MW233" s="167"/>
      <c r="MX233" s="167"/>
      <c r="MY233" s="167"/>
      <c r="MZ233" s="167"/>
      <c r="NA233" s="167"/>
      <c r="NB233" s="167"/>
      <c r="NC233" s="167"/>
      <c r="ND233" s="167"/>
      <c r="NE233" s="167"/>
      <c r="NF233" s="167"/>
      <c r="NG233" s="167"/>
      <c r="NH233" s="167"/>
      <c r="NI233" s="167"/>
      <c r="NJ233" s="167"/>
      <c r="NK233" s="167"/>
      <c r="NL233" s="167"/>
      <c r="NM233" s="167"/>
      <c r="NN233" s="167"/>
      <c r="NO233" s="167"/>
      <c r="NP233" s="167"/>
      <c r="NQ233" s="167"/>
      <c r="NR233" s="167"/>
      <c r="NS233" s="167"/>
      <c r="NT233" s="167"/>
      <c r="NU233" s="167"/>
      <c r="NV233" s="167"/>
      <c r="NW233" s="167"/>
      <c r="NX233" s="167"/>
      <c r="NY233" s="167"/>
      <c r="NZ233" s="167"/>
      <c r="OA233" s="167"/>
      <c r="OB233" s="167"/>
      <c r="OC233" s="167"/>
      <c r="OD233" s="167"/>
      <c r="OE233" s="167"/>
      <c r="OF233" s="167"/>
      <c r="OG233" s="167"/>
      <c r="OH233" s="167"/>
      <c r="OI233" s="167"/>
      <c r="OJ233" s="167"/>
      <c r="OK233" s="167"/>
      <c r="OL233" s="167"/>
      <c r="OM233" s="167"/>
      <c r="ON233" s="167"/>
      <c r="OO233" s="167"/>
      <c r="OP233" s="167"/>
      <c r="OQ233" s="167"/>
      <c r="OR233" s="167"/>
      <c r="OS233" s="167"/>
      <c r="OT233" s="167"/>
      <c r="OU233" s="167"/>
      <c r="OV233" s="167"/>
      <c r="OW233" s="167"/>
      <c r="OX233" s="167"/>
      <c r="OY233" s="167"/>
      <c r="OZ233" s="167"/>
      <c r="PA233" s="167"/>
      <c r="PB233" s="167"/>
      <c r="PC233" s="167"/>
      <c r="PD233" s="167"/>
      <c r="PE233" s="167"/>
      <c r="PF233" s="167"/>
      <c r="PG233" s="167"/>
      <c r="PH233" s="167"/>
      <c r="PI233" s="167"/>
      <c r="PJ233" s="167"/>
      <c r="PK233" s="167"/>
      <c r="PL233" s="167"/>
      <c r="PM233" s="167"/>
      <c r="PN233" s="167"/>
      <c r="PO233" s="167"/>
      <c r="PP233" s="167"/>
      <c r="PQ233" s="167"/>
      <c r="PR233" s="167"/>
      <c r="PS233" s="167"/>
      <c r="PT233" s="167"/>
      <c r="PU233" s="167"/>
      <c r="PV233" s="167"/>
      <c r="PW233" s="167"/>
      <c r="PX233" s="167"/>
      <c r="PY233" s="167"/>
      <c r="PZ233" s="167"/>
      <c r="QA233" s="167"/>
      <c r="QB233" s="167"/>
      <c r="QC233" s="167"/>
      <c r="QD233" s="167"/>
      <c r="QE233" s="167"/>
      <c r="QF233" s="167"/>
      <c r="QG233" s="167"/>
      <c r="QH233" s="167"/>
      <c r="QI233" s="167"/>
      <c r="QJ233" s="167"/>
      <c r="QK233" s="167"/>
      <c r="QL233" s="167"/>
      <c r="QM233" s="167"/>
      <c r="QN233" s="167"/>
      <c r="QO233" s="167"/>
      <c r="QP233" s="167"/>
      <c r="QQ233" s="167"/>
      <c r="QR233" s="167"/>
      <c r="QS233" s="167"/>
      <c r="QT233" s="167"/>
      <c r="QU233" s="167"/>
      <c r="QV233" s="167"/>
      <c r="QW233" s="167"/>
      <c r="QX233" s="167"/>
      <c r="QY233" s="167"/>
      <c r="QZ233" s="167"/>
      <c r="RA233" s="167"/>
      <c r="RB233" s="167"/>
      <c r="RC233" s="167"/>
      <c r="RD233" s="167"/>
      <c r="RE233" s="167"/>
      <c r="RF233" s="167"/>
      <c r="RG233" s="167"/>
      <c r="RH233" s="167"/>
      <c r="RI233" s="167"/>
      <c r="RJ233" s="167"/>
      <c r="RK233" s="167"/>
      <c r="RL233" s="167"/>
      <c r="RM233" s="167"/>
      <c r="RN233" s="167"/>
      <c r="RO233" s="167"/>
      <c r="RP233" s="167"/>
      <c r="RQ233" s="167"/>
      <c r="RR233" s="167"/>
      <c r="RS233" s="167"/>
      <c r="RT233" s="167"/>
      <c r="RU233" s="167"/>
      <c r="RV233" s="167"/>
      <c r="RW233" s="167"/>
      <c r="RX233" s="167"/>
      <c r="RY233" s="167"/>
      <c r="RZ233" s="167"/>
      <c r="SA233" s="167"/>
      <c r="SB233" s="167"/>
      <c r="SC233" s="167"/>
      <c r="SD233" s="167"/>
      <c r="SE233" s="167"/>
      <c r="SF233" s="167"/>
      <c r="SG233" s="167"/>
      <c r="SH233" s="167"/>
      <c r="SI233" s="167"/>
      <c r="SJ233" s="167"/>
      <c r="SK233" s="167"/>
      <c r="SL233" s="167"/>
      <c r="SM233" s="167"/>
      <c r="SN233" s="167"/>
      <c r="SO233" s="167"/>
      <c r="SP233" s="167"/>
      <c r="SQ233" s="167"/>
      <c r="SR233" s="167"/>
      <c r="SS233" s="167"/>
      <c r="ST233" s="167"/>
    </row>
    <row r="234" spans="1:514" s="28" customFormat="1" ht="15" x14ac:dyDescent="0.25">
      <c r="A234" s="56"/>
      <c r="B234" s="62"/>
      <c r="C234" s="62"/>
      <c r="D234" s="35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181"/>
    </row>
    <row r="235" spans="1:514" s="162" customFormat="1" ht="20.25" x14ac:dyDescent="0.3">
      <c r="A235" s="160" t="s">
        <v>479</v>
      </c>
      <c r="B235" s="160"/>
      <c r="C235" s="160"/>
      <c r="D235" s="160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81"/>
    </row>
    <row r="236" spans="1:514" s="148" customFormat="1" ht="26.25" x14ac:dyDescent="0.4">
      <c r="A236" s="149"/>
      <c r="B236" s="150"/>
      <c r="C236" s="150"/>
      <c r="D236" s="151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81"/>
    </row>
    <row r="237" spans="1:514" s="155" customFormat="1" ht="26.25" x14ac:dyDescent="0.4">
      <c r="A237" s="152"/>
      <c r="B237" s="153"/>
      <c r="C237" s="154"/>
      <c r="P237" s="159"/>
    </row>
    <row r="240" spans="1:514" ht="39" customHeight="1" x14ac:dyDescent="0.25">
      <c r="A240" s="182" t="s">
        <v>578</v>
      </c>
      <c r="B240" s="182"/>
      <c r="C240" s="182"/>
      <c r="D240" s="182"/>
      <c r="E240" s="182"/>
      <c r="F240" s="139"/>
      <c r="G240" s="139"/>
      <c r="H240" s="139"/>
      <c r="I240" s="139"/>
      <c r="J240" s="139"/>
      <c r="K240" s="139"/>
      <c r="L240" s="139"/>
      <c r="M240" s="139"/>
      <c r="N240" s="139" t="s">
        <v>579</v>
      </c>
      <c r="O240" s="139"/>
    </row>
  </sheetData>
  <mergeCells count="30">
    <mergeCell ref="A240:E240"/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  <mergeCell ref="O14:O16"/>
    <mergeCell ref="J4:O4"/>
    <mergeCell ref="J5:O5"/>
    <mergeCell ref="J6:O6"/>
    <mergeCell ref="J8:O8"/>
    <mergeCell ref="I14:N14"/>
    <mergeCell ref="P17:P19"/>
    <mergeCell ref="P214:P236"/>
    <mergeCell ref="P44:P69"/>
    <mergeCell ref="P71:P106"/>
    <mergeCell ref="P107:P140"/>
    <mergeCell ref="P141:P182"/>
    <mergeCell ref="P183:P213"/>
  </mergeCells>
  <phoneticPr fontId="3" type="noConversion"/>
  <printOptions horizontalCentered="1"/>
  <pageMargins left="0" right="0" top="0.78740157480314965" bottom="0.51181102362204722" header="0.59055118110236227" footer="0.19685039370078741"/>
  <pageSetup paperSize="9" scale="46" fitToHeight="7" orientation="landscape" verticalDpi="300" r:id="rId1"/>
  <headerFooter scaleWithDoc="0" alignWithMargins="0">
    <oddHeader xml:space="preserve">&amp;RПродовження додатку
</oddHeader>
  </headerFooter>
  <rowBreaks count="3" manualBreakCount="3">
    <brk id="45" max="15" man="1"/>
    <brk id="163" max="15" man="1"/>
    <brk id="19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8</vt:lpstr>
      <vt:lpstr>'дод 3'!Заголовки_для_печати</vt:lpstr>
      <vt:lpstr>'дод 8'!Заголовки_для_печати</vt:lpstr>
      <vt:lpstr>'дод 3'!Область_печати</vt:lpstr>
      <vt:lpstr>'дод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2021-04-28T13:01:24Z</cp:lastPrinted>
  <dcterms:created xsi:type="dcterms:W3CDTF">2014-01-17T10:52:16Z</dcterms:created>
  <dcterms:modified xsi:type="dcterms:W3CDTF">2021-04-29T05:48:23Z</dcterms:modified>
</cp:coreProperties>
</file>