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2"/>
  </bookViews>
  <sheets>
    <sheet name="ДДЗ вода" sheetId="1" r:id="rId1"/>
    <sheet name="ЗОШ вода" sheetId="2" r:id="rId2"/>
    <sheet name="Позаш. вода" sheetId="3" r:id="rId3"/>
  </sheets>
  <definedNames>
    <definedName name="_xlnm.Print_Titles" localSheetId="0">'ДДЗ вода'!$13:$13</definedName>
    <definedName name="_xlnm.Print_Titles" localSheetId="1">'ЗОШ вода'!$6:$6</definedName>
    <definedName name="_xlnm.Print_Titles" localSheetId="2">'Позаш. вода'!$5:$5</definedName>
  </definedNames>
  <calcPr fullCalcOnLoad="1"/>
</workbook>
</file>

<file path=xl/sharedStrings.xml><?xml version="1.0" encoding="utf-8"?>
<sst xmlns="http://schemas.openxmlformats.org/spreadsheetml/2006/main" count="586" uniqueCount="192">
  <si>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</si>
  <si>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</si>
  <si>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</si>
  <si>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</si>
  <si>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</si>
  <si>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</si>
  <si>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</si>
  <si>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</si>
  <si>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</si>
  <si>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</si>
  <si>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</si>
  <si>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</si>
  <si>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</si>
  <si>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</si>
  <si>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</si>
  <si>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</si>
  <si>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</si>
  <si>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</si>
  <si>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</si>
  <si>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</si>
  <si>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</si>
  <si>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</si>
  <si>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</si>
  <si>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</si>
  <si>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</si>
  <si>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</si>
  <si>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</si>
  <si>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</si>
  <si>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</si>
  <si>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</si>
  <si>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</si>
  <si>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</si>
  <si>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</si>
  <si>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</si>
  <si>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</si>
  <si>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</si>
  <si>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</si>
  <si>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</si>
  <si>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</si>
  <si>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</si>
  <si>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</si>
  <si>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</si>
  <si>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</si>
  <si>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</si>
  <si>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</si>
  <si>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</si>
  <si>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</si>
  <si>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</si>
  <si>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</si>
  <si>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</si>
  <si>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</si>
  <si>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</si>
  <si>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</si>
  <si>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</si>
  <si>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</si>
  <si>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</si>
  <si>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</si>
  <si>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</si>
  <si>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</si>
  <si>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</si>
  <si>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</si>
  <si>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</si>
  <si>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</si>
  <si>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</si>
  <si>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</si>
  <si>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</si>
  <si>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</si>
  <si>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№ 27(без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</si>
  <si>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</si>
  <si>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</si>
  <si>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</si>
  <si>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</si>
  <si>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</si>
  <si>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</si>
  <si>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ЗОШ № 4 в т.ч.</t>
  </si>
  <si>
    <t>СШ № 10 в.т.ч.</t>
  </si>
  <si>
    <t>ЗОШ № 15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</si>
  <si>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</si>
  <si>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</si>
  <si>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</si>
  <si>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</si>
  <si>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</si>
  <si>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</si>
  <si>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</si>
  <si>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</si>
  <si>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</si>
  <si>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</si>
  <si>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</si>
  <si>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</si>
  <si>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</si>
  <si>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</si>
  <si>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</si>
  <si>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</si>
  <si>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</si>
  <si>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</si>
  <si>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</si>
  <si>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</si>
  <si>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</si>
  <si>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</si>
  <si>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</si>
  <si>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</si>
  <si>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КП "Міськводоканал"</t>
  </si>
  <si>
    <t>ЗОШ № 24 в т.ч.</t>
  </si>
  <si>
    <t xml:space="preserve">Начальник управління освіти і науки  </t>
  </si>
  <si>
    <t>№38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</si>
  <si>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</si>
  <si>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</si>
  <si>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</si>
  <si>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</si>
  <si>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№ 34 сад</t>
  </si>
  <si>
    <t>НВК ДДЗ         № 34 школа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</si>
  <si>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</si>
  <si>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</si>
  <si>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</si>
  <si>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</si>
  <si>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</si>
  <si>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</si>
  <si>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</si>
  <si>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</si>
  <si>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</si>
  <si>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</si>
  <si>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</si>
  <si>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</si>
  <si>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</si>
  <si>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</si>
  <si>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>НВК ДДЗ         № 16 сад</t>
  </si>
  <si>
    <t>НВК ДДЗ         № 16 школа</t>
  </si>
  <si>
    <t xml:space="preserve">Палац дітей та юнацтва                  </t>
  </si>
  <si>
    <t>Класична гімназія в т. ч</t>
  </si>
  <si>
    <t>Інклюзивно-ресурсний центр</t>
  </si>
  <si>
    <t>ЗДО</t>
  </si>
  <si>
    <t>Всього по ЗДО з орендарями</t>
  </si>
  <si>
    <t>Всього по ЗДО без орендарів                          міський бюджет</t>
  </si>
  <si>
    <t>Клуб юних техніків (вул.Холодногір.) в т.ч.</t>
  </si>
  <si>
    <t xml:space="preserve">Всього клуб юних техніків без орендарів  </t>
  </si>
  <si>
    <t xml:space="preserve">споживання холодної води (КП "Міськводо-канал") </t>
  </si>
  <si>
    <t>№ 31без орендарів</t>
  </si>
  <si>
    <t>СШ № 1 без орендарів</t>
  </si>
  <si>
    <t>СШ № 2 без орендарів</t>
  </si>
  <si>
    <t>ЗОШ № 4 без орендарів</t>
  </si>
  <si>
    <t>СШ № 10 без орендарів</t>
  </si>
  <si>
    <t>ЗОШ № 15 без орендарів</t>
  </si>
  <si>
    <t>ЗОШ № 20 без орендарів</t>
  </si>
  <si>
    <t>Гімназія № 1 без орендарів</t>
  </si>
  <si>
    <t>Класична гімназія без орендарів</t>
  </si>
  <si>
    <t>ЗОШ №24 без орендарів</t>
  </si>
  <si>
    <t>СШ № 25 без орендарів</t>
  </si>
  <si>
    <t xml:space="preserve">СШ № 3 </t>
  </si>
  <si>
    <t xml:space="preserve">Спеціальна школа </t>
  </si>
  <si>
    <t>Міжшкільний навчально - виробничий комбінат (вул.Реміснича)</t>
  </si>
  <si>
    <t>Міжшкільний навчально - виробничий комбінат(вул. Ю.Липи)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</si>
  <si>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 в т.ч.</t>
    </r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</si>
  <si>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</t>
    </r>
  </si>
  <si>
    <t xml:space="preserve"> споживання водопостачання та водовідведення по закладах  дошкільної освіти на 2021 рік (м³)</t>
  </si>
  <si>
    <t xml:space="preserve"> споживання водопостачання та водовідведення по  закладах  загальної середньої освіти   на 2021 рік (м³)</t>
  </si>
  <si>
    <t>СШ № 6</t>
  </si>
  <si>
    <t>ЗОШ № 17 в т.ч.</t>
  </si>
  <si>
    <t xml:space="preserve"> споживання водопостачання та водовідведення по інших установах та закладах   на 2021 рік (м³)</t>
  </si>
  <si>
    <t>споживання холодної води (КП "Міськводоканал")</t>
  </si>
  <si>
    <t>водовідведення  (КП "Міськводоканал")</t>
  </si>
  <si>
    <t>гар</t>
  </si>
  <si>
    <t>СШ № 25  в т.ч.</t>
  </si>
  <si>
    <t>ЗОШ №17 без орендарів</t>
  </si>
  <si>
    <t>СШ №30 в т.ч.</t>
  </si>
  <si>
    <t>ССПШ №31 сад</t>
  </si>
  <si>
    <t>ССПШ №31                              школа</t>
  </si>
  <si>
    <t>Всього по спеціальним школам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</si>
  <si>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 </t>
    </r>
  </si>
  <si>
    <t>СШ №30 без орендарів і спецфонда</t>
  </si>
  <si>
    <t>СШ № 29  в т.ч.спецфонд</t>
  </si>
  <si>
    <t>СШ № 29  без спецфонда</t>
  </si>
  <si>
    <t>Центр науково - технічної творчості молоді без орендарів</t>
  </si>
  <si>
    <t>КП "Міськ- водоканал"</t>
  </si>
  <si>
    <t xml:space="preserve"> Центр професійного розвитку педагогічних працівників</t>
  </si>
  <si>
    <t>водовідведення разом (КП "Міськводоканал")</t>
  </si>
  <si>
    <t>комітету  Сумської міської ради</t>
  </si>
  <si>
    <t xml:space="preserve">СПШ  №32 сад </t>
  </si>
  <si>
    <t xml:space="preserve">СПШ  № 32 школа </t>
  </si>
  <si>
    <t xml:space="preserve">СПШ  №11 сад </t>
  </si>
  <si>
    <t xml:space="preserve">СПШ  № 11 школа </t>
  </si>
  <si>
    <t>СПШ № 28  школа в т.ч.</t>
  </si>
  <si>
    <t>СПШ № 28  школа без спецфонда</t>
  </si>
  <si>
    <t>СПШ № 14 школа без спецфонда</t>
  </si>
  <si>
    <t>СПШ  № 14 школа в т. ч.</t>
  </si>
  <si>
    <t>СПШ  № 14 сад</t>
  </si>
  <si>
    <t>СПШ №28 сад</t>
  </si>
  <si>
    <t>Багатопрфільний навчально-реабілітаційний центр №1 САД</t>
  </si>
  <si>
    <t>Всього по БНРЦ №1</t>
  </si>
  <si>
    <t>Багатопрфільний навчально-реабілітаційний центр №1 ШКОЛА</t>
  </si>
  <si>
    <t>"Затверджено"</t>
  </si>
  <si>
    <t xml:space="preserve"> рішенням  виконавчого</t>
  </si>
  <si>
    <t>від 18.01.2022  № 22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</si>
</sst>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"/>
    <numFmt numFmtId="208" formatCode="0.00000"/>
    <numFmt numFmtId="209" formatCode="0.0000"/>
    <numFmt numFmtId="210" formatCode="#,##0.0"/>
    <numFmt numFmtId="211" formatCode="_-* #,##0.000\ _г_р_н_._-;\-* #,##0.000\ _г_р_н_._-;_-* &quot;-&quot;??\ _г_р_н_._-;_-@_-"/>
    <numFmt numFmtId="212" formatCode="_-* #,##0.0\ _г_р_н_._-;\-* #,##0.0\ _г_р_н_._-;_-* &quot;-&quot;??\ _г_р_н_._-;_-@_-"/>
    <numFmt numFmtId="213" formatCode="_-* #,##0\ _г_р_н_._-;\-* #,##0\ _г_р_н_._-;_-* &quot;-&quot;??\ _г_р_н_._-;_-@_-"/>
    <numFmt numFmtId="214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206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06" fontId="8" fillId="0" borderId="10" xfId="0" applyNumberFormat="1" applyFont="1" applyFill="1" applyBorder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206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06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Alignment="1">
      <alignment horizontal="center"/>
    </xf>
    <xf numFmtId="206" fontId="3" fillId="0" borderId="10" xfId="0" applyNumberFormat="1" applyFont="1" applyFill="1" applyBorder="1" applyAlignment="1">
      <alignment horizontal="center" vertical="center" wrapText="1"/>
    </xf>
    <xf numFmtId="206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0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06" fontId="8" fillId="0" borderId="0" xfId="0" applyNumberFormat="1" applyFont="1" applyFill="1" applyAlignment="1">
      <alignment horizontal="center" vertical="center" wrapText="1"/>
    </xf>
    <xf numFmtId="206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06" fontId="6" fillId="0" borderId="0" xfId="0" applyNumberFormat="1" applyFont="1" applyFill="1" applyAlignment="1">
      <alignment horizontal="center" vertical="center" wrapText="1"/>
    </xf>
    <xf numFmtId="206" fontId="4" fillId="0" borderId="0" xfId="0" applyNumberFormat="1" applyFont="1" applyFill="1" applyBorder="1" applyAlignment="1">
      <alignment horizontal="center" vertic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14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206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206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206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207" fontId="9" fillId="0" borderId="10" xfId="0" applyNumberFormat="1" applyFont="1" applyFill="1" applyBorder="1" applyAlignment="1">
      <alignment horizontal="center"/>
    </xf>
    <xf numFmtId="207" fontId="9" fillId="0" borderId="11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0" xfId="54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54" applyFill="1" applyBorder="1" applyAlignment="1">
      <alignment horizontal="center" vertical="center" wrapText="1"/>
      <protection/>
    </xf>
    <xf numFmtId="207" fontId="8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210" fontId="8" fillId="0" borderId="10" xfId="0" applyNumberFormat="1" applyFont="1" applyFill="1" applyBorder="1" applyAlignment="1">
      <alignment horizontal="center" vertical="center" wrapText="1"/>
    </xf>
    <xf numFmtId="210" fontId="9" fillId="0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left" vertical="center" wrapText="1"/>
    </xf>
    <xf numFmtId="206" fontId="9" fillId="0" borderId="1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207" fontId="8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06" fontId="18" fillId="0" borderId="11" xfId="0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206" fontId="8" fillId="0" borderId="11" xfId="0" applyNumberFormat="1" applyFont="1" applyFill="1" applyBorder="1" applyAlignment="1">
      <alignment horizontal="center" vertical="center" wrapText="1"/>
    </xf>
    <xf numFmtId="206" fontId="9" fillId="0" borderId="10" xfId="0" applyNumberFormat="1" applyFont="1" applyFill="1" applyBorder="1" applyAlignment="1">
      <alignment horizontal="center"/>
    </xf>
    <xf numFmtId="206" fontId="9" fillId="0" borderId="10" xfId="0" applyNumberFormat="1" applyFont="1" applyFill="1" applyBorder="1" applyAlignment="1">
      <alignment horizontal="center" wrapText="1"/>
    </xf>
    <xf numFmtId="207" fontId="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07" fontId="8" fillId="0" borderId="11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 wrapText="1"/>
    </xf>
    <xf numFmtId="207" fontId="9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206" fontId="8" fillId="0" borderId="11" xfId="0" applyNumberFormat="1" applyFont="1" applyFill="1" applyBorder="1" applyAlignment="1">
      <alignment horizontal="center"/>
    </xf>
    <xf numFmtId="207" fontId="8" fillId="0" borderId="1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wrapText="1"/>
    </xf>
    <xf numFmtId="206" fontId="9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207" fontId="9" fillId="0" borderId="11" xfId="0" applyNumberFormat="1" applyFont="1" applyFill="1" applyBorder="1" applyAlignment="1">
      <alignment horizontal="center" vertical="center" wrapText="1"/>
    </xf>
    <xf numFmtId="210" fontId="9" fillId="0" borderId="11" xfId="0" applyNumberFormat="1" applyFont="1" applyFill="1" applyBorder="1" applyAlignment="1">
      <alignment horizontal="center" wrapText="1"/>
    </xf>
    <xf numFmtId="210" fontId="8" fillId="0" borderId="11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wrapText="1"/>
    </xf>
    <xf numFmtId="206" fontId="11" fillId="0" borderId="10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1" fontId="54" fillId="0" borderId="1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206" fontId="10" fillId="0" borderId="0" xfId="0" applyNumberFormat="1" applyFont="1" applyFill="1" applyAlignment="1">
      <alignment horizontal="center" vertical="center" wrapText="1"/>
    </xf>
    <xf numFmtId="206" fontId="13" fillId="0" borderId="0" xfId="0" applyNumberFormat="1" applyFont="1" applyFill="1" applyAlignment="1">
      <alignment horizontal="center" vertical="center" wrapText="1"/>
    </xf>
    <xf numFmtId="206" fontId="5" fillId="0" borderId="0" xfId="0" applyNumberFormat="1" applyFont="1" applyFill="1" applyAlignment="1">
      <alignment horizontal="center"/>
    </xf>
    <xf numFmtId="206" fontId="5" fillId="0" borderId="0" xfId="0" applyNumberFormat="1" applyFont="1" applyFill="1" applyAlignment="1">
      <alignment horizontal="left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206" fontId="10" fillId="0" borderId="0" xfId="49" applyNumberFormat="1" applyFont="1" applyFill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8" fillId="0" borderId="11" xfId="4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Обычный_Аналіз енергоносіїв проект 2017-2019 Додаток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89"/>
  <sheetViews>
    <sheetView zoomScalePageLayoutView="0" workbookViewId="0" topLeftCell="A1">
      <pane xSplit="1" ySplit="13" topLeftCell="B1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9" sqref="S9"/>
    </sheetView>
  </sheetViews>
  <sheetFormatPr defaultColWidth="9.00390625" defaultRowHeight="12.75"/>
  <cols>
    <col min="1" max="1" width="9.625" style="20" customWidth="1"/>
    <col min="2" max="2" width="17.125" style="20" customWidth="1"/>
    <col min="3" max="3" width="7.375" style="20" customWidth="1"/>
    <col min="4" max="4" width="7.25390625" style="20" customWidth="1"/>
    <col min="5" max="5" width="8.375" style="20" customWidth="1"/>
    <col min="6" max="6" width="8.75390625" style="20" customWidth="1"/>
    <col min="7" max="7" width="7.875" style="20" customWidth="1"/>
    <col min="8" max="8" width="8.00390625" style="20" customWidth="1"/>
    <col min="9" max="9" width="7.375" style="20" customWidth="1"/>
    <col min="10" max="10" width="7.625" style="20" customWidth="1"/>
    <col min="11" max="11" width="8.625" style="20" customWidth="1"/>
    <col min="12" max="12" width="8.25390625" style="20" customWidth="1"/>
    <col min="13" max="13" width="8.75390625" style="20" customWidth="1"/>
    <col min="14" max="14" width="7.75390625" style="20" customWidth="1"/>
    <col min="15" max="15" width="8.375" style="20" customWidth="1"/>
    <col min="16" max="16" width="0" style="20" hidden="1" customWidth="1"/>
    <col min="17" max="17" width="0" style="21" hidden="1" customWidth="1"/>
    <col min="18" max="18" width="0" style="20" hidden="1" customWidth="1"/>
    <col min="19" max="16384" width="9.125" style="20" customWidth="1"/>
  </cols>
  <sheetData>
    <row r="1" spans="2:15" ht="12.75">
      <c r="B1" s="1"/>
      <c r="C1" s="1"/>
      <c r="M1" s="163" t="s">
        <v>57</v>
      </c>
      <c r="N1" s="163"/>
      <c r="O1" s="163"/>
    </row>
    <row r="2" spans="2:15" ht="11.25" customHeight="1">
      <c r="B2" s="2"/>
      <c r="C2" s="1"/>
      <c r="M2" s="164" t="s">
        <v>56</v>
      </c>
      <c r="N2" s="164"/>
      <c r="O2" s="164"/>
    </row>
    <row r="3" spans="2:15" ht="11.25" customHeight="1">
      <c r="B3" s="2"/>
      <c r="C3" s="1"/>
      <c r="M3" s="164" t="s">
        <v>175</v>
      </c>
      <c r="N3" s="164"/>
      <c r="O3" s="164"/>
    </row>
    <row r="4" spans="13:15" ht="9.75" customHeight="1">
      <c r="M4" s="164" t="s">
        <v>191</v>
      </c>
      <c r="N4" s="164"/>
      <c r="O4" s="164"/>
    </row>
    <row r="5" ht="12.75" customHeight="1"/>
    <row r="6" spans="13:15" ht="12.75" customHeight="1">
      <c r="M6" s="163" t="s">
        <v>189</v>
      </c>
      <c r="N6" s="163"/>
      <c r="O6" s="163"/>
    </row>
    <row r="7" spans="13:15" ht="12.75" customHeight="1">
      <c r="M7" s="164" t="s">
        <v>190</v>
      </c>
      <c r="N7" s="164"/>
      <c r="O7" s="164"/>
    </row>
    <row r="8" spans="13:15" ht="12" customHeight="1">
      <c r="M8" s="164" t="s">
        <v>175</v>
      </c>
      <c r="N8" s="164"/>
      <c r="O8" s="164"/>
    </row>
    <row r="9" spans="13:15" ht="12" customHeight="1">
      <c r="M9" s="164" t="s">
        <v>191</v>
      </c>
      <c r="N9" s="164"/>
      <c r="O9" s="164"/>
    </row>
    <row r="10" ht="13.5" customHeight="1"/>
    <row r="11" spans="1:15" ht="15" customHeight="1">
      <c r="A11" s="161" t="s">
        <v>22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1:15" ht="13.5" customHeight="1">
      <c r="A12" s="162" t="s">
        <v>153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8" s="1" customFormat="1" ht="27.75" customHeight="1">
      <c r="A13" s="11" t="s">
        <v>130</v>
      </c>
      <c r="B13" s="22"/>
      <c r="C13" s="23" t="s">
        <v>0</v>
      </c>
      <c r="D13" s="23" t="s">
        <v>1</v>
      </c>
      <c r="E13" s="23" t="s">
        <v>2</v>
      </c>
      <c r="F13" s="23" t="s">
        <v>3</v>
      </c>
      <c r="G13" s="41" t="s">
        <v>4</v>
      </c>
      <c r="H13" s="41" t="s">
        <v>21</v>
      </c>
      <c r="I13" s="41" t="s">
        <v>5</v>
      </c>
      <c r="J13" s="41" t="s">
        <v>6</v>
      </c>
      <c r="K13" s="41" t="s">
        <v>7</v>
      </c>
      <c r="L13" s="41" t="s">
        <v>8</v>
      </c>
      <c r="M13" s="41" t="s">
        <v>9</v>
      </c>
      <c r="N13" s="41" t="s">
        <v>10</v>
      </c>
      <c r="O13" s="41" t="s">
        <v>19</v>
      </c>
      <c r="P13" s="20"/>
      <c r="Q13" s="21" t="s">
        <v>65</v>
      </c>
      <c r="R13" s="1" t="s">
        <v>160</v>
      </c>
    </row>
    <row r="14" spans="1:18" s="1" customFormat="1" ht="32.25" customHeight="1">
      <c r="A14" s="165" t="s">
        <v>25</v>
      </c>
      <c r="B14" s="15" t="s">
        <v>158</v>
      </c>
      <c r="C14" s="85">
        <v>90</v>
      </c>
      <c r="D14" s="85">
        <v>85</v>
      </c>
      <c r="E14" s="85">
        <v>90</v>
      </c>
      <c r="F14" s="85">
        <v>83</v>
      </c>
      <c r="G14" s="14">
        <v>78</v>
      </c>
      <c r="H14" s="14">
        <v>60</v>
      </c>
      <c r="I14" s="14">
        <v>54</v>
      </c>
      <c r="J14" s="14">
        <v>61</v>
      </c>
      <c r="K14" s="6">
        <v>85</v>
      </c>
      <c r="L14" s="6">
        <v>90</v>
      </c>
      <c r="M14" s="6">
        <v>89</v>
      </c>
      <c r="N14" s="6">
        <v>85</v>
      </c>
      <c r="O14" s="65">
        <f>SUM(C14:N14)</f>
        <v>950</v>
      </c>
      <c r="P14" s="20"/>
      <c r="Q14" s="21"/>
      <c r="R14" s="3">
        <v>860</v>
      </c>
    </row>
    <row r="15" spans="1:17" s="3" customFormat="1" ht="21.75" customHeight="1">
      <c r="A15" s="166"/>
      <c r="B15" s="4" t="s">
        <v>159</v>
      </c>
      <c r="C15" s="101">
        <v>148</v>
      </c>
      <c r="D15" s="101">
        <v>140</v>
      </c>
      <c r="E15" s="101">
        <v>148</v>
      </c>
      <c r="F15" s="101">
        <v>136</v>
      </c>
      <c r="G15" s="64">
        <v>126</v>
      </c>
      <c r="H15" s="64">
        <v>100</v>
      </c>
      <c r="I15" s="64">
        <v>84</v>
      </c>
      <c r="J15" s="64">
        <v>86</v>
      </c>
      <c r="K15" s="64">
        <v>130</v>
      </c>
      <c r="L15" s="64">
        <v>145</v>
      </c>
      <c r="M15" s="64">
        <v>140</v>
      </c>
      <c r="N15" s="64">
        <v>137</v>
      </c>
      <c r="O15" s="123">
        <f>SUM(C15:N15)</f>
        <v>1520</v>
      </c>
      <c r="P15" s="24"/>
      <c r="Q15" s="26"/>
    </row>
    <row r="16" spans="1:18" s="3" customFormat="1" ht="19.5" customHeight="1">
      <c r="A16" s="165" t="s">
        <v>26</v>
      </c>
      <c r="B16" s="15" t="s">
        <v>158</v>
      </c>
      <c r="C16" s="14">
        <v>202</v>
      </c>
      <c r="D16" s="14">
        <v>195</v>
      </c>
      <c r="E16" s="14">
        <v>197</v>
      </c>
      <c r="F16" s="14">
        <v>193</v>
      </c>
      <c r="G16" s="14">
        <v>197</v>
      </c>
      <c r="H16" s="14">
        <v>160</v>
      </c>
      <c r="I16" s="14">
        <v>168</v>
      </c>
      <c r="J16" s="14">
        <v>160</v>
      </c>
      <c r="K16" s="6">
        <v>175</v>
      </c>
      <c r="L16" s="6">
        <v>190</v>
      </c>
      <c r="M16" s="6">
        <v>183</v>
      </c>
      <c r="N16" s="6">
        <v>180</v>
      </c>
      <c r="O16" s="123">
        <f>SUM(C16:N16)</f>
        <v>2200</v>
      </c>
      <c r="P16" s="24"/>
      <c r="Q16" s="26"/>
      <c r="R16" s="3">
        <v>900</v>
      </c>
    </row>
    <row r="17" spans="1:17" s="3" customFormat="1" ht="19.5" customHeight="1">
      <c r="A17" s="166"/>
      <c r="B17" s="4" t="s">
        <v>159</v>
      </c>
      <c r="C17" s="14">
        <v>277</v>
      </c>
      <c r="D17" s="14">
        <v>265</v>
      </c>
      <c r="E17" s="14">
        <v>269</v>
      </c>
      <c r="F17" s="14">
        <v>262</v>
      </c>
      <c r="G17" s="14">
        <v>255</v>
      </c>
      <c r="H17" s="14">
        <v>200</v>
      </c>
      <c r="I17" s="14">
        <v>208</v>
      </c>
      <c r="J17" s="14">
        <v>215</v>
      </c>
      <c r="K17" s="6">
        <v>236</v>
      </c>
      <c r="L17" s="6">
        <v>252</v>
      </c>
      <c r="M17" s="6">
        <v>248</v>
      </c>
      <c r="N17" s="6">
        <v>243</v>
      </c>
      <c r="O17" s="123">
        <f>SUM(C17:N17)</f>
        <v>2930</v>
      </c>
      <c r="P17" s="24"/>
      <c r="Q17" s="26"/>
    </row>
    <row r="18" spans="1:17" s="3" customFormat="1" ht="16.5" customHeight="1">
      <c r="A18" s="19" t="s">
        <v>27</v>
      </c>
      <c r="B18" s="4" t="s">
        <v>101</v>
      </c>
      <c r="C18" s="84">
        <v>170</v>
      </c>
      <c r="D18" s="84">
        <v>165</v>
      </c>
      <c r="E18" s="84">
        <v>169</v>
      </c>
      <c r="F18" s="84">
        <v>176</v>
      </c>
      <c r="G18" s="27">
        <v>155</v>
      </c>
      <c r="H18" s="27">
        <v>135</v>
      </c>
      <c r="I18" s="27">
        <v>130</v>
      </c>
      <c r="J18" s="27">
        <v>122</v>
      </c>
      <c r="K18" s="27">
        <v>165</v>
      </c>
      <c r="L18" s="27">
        <v>170</v>
      </c>
      <c r="M18" s="27">
        <v>175</v>
      </c>
      <c r="N18" s="27">
        <v>168</v>
      </c>
      <c r="O18" s="124">
        <f>C18+D18+E18+F18+G18+H18+I18+J18+K18+L18+M18+N18</f>
        <v>1900</v>
      </c>
      <c r="P18" s="24"/>
      <c r="Q18" s="26">
        <v>2511</v>
      </c>
    </row>
    <row r="19" spans="1:17" s="3" customFormat="1" ht="15.75" customHeight="1">
      <c r="A19" s="19" t="s">
        <v>28</v>
      </c>
      <c r="B19" s="4" t="s">
        <v>101</v>
      </c>
      <c r="C19" s="86">
        <v>170</v>
      </c>
      <c r="D19" s="86">
        <v>169</v>
      </c>
      <c r="E19" s="86">
        <v>177</v>
      </c>
      <c r="F19" s="86">
        <v>149</v>
      </c>
      <c r="G19" s="86">
        <v>155</v>
      </c>
      <c r="H19" s="86">
        <v>131</v>
      </c>
      <c r="I19" s="86">
        <v>87</v>
      </c>
      <c r="J19" s="86">
        <v>104</v>
      </c>
      <c r="K19" s="86">
        <v>158</v>
      </c>
      <c r="L19" s="86">
        <v>168</v>
      </c>
      <c r="M19" s="86">
        <v>167</v>
      </c>
      <c r="N19" s="86">
        <v>165</v>
      </c>
      <c r="O19" s="124">
        <f>C19+D19+E19+F19+G19+H19+I19+J19+K19+L19+M19+N19</f>
        <v>1800</v>
      </c>
      <c r="P19" s="24"/>
      <c r="Q19" s="26">
        <v>2034</v>
      </c>
    </row>
    <row r="20" spans="1:18" s="3" customFormat="1" ht="18.75" customHeight="1">
      <c r="A20" s="165" t="s">
        <v>29</v>
      </c>
      <c r="B20" s="15" t="s">
        <v>158</v>
      </c>
      <c r="C20" s="14">
        <v>190</v>
      </c>
      <c r="D20" s="14">
        <v>194</v>
      </c>
      <c r="E20" s="14">
        <v>183</v>
      </c>
      <c r="F20" s="14">
        <v>197</v>
      </c>
      <c r="G20" s="14">
        <v>199</v>
      </c>
      <c r="H20" s="14">
        <v>179</v>
      </c>
      <c r="I20" s="14">
        <v>164</v>
      </c>
      <c r="J20" s="14">
        <v>169</v>
      </c>
      <c r="K20" s="14">
        <v>205</v>
      </c>
      <c r="L20" s="14">
        <v>210</v>
      </c>
      <c r="M20" s="14">
        <v>205</v>
      </c>
      <c r="N20" s="14">
        <v>205</v>
      </c>
      <c r="O20" s="124">
        <f>SUM(C20:N20)</f>
        <v>2300</v>
      </c>
      <c r="P20" s="24"/>
      <c r="Q20" s="26"/>
      <c r="R20" s="3">
        <v>1570</v>
      </c>
    </row>
    <row r="21" spans="1:17" s="3" customFormat="1" ht="20.25" customHeight="1">
      <c r="A21" s="166"/>
      <c r="B21" s="4" t="s">
        <v>159</v>
      </c>
      <c r="C21" s="9">
        <v>364</v>
      </c>
      <c r="D21" s="9">
        <v>362</v>
      </c>
      <c r="E21" s="9">
        <v>346</v>
      </c>
      <c r="F21" s="9">
        <v>357</v>
      </c>
      <c r="G21" s="9">
        <v>319</v>
      </c>
      <c r="H21" s="9">
        <v>253</v>
      </c>
      <c r="I21" s="9">
        <v>217</v>
      </c>
      <c r="J21" s="9">
        <v>232</v>
      </c>
      <c r="K21" s="18">
        <v>315</v>
      </c>
      <c r="L21" s="18">
        <v>370</v>
      </c>
      <c r="M21" s="18">
        <v>369</v>
      </c>
      <c r="N21" s="18">
        <v>366</v>
      </c>
      <c r="O21" s="124">
        <f>SUM(C21:N21)</f>
        <v>3870</v>
      </c>
      <c r="P21" s="24"/>
      <c r="Q21" s="26"/>
    </row>
    <row r="22" spans="1:17" s="3" customFormat="1" ht="14.25" customHeight="1">
      <c r="A22" s="19" t="s">
        <v>30</v>
      </c>
      <c r="B22" s="4" t="s">
        <v>101</v>
      </c>
      <c r="C22" s="9">
        <v>293</v>
      </c>
      <c r="D22" s="9">
        <v>295</v>
      </c>
      <c r="E22" s="9">
        <v>280</v>
      </c>
      <c r="F22" s="9">
        <v>290</v>
      </c>
      <c r="G22" s="9">
        <v>275</v>
      </c>
      <c r="H22" s="9">
        <v>165</v>
      </c>
      <c r="I22" s="9">
        <v>175</v>
      </c>
      <c r="J22" s="9">
        <v>177</v>
      </c>
      <c r="K22" s="18">
        <v>265</v>
      </c>
      <c r="L22" s="18">
        <v>290</v>
      </c>
      <c r="M22" s="18">
        <v>305</v>
      </c>
      <c r="N22" s="18">
        <v>290</v>
      </c>
      <c r="O22" s="124">
        <f>C22+D22+E22+F22+G22+H22+I22+J22+K22+L22+M22+N22</f>
        <v>3100</v>
      </c>
      <c r="P22" s="24"/>
      <c r="Q22" s="26">
        <v>4000</v>
      </c>
    </row>
    <row r="23" spans="1:18" s="3" customFormat="1" ht="20.25" customHeight="1">
      <c r="A23" s="165" t="s">
        <v>31</v>
      </c>
      <c r="B23" s="15" t="s">
        <v>158</v>
      </c>
      <c r="C23" s="14">
        <v>167</v>
      </c>
      <c r="D23" s="14">
        <v>163</v>
      </c>
      <c r="E23" s="14">
        <v>170</v>
      </c>
      <c r="F23" s="14">
        <v>165</v>
      </c>
      <c r="G23" s="14">
        <v>154</v>
      </c>
      <c r="H23" s="14">
        <v>140</v>
      </c>
      <c r="I23" s="14">
        <v>114</v>
      </c>
      <c r="J23" s="14">
        <v>131</v>
      </c>
      <c r="K23" s="6">
        <v>164</v>
      </c>
      <c r="L23" s="6">
        <v>165</v>
      </c>
      <c r="M23" s="6">
        <v>172</v>
      </c>
      <c r="N23" s="6">
        <v>185</v>
      </c>
      <c r="O23" s="123">
        <f>SUM(C23:N23)</f>
        <v>1890</v>
      </c>
      <c r="P23" s="24"/>
      <c r="Q23" s="26"/>
      <c r="R23" s="3">
        <v>1740</v>
      </c>
    </row>
    <row r="24" spans="1:17" s="3" customFormat="1" ht="26.25" customHeight="1">
      <c r="A24" s="166"/>
      <c r="B24" s="4" t="s">
        <v>159</v>
      </c>
      <c r="C24" s="9">
        <v>322</v>
      </c>
      <c r="D24" s="9">
        <v>315</v>
      </c>
      <c r="E24" s="9">
        <v>326</v>
      </c>
      <c r="F24" s="9">
        <v>315</v>
      </c>
      <c r="G24" s="9">
        <v>284</v>
      </c>
      <c r="H24" s="9">
        <v>243</v>
      </c>
      <c r="I24" s="9">
        <v>174</v>
      </c>
      <c r="J24" s="9">
        <v>201</v>
      </c>
      <c r="K24" s="18">
        <v>284</v>
      </c>
      <c r="L24" s="18">
        <v>300</v>
      </c>
      <c r="M24" s="18">
        <v>310</v>
      </c>
      <c r="N24" s="18">
        <v>316</v>
      </c>
      <c r="O24" s="123">
        <f>SUM(C24:N24)</f>
        <v>3390</v>
      </c>
      <c r="P24" s="24"/>
      <c r="Q24" s="26"/>
    </row>
    <row r="25" spans="1:17" s="3" customFormat="1" ht="21" customHeight="1">
      <c r="A25" s="165" t="s">
        <v>32</v>
      </c>
      <c r="B25" s="15" t="s">
        <v>158</v>
      </c>
      <c r="C25" s="9">
        <v>518</v>
      </c>
      <c r="D25" s="9">
        <v>510</v>
      </c>
      <c r="E25" s="9">
        <v>472</v>
      </c>
      <c r="F25" s="9">
        <v>463</v>
      </c>
      <c r="G25" s="9">
        <v>455</v>
      </c>
      <c r="H25" s="9">
        <v>318</v>
      </c>
      <c r="I25" s="9">
        <v>181</v>
      </c>
      <c r="J25" s="9">
        <v>260</v>
      </c>
      <c r="K25" s="18">
        <v>496</v>
      </c>
      <c r="L25" s="18">
        <v>500</v>
      </c>
      <c r="M25" s="18">
        <v>497</v>
      </c>
      <c r="N25" s="18">
        <v>480</v>
      </c>
      <c r="O25" s="124">
        <f>C25+D25+E25+F25+G25+H25+I25+J25+K25+L25+M25+N25</f>
        <v>5150</v>
      </c>
      <c r="P25" s="24"/>
      <c r="Q25" s="26">
        <v>6445</v>
      </c>
    </row>
    <row r="26" spans="1:17" s="3" customFormat="1" ht="21" customHeight="1">
      <c r="A26" s="167"/>
      <c r="B26" s="4" t="s">
        <v>159</v>
      </c>
      <c r="C26" s="9">
        <v>603</v>
      </c>
      <c r="D26" s="9">
        <v>590</v>
      </c>
      <c r="E26" s="9">
        <v>547</v>
      </c>
      <c r="F26" s="9">
        <v>483.46</v>
      </c>
      <c r="G26" s="9">
        <v>455.33</v>
      </c>
      <c r="H26" s="9">
        <v>340.97</v>
      </c>
      <c r="I26" s="9">
        <v>181</v>
      </c>
      <c r="J26" s="9">
        <v>342</v>
      </c>
      <c r="K26" s="18">
        <v>496</v>
      </c>
      <c r="L26" s="18">
        <v>734.3</v>
      </c>
      <c r="M26" s="18">
        <v>557</v>
      </c>
      <c r="N26" s="18">
        <v>540</v>
      </c>
      <c r="O26" s="154">
        <f>SUM(C26:N26)</f>
        <v>5870.06</v>
      </c>
      <c r="P26" s="24"/>
      <c r="Q26" s="26"/>
    </row>
    <row r="27" spans="1:18" s="3" customFormat="1" ht="21" customHeight="1">
      <c r="A27" s="165" t="s">
        <v>33</v>
      </c>
      <c r="B27" s="15" t="s">
        <v>158</v>
      </c>
      <c r="C27" s="86">
        <v>101</v>
      </c>
      <c r="D27" s="86">
        <v>95</v>
      </c>
      <c r="E27" s="86">
        <v>97</v>
      </c>
      <c r="F27" s="86">
        <v>90</v>
      </c>
      <c r="G27" s="86">
        <v>81</v>
      </c>
      <c r="H27" s="86">
        <v>73</v>
      </c>
      <c r="I27" s="86">
        <v>60</v>
      </c>
      <c r="J27" s="86">
        <v>78</v>
      </c>
      <c r="K27" s="86">
        <v>98</v>
      </c>
      <c r="L27" s="86">
        <v>103</v>
      </c>
      <c r="M27" s="86">
        <v>104</v>
      </c>
      <c r="N27" s="86">
        <v>100</v>
      </c>
      <c r="O27" s="123">
        <f>SUM(C27:N27)</f>
        <v>1080</v>
      </c>
      <c r="P27" s="24"/>
      <c r="Q27" s="26"/>
      <c r="R27" s="3">
        <v>1320</v>
      </c>
    </row>
    <row r="28" spans="1:17" s="3" customFormat="1" ht="20.25" customHeight="1">
      <c r="A28" s="166"/>
      <c r="B28" s="4" t="s">
        <v>159</v>
      </c>
      <c r="C28" s="9">
        <v>211</v>
      </c>
      <c r="D28" s="9">
        <v>200</v>
      </c>
      <c r="E28" s="9">
        <v>205</v>
      </c>
      <c r="F28" s="9">
        <v>193</v>
      </c>
      <c r="G28" s="9">
        <v>176</v>
      </c>
      <c r="H28" s="9">
        <v>158</v>
      </c>
      <c r="I28" s="9">
        <v>110</v>
      </c>
      <c r="J28" s="9">
        <v>128</v>
      </c>
      <c r="K28" s="18">
        <v>206</v>
      </c>
      <c r="L28" s="6">
        <v>203</v>
      </c>
      <c r="M28" s="6">
        <v>215</v>
      </c>
      <c r="N28" s="6">
        <v>205</v>
      </c>
      <c r="O28" s="123">
        <f>SUM(C28:N28)</f>
        <v>2210</v>
      </c>
      <c r="P28" s="24"/>
      <c r="Q28" s="26"/>
    </row>
    <row r="29" spans="1:17" s="3" customFormat="1" ht="12" customHeight="1">
      <c r="A29" s="19" t="s">
        <v>34</v>
      </c>
      <c r="B29" s="4" t="s">
        <v>101</v>
      </c>
      <c r="C29" s="14">
        <v>340</v>
      </c>
      <c r="D29" s="14">
        <v>325</v>
      </c>
      <c r="E29" s="14">
        <v>330</v>
      </c>
      <c r="F29" s="14">
        <v>340</v>
      </c>
      <c r="G29" s="14">
        <v>330</v>
      </c>
      <c r="H29" s="14">
        <v>230</v>
      </c>
      <c r="I29" s="14">
        <v>195</v>
      </c>
      <c r="J29" s="14">
        <v>190</v>
      </c>
      <c r="K29" s="6">
        <v>315</v>
      </c>
      <c r="L29" s="14">
        <v>335</v>
      </c>
      <c r="M29" s="14">
        <v>340</v>
      </c>
      <c r="N29" s="14">
        <v>330</v>
      </c>
      <c r="O29" s="124">
        <f>C29+D29+E29+F29+G29+H29+I29+J29+K29+L29+M29+N29</f>
        <v>3600</v>
      </c>
      <c r="P29" s="24"/>
      <c r="Q29" s="26">
        <v>3002</v>
      </c>
    </row>
    <row r="30" spans="1:18" s="3" customFormat="1" ht="21" customHeight="1">
      <c r="A30" s="165" t="s">
        <v>35</v>
      </c>
      <c r="B30" s="15" t="s">
        <v>158</v>
      </c>
      <c r="C30" s="14">
        <v>182</v>
      </c>
      <c r="D30" s="14">
        <v>180</v>
      </c>
      <c r="E30" s="14">
        <v>185</v>
      </c>
      <c r="F30" s="14">
        <v>181</v>
      </c>
      <c r="G30" s="14">
        <v>173</v>
      </c>
      <c r="H30" s="14">
        <v>158</v>
      </c>
      <c r="I30" s="14">
        <v>135</v>
      </c>
      <c r="J30" s="14">
        <v>118</v>
      </c>
      <c r="K30" s="6">
        <v>170</v>
      </c>
      <c r="L30" s="6">
        <v>173</v>
      </c>
      <c r="M30" s="6">
        <v>175</v>
      </c>
      <c r="N30" s="6">
        <v>170</v>
      </c>
      <c r="O30" s="123">
        <f>SUM(C30:N30)</f>
        <v>2000</v>
      </c>
      <c r="P30" s="24"/>
      <c r="Q30" s="26"/>
      <c r="R30" s="3">
        <v>2150</v>
      </c>
    </row>
    <row r="31" spans="1:17" s="3" customFormat="1" ht="21.75" customHeight="1">
      <c r="A31" s="166"/>
      <c r="B31" s="4" t="s">
        <v>159</v>
      </c>
      <c r="C31" s="14">
        <v>392</v>
      </c>
      <c r="D31" s="14">
        <v>380</v>
      </c>
      <c r="E31" s="14">
        <v>383</v>
      </c>
      <c r="F31" s="14">
        <v>376</v>
      </c>
      <c r="G31" s="14">
        <v>346</v>
      </c>
      <c r="H31" s="14">
        <v>320</v>
      </c>
      <c r="I31" s="14">
        <v>235</v>
      </c>
      <c r="J31" s="14">
        <v>208</v>
      </c>
      <c r="K31" s="6">
        <v>359</v>
      </c>
      <c r="L31" s="6">
        <v>363</v>
      </c>
      <c r="M31" s="6">
        <v>368</v>
      </c>
      <c r="N31" s="6">
        <v>370</v>
      </c>
      <c r="O31" s="123">
        <f>SUM(C31:N31)</f>
        <v>4100</v>
      </c>
      <c r="P31" s="24"/>
      <c r="Q31" s="26"/>
    </row>
    <row r="32" spans="1:18" s="3" customFormat="1" ht="29.25" customHeight="1">
      <c r="A32" s="19" t="s">
        <v>36</v>
      </c>
      <c r="B32" s="15" t="s">
        <v>158</v>
      </c>
      <c r="C32" s="14">
        <v>80</v>
      </c>
      <c r="D32" s="14">
        <v>76</v>
      </c>
      <c r="E32" s="14">
        <v>83</v>
      </c>
      <c r="F32" s="14">
        <v>83</v>
      </c>
      <c r="G32" s="14">
        <v>76</v>
      </c>
      <c r="H32" s="14">
        <v>68</v>
      </c>
      <c r="I32" s="14">
        <v>49</v>
      </c>
      <c r="J32" s="14">
        <v>51</v>
      </c>
      <c r="K32" s="6">
        <v>70</v>
      </c>
      <c r="L32" s="6">
        <v>86</v>
      </c>
      <c r="M32" s="6">
        <v>85</v>
      </c>
      <c r="N32" s="6">
        <v>83</v>
      </c>
      <c r="O32" s="123">
        <f>SUM(C32:N32)</f>
        <v>890</v>
      </c>
      <c r="P32" s="24"/>
      <c r="Q32" s="26"/>
      <c r="R32" s="3">
        <v>580</v>
      </c>
    </row>
    <row r="33" spans="1:17" s="3" customFormat="1" ht="29.25" customHeight="1">
      <c r="A33" s="19" t="s">
        <v>36</v>
      </c>
      <c r="B33" s="4" t="s">
        <v>159</v>
      </c>
      <c r="C33" s="14">
        <v>130</v>
      </c>
      <c r="D33" s="14">
        <v>121</v>
      </c>
      <c r="E33" s="14">
        <v>128</v>
      </c>
      <c r="F33" s="14">
        <v>130</v>
      </c>
      <c r="G33" s="14">
        <v>116</v>
      </c>
      <c r="H33" s="14">
        <v>96</v>
      </c>
      <c r="I33" s="9">
        <v>72</v>
      </c>
      <c r="J33" s="14">
        <v>76</v>
      </c>
      <c r="K33" s="6">
        <v>110</v>
      </c>
      <c r="L33" s="6">
        <v>134</v>
      </c>
      <c r="M33" s="6">
        <v>130</v>
      </c>
      <c r="N33" s="6">
        <v>127</v>
      </c>
      <c r="O33" s="123">
        <f>SUM(C33:N33)</f>
        <v>1370</v>
      </c>
      <c r="P33" s="24"/>
      <c r="Q33" s="26"/>
    </row>
    <row r="34" spans="1:18" s="1" customFormat="1" ht="27.75" customHeight="1" hidden="1">
      <c r="A34" s="11" t="s">
        <v>130</v>
      </c>
      <c r="B34" s="23"/>
      <c r="C34" s="23" t="s">
        <v>0</v>
      </c>
      <c r="D34" s="23" t="s">
        <v>1</v>
      </c>
      <c r="E34" s="23" t="s">
        <v>2</v>
      </c>
      <c r="F34" s="23" t="s">
        <v>3</v>
      </c>
      <c r="G34" s="41" t="s">
        <v>4</v>
      </c>
      <c r="H34" s="41" t="s">
        <v>21</v>
      </c>
      <c r="I34" s="41" t="s">
        <v>5</v>
      </c>
      <c r="J34" s="41" t="s">
        <v>6</v>
      </c>
      <c r="K34" s="41" t="s">
        <v>7</v>
      </c>
      <c r="L34" s="41" t="s">
        <v>8</v>
      </c>
      <c r="M34" s="41" t="s">
        <v>9</v>
      </c>
      <c r="N34" s="41" t="s">
        <v>10</v>
      </c>
      <c r="O34" s="41" t="s">
        <v>19</v>
      </c>
      <c r="P34" s="20"/>
      <c r="Q34" s="21" t="s">
        <v>65</v>
      </c>
      <c r="R34" s="1" t="s">
        <v>160</v>
      </c>
    </row>
    <row r="35" spans="1:18" s="3" customFormat="1" ht="19.5" customHeight="1">
      <c r="A35" s="168" t="s">
        <v>37</v>
      </c>
      <c r="B35" s="4" t="s">
        <v>158</v>
      </c>
      <c r="C35" s="84">
        <v>168</v>
      </c>
      <c r="D35" s="84">
        <v>163</v>
      </c>
      <c r="E35" s="84">
        <v>165</v>
      </c>
      <c r="F35" s="84">
        <v>160</v>
      </c>
      <c r="G35" s="84">
        <v>152</v>
      </c>
      <c r="H35" s="84">
        <v>120</v>
      </c>
      <c r="I35" s="14">
        <v>115</v>
      </c>
      <c r="J35" s="25">
        <v>100</v>
      </c>
      <c r="K35" s="25">
        <v>164</v>
      </c>
      <c r="L35" s="25">
        <v>165</v>
      </c>
      <c r="M35" s="25">
        <v>160</v>
      </c>
      <c r="N35" s="25">
        <v>168</v>
      </c>
      <c r="O35" s="28">
        <f aca="true" t="shared" si="0" ref="O35:O58">SUM(C35:N35)</f>
        <v>1800</v>
      </c>
      <c r="P35" s="24"/>
      <c r="Q35" s="26"/>
      <c r="R35" s="3">
        <v>980</v>
      </c>
    </row>
    <row r="36" spans="1:17" s="3" customFormat="1" ht="21" customHeight="1">
      <c r="A36" s="169"/>
      <c r="B36" s="4" t="s">
        <v>159</v>
      </c>
      <c r="C36" s="84">
        <v>238</v>
      </c>
      <c r="D36" s="84">
        <v>228</v>
      </c>
      <c r="E36" s="84">
        <v>233</v>
      </c>
      <c r="F36" s="84">
        <v>223</v>
      </c>
      <c r="G36" s="84">
        <v>212</v>
      </c>
      <c r="H36" s="84">
        <v>170</v>
      </c>
      <c r="I36" s="14">
        <v>155</v>
      </c>
      <c r="J36" s="25">
        <v>140</v>
      </c>
      <c r="K36" s="25">
        <v>224</v>
      </c>
      <c r="L36" s="25">
        <v>228</v>
      </c>
      <c r="M36" s="25">
        <v>220</v>
      </c>
      <c r="N36" s="25">
        <v>229</v>
      </c>
      <c r="O36" s="28">
        <f t="shared" si="0"/>
        <v>2500</v>
      </c>
      <c r="P36" s="24"/>
      <c r="Q36" s="26"/>
    </row>
    <row r="37" spans="1:18" s="3" customFormat="1" ht="21" customHeight="1">
      <c r="A37" s="165" t="s">
        <v>38</v>
      </c>
      <c r="B37" s="15" t="s">
        <v>158</v>
      </c>
      <c r="C37" s="14">
        <v>175</v>
      </c>
      <c r="D37" s="14">
        <v>173</v>
      </c>
      <c r="E37" s="14">
        <v>175</v>
      </c>
      <c r="F37" s="14">
        <v>170</v>
      </c>
      <c r="G37" s="14">
        <v>165</v>
      </c>
      <c r="H37" s="14">
        <v>141</v>
      </c>
      <c r="I37" s="14">
        <v>135</v>
      </c>
      <c r="J37" s="14">
        <v>125</v>
      </c>
      <c r="K37" s="6">
        <v>160</v>
      </c>
      <c r="L37" s="6">
        <v>165</v>
      </c>
      <c r="M37" s="6">
        <v>156</v>
      </c>
      <c r="N37" s="6">
        <v>160</v>
      </c>
      <c r="O37" s="123">
        <f t="shared" si="0"/>
        <v>1900</v>
      </c>
      <c r="P37" s="24"/>
      <c r="Q37" s="26"/>
      <c r="R37" s="3">
        <v>2040</v>
      </c>
    </row>
    <row r="38" spans="1:17" s="3" customFormat="1" ht="21" customHeight="1">
      <c r="A38" s="166"/>
      <c r="B38" s="4" t="s">
        <v>159</v>
      </c>
      <c r="C38" s="14">
        <v>350</v>
      </c>
      <c r="D38" s="14">
        <v>341</v>
      </c>
      <c r="E38" s="14">
        <v>350</v>
      </c>
      <c r="F38" s="14">
        <v>340</v>
      </c>
      <c r="G38" s="14">
        <v>330</v>
      </c>
      <c r="H38" s="14">
        <v>217</v>
      </c>
      <c r="I38" s="14">
        <v>190</v>
      </c>
      <c r="J38" s="14">
        <v>188</v>
      </c>
      <c r="K38" s="6">
        <v>315</v>
      </c>
      <c r="L38" s="6">
        <v>330</v>
      </c>
      <c r="M38" s="6">
        <v>324</v>
      </c>
      <c r="N38" s="6">
        <v>325</v>
      </c>
      <c r="O38" s="123">
        <f t="shared" si="0"/>
        <v>3600</v>
      </c>
      <c r="P38" s="24"/>
      <c r="Q38" s="26"/>
    </row>
    <row r="39" spans="1:18" s="3" customFormat="1" ht="21" customHeight="1">
      <c r="A39" s="165" t="s">
        <v>39</v>
      </c>
      <c r="B39" s="4" t="s">
        <v>158</v>
      </c>
      <c r="C39" s="14">
        <v>200</v>
      </c>
      <c r="D39" s="14">
        <v>180</v>
      </c>
      <c r="E39" s="14">
        <v>194</v>
      </c>
      <c r="F39" s="14">
        <v>177</v>
      </c>
      <c r="G39" s="14">
        <v>167</v>
      </c>
      <c r="H39" s="14">
        <v>120</v>
      </c>
      <c r="I39" s="14">
        <v>90</v>
      </c>
      <c r="J39" s="14">
        <v>100</v>
      </c>
      <c r="K39" s="6">
        <v>180</v>
      </c>
      <c r="L39" s="6">
        <v>192</v>
      </c>
      <c r="M39" s="6">
        <v>191</v>
      </c>
      <c r="N39" s="6">
        <v>189</v>
      </c>
      <c r="O39" s="123">
        <f t="shared" si="0"/>
        <v>1980</v>
      </c>
      <c r="P39" s="24"/>
      <c r="Q39" s="26"/>
      <c r="R39" s="3">
        <v>550</v>
      </c>
    </row>
    <row r="40" spans="1:17" s="3" customFormat="1" ht="21" customHeight="1">
      <c r="A40" s="166"/>
      <c r="B40" s="4" t="s">
        <v>159</v>
      </c>
      <c r="C40" s="9">
        <v>250</v>
      </c>
      <c r="D40" s="9">
        <v>228</v>
      </c>
      <c r="E40" s="9">
        <v>246</v>
      </c>
      <c r="F40" s="9">
        <v>223</v>
      </c>
      <c r="G40" s="9">
        <v>212</v>
      </c>
      <c r="H40" s="9">
        <v>155</v>
      </c>
      <c r="I40" s="9">
        <v>115</v>
      </c>
      <c r="J40" s="9">
        <v>120</v>
      </c>
      <c r="K40" s="18">
        <v>223</v>
      </c>
      <c r="L40" s="18">
        <v>237</v>
      </c>
      <c r="M40" s="18">
        <v>232</v>
      </c>
      <c r="N40" s="18">
        <v>229</v>
      </c>
      <c r="O40" s="125">
        <f t="shared" si="0"/>
        <v>2470</v>
      </c>
      <c r="P40" s="24"/>
      <c r="Q40" s="26"/>
    </row>
    <row r="41" spans="1:18" s="3" customFormat="1" ht="20.25" customHeight="1">
      <c r="A41" s="165" t="s">
        <v>40</v>
      </c>
      <c r="B41" s="4" t="s">
        <v>158</v>
      </c>
      <c r="C41" s="14">
        <v>130</v>
      </c>
      <c r="D41" s="14">
        <v>122</v>
      </c>
      <c r="E41" s="14">
        <v>125</v>
      </c>
      <c r="F41" s="14">
        <v>123</v>
      </c>
      <c r="G41" s="14">
        <v>118</v>
      </c>
      <c r="H41" s="14">
        <v>80</v>
      </c>
      <c r="I41" s="14">
        <v>75</v>
      </c>
      <c r="J41" s="14">
        <v>70</v>
      </c>
      <c r="K41" s="6">
        <v>110</v>
      </c>
      <c r="L41" s="6">
        <v>107</v>
      </c>
      <c r="M41" s="6">
        <v>110</v>
      </c>
      <c r="N41" s="6">
        <v>100</v>
      </c>
      <c r="O41" s="126">
        <f t="shared" si="0"/>
        <v>1270</v>
      </c>
      <c r="P41" s="99"/>
      <c r="Q41" s="99"/>
      <c r="R41" s="3">
        <v>1120</v>
      </c>
    </row>
    <row r="42" spans="1:17" s="3" customFormat="1" ht="23.25" customHeight="1">
      <c r="A42" s="166"/>
      <c r="B42" s="4" t="s">
        <v>159</v>
      </c>
      <c r="C42" s="9">
        <v>242</v>
      </c>
      <c r="D42" s="9">
        <v>232</v>
      </c>
      <c r="E42" s="9">
        <v>233</v>
      </c>
      <c r="F42" s="9">
        <v>227</v>
      </c>
      <c r="G42" s="9">
        <v>209</v>
      </c>
      <c r="H42" s="9">
        <v>140</v>
      </c>
      <c r="I42" s="9">
        <v>124</v>
      </c>
      <c r="J42" s="9">
        <v>110</v>
      </c>
      <c r="K42" s="18">
        <v>196</v>
      </c>
      <c r="L42" s="18">
        <v>192</v>
      </c>
      <c r="M42" s="18">
        <v>200</v>
      </c>
      <c r="N42" s="18">
        <v>195</v>
      </c>
      <c r="O42" s="126">
        <f t="shared" si="0"/>
        <v>2300</v>
      </c>
      <c r="P42" s="99"/>
      <c r="Q42" s="99"/>
    </row>
    <row r="43" spans="1:17" s="3" customFormat="1" ht="12" customHeight="1">
      <c r="A43" s="19" t="s">
        <v>41</v>
      </c>
      <c r="B43" s="4" t="s">
        <v>101</v>
      </c>
      <c r="C43" s="9">
        <v>350</v>
      </c>
      <c r="D43" s="9">
        <v>340</v>
      </c>
      <c r="E43" s="9">
        <v>345</v>
      </c>
      <c r="F43" s="9">
        <v>335</v>
      </c>
      <c r="G43" s="9">
        <v>320</v>
      </c>
      <c r="H43" s="9">
        <v>200</v>
      </c>
      <c r="I43" s="9">
        <v>210</v>
      </c>
      <c r="J43" s="9">
        <v>190</v>
      </c>
      <c r="K43" s="18">
        <v>310</v>
      </c>
      <c r="L43" s="18">
        <v>330</v>
      </c>
      <c r="M43" s="18">
        <v>330</v>
      </c>
      <c r="N43" s="18">
        <v>340</v>
      </c>
      <c r="O43" s="126">
        <f t="shared" si="0"/>
        <v>3600</v>
      </c>
      <c r="P43" s="24"/>
      <c r="Q43" s="26">
        <v>4000</v>
      </c>
    </row>
    <row r="44" spans="1:17" s="3" customFormat="1" ht="13.5" customHeight="1">
      <c r="A44" s="19" t="s">
        <v>42</v>
      </c>
      <c r="B44" s="4" t="s">
        <v>101</v>
      </c>
      <c r="C44" s="9">
        <v>260</v>
      </c>
      <c r="D44" s="9">
        <v>259</v>
      </c>
      <c r="E44" s="9">
        <v>265</v>
      </c>
      <c r="F44" s="9">
        <v>258</v>
      </c>
      <c r="G44" s="9">
        <v>237</v>
      </c>
      <c r="H44" s="9">
        <v>145</v>
      </c>
      <c r="I44" s="9">
        <v>128</v>
      </c>
      <c r="J44" s="9">
        <v>125</v>
      </c>
      <c r="K44" s="18">
        <v>229</v>
      </c>
      <c r="L44" s="18">
        <v>233</v>
      </c>
      <c r="M44" s="18">
        <v>231</v>
      </c>
      <c r="N44" s="18">
        <v>230</v>
      </c>
      <c r="O44" s="126">
        <f t="shared" si="0"/>
        <v>2600</v>
      </c>
      <c r="P44" s="24"/>
      <c r="Q44" s="26">
        <v>3478</v>
      </c>
    </row>
    <row r="45" spans="1:17" s="3" customFormat="1" ht="24" customHeight="1">
      <c r="A45" s="165" t="s">
        <v>43</v>
      </c>
      <c r="B45" s="15" t="s">
        <v>158</v>
      </c>
      <c r="C45" s="84">
        <v>210</v>
      </c>
      <c r="D45" s="84">
        <v>205</v>
      </c>
      <c r="E45" s="84">
        <v>207</v>
      </c>
      <c r="F45" s="84">
        <v>188</v>
      </c>
      <c r="G45" s="84">
        <v>180</v>
      </c>
      <c r="H45" s="84">
        <v>165</v>
      </c>
      <c r="I45" s="9">
        <v>135</v>
      </c>
      <c r="J45" s="9">
        <v>115</v>
      </c>
      <c r="K45" s="18">
        <v>200</v>
      </c>
      <c r="L45" s="18">
        <v>205</v>
      </c>
      <c r="M45" s="18">
        <v>190</v>
      </c>
      <c r="N45" s="18">
        <v>200</v>
      </c>
      <c r="O45" s="126">
        <f t="shared" si="0"/>
        <v>2200</v>
      </c>
      <c r="P45" s="24"/>
      <c r="Q45" s="26">
        <v>3186</v>
      </c>
    </row>
    <row r="46" spans="1:17" s="3" customFormat="1" ht="22.5" customHeight="1">
      <c r="A46" s="167"/>
      <c r="B46" s="4" t="s">
        <v>159</v>
      </c>
      <c r="C46" s="84">
        <v>255</v>
      </c>
      <c r="D46" s="84">
        <v>240</v>
      </c>
      <c r="E46" s="84">
        <v>264</v>
      </c>
      <c r="F46" s="84">
        <v>191</v>
      </c>
      <c r="G46" s="84">
        <v>180</v>
      </c>
      <c r="H46" s="84">
        <v>165</v>
      </c>
      <c r="I46" s="9">
        <v>135</v>
      </c>
      <c r="J46" s="9">
        <v>115</v>
      </c>
      <c r="K46" s="18">
        <v>200</v>
      </c>
      <c r="L46" s="18">
        <v>260</v>
      </c>
      <c r="M46" s="141">
        <v>237.4</v>
      </c>
      <c r="N46" s="141">
        <v>247.5</v>
      </c>
      <c r="O46" s="135">
        <f t="shared" si="0"/>
        <v>2489.9</v>
      </c>
      <c r="P46" s="24"/>
      <c r="Q46" s="26"/>
    </row>
    <row r="47" spans="1:17" s="3" customFormat="1" ht="24.75" customHeight="1">
      <c r="A47" s="165" t="s">
        <v>44</v>
      </c>
      <c r="B47" s="15" t="s">
        <v>158</v>
      </c>
      <c r="C47" s="108">
        <v>340</v>
      </c>
      <c r="D47" s="108">
        <v>345</v>
      </c>
      <c r="E47" s="108">
        <v>340</v>
      </c>
      <c r="F47" s="108">
        <v>333</v>
      </c>
      <c r="G47" s="108">
        <v>330</v>
      </c>
      <c r="H47" s="108">
        <v>250</v>
      </c>
      <c r="I47" s="108">
        <v>199</v>
      </c>
      <c r="J47" s="108">
        <v>160</v>
      </c>
      <c r="K47" s="108">
        <v>250</v>
      </c>
      <c r="L47" s="108">
        <v>244</v>
      </c>
      <c r="M47" s="108">
        <v>265</v>
      </c>
      <c r="N47" s="108">
        <v>244</v>
      </c>
      <c r="O47" s="126">
        <f t="shared" si="0"/>
        <v>3300</v>
      </c>
      <c r="P47" s="24"/>
      <c r="Q47" s="26">
        <v>4100</v>
      </c>
    </row>
    <row r="48" spans="1:17" s="3" customFormat="1" ht="23.25" customHeight="1">
      <c r="A48" s="167"/>
      <c r="B48" s="4" t="s">
        <v>159</v>
      </c>
      <c r="C48" s="144">
        <v>395</v>
      </c>
      <c r="D48" s="144">
        <v>414</v>
      </c>
      <c r="E48" s="144">
        <v>442</v>
      </c>
      <c r="F48" s="144">
        <v>355</v>
      </c>
      <c r="G48" s="144">
        <v>402</v>
      </c>
      <c r="H48" s="144">
        <v>309</v>
      </c>
      <c r="I48" s="144">
        <v>216</v>
      </c>
      <c r="J48" s="144">
        <v>208</v>
      </c>
      <c r="K48" s="144">
        <v>316</v>
      </c>
      <c r="L48" s="144">
        <v>292</v>
      </c>
      <c r="M48" s="144">
        <v>341</v>
      </c>
      <c r="N48" s="144">
        <v>335.1</v>
      </c>
      <c r="O48" s="145">
        <f t="shared" si="0"/>
        <v>4025.1</v>
      </c>
      <c r="P48" s="24"/>
      <c r="Q48" s="26"/>
    </row>
    <row r="49" spans="1:17" s="3" customFormat="1" ht="15.75" customHeight="1">
      <c r="A49" s="19" t="s">
        <v>45</v>
      </c>
      <c r="B49" s="4" t="s">
        <v>101</v>
      </c>
      <c r="C49" s="9">
        <v>70</v>
      </c>
      <c r="D49" s="9">
        <v>65</v>
      </c>
      <c r="E49" s="9">
        <v>60</v>
      </c>
      <c r="F49" s="9">
        <v>68</v>
      </c>
      <c r="G49" s="9">
        <v>61</v>
      </c>
      <c r="H49" s="9">
        <v>54</v>
      </c>
      <c r="I49" s="9">
        <v>45</v>
      </c>
      <c r="J49" s="9">
        <v>55</v>
      </c>
      <c r="K49" s="18">
        <v>68</v>
      </c>
      <c r="L49" s="18">
        <v>70</v>
      </c>
      <c r="M49" s="18">
        <v>69</v>
      </c>
      <c r="N49" s="18">
        <v>65</v>
      </c>
      <c r="O49" s="126">
        <f t="shared" si="0"/>
        <v>750</v>
      </c>
      <c r="P49" s="24"/>
      <c r="Q49" s="26">
        <v>1100</v>
      </c>
    </row>
    <row r="50" spans="1:17" s="3" customFormat="1" ht="24" customHeight="1">
      <c r="A50" s="165" t="s">
        <v>46</v>
      </c>
      <c r="B50" s="15" t="s">
        <v>158</v>
      </c>
      <c r="C50" s="84">
        <v>300</v>
      </c>
      <c r="D50" s="84">
        <v>290</v>
      </c>
      <c r="E50" s="84">
        <v>305</v>
      </c>
      <c r="F50" s="84">
        <v>315</v>
      </c>
      <c r="G50" s="84">
        <v>300</v>
      </c>
      <c r="H50" s="84">
        <v>260</v>
      </c>
      <c r="I50" s="9">
        <v>220</v>
      </c>
      <c r="J50" s="9">
        <v>160</v>
      </c>
      <c r="K50" s="18">
        <v>285</v>
      </c>
      <c r="L50" s="18">
        <v>290</v>
      </c>
      <c r="M50" s="18">
        <v>295</v>
      </c>
      <c r="N50" s="18">
        <v>280</v>
      </c>
      <c r="O50" s="126">
        <f t="shared" si="0"/>
        <v>3300</v>
      </c>
      <c r="P50" s="24"/>
      <c r="Q50" s="26">
        <v>4000</v>
      </c>
    </row>
    <row r="51" spans="1:17" s="3" customFormat="1" ht="24" customHeight="1">
      <c r="A51" s="167"/>
      <c r="B51" s="4" t="s">
        <v>159</v>
      </c>
      <c r="C51" s="84">
        <v>342</v>
      </c>
      <c r="D51" s="84">
        <v>353</v>
      </c>
      <c r="E51" s="84">
        <v>356</v>
      </c>
      <c r="F51" s="84">
        <v>368</v>
      </c>
      <c r="G51" s="84">
        <v>352</v>
      </c>
      <c r="H51" s="84">
        <v>321</v>
      </c>
      <c r="I51" s="9">
        <v>211</v>
      </c>
      <c r="J51" s="9">
        <v>160</v>
      </c>
      <c r="K51" s="100">
        <v>256.75</v>
      </c>
      <c r="L51" s="100">
        <v>267.16</v>
      </c>
      <c r="M51" s="18">
        <v>311</v>
      </c>
      <c r="N51" s="18">
        <v>270</v>
      </c>
      <c r="O51" s="127">
        <f t="shared" si="0"/>
        <v>3567.91</v>
      </c>
      <c r="P51" s="24"/>
      <c r="Q51" s="26"/>
    </row>
    <row r="52" spans="1:17" s="3" customFormat="1" ht="13.5" customHeight="1">
      <c r="A52" s="19" t="s">
        <v>47</v>
      </c>
      <c r="B52" s="4" t="s">
        <v>101</v>
      </c>
      <c r="C52" s="84">
        <v>315</v>
      </c>
      <c r="D52" s="84">
        <v>311</v>
      </c>
      <c r="E52" s="84">
        <v>310</v>
      </c>
      <c r="F52" s="84">
        <v>301</v>
      </c>
      <c r="G52" s="84">
        <v>292</v>
      </c>
      <c r="H52" s="84">
        <v>251</v>
      </c>
      <c r="I52" s="14">
        <v>206</v>
      </c>
      <c r="J52" s="14">
        <v>154</v>
      </c>
      <c r="K52" s="6">
        <v>285</v>
      </c>
      <c r="L52" s="6">
        <v>290</v>
      </c>
      <c r="M52" s="6">
        <v>295</v>
      </c>
      <c r="N52" s="6">
        <v>290</v>
      </c>
      <c r="O52" s="28">
        <f t="shared" si="0"/>
        <v>3300</v>
      </c>
      <c r="P52" s="24"/>
      <c r="Q52" s="26">
        <v>4400</v>
      </c>
    </row>
    <row r="53" spans="1:17" s="3" customFormat="1" ht="27.75" customHeight="1">
      <c r="A53" s="19" t="s">
        <v>67</v>
      </c>
      <c r="B53" s="4" t="s">
        <v>101</v>
      </c>
      <c r="C53" s="85">
        <v>95</v>
      </c>
      <c r="D53" s="85">
        <v>93</v>
      </c>
      <c r="E53" s="85">
        <v>94</v>
      </c>
      <c r="F53" s="85">
        <v>95</v>
      </c>
      <c r="G53" s="85">
        <v>92</v>
      </c>
      <c r="H53" s="85">
        <v>85</v>
      </c>
      <c r="I53" s="9">
        <v>77</v>
      </c>
      <c r="J53" s="9">
        <v>61</v>
      </c>
      <c r="K53" s="18">
        <v>85</v>
      </c>
      <c r="L53" s="18">
        <v>90</v>
      </c>
      <c r="M53" s="18">
        <v>91</v>
      </c>
      <c r="N53" s="18">
        <v>92</v>
      </c>
      <c r="O53" s="126">
        <f t="shared" si="0"/>
        <v>1050</v>
      </c>
      <c r="P53" s="24"/>
      <c r="Q53" s="26">
        <v>1581</v>
      </c>
    </row>
    <row r="54" spans="1:17" s="3" customFormat="1" ht="14.25" customHeight="1">
      <c r="A54" s="19" t="s">
        <v>48</v>
      </c>
      <c r="B54" s="4" t="s">
        <v>101</v>
      </c>
      <c r="C54" s="9">
        <v>277</v>
      </c>
      <c r="D54" s="9">
        <v>288</v>
      </c>
      <c r="E54" s="9">
        <v>293</v>
      </c>
      <c r="F54" s="9">
        <v>292</v>
      </c>
      <c r="G54" s="9">
        <v>281</v>
      </c>
      <c r="H54" s="9">
        <v>186</v>
      </c>
      <c r="I54" s="9">
        <v>164</v>
      </c>
      <c r="J54" s="9">
        <v>159</v>
      </c>
      <c r="K54" s="18">
        <v>266</v>
      </c>
      <c r="L54" s="18">
        <v>266</v>
      </c>
      <c r="M54" s="18">
        <v>268</v>
      </c>
      <c r="N54" s="18">
        <v>260</v>
      </c>
      <c r="O54" s="126">
        <f t="shared" si="0"/>
        <v>3000</v>
      </c>
      <c r="P54" s="24"/>
      <c r="Q54" s="26">
        <v>3100</v>
      </c>
    </row>
    <row r="55" spans="1:17" s="3" customFormat="1" ht="14.25" customHeight="1">
      <c r="A55" s="19" t="s">
        <v>49</v>
      </c>
      <c r="B55" s="4" t="s">
        <v>101</v>
      </c>
      <c r="C55" s="9">
        <v>125</v>
      </c>
      <c r="D55" s="9">
        <v>128</v>
      </c>
      <c r="E55" s="9">
        <v>121</v>
      </c>
      <c r="F55" s="9">
        <v>119</v>
      </c>
      <c r="G55" s="9">
        <v>124</v>
      </c>
      <c r="H55" s="9">
        <v>127</v>
      </c>
      <c r="I55" s="9">
        <v>87</v>
      </c>
      <c r="J55" s="9">
        <v>100</v>
      </c>
      <c r="K55" s="18">
        <v>108</v>
      </c>
      <c r="L55" s="18">
        <v>115</v>
      </c>
      <c r="M55" s="18">
        <v>120</v>
      </c>
      <c r="N55" s="18">
        <v>116</v>
      </c>
      <c r="O55" s="126">
        <f t="shared" si="0"/>
        <v>1390</v>
      </c>
      <c r="P55" s="24"/>
      <c r="Q55" s="26">
        <v>1523</v>
      </c>
    </row>
    <row r="56" spans="1:17" s="3" customFormat="1" ht="15" customHeight="1">
      <c r="A56" s="19" t="s">
        <v>50</v>
      </c>
      <c r="B56" s="4" t="s">
        <v>101</v>
      </c>
      <c r="C56" s="9">
        <v>223</v>
      </c>
      <c r="D56" s="9">
        <v>212</v>
      </c>
      <c r="E56" s="9">
        <v>216</v>
      </c>
      <c r="F56" s="9">
        <v>220</v>
      </c>
      <c r="G56" s="9">
        <v>198</v>
      </c>
      <c r="H56" s="9">
        <v>180</v>
      </c>
      <c r="I56" s="9">
        <v>173</v>
      </c>
      <c r="J56" s="9">
        <v>183</v>
      </c>
      <c r="K56" s="18">
        <v>199</v>
      </c>
      <c r="L56" s="18">
        <v>212</v>
      </c>
      <c r="M56" s="18">
        <v>214</v>
      </c>
      <c r="N56" s="18">
        <v>210</v>
      </c>
      <c r="O56" s="126">
        <f t="shared" si="0"/>
        <v>2440</v>
      </c>
      <c r="P56" s="24"/>
      <c r="Q56" s="26">
        <v>2287</v>
      </c>
    </row>
    <row r="57" spans="1:17" s="3" customFormat="1" ht="12" customHeight="1">
      <c r="A57" s="19" t="s">
        <v>70</v>
      </c>
      <c r="B57" s="4" t="s">
        <v>101</v>
      </c>
      <c r="C57" s="78">
        <v>111.5</v>
      </c>
      <c r="D57" s="81">
        <v>109.477</v>
      </c>
      <c r="E57" s="81">
        <v>106.477</v>
      </c>
      <c r="F57" s="81">
        <v>101.407</v>
      </c>
      <c r="G57" s="81">
        <v>96.454</v>
      </c>
      <c r="H57" s="81">
        <v>81.477</v>
      </c>
      <c r="I57" s="81">
        <v>71.453</v>
      </c>
      <c r="J57" s="81">
        <v>81.453</v>
      </c>
      <c r="K57" s="81">
        <v>101.453</v>
      </c>
      <c r="L57" s="81">
        <v>96.453</v>
      </c>
      <c r="M57" s="81">
        <v>101.453</v>
      </c>
      <c r="N57" s="81">
        <v>103.453</v>
      </c>
      <c r="O57" s="127">
        <f t="shared" si="0"/>
        <v>1162.5099999999998</v>
      </c>
      <c r="P57" s="24"/>
      <c r="Q57" s="26">
        <v>1069</v>
      </c>
    </row>
    <row r="58" spans="1:17" s="3" customFormat="1" ht="13.5" customHeight="1">
      <c r="A58" s="19" t="s">
        <v>71</v>
      </c>
      <c r="B58" s="4" t="s">
        <v>101</v>
      </c>
      <c r="C58" s="78">
        <v>1.5</v>
      </c>
      <c r="D58" s="81">
        <v>1.477</v>
      </c>
      <c r="E58" s="81">
        <v>1.477</v>
      </c>
      <c r="F58" s="81">
        <v>1.407</v>
      </c>
      <c r="G58" s="81">
        <v>1.454</v>
      </c>
      <c r="H58" s="81">
        <v>1.477</v>
      </c>
      <c r="I58" s="81">
        <v>1.453</v>
      </c>
      <c r="J58" s="81">
        <v>1.453</v>
      </c>
      <c r="K58" s="81">
        <v>1.453</v>
      </c>
      <c r="L58" s="81">
        <v>1.453</v>
      </c>
      <c r="M58" s="81">
        <v>1.453</v>
      </c>
      <c r="N58" s="81">
        <v>1.453</v>
      </c>
      <c r="O58" s="128">
        <f t="shared" si="0"/>
        <v>17.509999999999998</v>
      </c>
      <c r="P58" s="24"/>
      <c r="Q58" s="26"/>
    </row>
    <row r="59" spans="1:17" s="3" customFormat="1" ht="25.5" customHeight="1">
      <c r="A59" s="19" t="s">
        <v>136</v>
      </c>
      <c r="B59" s="4" t="s">
        <v>101</v>
      </c>
      <c r="C59" s="90">
        <f aca="true" t="shared" si="1" ref="C59:O59">C57-C58</f>
        <v>110</v>
      </c>
      <c r="D59" s="90">
        <f t="shared" si="1"/>
        <v>108</v>
      </c>
      <c r="E59" s="90">
        <f t="shared" si="1"/>
        <v>105</v>
      </c>
      <c r="F59" s="90">
        <f t="shared" si="1"/>
        <v>100</v>
      </c>
      <c r="G59" s="90">
        <f t="shared" si="1"/>
        <v>95</v>
      </c>
      <c r="H59" s="90">
        <f t="shared" si="1"/>
        <v>80</v>
      </c>
      <c r="I59" s="90">
        <f t="shared" si="1"/>
        <v>70</v>
      </c>
      <c r="J59" s="90">
        <f t="shared" si="1"/>
        <v>80</v>
      </c>
      <c r="K59" s="90">
        <f t="shared" si="1"/>
        <v>100</v>
      </c>
      <c r="L59" s="90">
        <f t="shared" si="1"/>
        <v>95</v>
      </c>
      <c r="M59" s="90">
        <f t="shared" si="1"/>
        <v>100</v>
      </c>
      <c r="N59" s="90">
        <f t="shared" si="1"/>
        <v>102</v>
      </c>
      <c r="O59" s="126">
        <f t="shared" si="1"/>
        <v>1144.9999999999998</v>
      </c>
      <c r="P59" s="24"/>
      <c r="Q59" s="26"/>
    </row>
    <row r="60" spans="1:17" s="3" customFormat="1" ht="13.5" customHeight="1">
      <c r="A60" s="19" t="s">
        <v>51</v>
      </c>
      <c r="B60" s="4" t="s">
        <v>101</v>
      </c>
      <c r="C60" s="9">
        <v>127</v>
      </c>
      <c r="D60" s="9">
        <v>125</v>
      </c>
      <c r="E60" s="9">
        <v>130</v>
      </c>
      <c r="F60" s="9">
        <v>120</v>
      </c>
      <c r="G60" s="9">
        <v>125</v>
      </c>
      <c r="H60" s="9">
        <v>107</v>
      </c>
      <c r="I60" s="9">
        <v>84</v>
      </c>
      <c r="J60" s="9">
        <v>86</v>
      </c>
      <c r="K60" s="18">
        <v>108</v>
      </c>
      <c r="L60" s="18">
        <v>112</v>
      </c>
      <c r="M60" s="18">
        <v>116</v>
      </c>
      <c r="N60" s="18">
        <v>110</v>
      </c>
      <c r="O60" s="126">
        <f>SUM(C60:N60)</f>
        <v>1350</v>
      </c>
      <c r="P60" s="24"/>
      <c r="Q60" s="26">
        <v>1480</v>
      </c>
    </row>
    <row r="61" spans="1:17" s="3" customFormat="1" ht="12" customHeight="1">
      <c r="A61" s="19" t="s">
        <v>52</v>
      </c>
      <c r="B61" s="4" t="s">
        <v>101</v>
      </c>
      <c r="C61" s="9">
        <v>230</v>
      </c>
      <c r="D61" s="9">
        <v>220</v>
      </c>
      <c r="E61" s="9">
        <v>218</v>
      </c>
      <c r="F61" s="9">
        <v>215</v>
      </c>
      <c r="G61" s="9">
        <v>205</v>
      </c>
      <c r="H61" s="9">
        <v>172</v>
      </c>
      <c r="I61" s="9">
        <v>150</v>
      </c>
      <c r="J61" s="9">
        <v>145</v>
      </c>
      <c r="K61" s="18">
        <v>205</v>
      </c>
      <c r="L61" s="18">
        <v>215</v>
      </c>
      <c r="M61" s="18">
        <v>215</v>
      </c>
      <c r="N61" s="18">
        <v>215</v>
      </c>
      <c r="O61" s="126">
        <f>SUM(C61:N61)</f>
        <v>2405</v>
      </c>
      <c r="P61" s="24"/>
      <c r="Q61" s="26">
        <v>3276</v>
      </c>
    </row>
    <row r="62" spans="1:17" s="3" customFormat="1" ht="30.75" customHeight="1">
      <c r="A62" s="19" t="s">
        <v>96</v>
      </c>
      <c r="B62" s="4" t="s">
        <v>101</v>
      </c>
      <c r="C62" s="14">
        <v>65</v>
      </c>
      <c r="D62" s="14">
        <v>60</v>
      </c>
      <c r="E62" s="14">
        <v>60</v>
      </c>
      <c r="F62" s="14">
        <v>58</v>
      </c>
      <c r="G62" s="14">
        <v>50</v>
      </c>
      <c r="H62" s="14">
        <v>45</v>
      </c>
      <c r="I62" s="14">
        <v>35</v>
      </c>
      <c r="J62" s="14">
        <v>40</v>
      </c>
      <c r="K62" s="6">
        <v>55</v>
      </c>
      <c r="L62" s="6">
        <v>60</v>
      </c>
      <c r="M62" s="6">
        <v>62</v>
      </c>
      <c r="N62" s="6">
        <v>60</v>
      </c>
      <c r="O62" s="126">
        <f>SUM(C62:N62)</f>
        <v>650</v>
      </c>
      <c r="P62" s="24"/>
      <c r="Q62" s="26">
        <v>900</v>
      </c>
    </row>
    <row r="63" spans="1:17" s="3" customFormat="1" ht="15" customHeight="1">
      <c r="A63" s="19" t="s">
        <v>53</v>
      </c>
      <c r="B63" s="4" t="s">
        <v>101</v>
      </c>
      <c r="C63" s="14">
        <v>320</v>
      </c>
      <c r="D63" s="14">
        <v>312</v>
      </c>
      <c r="E63" s="14">
        <v>315</v>
      </c>
      <c r="F63" s="14">
        <v>313</v>
      </c>
      <c r="G63" s="14">
        <v>303</v>
      </c>
      <c r="H63" s="14">
        <v>244</v>
      </c>
      <c r="I63" s="14">
        <v>216</v>
      </c>
      <c r="J63" s="14">
        <v>270</v>
      </c>
      <c r="K63" s="6">
        <v>280</v>
      </c>
      <c r="L63" s="6">
        <v>312</v>
      </c>
      <c r="M63" s="6">
        <v>308</v>
      </c>
      <c r="N63" s="6">
        <v>307</v>
      </c>
      <c r="O63" s="126">
        <f>SUM(C63:N63)</f>
        <v>3500</v>
      </c>
      <c r="P63" s="24"/>
      <c r="Q63" s="26">
        <v>3500</v>
      </c>
    </row>
    <row r="64" spans="1:17" s="3" customFormat="1" ht="15" customHeight="1">
      <c r="A64" s="19" t="s">
        <v>104</v>
      </c>
      <c r="B64" s="4" t="s">
        <v>101</v>
      </c>
      <c r="C64" s="14">
        <v>150</v>
      </c>
      <c r="D64" s="14">
        <v>145</v>
      </c>
      <c r="E64" s="14">
        <v>155</v>
      </c>
      <c r="F64" s="14">
        <v>140</v>
      </c>
      <c r="G64" s="14">
        <v>145</v>
      </c>
      <c r="H64" s="14">
        <v>90</v>
      </c>
      <c r="I64" s="14">
        <v>75</v>
      </c>
      <c r="J64" s="14">
        <v>80</v>
      </c>
      <c r="K64" s="14">
        <v>150</v>
      </c>
      <c r="L64" s="14">
        <v>155</v>
      </c>
      <c r="M64" s="14">
        <v>155</v>
      </c>
      <c r="N64" s="14">
        <v>160</v>
      </c>
      <c r="O64" s="129">
        <f>SUM(C64:N64)</f>
        <v>1600</v>
      </c>
      <c r="P64" s="24"/>
      <c r="Q64" s="26"/>
    </row>
    <row r="65" spans="1:18" s="1" customFormat="1" ht="27.75" customHeight="1" hidden="1">
      <c r="A65" s="11" t="s">
        <v>130</v>
      </c>
      <c r="B65" s="23"/>
      <c r="C65" s="23" t="s">
        <v>0</v>
      </c>
      <c r="D65" s="23" t="s">
        <v>1</v>
      </c>
      <c r="E65" s="23" t="s">
        <v>2</v>
      </c>
      <c r="F65" s="23" t="s">
        <v>3</v>
      </c>
      <c r="G65" s="41" t="s">
        <v>4</v>
      </c>
      <c r="H65" s="41" t="s">
        <v>21</v>
      </c>
      <c r="I65" s="41" t="s">
        <v>5</v>
      </c>
      <c r="J65" s="41" t="s">
        <v>6</v>
      </c>
      <c r="K65" s="41" t="s">
        <v>7</v>
      </c>
      <c r="L65" s="41" t="s">
        <v>8</v>
      </c>
      <c r="M65" s="41" t="s">
        <v>9</v>
      </c>
      <c r="N65" s="41" t="s">
        <v>10</v>
      </c>
      <c r="O65" s="41" t="s">
        <v>19</v>
      </c>
      <c r="P65" s="20"/>
      <c r="Q65" s="21" t="s">
        <v>65</v>
      </c>
      <c r="R65" s="1" t="s">
        <v>160</v>
      </c>
    </row>
    <row r="66" spans="1:17" s="3" customFormat="1" ht="19.5" customHeight="1">
      <c r="A66" s="19" t="s">
        <v>54</v>
      </c>
      <c r="B66" s="4" t="s">
        <v>101</v>
      </c>
      <c r="C66" s="14">
        <v>250</v>
      </c>
      <c r="D66" s="14">
        <v>249</v>
      </c>
      <c r="E66" s="14">
        <v>245</v>
      </c>
      <c r="F66" s="14">
        <v>254</v>
      </c>
      <c r="G66" s="14">
        <v>239</v>
      </c>
      <c r="H66" s="14">
        <v>210</v>
      </c>
      <c r="I66" s="14">
        <v>159</v>
      </c>
      <c r="J66" s="14">
        <v>141</v>
      </c>
      <c r="K66" s="6">
        <v>220</v>
      </c>
      <c r="L66" s="6">
        <v>230</v>
      </c>
      <c r="M66" s="6">
        <v>228</v>
      </c>
      <c r="N66" s="6">
        <v>225</v>
      </c>
      <c r="O66" s="28">
        <f>SUM(C66:N66)</f>
        <v>2650</v>
      </c>
      <c r="P66" s="24"/>
      <c r="Q66" s="26">
        <v>3400</v>
      </c>
    </row>
    <row r="67" spans="1:17" s="3" customFormat="1" ht="21.75" customHeight="1">
      <c r="A67" s="165" t="s">
        <v>55</v>
      </c>
      <c r="B67" s="15" t="s">
        <v>158</v>
      </c>
      <c r="C67" s="14">
        <v>450</v>
      </c>
      <c r="D67" s="14">
        <v>460</v>
      </c>
      <c r="E67" s="14">
        <v>465</v>
      </c>
      <c r="F67" s="14">
        <v>470</v>
      </c>
      <c r="G67" s="14">
        <v>460</v>
      </c>
      <c r="H67" s="14">
        <v>296</v>
      </c>
      <c r="I67" s="14">
        <v>270</v>
      </c>
      <c r="J67" s="14">
        <v>292</v>
      </c>
      <c r="K67" s="6">
        <v>450</v>
      </c>
      <c r="L67" s="6">
        <v>465</v>
      </c>
      <c r="M67" s="6">
        <v>485</v>
      </c>
      <c r="N67" s="6">
        <v>437</v>
      </c>
      <c r="O67" s="28">
        <f>SUM(C67:N67)</f>
        <v>5000</v>
      </c>
      <c r="P67" s="24"/>
      <c r="Q67" s="26">
        <v>4965</v>
      </c>
    </row>
    <row r="68" spans="1:17" s="3" customFormat="1" ht="22.5" customHeight="1">
      <c r="A68" s="167"/>
      <c r="B68" s="4" t="s">
        <v>159</v>
      </c>
      <c r="C68" s="155">
        <v>581</v>
      </c>
      <c r="D68" s="155">
        <v>696</v>
      </c>
      <c r="E68" s="155">
        <v>572</v>
      </c>
      <c r="F68" s="155">
        <v>603</v>
      </c>
      <c r="G68" s="155">
        <v>592</v>
      </c>
      <c r="H68" s="84">
        <v>394</v>
      </c>
      <c r="I68" s="84">
        <v>390</v>
      </c>
      <c r="J68" s="84">
        <v>412</v>
      </c>
      <c r="K68" s="84">
        <v>593</v>
      </c>
      <c r="L68" s="84">
        <v>1013</v>
      </c>
      <c r="M68" s="84">
        <v>885</v>
      </c>
      <c r="N68" s="84">
        <v>837</v>
      </c>
      <c r="O68" s="28">
        <f>SUM(C68:N68)</f>
        <v>7568</v>
      </c>
      <c r="P68" s="24"/>
      <c r="Q68" s="26"/>
    </row>
    <row r="69" spans="1:18" s="3" customFormat="1" ht="70.5" customHeight="1">
      <c r="A69" s="158" t="s">
        <v>131</v>
      </c>
      <c r="B69" s="4" t="s">
        <v>106</v>
      </c>
      <c r="C69" s="11">
        <f aca="true" t="shared" si="2" ref="C69:N69">C15+C17+C18+C19+C21+C22+C24+C26+C28+C29+C31+C33+C36+C38+C40+C42+C43+C44+C46+C48+C49+C51+C52+C54+C55+C56+C57+C60+C61+C63+C64+C66+C68</f>
        <v>8881.5</v>
      </c>
      <c r="D69" s="11">
        <f t="shared" si="2"/>
        <v>8822.476999999999</v>
      </c>
      <c r="E69" s="11">
        <f t="shared" si="2"/>
        <v>8783.476999999999</v>
      </c>
      <c r="F69" s="11">
        <f t="shared" si="2"/>
        <v>8473.867</v>
      </c>
      <c r="G69" s="11">
        <f t="shared" si="2"/>
        <v>8107.784</v>
      </c>
      <c r="H69" s="11">
        <f t="shared" si="2"/>
        <v>6290.447</v>
      </c>
      <c r="I69" s="11">
        <f t="shared" si="2"/>
        <v>5172.453</v>
      </c>
      <c r="J69" s="11">
        <f t="shared" si="2"/>
        <v>5303.453</v>
      </c>
      <c r="K69" s="11">
        <f t="shared" si="2"/>
        <v>7892.203</v>
      </c>
      <c r="L69" s="11">
        <f t="shared" si="2"/>
        <v>8919.913</v>
      </c>
      <c r="M69" s="11">
        <f t="shared" si="2"/>
        <v>8724.853</v>
      </c>
      <c r="N69" s="11">
        <f t="shared" si="2"/>
        <v>8556.053</v>
      </c>
      <c r="O69" s="11">
        <f>SUM(C69:N69)</f>
        <v>93928.48</v>
      </c>
      <c r="P69" s="11">
        <f>P15+P17+P18+P19+P21+P22+P24+P25+P28+P29+P31+P33+P36+P38+P40+P42+P43+P44+P45+P47+P49+P50+P52+P54+P55+P56+P57+P60+P61+P62+P63+P64+P66+P67</f>
        <v>0</v>
      </c>
      <c r="Q69" s="11">
        <f>Q15+Q17+Q18+Q19+Q21+Q22+Q24+Q25+Q28+Q29+Q31+Q33+Q36+Q38+Q40+Q42+Q43+Q44+Q45+Q47+Q49+Q50+Q52+Q54+Q55+Q56+Q57+Q60+Q61+Q62+Q63+Q64+Q66+Q67</f>
        <v>67756</v>
      </c>
      <c r="R69" s="1"/>
    </row>
    <row r="70" spans="1:17" s="24" customFormat="1" ht="34.5" customHeight="1">
      <c r="A70" s="160"/>
      <c r="B70" s="29" t="s">
        <v>77</v>
      </c>
      <c r="C70" s="82">
        <f aca="true" t="shared" si="3" ref="C70:Q70">C58</f>
        <v>1.5</v>
      </c>
      <c r="D70" s="82">
        <f t="shared" si="3"/>
        <v>1.477</v>
      </c>
      <c r="E70" s="82">
        <f t="shared" si="3"/>
        <v>1.477</v>
      </c>
      <c r="F70" s="82">
        <f t="shared" si="3"/>
        <v>1.407</v>
      </c>
      <c r="G70" s="82">
        <f t="shared" si="3"/>
        <v>1.454</v>
      </c>
      <c r="H70" s="82">
        <f t="shared" si="3"/>
        <v>1.477</v>
      </c>
      <c r="I70" s="82">
        <f t="shared" si="3"/>
        <v>1.453</v>
      </c>
      <c r="J70" s="82">
        <f t="shared" si="3"/>
        <v>1.453</v>
      </c>
      <c r="K70" s="82">
        <f t="shared" si="3"/>
        <v>1.453</v>
      </c>
      <c r="L70" s="82">
        <f t="shared" si="3"/>
        <v>1.453</v>
      </c>
      <c r="M70" s="82">
        <f t="shared" si="3"/>
        <v>1.453</v>
      </c>
      <c r="N70" s="82">
        <f t="shared" si="3"/>
        <v>1.453</v>
      </c>
      <c r="O70" s="82">
        <f t="shared" si="3"/>
        <v>17.509999999999998</v>
      </c>
      <c r="P70" s="30">
        <f t="shared" si="3"/>
        <v>0</v>
      </c>
      <c r="Q70" s="30">
        <f t="shared" si="3"/>
        <v>0</v>
      </c>
    </row>
    <row r="71" spans="1:17" ht="30" customHeight="1">
      <c r="A71" s="160"/>
      <c r="B71" s="15" t="s">
        <v>107</v>
      </c>
      <c r="C71" s="102">
        <f aca="true" t="shared" si="4" ref="C71:O71">C14+C16+C18+C19+C20+C22+C23+C25+C27+C29+C30+C32+C35+C37+C39+C41+C43+C44+C45+C47+C49+C50+C52+C53+C54+C55+C56+C57+C60+C61+C62+C63+C64+C66+C67</f>
        <v>7444.5</v>
      </c>
      <c r="D71" s="102">
        <f t="shared" si="4"/>
        <v>7306.477</v>
      </c>
      <c r="E71" s="102">
        <f t="shared" si="4"/>
        <v>7342.477</v>
      </c>
      <c r="F71" s="102">
        <f t="shared" si="4"/>
        <v>7235.407</v>
      </c>
      <c r="G71" s="102">
        <f t="shared" si="4"/>
        <v>6968.454</v>
      </c>
      <c r="H71" s="102">
        <f t="shared" si="4"/>
        <v>5426.477</v>
      </c>
      <c r="I71" s="102">
        <f t="shared" si="4"/>
        <v>4631.4529999999995</v>
      </c>
      <c r="J71" s="102">
        <f t="shared" si="4"/>
        <v>4613.4529999999995</v>
      </c>
      <c r="K71" s="102">
        <f t="shared" si="4"/>
        <v>6834.453</v>
      </c>
      <c r="L71" s="102">
        <f t="shared" si="4"/>
        <v>7099.453</v>
      </c>
      <c r="M71" s="102">
        <f t="shared" si="4"/>
        <v>7152.453</v>
      </c>
      <c r="N71" s="102">
        <f t="shared" si="4"/>
        <v>7002.453</v>
      </c>
      <c r="O71" s="102">
        <f t="shared" si="4"/>
        <v>79057.51000000001</v>
      </c>
      <c r="P71" s="31">
        <f>SUM(D71:O71)</f>
        <v>150670.52000000002</v>
      </c>
      <c r="Q71" s="31">
        <f>SUM(E71:P71)</f>
        <v>294034.563</v>
      </c>
    </row>
    <row r="72" spans="1:15" ht="24" customHeight="1">
      <c r="A72" s="159"/>
      <c r="B72" s="157" t="s">
        <v>77</v>
      </c>
      <c r="C72" s="81">
        <v>1.5</v>
      </c>
      <c r="D72" s="81">
        <v>1.477</v>
      </c>
      <c r="E72" s="81">
        <v>1.477</v>
      </c>
      <c r="F72" s="81">
        <v>1.407</v>
      </c>
      <c r="G72" s="81">
        <v>1.454</v>
      </c>
      <c r="H72" s="81">
        <v>1.477</v>
      </c>
      <c r="I72" s="81">
        <v>1.453</v>
      </c>
      <c r="J72" s="81">
        <v>1.453</v>
      </c>
      <c r="K72" s="81">
        <v>1.453</v>
      </c>
      <c r="L72" s="81">
        <v>1.453</v>
      </c>
      <c r="M72" s="81">
        <v>1.453</v>
      </c>
      <c r="N72" s="81">
        <v>1.453</v>
      </c>
      <c r="O72" s="109">
        <f>SUM(C72:N72)</f>
        <v>17.509999999999998</v>
      </c>
    </row>
    <row r="73" spans="1:17" s="24" customFormat="1" ht="58.5" customHeight="1">
      <c r="A73" s="158" t="s">
        <v>132</v>
      </c>
      <c r="B73" s="4" t="s">
        <v>123</v>
      </c>
      <c r="C73" s="10">
        <f aca="true" t="shared" si="5" ref="C73:Q73">C69-C70</f>
        <v>8880</v>
      </c>
      <c r="D73" s="10">
        <f t="shared" si="5"/>
        <v>8820.999999999998</v>
      </c>
      <c r="E73" s="10">
        <f t="shared" si="5"/>
        <v>8781.999999999998</v>
      </c>
      <c r="F73" s="10">
        <f t="shared" si="5"/>
        <v>8472.460000000001</v>
      </c>
      <c r="G73" s="10">
        <f t="shared" si="5"/>
        <v>8106.33</v>
      </c>
      <c r="H73" s="10">
        <f t="shared" si="5"/>
        <v>6288.97</v>
      </c>
      <c r="I73" s="10">
        <f t="shared" si="5"/>
        <v>5171</v>
      </c>
      <c r="J73" s="10">
        <f t="shared" si="5"/>
        <v>5302</v>
      </c>
      <c r="K73" s="10">
        <f t="shared" si="5"/>
        <v>7890.75</v>
      </c>
      <c r="L73" s="10">
        <f t="shared" si="5"/>
        <v>8918.460000000001</v>
      </c>
      <c r="M73" s="10">
        <f t="shared" si="5"/>
        <v>8723.4</v>
      </c>
      <c r="N73" s="10">
        <f t="shared" si="5"/>
        <v>8554.6</v>
      </c>
      <c r="O73" s="10">
        <f t="shared" si="5"/>
        <v>93910.97</v>
      </c>
      <c r="P73" s="10">
        <f t="shared" si="5"/>
        <v>0</v>
      </c>
      <c r="Q73" s="10">
        <f t="shared" si="5"/>
        <v>67756</v>
      </c>
    </row>
    <row r="74" spans="1:17" ht="55.5" customHeight="1">
      <c r="A74" s="159"/>
      <c r="B74" s="4" t="s">
        <v>105</v>
      </c>
      <c r="C74" s="32">
        <f aca="true" t="shared" si="6" ref="C74:Q74">C71-C72</f>
        <v>7443</v>
      </c>
      <c r="D74" s="32">
        <f t="shared" si="6"/>
        <v>7305</v>
      </c>
      <c r="E74" s="32">
        <f t="shared" si="6"/>
        <v>7341</v>
      </c>
      <c r="F74" s="32">
        <f t="shared" si="6"/>
        <v>7234</v>
      </c>
      <c r="G74" s="32">
        <f t="shared" si="6"/>
        <v>6967</v>
      </c>
      <c r="H74" s="32">
        <f t="shared" si="6"/>
        <v>5425</v>
      </c>
      <c r="I74" s="32">
        <f t="shared" si="6"/>
        <v>4629.999999999999</v>
      </c>
      <c r="J74" s="32">
        <f t="shared" si="6"/>
        <v>4611.999999999999</v>
      </c>
      <c r="K74" s="32">
        <f t="shared" si="6"/>
        <v>6833</v>
      </c>
      <c r="L74" s="32">
        <f t="shared" si="6"/>
        <v>7098</v>
      </c>
      <c r="M74" s="32">
        <f t="shared" si="6"/>
        <v>7151</v>
      </c>
      <c r="N74" s="32">
        <f t="shared" si="6"/>
        <v>7001</v>
      </c>
      <c r="O74" s="32">
        <f t="shared" si="6"/>
        <v>79040.00000000001</v>
      </c>
      <c r="P74" s="32">
        <f t="shared" si="6"/>
        <v>150670.52000000002</v>
      </c>
      <c r="Q74" s="32">
        <f t="shared" si="6"/>
        <v>294034.563</v>
      </c>
    </row>
    <row r="75" spans="1:17" ht="11.25" customHeight="1">
      <c r="A75" s="33"/>
      <c r="B75" s="2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2:15" ht="12.75">
      <c r="B76" s="1"/>
      <c r="O76" s="1"/>
    </row>
    <row r="77" ht="12.75">
      <c r="O77" s="1"/>
    </row>
    <row r="78" ht="12.75">
      <c r="O78" s="1"/>
    </row>
    <row r="79" ht="12.75"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</sheetData>
  <sheetProtection/>
  <mergeCells count="27">
    <mergeCell ref="M6:O6"/>
    <mergeCell ref="M7:O7"/>
    <mergeCell ref="M8:O8"/>
    <mergeCell ref="M9:O9"/>
    <mergeCell ref="A45:A46"/>
    <mergeCell ref="A47:A48"/>
    <mergeCell ref="A25:A26"/>
    <mergeCell ref="A50:A51"/>
    <mergeCell ref="A67:A68"/>
    <mergeCell ref="A37:A38"/>
    <mergeCell ref="A39:A40"/>
    <mergeCell ref="A41:A42"/>
    <mergeCell ref="A20:A21"/>
    <mergeCell ref="A23:A24"/>
    <mergeCell ref="A27:A28"/>
    <mergeCell ref="A30:A31"/>
    <mergeCell ref="A35:A36"/>
    <mergeCell ref="A73:A74"/>
    <mergeCell ref="A69:A72"/>
    <mergeCell ref="A11:O11"/>
    <mergeCell ref="A12:O12"/>
    <mergeCell ref="M1:O1"/>
    <mergeCell ref="M2:O2"/>
    <mergeCell ref="M3:O3"/>
    <mergeCell ref="M4:O4"/>
    <mergeCell ref="A14:A15"/>
    <mergeCell ref="A16:A17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S118"/>
  <sheetViews>
    <sheetView workbookViewId="0" topLeftCell="A1">
      <selection activeCell="A120" sqref="A120:IV139"/>
    </sheetView>
  </sheetViews>
  <sheetFormatPr defaultColWidth="9.00390625" defaultRowHeight="12.75"/>
  <cols>
    <col min="1" max="1" width="13.00390625" style="35" customWidth="1"/>
    <col min="2" max="2" width="16.25390625" style="35" customWidth="1"/>
    <col min="3" max="4" width="7.375" style="36" customWidth="1"/>
    <col min="5" max="5" width="8.25390625" style="36" customWidth="1"/>
    <col min="6" max="6" width="7.25390625" style="36" customWidth="1"/>
    <col min="7" max="7" width="7.625" style="36" customWidth="1"/>
    <col min="8" max="8" width="7.75390625" style="36" customWidth="1"/>
    <col min="9" max="9" width="7.25390625" style="36" customWidth="1"/>
    <col min="10" max="10" width="7.75390625" style="36" customWidth="1"/>
    <col min="11" max="11" width="9.00390625" style="36" customWidth="1"/>
    <col min="12" max="12" width="8.00390625" style="36" customWidth="1"/>
    <col min="13" max="13" width="8.625" style="36" customWidth="1"/>
    <col min="14" max="14" width="7.625" style="36" customWidth="1"/>
    <col min="15" max="15" width="9.75390625" style="35" customWidth="1"/>
    <col min="16" max="16" width="0" style="36" hidden="1" customWidth="1"/>
    <col min="17" max="17" width="9.125" style="35" hidden="1" customWidth="1"/>
    <col min="18" max="19" width="0" style="36" hidden="1" customWidth="1"/>
    <col min="20" max="16384" width="9.125" style="36" customWidth="1"/>
  </cols>
  <sheetData>
    <row r="2" ht="12.75">
      <c r="B2" s="36"/>
    </row>
    <row r="3" spans="1:15" ht="12.75" customHeight="1">
      <c r="A3" s="161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6.5" customHeight="1">
      <c r="A4" s="162" t="s">
        <v>154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ht="9" customHeight="1"/>
    <row r="6" spans="1:17" ht="21.75" customHeight="1">
      <c r="A6" s="11" t="s">
        <v>20</v>
      </c>
      <c r="B6" s="11"/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21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19</v>
      </c>
      <c r="Q6" s="11" t="s">
        <v>66</v>
      </c>
    </row>
    <row r="7" spans="1:17" s="37" customFormat="1" ht="13.5" customHeight="1">
      <c r="A7" s="19" t="s">
        <v>72</v>
      </c>
      <c r="B7" s="66" t="s">
        <v>101</v>
      </c>
      <c r="C7" s="8">
        <v>176</v>
      </c>
      <c r="D7" s="8">
        <v>171</v>
      </c>
      <c r="E7" s="8">
        <v>166</v>
      </c>
      <c r="F7" s="8">
        <v>169</v>
      </c>
      <c r="G7" s="8">
        <v>156</v>
      </c>
      <c r="H7" s="8">
        <v>110</v>
      </c>
      <c r="I7" s="8">
        <v>92</v>
      </c>
      <c r="J7" s="8">
        <v>52</v>
      </c>
      <c r="K7" s="8">
        <v>159</v>
      </c>
      <c r="L7" s="8">
        <v>151</v>
      </c>
      <c r="M7" s="8">
        <v>158</v>
      </c>
      <c r="N7" s="8">
        <v>149</v>
      </c>
      <c r="O7" s="7">
        <f>SUM(C7:N7)</f>
        <v>1709</v>
      </c>
      <c r="Q7" s="7">
        <v>2900</v>
      </c>
    </row>
    <row r="8" spans="1:17" s="37" customFormat="1" ht="14.25" customHeight="1">
      <c r="A8" s="8" t="s">
        <v>71</v>
      </c>
      <c r="B8" s="8"/>
      <c r="C8" s="83">
        <v>1</v>
      </c>
      <c r="D8" s="83">
        <v>1</v>
      </c>
      <c r="E8" s="83">
        <v>1</v>
      </c>
      <c r="F8" s="83">
        <v>1</v>
      </c>
      <c r="G8" s="83">
        <v>1</v>
      </c>
      <c r="H8" s="83"/>
      <c r="I8" s="83"/>
      <c r="J8" s="83"/>
      <c r="K8" s="83">
        <v>1</v>
      </c>
      <c r="L8" s="83">
        <v>1</v>
      </c>
      <c r="M8" s="83">
        <v>1</v>
      </c>
      <c r="N8" s="83">
        <v>1</v>
      </c>
      <c r="O8" s="7">
        <f aca="true" t="shared" si="0" ref="O8:O27">SUM(C8:N8)</f>
        <v>9</v>
      </c>
      <c r="Q8" s="7"/>
    </row>
    <row r="9" spans="1:17" s="37" customFormat="1" ht="24.75" customHeight="1">
      <c r="A9" s="19" t="s">
        <v>137</v>
      </c>
      <c r="B9" s="66" t="s">
        <v>101</v>
      </c>
      <c r="C9" s="89">
        <f>C7-C8</f>
        <v>175</v>
      </c>
      <c r="D9" s="89">
        <f aca="true" t="shared" si="1" ref="D9:O9">D7-D8</f>
        <v>170</v>
      </c>
      <c r="E9" s="89">
        <f t="shared" si="1"/>
        <v>165</v>
      </c>
      <c r="F9" s="89">
        <f t="shared" si="1"/>
        <v>168</v>
      </c>
      <c r="G9" s="89">
        <f>G7-G8</f>
        <v>155</v>
      </c>
      <c r="H9" s="89">
        <f t="shared" si="1"/>
        <v>110</v>
      </c>
      <c r="I9" s="89">
        <f t="shared" si="1"/>
        <v>92</v>
      </c>
      <c r="J9" s="89">
        <f t="shared" si="1"/>
        <v>52</v>
      </c>
      <c r="K9" s="89">
        <f t="shared" si="1"/>
        <v>158</v>
      </c>
      <c r="L9" s="89">
        <f t="shared" si="1"/>
        <v>150</v>
      </c>
      <c r="M9" s="89">
        <f t="shared" si="1"/>
        <v>157</v>
      </c>
      <c r="N9" s="89">
        <f t="shared" si="1"/>
        <v>148</v>
      </c>
      <c r="O9" s="115">
        <f t="shared" si="1"/>
        <v>1700</v>
      </c>
      <c r="Q9" s="7"/>
    </row>
    <row r="10" spans="1:17" s="37" customFormat="1" ht="14.25" customHeight="1">
      <c r="A10" s="19" t="s">
        <v>73</v>
      </c>
      <c r="B10" s="66" t="s">
        <v>101</v>
      </c>
      <c r="C10" s="67">
        <v>184.2</v>
      </c>
      <c r="D10" s="67">
        <v>182.2</v>
      </c>
      <c r="E10" s="67">
        <v>189.2</v>
      </c>
      <c r="F10" s="67">
        <v>185.2</v>
      </c>
      <c r="G10" s="67">
        <v>180.3</v>
      </c>
      <c r="H10" s="67">
        <v>112.68</v>
      </c>
      <c r="I10" s="67">
        <v>75</v>
      </c>
      <c r="J10" s="67">
        <v>92.68</v>
      </c>
      <c r="K10" s="67">
        <v>168.3</v>
      </c>
      <c r="L10" s="67">
        <v>174.2</v>
      </c>
      <c r="M10" s="67">
        <v>180.2</v>
      </c>
      <c r="N10" s="67">
        <v>172.2</v>
      </c>
      <c r="O10" s="10">
        <f t="shared" si="0"/>
        <v>1896.3600000000001</v>
      </c>
      <c r="Q10" s="7">
        <v>1750</v>
      </c>
    </row>
    <row r="11" spans="1:17" s="37" customFormat="1" ht="14.25" customHeight="1">
      <c r="A11" s="8" t="s">
        <v>71</v>
      </c>
      <c r="B11" s="8"/>
      <c r="C11" s="68">
        <v>19.2</v>
      </c>
      <c r="D11" s="68">
        <v>19.2</v>
      </c>
      <c r="E11" s="68">
        <v>19.2</v>
      </c>
      <c r="F11" s="68">
        <v>19.2</v>
      </c>
      <c r="G11" s="68">
        <v>18.3</v>
      </c>
      <c r="H11" s="69">
        <v>12.68</v>
      </c>
      <c r="I11" s="69"/>
      <c r="J11" s="69">
        <v>12.68</v>
      </c>
      <c r="K11" s="69">
        <v>18.3</v>
      </c>
      <c r="L11" s="69">
        <v>19.2</v>
      </c>
      <c r="M11" s="69">
        <v>19.2</v>
      </c>
      <c r="N11" s="69">
        <v>19.2</v>
      </c>
      <c r="O11" s="10">
        <f t="shared" si="0"/>
        <v>196.35999999999999</v>
      </c>
      <c r="Q11" s="7"/>
    </row>
    <row r="12" spans="1:17" s="37" customFormat="1" ht="24.75" customHeight="1">
      <c r="A12" s="19" t="s">
        <v>138</v>
      </c>
      <c r="B12" s="66" t="s">
        <v>101</v>
      </c>
      <c r="C12" s="64">
        <f>C10-C11</f>
        <v>165</v>
      </c>
      <c r="D12" s="64">
        <f aca="true" t="shared" si="2" ref="D12:O12">D10-D11</f>
        <v>163</v>
      </c>
      <c r="E12" s="64">
        <f t="shared" si="2"/>
        <v>170</v>
      </c>
      <c r="F12" s="64">
        <f t="shared" si="2"/>
        <v>166</v>
      </c>
      <c r="G12" s="64">
        <f t="shared" si="2"/>
        <v>162</v>
      </c>
      <c r="H12" s="64">
        <f t="shared" si="2"/>
        <v>100</v>
      </c>
      <c r="I12" s="64">
        <f t="shared" si="2"/>
        <v>75</v>
      </c>
      <c r="J12" s="64">
        <f t="shared" si="2"/>
        <v>80</v>
      </c>
      <c r="K12" s="64">
        <f t="shared" si="2"/>
        <v>150</v>
      </c>
      <c r="L12" s="64">
        <f t="shared" si="2"/>
        <v>155</v>
      </c>
      <c r="M12" s="64">
        <f t="shared" si="2"/>
        <v>161</v>
      </c>
      <c r="N12" s="64">
        <f t="shared" si="2"/>
        <v>153</v>
      </c>
      <c r="O12" s="65">
        <f t="shared" si="2"/>
        <v>1700.0000000000002</v>
      </c>
      <c r="Q12" s="7"/>
    </row>
    <row r="13" spans="1:17" s="37" customFormat="1" ht="12.75" customHeight="1">
      <c r="A13" s="19" t="s">
        <v>147</v>
      </c>
      <c r="B13" s="66" t="s">
        <v>101</v>
      </c>
      <c r="C13" s="8">
        <v>48</v>
      </c>
      <c r="D13" s="8">
        <v>45</v>
      </c>
      <c r="E13" s="8">
        <v>45</v>
      </c>
      <c r="F13" s="8">
        <v>41</v>
      </c>
      <c r="G13" s="8">
        <v>44</v>
      </c>
      <c r="H13" s="8">
        <v>27</v>
      </c>
      <c r="I13" s="8">
        <v>23</v>
      </c>
      <c r="J13" s="8">
        <v>21</v>
      </c>
      <c r="K13" s="8">
        <v>41</v>
      </c>
      <c r="L13" s="8">
        <v>43</v>
      </c>
      <c r="M13" s="8">
        <v>42</v>
      </c>
      <c r="N13" s="8">
        <v>40</v>
      </c>
      <c r="O13" s="11">
        <f t="shared" si="0"/>
        <v>460</v>
      </c>
      <c r="Q13" s="7">
        <v>830</v>
      </c>
    </row>
    <row r="14" spans="1:17" s="37" customFormat="1" ht="12.75" customHeight="1">
      <c r="A14" s="19" t="s">
        <v>74</v>
      </c>
      <c r="B14" s="66" t="s">
        <v>101</v>
      </c>
      <c r="C14" s="67">
        <v>99</v>
      </c>
      <c r="D14" s="67">
        <v>104</v>
      </c>
      <c r="E14" s="67">
        <v>107</v>
      </c>
      <c r="F14" s="67">
        <v>95</v>
      </c>
      <c r="G14" s="67">
        <v>90</v>
      </c>
      <c r="H14" s="67">
        <v>67</v>
      </c>
      <c r="I14" s="67">
        <v>50</v>
      </c>
      <c r="J14" s="67">
        <v>54</v>
      </c>
      <c r="K14" s="67">
        <v>84</v>
      </c>
      <c r="L14" s="67">
        <v>88</v>
      </c>
      <c r="M14" s="67">
        <v>91</v>
      </c>
      <c r="N14" s="67">
        <v>89</v>
      </c>
      <c r="O14" s="7">
        <f t="shared" si="0"/>
        <v>1018</v>
      </c>
      <c r="Q14" s="7">
        <v>1480</v>
      </c>
    </row>
    <row r="15" spans="1:17" s="37" customFormat="1" ht="14.25" customHeight="1">
      <c r="A15" s="8" t="s">
        <v>71</v>
      </c>
      <c r="B15" s="8"/>
      <c r="C15" s="12">
        <v>4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12">
        <v>4</v>
      </c>
      <c r="L15" s="12">
        <v>4</v>
      </c>
      <c r="M15" s="12">
        <v>4</v>
      </c>
      <c r="N15" s="12">
        <v>4</v>
      </c>
      <c r="O15" s="7">
        <f t="shared" si="0"/>
        <v>48</v>
      </c>
      <c r="Q15" s="7"/>
    </row>
    <row r="16" spans="1:17" s="37" customFormat="1" ht="24" customHeight="1">
      <c r="A16" s="19" t="s">
        <v>139</v>
      </c>
      <c r="B16" s="66" t="s">
        <v>101</v>
      </c>
      <c r="C16" s="64">
        <f>C14-C15</f>
        <v>95</v>
      </c>
      <c r="D16" s="64">
        <f aca="true" t="shared" si="3" ref="D16:O16">D14-D15</f>
        <v>100</v>
      </c>
      <c r="E16" s="64">
        <f t="shared" si="3"/>
        <v>103</v>
      </c>
      <c r="F16" s="64">
        <f t="shared" si="3"/>
        <v>91</v>
      </c>
      <c r="G16" s="64">
        <f t="shared" si="3"/>
        <v>86</v>
      </c>
      <c r="H16" s="64">
        <f t="shared" si="3"/>
        <v>63</v>
      </c>
      <c r="I16" s="64">
        <f t="shared" si="3"/>
        <v>46</v>
      </c>
      <c r="J16" s="64">
        <f t="shared" si="3"/>
        <v>50</v>
      </c>
      <c r="K16" s="64">
        <f t="shared" si="3"/>
        <v>80</v>
      </c>
      <c r="L16" s="64">
        <f t="shared" si="3"/>
        <v>84</v>
      </c>
      <c r="M16" s="64">
        <f t="shared" si="3"/>
        <v>87</v>
      </c>
      <c r="N16" s="64">
        <f t="shared" si="3"/>
        <v>85</v>
      </c>
      <c r="O16" s="118">
        <f t="shared" si="3"/>
        <v>970</v>
      </c>
      <c r="Q16" s="7"/>
    </row>
    <row r="17" spans="1:17" s="37" customFormat="1" ht="29.25" customHeight="1">
      <c r="A17" s="19" t="s">
        <v>97</v>
      </c>
      <c r="B17" s="66" t="s">
        <v>101</v>
      </c>
      <c r="C17" s="67">
        <v>100</v>
      </c>
      <c r="D17" s="67">
        <v>87</v>
      </c>
      <c r="E17" s="67">
        <v>95</v>
      </c>
      <c r="F17" s="67">
        <v>95</v>
      </c>
      <c r="G17" s="67">
        <v>93</v>
      </c>
      <c r="H17" s="67">
        <v>55</v>
      </c>
      <c r="I17" s="67">
        <v>51</v>
      </c>
      <c r="J17" s="67">
        <v>50</v>
      </c>
      <c r="K17" s="67">
        <v>94</v>
      </c>
      <c r="L17" s="67">
        <v>90</v>
      </c>
      <c r="M17" s="67">
        <v>95</v>
      </c>
      <c r="N17" s="67">
        <v>95</v>
      </c>
      <c r="O17" s="7">
        <f t="shared" si="0"/>
        <v>1000</v>
      </c>
      <c r="Q17" s="7">
        <v>1170</v>
      </c>
    </row>
    <row r="18" spans="1:17" s="37" customFormat="1" ht="28.5" customHeight="1">
      <c r="A18" s="165" t="s">
        <v>155</v>
      </c>
      <c r="B18" s="103" t="s">
        <v>158</v>
      </c>
      <c r="C18" s="112">
        <v>235</v>
      </c>
      <c r="D18" s="112">
        <v>230</v>
      </c>
      <c r="E18" s="112">
        <v>235</v>
      </c>
      <c r="F18" s="112">
        <v>225</v>
      </c>
      <c r="G18" s="112">
        <v>210</v>
      </c>
      <c r="H18" s="112">
        <v>145</v>
      </c>
      <c r="I18" s="112">
        <v>80</v>
      </c>
      <c r="J18" s="112">
        <v>70</v>
      </c>
      <c r="K18" s="112">
        <v>210</v>
      </c>
      <c r="L18" s="112">
        <v>215</v>
      </c>
      <c r="M18" s="112">
        <v>220</v>
      </c>
      <c r="N18" s="112">
        <v>225</v>
      </c>
      <c r="O18" s="7">
        <f>SUM(C18:N18)</f>
        <v>2300</v>
      </c>
      <c r="Q18" s="7"/>
    </row>
    <row r="19" spans="1:17" s="37" customFormat="1" ht="28.5" customHeight="1">
      <c r="A19" s="166"/>
      <c r="B19" s="4" t="s">
        <v>159</v>
      </c>
      <c r="C19" s="67">
        <v>286.5</v>
      </c>
      <c r="D19" s="67">
        <v>327</v>
      </c>
      <c r="E19" s="67">
        <v>316</v>
      </c>
      <c r="F19" s="67">
        <v>260</v>
      </c>
      <c r="G19" s="67">
        <v>257</v>
      </c>
      <c r="H19" s="67">
        <v>215</v>
      </c>
      <c r="I19" s="67">
        <v>97</v>
      </c>
      <c r="J19" s="67">
        <v>70</v>
      </c>
      <c r="K19" s="67">
        <v>266</v>
      </c>
      <c r="L19" s="67">
        <v>292</v>
      </c>
      <c r="M19" s="67">
        <v>250</v>
      </c>
      <c r="N19" s="67">
        <v>282</v>
      </c>
      <c r="O19" s="11">
        <f>SUM(C19:N19)</f>
        <v>2918.5</v>
      </c>
      <c r="Q19" s="7"/>
    </row>
    <row r="20" spans="1:17" s="37" customFormat="1" ht="33" customHeight="1">
      <c r="A20" s="165" t="s">
        <v>24</v>
      </c>
      <c r="B20" s="103" t="s">
        <v>158</v>
      </c>
      <c r="C20" s="67">
        <v>1110</v>
      </c>
      <c r="D20" s="67">
        <v>1100</v>
      </c>
      <c r="E20" s="67">
        <v>1115</v>
      </c>
      <c r="F20" s="67">
        <v>1115</v>
      </c>
      <c r="G20" s="67">
        <v>1000</v>
      </c>
      <c r="H20" s="67">
        <v>400</v>
      </c>
      <c r="I20" s="67">
        <v>205</v>
      </c>
      <c r="J20" s="67">
        <v>200</v>
      </c>
      <c r="K20" s="67">
        <v>1100</v>
      </c>
      <c r="L20" s="67">
        <v>1105</v>
      </c>
      <c r="M20" s="67">
        <v>1100</v>
      </c>
      <c r="N20" s="67">
        <v>950</v>
      </c>
      <c r="O20" s="7">
        <f t="shared" si="0"/>
        <v>10500</v>
      </c>
      <c r="Q20" s="7">
        <v>11980</v>
      </c>
    </row>
    <row r="21" spans="1:17" s="37" customFormat="1" ht="27" customHeight="1">
      <c r="A21" s="167"/>
      <c r="B21" s="4" t="s">
        <v>159</v>
      </c>
      <c r="C21" s="68">
        <v>1342</v>
      </c>
      <c r="D21" s="68">
        <v>1811</v>
      </c>
      <c r="E21" s="68">
        <v>2368.77</v>
      </c>
      <c r="F21" s="68">
        <v>1115</v>
      </c>
      <c r="G21" s="68">
        <v>1001</v>
      </c>
      <c r="H21" s="68">
        <v>450</v>
      </c>
      <c r="I21" s="68">
        <v>211</v>
      </c>
      <c r="J21" s="68">
        <v>200</v>
      </c>
      <c r="K21" s="68">
        <v>2101.23</v>
      </c>
      <c r="L21" s="68">
        <v>2488</v>
      </c>
      <c r="M21" s="67">
        <v>1270</v>
      </c>
      <c r="N21" s="67">
        <v>1196.2</v>
      </c>
      <c r="O21" s="11">
        <f>SUM(C21:N21)</f>
        <v>15554.2</v>
      </c>
      <c r="Q21" s="7"/>
    </row>
    <row r="22" spans="1:17" s="37" customFormat="1" ht="15" customHeight="1">
      <c r="A22" s="19" t="s">
        <v>11</v>
      </c>
      <c r="B22" s="66" t="s">
        <v>101</v>
      </c>
      <c r="C22" s="67">
        <v>90</v>
      </c>
      <c r="D22" s="67">
        <v>80</v>
      </c>
      <c r="E22" s="67">
        <v>85</v>
      </c>
      <c r="F22" s="67">
        <v>82</v>
      </c>
      <c r="G22" s="67">
        <v>80</v>
      </c>
      <c r="H22" s="67">
        <v>60</v>
      </c>
      <c r="I22" s="67">
        <v>45</v>
      </c>
      <c r="J22" s="67">
        <v>44</v>
      </c>
      <c r="K22" s="67">
        <v>80</v>
      </c>
      <c r="L22" s="67">
        <v>85</v>
      </c>
      <c r="M22" s="67">
        <v>87</v>
      </c>
      <c r="N22" s="67">
        <v>82</v>
      </c>
      <c r="O22" s="7">
        <f t="shared" si="0"/>
        <v>900</v>
      </c>
      <c r="Q22" s="7">
        <v>1447</v>
      </c>
    </row>
    <row r="23" spans="1:17" s="37" customFormat="1" ht="15" customHeight="1">
      <c r="A23" s="19" t="s">
        <v>122</v>
      </c>
      <c r="B23" s="66" t="s">
        <v>101</v>
      </c>
      <c r="C23" s="47">
        <v>210</v>
      </c>
      <c r="D23" s="47">
        <v>200</v>
      </c>
      <c r="E23" s="47">
        <v>205</v>
      </c>
      <c r="F23" s="86">
        <v>208</v>
      </c>
      <c r="G23" s="86">
        <v>190</v>
      </c>
      <c r="H23" s="86">
        <v>130</v>
      </c>
      <c r="I23" s="64">
        <v>65</v>
      </c>
      <c r="J23" s="64">
        <v>69</v>
      </c>
      <c r="K23" s="64">
        <v>180</v>
      </c>
      <c r="L23" s="64">
        <v>185</v>
      </c>
      <c r="M23" s="64">
        <v>180</v>
      </c>
      <c r="N23" s="64">
        <v>178</v>
      </c>
      <c r="O23" s="7">
        <f t="shared" si="0"/>
        <v>2000</v>
      </c>
      <c r="Q23" s="7">
        <v>3227</v>
      </c>
    </row>
    <row r="24" spans="1:17" s="37" customFormat="1" ht="17.25" customHeight="1">
      <c r="A24" s="19" t="s">
        <v>75</v>
      </c>
      <c r="B24" s="66" t="s">
        <v>101</v>
      </c>
      <c r="C24" s="98">
        <v>256.5</v>
      </c>
      <c r="D24" s="98">
        <v>241.5</v>
      </c>
      <c r="E24" s="98">
        <v>246.5</v>
      </c>
      <c r="F24" s="98">
        <v>241.5</v>
      </c>
      <c r="G24" s="98">
        <v>236.5</v>
      </c>
      <c r="H24" s="98">
        <v>151.2</v>
      </c>
      <c r="I24" s="98">
        <v>116.2</v>
      </c>
      <c r="J24" s="98">
        <v>126.2</v>
      </c>
      <c r="K24" s="98">
        <v>236.5</v>
      </c>
      <c r="L24" s="98">
        <v>256.5</v>
      </c>
      <c r="M24" s="98">
        <v>251.5</v>
      </c>
      <c r="N24" s="98">
        <v>246.5</v>
      </c>
      <c r="O24" s="11">
        <f t="shared" si="0"/>
        <v>2607.1000000000004</v>
      </c>
      <c r="Q24" s="7">
        <v>3550</v>
      </c>
    </row>
    <row r="25" spans="1:17" s="37" customFormat="1" ht="14.25" customHeight="1">
      <c r="A25" s="8" t="s">
        <v>71</v>
      </c>
      <c r="B25" s="8"/>
      <c r="C25" s="104">
        <v>11.5</v>
      </c>
      <c r="D25" s="104">
        <v>11.5</v>
      </c>
      <c r="E25" s="104">
        <v>11.5</v>
      </c>
      <c r="F25" s="104">
        <v>11.5</v>
      </c>
      <c r="G25" s="104">
        <v>11.5</v>
      </c>
      <c r="H25" s="104">
        <v>1.2</v>
      </c>
      <c r="I25" s="104">
        <v>1.2</v>
      </c>
      <c r="J25" s="104">
        <v>1.2</v>
      </c>
      <c r="K25" s="104">
        <v>11.5</v>
      </c>
      <c r="L25" s="104">
        <v>11.5</v>
      </c>
      <c r="M25" s="104">
        <v>11.5</v>
      </c>
      <c r="N25" s="104">
        <v>11.5</v>
      </c>
      <c r="O25" s="11">
        <f t="shared" si="0"/>
        <v>107.10000000000001</v>
      </c>
      <c r="Q25" s="7"/>
    </row>
    <row r="26" spans="1:18" s="37" customFormat="1" ht="24" customHeight="1">
      <c r="A26" s="19" t="s">
        <v>140</v>
      </c>
      <c r="B26" s="66" t="s">
        <v>101</v>
      </c>
      <c r="C26" s="8">
        <f>C24-C25</f>
        <v>245</v>
      </c>
      <c r="D26" s="8">
        <f aca="true" t="shared" si="4" ref="D26:R26">D24-D25</f>
        <v>230</v>
      </c>
      <c r="E26" s="8">
        <f t="shared" si="4"/>
        <v>235</v>
      </c>
      <c r="F26" s="8">
        <f t="shared" si="4"/>
        <v>230</v>
      </c>
      <c r="G26" s="8">
        <f t="shared" si="4"/>
        <v>225</v>
      </c>
      <c r="H26" s="8">
        <f t="shared" si="4"/>
        <v>150</v>
      </c>
      <c r="I26" s="8">
        <f t="shared" si="4"/>
        <v>115</v>
      </c>
      <c r="J26" s="8">
        <f t="shared" si="4"/>
        <v>125</v>
      </c>
      <c r="K26" s="8">
        <f t="shared" si="4"/>
        <v>225</v>
      </c>
      <c r="L26" s="8">
        <f t="shared" si="4"/>
        <v>245</v>
      </c>
      <c r="M26" s="8">
        <f t="shared" si="4"/>
        <v>240</v>
      </c>
      <c r="N26" s="8">
        <f t="shared" si="4"/>
        <v>235</v>
      </c>
      <c r="O26" s="7">
        <f t="shared" si="4"/>
        <v>2500.0000000000005</v>
      </c>
      <c r="P26" s="8">
        <f t="shared" si="4"/>
        <v>0</v>
      </c>
      <c r="Q26" s="8">
        <f t="shared" si="4"/>
        <v>3550</v>
      </c>
      <c r="R26" s="8">
        <f t="shared" si="4"/>
        <v>0</v>
      </c>
    </row>
    <row r="27" spans="1:17" s="37" customFormat="1" ht="12.75" customHeight="1">
      <c r="A27" s="19" t="s">
        <v>63</v>
      </c>
      <c r="B27" s="66" t="s">
        <v>101</v>
      </c>
      <c r="C27" s="47">
        <v>140</v>
      </c>
      <c r="D27" s="47">
        <v>138</v>
      </c>
      <c r="E27" s="47">
        <v>142</v>
      </c>
      <c r="F27" s="47">
        <v>140</v>
      </c>
      <c r="G27" s="47">
        <v>135</v>
      </c>
      <c r="H27" s="47">
        <v>120</v>
      </c>
      <c r="I27" s="47">
        <v>75</v>
      </c>
      <c r="J27" s="47">
        <v>77</v>
      </c>
      <c r="K27" s="47">
        <v>130</v>
      </c>
      <c r="L27" s="47">
        <v>138</v>
      </c>
      <c r="M27" s="47">
        <v>135</v>
      </c>
      <c r="N27" s="47">
        <v>130</v>
      </c>
      <c r="O27" s="7">
        <f t="shared" si="0"/>
        <v>1500</v>
      </c>
      <c r="Q27" s="7">
        <v>1490</v>
      </c>
    </row>
    <row r="28" spans="1:17" s="37" customFormat="1" ht="12.75" customHeight="1">
      <c r="A28" s="19" t="s">
        <v>83</v>
      </c>
      <c r="B28" s="66" t="s">
        <v>101</v>
      </c>
      <c r="C28" s="47">
        <v>95</v>
      </c>
      <c r="D28" s="47">
        <v>90</v>
      </c>
      <c r="E28" s="47">
        <v>90</v>
      </c>
      <c r="F28" s="47">
        <v>95</v>
      </c>
      <c r="G28" s="47">
        <v>85</v>
      </c>
      <c r="H28" s="47">
        <v>74</v>
      </c>
      <c r="I28" s="47">
        <v>55</v>
      </c>
      <c r="J28" s="47">
        <v>48</v>
      </c>
      <c r="K28" s="47">
        <v>90</v>
      </c>
      <c r="L28" s="47">
        <v>93</v>
      </c>
      <c r="M28" s="47">
        <v>95</v>
      </c>
      <c r="N28" s="47">
        <v>90</v>
      </c>
      <c r="O28" s="7">
        <f>SUM(C28:N28)</f>
        <v>1000</v>
      </c>
      <c r="Q28" s="7">
        <v>1500</v>
      </c>
    </row>
    <row r="29" spans="1:17" s="37" customFormat="1" ht="31.5" customHeight="1">
      <c r="A29" s="19" t="s">
        <v>76</v>
      </c>
      <c r="B29" s="71" t="s">
        <v>158</v>
      </c>
      <c r="C29" s="47">
        <v>262.49</v>
      </c>
      <c r="D29" s="47">
        <v>279.49</v>
      </c>
      <c r="E29" s="47">
        <v>293.49</v>
      </c>
      <c r="F29" s="47">
        <v>281.49</v>
      </c>
      <c r="G29" s="47">
        <v>266.49</v>
      </c>
      <c r="H29" s="47">
        <v>196.49</v>
      </c>
      <c r="I29" s="47">
        <v>104</v>
      </c>
      <c r="J29" s="47">
        <v>142</v>
      </c>
      <c r="K29" s="47">
        <v>258.49</v>
      </c>
      <c r="L29" s="47">
        <v>256.49</v>
      </c>
      <c r="M29" s="47">
        <v>263.49</v>
      </c>
      <c r="N29" s="47">
        <v>260.49</v>
      </c>
      <c r="O29" s="7">
        <f>SUM(C29:N29)</f>
        <v>2864.8999999999996</v>
      </c>
      <c r="Q29" s="7">
        <v>3600</v>
      </c>
    </row>
    <row r="30" spans="1:17" ht="21.75" customHeight="1" hidden="1">
      <c r="A30" s="11" t="s">
        <v>20</v>
      </c>
      <c r="B30" s="8"/>
      <c r="C30" s="22" t="s">
        <v>0</v>
      </c>
      <c r="D30" s="22" t="s">
        <v>1</v>
      </c>
      <c r="E30" s="22" t="s">
        <v>2</v>
      </c>
      <c r="F30" s="22" t="s">
        <v>3</v>
      </c>
      <c r="G30" s="22" t="s">
        <v>4</v>
      </c>
      <c r="H30" s="22" t="s">
        <v>21</v>
      </c>
      <c r="I30" s="22" t="s">
        <v>5</v>
      </c>
      <c r="J30" s="22" t="s">
        <v>6</v>
      </c>
      <c r="K30" s="22" t="s">
        <v>7</v>
      </c>
      <c r="L30" s="22" t="s">
        <v>8</v>
      </c>
      <c r="M30" s="22" t="s">
        <v>9</v>
      </c>
      <c r="N30" s="22" t="s">
        <v>10</v>
      </c>
      <c r="O30" s="22" t="s">
        <v>19</v>
      </c>
      <c r="Q30" s="11" t="s">
        <v>66</v>
      </c>
    </row>
    <row r="31" spans="1:17" s="37" customFormat="1" ht="15" customHeight="1">
      <c r="A31" s="8" t="s">
        <v>71</v>
      </c>
      <c r="B31" s="71"/>
      <c r="C31" s="74">
        <v>16.49</v>
      </c>
      <c r="D31" s="74">
        <v>16.49</v>
      </c>
      <c r="E31" s="74">
        <v>16.49</v>
      </c>
      <c r="F31" s="74">
        <v>16.49</v>
      </c>
      <c r="G31" s="74">
        <v>16.49</v>
      </c>
      <c r="H31" s="74">
        <v>16.49</v>
      </c>
      <c r="I31" s="74"/>
      <c r="J31" s="74"/>
      <c r="K31" s="74">
        <v>16.49</v>
      </c>
      <c r="L31" s="74">
        <v>16.49</v>
      </c>
      <c r="M31" s="74">
        <v>16.49</v>
      </c>
      <c r="N31" s="74">
        <v>16.49</v>
      </c>
      <c r="O31" s="10">
        <f>SUM(C31:N31)</f>
        <v>164.9</v>
      </c>
      <c r="Q31" s="7"/>
    </row>
    <row r="32" spans="1:18" s="37" customFormat="1" ht="33" customHeight="1">
      <c r="A32" s="19" t="s">
        <v>141</v>
      </c>
      <c r="B32" s="71" t="s">
        <v>158</v>
      </c>
      <c r="C32" s="8">
        <f aca="true" t="shared" si="5" ref="C32:R32">C29-C31</f>
        <v>246</v>
      </c>
      <c r="D32" s="8">
        <f t="shared" si="5"/>
        <v>263</v>
      </c>
      <c r="E32" s="8">
        <f t="shared" si="5"/>
        <v>277</v>
      </c>
      <c r="F32" s="8">
        <f t="shared" si="5"/>
        <v>265</v>
      </c>
      <c r="G32" s="8">
        <f t="shared" si="5"/>
        <v>250</v>
      </c>
      <c r="H32" s="8">
        <f t="shared" si="5"/>
        <v>180</v>
      </c>
      <c r="I32" s="8">
        <f t="shared" si="5"/>
        <v>104</v>
      </c>
      <c r="J32" s="8">
        <f t="shared" si="5"/>
        <v>142</v>
      </c>
      <c r="K32" s="8">
        <f t="shared" si="5"/>
        <v>242</v>
      </c>
      <c r="L32" s="8">
        <f t="shared" si="5"/>
        <v>240</v>
      </c>
      <c r="M32" s="8">
        <f t="shared" si="5"/>
        <v>247</v>
      </c>
      <c r="N32" s="8">
        <f t="shared" si="5"/>
        <v>244</v>
      </c>
      <c r="O32" s="7">
        <f t="shared" si="5"/>
        <v>2699.9999999999995</v>
      </c>
      <c r="P32" s="8">
        <f t="shared" si="5"/>
        <v>0</v>
      </c>
      <c r="Q32" s="8">
        <f t="shared" si="5"/>
        <v>3600</v>
      </c>
      <c r="R32" s="8">
        <f t="shared" si="5"/>
        <v>0</v>
      </c>
    </row>
    <row r="33" spans="1:18" s="37" customFormat="1" ht="24.75" customHeight="1">
      <c r="A33" s="19" t="s">
        <v>76</v>
      </c>
      <c r="B33" s="66" t="s">
        <v>174</v>
      </c>
      <c r="C33" s="69">
        <v>313.49</v>
      </c>
      <c r="D33" s="69">
        <v>337.49</v>
      </c>
      <c r="E33" s="69">
        <v>363.49</v>
      </c>
      <c r="F33" s="69">
        <v>314.49</v>
      </c>
      <c r="G33" s="69">
        <v>313.49</v>
      </c>
      <c r="H33" s="69">
        <v>212.49</v>
      </c>
      <c r="I33" s="69">
        <v>104</v>
      </c>
      <c r="J33" s="69">
        <v>142</v>
      </c>
      <c r="K33" s="69">
        <v>352.49</v>
      </c>
      <c r="L33" s="69">
        <v>276.49</v>
      </c>
      <c r="M33" s="69">
        <v>304.49</v>
      </c>
      <c r="N33" s="69">
        <v>310.49</v>
      </c>
      <c r="O33" s="10">
        <f>SUM(C33:N33)</f>
        <v>3344.8999999999996</v>
      </c>
      <c r="P33" s="137"/>
      <c r="Q33" s="8"/>
      <c r="R33" s="137"/>
    </row>
    <row r="34" spans="1:18" s="37" customFormat="1" ht="18" customHeight="1">
      <c r="A34" s="8" t="s">
        <v>71</v>
      </c>
      <c r="B34" s="66"/>
      <c r="C34" s="74">
        <v>16.49</v>
      </c>
      <c r="D34" s="74">
        <v>16.49</v>
      </c>
      <c r="E34" s="74">
        <v>16.49</v>
      </c>
      <c r="F34" s="74">
        <v>16.49</v>
      </c>
      <c r="G34" s="74">
        <v>16.49</v>
      </c>
      <c r="H34" s="74">
        <v>16.49</v>
      </c>
      <c r="I34" s="74"/>
      <c r="J34" s="74"/>
      <c r="K34" s="74">
        <v>16.49</v>
      </c>
      <c r="L34" s="74">
        <v>16.49</v>
      </c>
      <c r="M34" s="74">
        <v>16.49</v>
      </c>
      <c r="N34" s="74">
        <v>16.49</v>
      </c>
      <c r="O34" s="10">
        <f>SUM(C34:N34)</f>
        <v>164.9</v>
      </c>
      <c r="P34" s="137"/>
      <c r="Q34" s="8"/>
      <c r="R34" s="137"/>
    </row>
    <row r="35" spans="1:18" s="37" customFormat="1" ht="30" customHeight="1">
      <c r="A35" s="19" t="s">
        <v>141</v>
      </c>
      <c r="B35" s="66" t="s">
        <v>174</v>
      </c>
      <c r="C35" s="69">
        <f>C33-C34</f>
        <v>297</v>
      </c>
      <c r="D35" s="69">
        <f aca="true" t="shared" si="6" ref="D35:O35">D33-D34</f>
        <v>321</v>
      </c>
      <c r="E35" s="69">
        <f t="shared" si="6"/>
        <v>347</v>
      </c>
      <c r="F35" s="69">
        <f t="shared" si="6"/>
        <v>298</v>
      </c>
      <c r="G35" s="69">
        <f t="shared" si="6"/>
        <v>297</v>
      </c>
      <c r="H35" s="69">
        <f t="shared" si="6"/>
        <v>196</v>
      </c>
      <c r="I35" s="69">
        <f t="shared" si="6"/>
        <v>104</v>
      </c>
      <c r="J35" s="69">
        <f t="shared" si="6"/>
        <v>142</v>
      </c>
      <c r="K35" s="69">
        <f t="shared" si="6"/>
        <v>336</v>
      </c>
      <c r="L35" s="69">
        <f t="shared" si="6"/>
        <v>260</v>
      </c>
      <c r="M35" s="69">
        <f t="shared" si="6"/>
        <v>288</v>
      </c>
      <c r="N35" s="69">
        <f t="shared" si="6"/>
        <v>294</v>
      </c>
      <c r="O35" s="92">
        <f t="shared" si="6"/>
        <v>3179.9999999999995</v>
      </c>
      <c r="P35" s="137"/>
      <c r="Q35" s="8"/>
      <c r="R35" s="137"/>
    </row>
    <row r="36" spans="1:17" s="37" customFormat="1" ht="31.5" customHeight="1">
      <c r="A36" s="19" t="s">
        <v>156</v>
      </c>
      <c r="B36" s="103" t="s">
        <v>158</v>
      </c>
      <c r="C36" s="68">
        <v>400.5</v>
      </c>
      <c r="D36" s="68">
        <v>395.5</v>
      </c>
      <c r="E36" s="68">
        <v>380.5</v>
      </c>
      <c r="F36" s="68">
        <v>385.5</v>
      </c>
      <c r="G36" s="68">
        <v>385.5</v>
      </c>
      <c r="H36" s="68">
        <v>220.5</v>
      </c>
      <c r="I36" s="68">
        <v>130.5</v>
      </c>
      <c r="J36" s="68">
        <v>155.5</v>
      </c>
      <c r="K36" s="68">
        <v>380.5</v>
      </c>
      <c r="L36" s="68">
        <v>385.5</v>
      </c>
      <c r="M36" s="68">
        <v>395.5</v>
      </c>
      <c r="N36" s="68">
        <v>390.5</v>
      </c>
      <c r="O36" s="11">
        <f>SUM(C36:N36)</f>
        <v>4006</v>
      </c>
      <c r="Q36" s="7"/>
    </row>
    <row r="37" spans="1:17" s="37" customFormat="1" ht="12.75" customHeight="1">
      <c r="A37" s="8" t="s">
        <v>77</v>
      </c>
      <c r="B37" s="71"/>
      <c r="C37" s="12">
        <v>0.5</v>
      </c>
      <c r="D37" s="12">
        <v>0.5</v>
      </c>
      <c r="E37" s="12">
        <v>0.5</v>
      </c>
      <c r="F37" s="12">
        <v>0.5</v>
      </c>
      <c r="G37" s="12">
        <v>0.5</v>
      </c>
      <c r="H37" s="12">
        <v>0.5</v>
      </c>
      <c r="I37" s="12">
        <v>0.5</v>
      </c>
      <c r="J37" s="12">
        <v>0.5</v>
      </c>
      <c r="K37" s="12">
        <v>0.5</v>
      </c>
      <c r="L37" s="12">
        <v>0.5</v>
      </c>
      <c r="M37" s="12">
        <v>0.5</v>
      </c>
      <c r="N37" s="12">
        <v>0.5</v>
      </c>
      <c r="O37" s="11">
        <f>SUM(C37:N37)</f>
        <v>6</v>
      </c>
      <c r="Q37" s="7"/>
    </row>
    <row r="38" spans="1:17" s="37" customFormat="1" ht="33" customHeight="1">
      <c r="A38" s="19" t="s">
        <v>162</v>
      </c>
      <c r="B38" s="103" t="s">
        <v>158</v>
      </c>
      <c r="C38" s="12">
        <f>C36-C37</f>
        <v>400</v>
      </c>
      <c r="D38" s="12">
        <f aca="true" t="shared" si="7" ref="D38:O38">D36-D37</f>
        <v>395</v>
      </c>
      <c r="E38" s="12">
        <f t="shared" si="7"/>
        <v>380</v>
      </c>
      <c r="F38" s="12">
        <f t="shared" si="7"/>
        <v>385</v>
      </c>
      <c r="G38" s="12">
        <f t="shared" si="7"/>
        <v>385</v>
      </c>
      <c r="H38" s="12">
        <f t="shared" si="7"/>
        <v>220</v>
      </c>
      <c r="I38" s="12">
        <f t="shared" si="7"/>
        <v>130</v>
      </c>
      <c r="J38" s="12">
        <f t="shared" si="7"/>
        <v>155</v>
      </c>
      <c r="K38" s="12">
        <f t="shared" si="7"/>
        <v>380</v>
      </c>
      <c r="L38" s="12">
        <f t="shared" si="7"/>
        <v>385</v>
      </c>
      <c r="M38" s="12">
        <f t="shared" si="7"/>
        <v>395</v>
      </c>
      <c r="N38" s="12">
        <f t="shared" si="7"/>
        <v>390</v>
      </c>
      <c r="O38" s="11">
        <f t="shared" si="7"/>
        <v>4000</v>
      </c>
      <c r="Q38" s="7"/>
    </row>
    <row r="39" spans="1:17" s="37" customFormat="1" ht="24" customHeight="1">
      <c r="A39" s="19" t="s">
        <v>156</v>
      </c>
      <c r="B39" s="4" t="s">
        <v>159</v>
      </c>
      <c r="C39" s="12">
        <v>490.5</v>
      </c>
      <c r="D39" s="68">
        <v>480.5</v>
      </c>
      <c r="E39" s="68">
        <v>468.5</v>
      </c>
      <c r="F39" s="68">
        <v>474.5</v>
      </c>
      <c r="G39" s="68">
        <v>456.5</v>
      </c>
      <c r="H39" s="68">
        <v>275.5</v>
      </c>
      <c r="I39" s="68">
        <v>160.5</v>
      </c>
      <c r="J39" s="68">
        <v>189.5</v>
      </c>
      <c r="K39" s="68">
        <v>450.5</v>
      </c>
      <c r="L39" s="68">
        <v>460.5</v>
      </c>
      <c r="M39" s="68">
        <v>468.5</v>
      </c>
      <c r="N39" s="68">
        <v>460.5</v>
      </c>
      <c r="O39" s="11">
        <f>SUM(C39:N39)</f>
        <v>4836</v>
      </c>
      <c r="Q39" s="7"/>
    </row>
    <row r="40" spans="1:17" s="37" customFormat="1" ht="12" customHeight="1">
      <c r="A40" s="8" t="s">
        <v>77</v>
      </c>
      <c r="B40" s="70"/>
      <c r="C40" s="12">
        <v>0.5</v>
      </c>
      <c r="D40" s="12">
        <v>0.5</v>
      </c>
      <c r="E40" s="12">
        <v>0.5</v>
      </c>
      <c r="F40" s="12">
        <v>0.5</v>
      </c>
      <c r="G40" s="12">
        <v>0.5</v>
      </c>
      <c r="H40" s="12">
        <v>0.5</v>
      </c>
      <c r="I40" s="12">
        <v>0.5</v>
      </c>
      <c r="J40" s="12">
        <v>0.5</v>
      </c>
      <c r="K40" s="12">
        <v>0.5</v>
      </c>
      <c r="L40" s="12">
        <v>0.5</v>
      </c>
      <c r="M40" s="12">
        <v>0.5</v>
      </c>
      <c r="N40" s="12">
        <v>0.5</v>
      </c>
      <c r="O40" s="11">
        <f>SUM(C40:N40)</f>
        <v>6</v>
      </c>
      <c r="Q40" s="7"/>
    </row>
    <row r="41" spans="1:19" s="37" customFormat="1" ht="27" customHeight="1">
      <c r="A41" s="19" t="s">
        <v>162</v>
      </c>
      <c r="B41" s="4" t="s">
        <v>159</v>
      </c>
      <c r="C41" s="12">
        <f>C39-C40</f>
        <v>490</v>
      </c>
      <c r="D41" s="12">
        <f aca="true" t="shared" si="8" ref="D41:S41">D39-D40</f>
        <v>480</v>
      </c>
      <c r="E41" s="12">
        <f t="shared" si="8"/>
        <v>468</v>
      </c>
      <c r="F41" s="12">
        <f t="shared" si="8"/>
        <v>474</v>
      </c>
      <c r="G41" s="12">
        <f t="shared" si="8"/>
        <v>456</v>
      </c>
      <c r="H41" s="12">
        <f t="shared" si="8"/>
        <v>275</v>
      </c>
      <c r="I41" s="12">
        <f t="shared" si="8"/>
        <v>160</v>
      </c>
      <c r="J41" s="12">
        <f t="shared" si="8"/>
        <v>189</v>
      </c>
      <c r="K41" s="12">
        <f t="shared" si="8"/>
        <v>450</v>
      </c>
      <c r="L41" s="12">
        <f t="shared" si="8"/>
        <v>460</v>
      </c>
      <c r="M41" s="12">
        <f t="shared" si="8"/>
        <v>468</v>
      </c>
      <c r="N41" s="12">
        <f t="shared" si="8"/>
        <v>460</v>
      </c>
      <c r="O41" s="11">
        <f t="shared" si="8"/>
        <v>4830</v>
      </c>
      <c r="P41" s="12">
        <f t="shared" si="8"/>
        <v>0</v>
      </c>
      <c r="Q41" s="12">
        <f t="shared" si="8"/>
        <v>0</v>
      </c>
      <c r="R41" s="12">
        <f t="shared" si="8"/>
        <v>0</v>
      </c>
      <c r="S41" s="12">
        <f t="shared" si="8"/>
        <v>0</v>
      </c>
    </row>
    <row r="42" spans="1:17" s="37" customFormat="1" ht="12.75" customHeight="1">
      <c r="A42" s="19" t="s">
        <v>84</v>
      </c>
      <c r="B42" s="70" t="s">
        <v>101</v>
      </c>
      <c r="C42" s="47">
        <v>250</v>
      </c>
      <c r="D42" s="67">
        <v>260</v>
      </c>
      <c r="E42" s="67">
        <v>265</v>
      </c>
      <c r="F42" s="67">
        <v>268</v>
      </c>
      <c r="G42" s="67">
        <v>255</v>
      </c>
      <c r="H42" s="67">
        <v>170</v>
      </c>
      <c r="I42" s="67">
        <v>110</v>
      </c>
      <c r="J42" s="67">
        <v>90</v>
      </c>
      <c r="K42" s="64">
        <v>260</v>
      </c>
      <c r="L42" s="64">
        <v>262</v>
      </c>
      <c r="M42" s="64">
        <v>250</v>
      </c>
      <c r="N42" s="64">
        <v>260</v>
      </c>
      <c r="O42" s="11">
        <f>SUM(C42:N42)</f>
        <v>2700</v>
      </c>
      <c r="Q42" s="7">
        <v>2194</v>
      </c>
    </row>
    <row r="43" spans="1:17" s="37" customFormat="1" ht="12.75" customHeight="1">
      <c r="A43" s="19" t="s">
        <v>12</v>
      </c>
      <c r="B43" s="66" t="s">
        <v>101</v>
      </c>
      <c r="C43" s="67">
        <v>47</v>
      </c>
      <c r="D43" s="67">
        <v>60</v>
      </c>
      <c r="E43" s="67">
        <v>58</v>
      </c>
      <c r="F43" s="67">
        <v>59</v>
      </c>
      <c r="G43" s="67">
        <v>53</v>
      </c>
      <c r="H43" s="67">
        <v>45</v>
      </c>
      <c r="I43" s="67">
        <v>24</v>
      </c>
      <c r="J43" s="67">
        <v>22</v>
      </c>
      <c r="K43" s="64">
        <v>47</v>
      </c>
      <c r="L43" s="64">
        <v>54</v>
      </c>
      <c r="M43" s="64">
        <v>55</v>
      </c>
      <c r="N43" s="64">
        <v>56</v>
      </c>
      <c r="O43" s="11">
        <f>SUM(C43:N43)</f>
        <v>580</v>
      </c>
      <c r="Q43" s="7">
        <v>840</v>
      </c>
    </row>
    <row r="44" spans="1:17" s="37" customFormat="1" ht="32.25" customHeight="1">
      <c r="A44" s="19" t="s">
        <v>100</v>
      </c>
      <c r="B44" s="71" t="s">
        <v>158</v>
      </c>
      <c r="C44" s="98">
        <v>175.2</v>
      </c>
      <c r="D44" s="98">
        <v>173.2</v>
      </c>
      <c r="E44" s="98">
        <v>170.2</v>
      </c>
      <c r="F44" s="98">
        <v>178.3</v>
      </c>
      <c r="G44" s="98">
        <v>169.2</v>
      </c>
      <c r="H44" s="98">
        <v>97</v>
      </c>
      <c r="I44" s="98">
        <v>60</v>
      </c>
      <c r="J44" s="98">
        <v>75</v>
      </c>
      <c r="K44" s="98">
        <v>167.2</v>
      </c>
      <c r="L44" s="98">
        <v>165.3</v>
      </c>
      <c r="M44" s="98">
        <v>170.2</v>
      </c>
      <c r="N44" s="98">
        <v>161.2</v>
      </c>
      <c r="O44" s="97">
        <f>SUM(C44:N44)</f>
        <v>1762</v>
      </c>
      <c r="Q44" s="7">
        <v>1900</v>
      </c>
    </row>
    <row r="45" spans="1:17" s="37" customFormat="1" ht="15" customHeight="1">
      <c r="A45" s="8" t="s">
        <v>77</v>
      </c>
      <c r="B45" s="8"/>
      <c r="C45" s="74">
        <v>0.2</v>
      </c>
      <c r="D45" s="74">
        <v>0.2</v>
      </c>
      <c r="E45" s="74">
        <v>0.2</v>
      </c>
      <c r="F45" s="74">
        <v>0.3</v>
      </c>
      <c r="G45" s="74">
        <v>0.2</v>
      </c>
      <c r="H45" s="74"/>
      <c r="I45" s="74"/>
      <c r="J45" s="74"/>
      <c r="K45" s="74">
        <v>0.2</v>
      </c>
      <c r="L45" s="74">
        <v>0.3</v>
      </c>
      <c r="M45" s="74">
        <v>0.2</v>
      </c>
      <c r="N45" s="74">
        <v>0.2</v>
      </c>
      <c r="O45" s="11">
        <f>SUM(C45:N45)</f>
        <v>2</v>
      </c>
      <c r="Q45" s="7"/>
    </row>
    <row r="46" spans="1:17" s="37" customFormat="1" ht="30" customHeight="1">
      <c r="A46" s="19" t="s">
        <v>142</v>
      </c>
      <c r="B46" s="71" t="s">
        <v>158</v>
      </c>
      <c r="C46" s="8">
        <f>C44-C45</f>
        <v>175</v>
      </c>
      <c r="D46" s="8">
        <f aca="true" t="shared" si="9" ref="D46:O46">D44-D45</f>
        <v>173</v>
      </c>
      <c r="E46" s="8">
        <f t="shared" si="9"/>
        <v>170</v>
      </c>
      <c r="F46" s="8">
        <f t="shared" si="9"/>
        <v>178</v>
      </c>
      <c r="G46" s="8">
        <f t="shared" si="9"/>
        <v>169</v>
      </c>
      <c r="H46" s="8">
        <f t="shared" si="9"/>
        <v>97</v>
      </c>
      <c r="I46" s="8">
        <f t="shared" si="9"/>
        <v>60</v>
      </c>
      <c r="J46" s="8">
        <f t="shared" si="9"/>
        <v>75</v>
      </c>
      <c r="K46" s="8">
        <f t="shared" si="9"/>
        <v>167</v>
      </c>
      <c r="L46" s="8">
        <f t="shared" si="9"/>
        <v>165</v>
      </c>
      <c r="M46" s="8">
        <f t="shared" si="9"/>
        <v>170</v>
      </c>
      <c r="N46" s="8">
        <f t="shared" si="9"/>
        <v>161</v>
      </c>
      <c r="O46" s="7">
        <f t="shared" si="9"/>
        <v>1760</v>
      </c>
      <c r="Q46" s="7"/>
    </row>
    <row r="47" spans="1:17" s="37" customFormat="1" ht="25.5" customHeight="1">
      <c r="A47" s="19" t="s">
        <v>100</v>
      </c>
      <c r="B47" s="66" t="s">
        <v>174</v>
      </c>
      <c r="C47" s="12">
        <v>239.2</v>
      </c>
      <c r="D47" s="12">
        <v>263.2</v>
      </c>
      <c r="E47" s="12">
        <v>281.2</v>
      </c>
      <c r="F47" s="12">
        <v>181.3</v>
      </c>
      <c r="G47" s="12">
        <v>224.2</v>
      </c>
      <c r="H47" s="12">
        <v>138</v>
      </c>
      <c r="I47" s="12">
        <v>61</v>
      </c>
      <c r="J47" s="12">
        <v>75</v>
      </c>
      <c r="K47" s="12">
        <v>263.2</v>
      </c>
      <c r="L47" s="12">
        <v>247.3</v>
      </c>
      <c r="M47" s="12">
        <v>195.2</v>
      </c>
      <c r="N47" s="12">
        <v>200.79999999999998</v>
      </c>
      <c r="O47" s="11">
        <f aca="true" t="shared" si="10" ref="O47:O52">SUM(C47:N47)</f>
        <v>2369.6</v>
      </c>
      <c r="Q47" s="7"/>
    </row>
    <row r="48" spans="1:17" s="37" customFormat="1" ht="17.25" customHeight="1">
      <c r="A48" s="8" t="s">
        <v>77</v>
      </c>
      <c r="B48" s="66"/>
      <c r="C48" s="74">
        <v>0.2</v>
      </c>
      <c r="D48" s="74">
        <v>0.2</v>
      </c>
      <c r="E48" s="74">
        <v>0.2</v>
      </c>
      <c r="F48" s="74">
        <v>0.3</v>
      </c>
      <c r="G48" s="74">
        <v>0.2</v>
      </c>
      <c r="H48" s="74"/>
      <c r="I48" s="74"/>
      <c r="J48" s="74"/>
      <c r="K48" s="74">
        <v>0.2</v>
      </c>
      <c r="L48" s="74">
        <v>0.3</v>
      </c>
      <c r="M48" s="74">
        <v>0.2</v>
      </c>
      <c r="N48" s="74">
        <v>0.2</v>
      </c>
      <c r="O48" s="11">
        <f t="shared" si="10"/>
        <v>2</v>
      </c>
      <c r="Q48" s="7"/>
    </row>
    <row r="49" spans="1:17" s="37" customFormat="1" ht="25.5" customHeight="1">
      <c r="A49" s="19" t="s">
        <v>142</v>
      </c>
      <c r="B49" s="66" t="s">
        <v>174</v>
      </c>
      <c r="C49" s="12">
        <f>C47-C48</f>
        <v>239</v>
      </c>
      <c r="D49" s="12">
        <f aca="true" t="shared" si="11" ref="D49:N49">D47-D48</f>
        <v>263</v>
      </c>
      <c r="E49" s="12">
        <f t="shared" si="11"/>
        <v>281</v>
      </c>
      <c r="F49" s="12">
        <f t="shared" si="11"/>
        <v>181</v>
      </c>
      <c r="G49" s="12">
        <f t="shared" si="11"/>
        <v>224</v>
      </c>
      <c r="H49" s="12">
        <f t="shared" si="11"/>
        <v>138</v>
      </c>
      <c r="I49" s="12">
        <f t="shared" si="11"/>
        <v>61</v>
      </c>
      <c r="J49" s="12">
        <f t="shared" si="11"/>
        <v>75</v>
      </c>
      <c r="K49" s="12">
        <f t="shared" si="11"/>
        <v>263</v>
      </c>
      <c r="L49" s="12">
        <f t="shared" si="11"/>
        <v>247</v>
      </c>
      <c r="M49" s="12">
        <f t="shared" si="11"/>
        <v>195</v>
      </c>
      <c r="N49" s="12">
        <f t="shared" si="11"/>
        <v>200.6</v>
      </c>
      <c r="O49" s="11">
        <f t="shared" si="10"/>
        <v>2367.6</v>
      </c>
      <c r="Q49" s="7"/>
    </row>
    <row r="50" spans="1:17" s="37" customFormat="1" ht="15.75" customHeight="1">
      <c r="A50" s="19" t="s">
        <v>13</v>
      </c>
      <c r="B50" s="66" t="s">
        <v>101</v>
      </c>
      <c r="C50" s="47">
        <v>85</v>
      </c>
      <c r="D50" s="47">
        <v>100</v>
      </c>
      <c r="E50" s="47">
        <v>105</v>
      </c>
      <c r="F50" s="47">
        <v>100</v>
      </c>
      <c r="G50" s="47">
        <v>95</v>
      </c>
      <c r="H50" s="47">
        <v>85</v>
      </c>
      <c r="I50" s="47">
        <v>45</v>
      </c>
      <c r="J50" s="47">
        <v>40</v>
      </c>
      <c r="K50" s="8">
        <v>65</v>
      </c>
      <c r="L50" s="8">
        <v>100</v>
      </c>
      <c r="M50" s="8">
        <v>90</v>
      </c>
      <c r="N50" s="8">
        <v>90</v>
      </c>
      <c r="O50" s="11">
        <f t="shared" si="10"/>
        <v>1000</v>
      </c>
      <c r="Q50" s="7">
        <v>1000</v>
      </c>
    </row>
    <row r="51" spans="1:17" s="37" customFormat="1" ht="30" customHeight="1">
      <c r="A51" s="165" t="s">
        <v>14</v>
      </c>
      <c r="B51" s="103" t="s">
        <v>158</v>
      </c>
      <c r="C51" s="8">
        <v>350</v>
      </c>
      <c r="D51" s="8">
        <v>330</v>
      </c>
      <c r="E51" s="8">
        <v>335</v>
      </c>
      <c r="F51" s="8">
        <v>335</v>
      </c>
      <c r="G51" s="8">
        <v>320</v>
      </c>
      <c r="H51" s="8">
        <v>200</v>
      </c>
      <c r="I51" s="8">
        <v>190</v>
      </c>
      <c r="J51" s="8">
        <v>180</v>
      </c>
      <c r="K51" s="8">
        <v>315</v>
      </c>
      <c r="L51" s="64">
        <v>320</v>
      </c>
      <c r="M51" s="64">
        <v>325</v>
      </c>
      <c r="N51" s="64">
        <v>300</v>
      </c>
      <c r="O51" s="11">
        <f t="shared" si="10"/>
        <v>3500</v>
      </c>
      <c r="Q51" s="7">
        <v>8000</v>
      </c>
    </row>
    <row r="52" spans="1:17" s="37" customFormat="1" ht="23.25" customHeight="1">
      <c r="A52" s="167"/>
      <c r="B52" s="4" t="s">
        <v>159</v>
      </c>
      <c r="C52" s="12">
        <v>385</v>
      </c>
      <c r="D52" s="12">
        <v>380</v>
      </c>
      <c r="E52" s="12">
        <v>383</v>
      </c>
      <c r="F52" s="12">
        <v>350</v>
      </c>
      <c r="G52" s="12">
        <v>346</v>
      </c>
      <c r="H52" s="12">
        <v>200</v>
      </c>
      <c r="I52" s="12">
        <v>190</v>
      </c>
      <c r="J52" s="12">
        <v>180</v>
      </c>
      <c r="K52" s="12">
        <v>315</v>
      </c>
      <c r="L52" s="68">
        <v>428</v>
      </c>
      <c r="M52" s="68">
        <v>426.2</v>
      </c>
      <c r="N52" s="68">
        <v>401</v>
      </c>
      <c r="O52" s="118">
        <f t="shared" si="10"/>
        <v>3984.2</v>
      </c>
      <c r="Q52" s="7"/>
    </row>
    <row r="53" spans="1:17" s="37" customFormat="1" ht="33" customHeight="1">
      <c r="A53" s="165" t="s">
        <v>15</v>
      </c>
      <c r="B53" s="103" t="s">
        <v>158</v>
      </c>
      <c r="C53" s="50">
        <v>250</v>
      </c>
      <c r="D53" s="50">
        <v>260</v>
      </c>
      <c r="E53" s="50">
        <v>265</v>
      </c>
      <c r="F53" s="50">
        <v>257</v>
      </c>
      <c r="G53" s="50">
        <v>244</v>
      </c>
      <c r="H53" s="50">
        <v>190</v>
      </c>
      <c r="I53" s="50">
        <v>150</v>
      </c>
      <c r="J53" s="50">
        <v>130</v>
      </c>
      <c r="K53" s="6">
        <v>266</v>
      </c>
      <c r="L53" s="6">
        <v>263</v>
      </c>
      <c r="M53" s="6">
        <v>265</v>
      </c>
      <c r="N53" s="6">
        <v>260</v>
      </c>
      <c r="O53" s="65">
        <f aca="true" t="shared" si="12" ref="O53:O59">SUM(C53:N53)</f>
        <v>2800</v>
      </c>
      <c r="Q53" s="7"/>
    </row>
    <row r="54" spans="1:17" s="37" customFormat="1" ht="25.5" customHeight="1">
      <c r="A54" s="166"/>
      <c r="B54" s="134" t="s">
        <v>159</v>
      </c>
      <c r="C54" s="9">
        <v>350</v>
      </c>
      <c r="D54" s="9">
        <v>365</v>
      </c>
      <c r="E54" s="9">
        <v>375</v>
      </c>
      <c r="F54" s="9">
        <v>367</v>
      </c>
      <c r="G54" s="9">
        <v>334</v>
      </c>
      <c r="H54" s="9">
        <v>230</v>
      </c>
      <c r="I54" s="9">
        <v>150</v>
      </c>
      <c r="J54" s="9">
        <v>130</v>
      </c>
      <c r="K54" s="9">
        <v>381</v>
      </c>
      <c r="L54" s="9">
        <v>373</v>
      </c>
      <c r="M54" s="9">
        <v>380</v>
      </c>
      <c r="N54" s="9">
        <v>365</v>
      </c>
      <c r="O54" s="65">
        <f t="shared" si="12"/>
        <v>3800</v>
      </c>
      <c r="Q54" s="7"/>
    </row>
    <row r="55" spans="1:19" s="37" customFormat="1" ht="32.25" customHeight="1">
      <c r="A55" s="19" t="s">
        <v>102</v>
      </c>
      <c r="B55" s="103" t="s">
        <v>158</v>
      </c>
      <c r="C55" s="8">
        <v>103</v>
      </c>
      <c r="D55" s="8">
        <v>113</v>
      </c>
      <c r="E55" s="8">
        <v>111</v>
      </c>
      <c r="F55" s="8">
        <v>78</v>
      </c>
      <c r="G55" s="8">
        <v>61</v>
      </c>
      <c r="H55" s="8">
        <v>132</v>
      </c>
      <c r="I55" s="8">
        <v>88</v>
      </c>
      <c r="J55" s="8">
        <v>59</v>
      </c>
      <c r="K55" s="8">
        <v>96</v>
      </c>
      <c r="L55" s="8">
        <v>173</v>
      </c>
      <c r="M55" s="8">
        <v>103</v>
      </c>
      <c r="N55" s="8">
        <v>97</v>
      </c>
      <c r="O55" s="72">
        <f t="shared" si="12"/>
        <v>1214</v>
      </c>
      <c r="Q55" s="7">
        <v>2700</v>
      </c>
      <c r="S55" s="38">
        <v>1919.8199999999997</v>
      </c>
    </row>
    <row r="56" spans="1:19" s="37" customFormat="1" ht="12.75" customHeight="1">
      <c r="A56" s="8" t="s">
        <v>77</v>
      </c>
      <c r="B56" s="71"/>
      <c r="C56" s="74">
        <v>2</v>
      </c>
      <c r="D56" s="74">
        <v>1</v>
      </c>
      <c r="E56" s="74">
        <v>2</v>
      </c>
      <c r="F56" s="74">
        <v>2</v>
      </c>
      <c r="G56" s="74">
        <v>2</v>
      </c>
      <c r="H56" s="74"/>
      <c r="I56" s="74"/>
      <c r="J56" s="74"/>
      <c r="K56" s="74">
        <v>1</v>
      </c>
      <c r="L56" s="74">
        <v>3</v>
      </c>
      <c r="M56" s="74">
        <v>4</v>
      </c>
      <c r="N56" s="74">
        <v>4</v>
      </c>
      <c r="O56" s="10">
        <f t="shared" si="12"/>
        <v>21</v>
      </c>
      <c r="Q56" s="7"/>
      <c r="S56" s="37">
        <v>19.82</v>
      </c>
    </row>
    <row r="57" spans="1:19" s="37" customFormat="1" ht="29.25" customHeight="1">
      <c r="A57" s="19" t="s">
        <v>145</v>
      </c>
      <c r="B57" s="103" t="s">
        <v>158</v>
      </c>
      <c r="C57" s="8">
        <f>C55-C56</f>
        <v>101</v>
      </c>
      <c r="D57" s="8">
        <f aca="true" t="shared" si="13" ref="D57:N57">D55-D56</f>
        <v>112</v>
      </c>
      <c r="E57" s="8">
        <f t="shared" si="13"/>
        <v>109</v>
      </c>
      <c r="F57" s="8">
        <f t="shared" si="13"/>
        <v>76</v>
      </c>
      <c r="G57" s="8">
        <f t="shared" si="13"/>
        <v>59</v>
      </c>
      <c r="H57" s="8">
        <f t="shared" si="13"/>
        <v>132</v>
      </c>
      <c r="I57" s="8">
        <f t="shared" si="13"/>
        <v>88</v>
      </c>
      <c r="J57" s="8">
        <f t="shared" si="13"/>
        <v>59</v>
      </c>
      <c r="K57" s="8">
        <f t="shared" si="13"/>
        <v>95</v>
      </c>
      <c r="L57" s="8">
        <f t="shared" si="13"/>
        <v>170</v>
      </c>
      <c r="M57" s="8">
        <f t="shared" si="13"/>
        <v>99</v>
      </c>
      <c r="N57" s="8">
        <f t="shared" si="13"/>
        <v>93</v>
      </c>
      <c r="O57" s="7">
        <f t="shared" si="12"/>
        <v>1193</v>
      </c>
      <c r="Q57" s="7"/>
      <c r="S57" s="37">
        <v>1100.0000000000002</v>
      </c>
    </row>
    <row r="58" spans="1:17" s="37" customFormat="1" ht="26.25" customHeight="1">
      <c r="A58" s="19" t="s">
        <v>102</v>
      </c>
      <c r="B58" s="4" t="s">
        <v>159</v>
      </c>
      <c r="C58" s="64">
        <v>142</v>
      </c>
      <c r="D58" s="64">
        <v>178</v>
      </c>
      <c r="E58" s="64">
        <v>182</v>
      </c>
      <c r="F58" s="64">
        <v>106</v>
      </c>
      <c r="G58" s="64">
        <v>80</v>
      </c>
      <c r="H58" s="64">
        <v>202</v>
      </c>
      <c r="I58" s="64">
        <v>99</v>
      </c>
      <c r="J58" s="64">
        <v>59</v>
      </c>
      <c r="K58" s="64">
        <v>144</v>
      </c>
      <c r="L58" s="64">
        <v>243</v>
      </c>
      <c r="M58" s="64">
        <v>112</v>
      </c>
      <c r="N58" s="64">
        <v>137</v>
      </c>
      <c r="O58" s="10">
        <f t="shared" si="12"/>
        <v>1684</v>
      </c>
      <c r="Q58" s="7"/>
    </row>
    <row r="59" spans="1:17" s="37" customFormat="1" ht="12" customHeight="1">
      <c r="A59" s="8" t="s">
        <v>77</v>
      </c>
      <c r="B59" s="66"/>
      <c r="C59" s="74">
        <v>2</v>
      </c>
      <c r="D59" s="74">
        <v>1</v>
      </c>
      <c r="E59" s="74">
        <v>2</v>
      </c>
      <c r="F59" s="74">
        <v>2</v>
      </c>
      <c r="G59" s="74">
        <v>2</v>
      </c>
      <c r="H59" s="74"/>
      <c r="I59" s="74"/>
      <c r="J59" s="74"/>
      <c r="K59" s="74">
        <v>1</v>
      </c>
      <c r="L59" s="74">
        <v>3</v>
      </c>
      <c r="M59" s="74">
        <v>4</v>
      </c>
      <c r="N59" s="74">
        <v>4</v>
      </c>
      <c r="O59" s="11">
        <f t="shared" si="12"/>
        <v>21</v>
      </c>
      <c r="Q59" s="7"/>
    </row>
    <row r="60" spans="1:17" ht="21.75" customHeight="1" hidden="1">
      <c r="A60" s="11" t="s">
        <v>20</v>
      </c>
      <c r="B60" s="11"/>
      <c r="C60" s="22" t="s">
        <v>0</v>
      </c>
      <c r="D60" s="22" t="s">
        <v>1</v>
      </c>
      <c r="E60" s="22" t="s">
        <v>2</v>
      </c>
      <c r="F60" s="22" t="s">
        <v>3</v>
      </c>
      <c r="G60" s="22" t="s">
        <v>4</v>
      </c>
      <c r="H60" s="22" t="s">
        <v>21</v>
      </c>
      <c r="I60" s="22" t="s">
        <v>5</v>
      </c>
      <c r="J60" s="22" t="s">
        <v>6</v>
      </c>
      <c r="K60" s="22" t="s">
        <v>7</v>
      </c>
      <c r="L60" s="22" t="s">
        <v>8</v>
      </c>
      <c r="M60" s="22" t="s">
        <v>9</v>
      </c>
      <c r="N60" s="22" t="s">
        <v>10</v>
      </c>
      <c r="O60" s="22" t="s">
        <v>19</v>
      </c>
      <c r="Q60" s="11" t="s">
        <v>66</v>
      </c>
    </row>
    <row r="61" spans="1:17" s="37" customFormat="1" ht="30" customHeight="1">
      <c r="A61" s="19" t="s">
        <v>145</v>
      </c>
      <c r="B61" s="4" t="s">
        <v>159</v>
      </c>
      <c r="C61" s="8">
        <f>C58-C59</f>
        <v>140</v>
      </c>
      <c r="D61" s="8">
        <f aca="true" t="shared" si="14" ref="D61:O61">D58-D59</f>
        <v>177</v>
      </c>
      <c r="E61" s="8">
        <f t="shared" si="14"/>
        <v>180</v>
      </c>
      <c r="F61" s="8">
        <f t="shared" si="14"/>
        <v>104</v>
      </c>
      <c r="G61" s="8">
        <f t="shared" si="14"/>
        <v>78</v>
      </c>
      <c r="H61" s="8">
        <f t="shared" si="14"/>
        <v>202</v>
      </c>
      <c r="I61" s="8">
        <f t="shared" si="14"/>
        <v>99</v>
      </c>
      <c r="J61" s="8">
        <f t="shared" si="14"/>
        <v>59</v>
      </c>
      <c r="K61" s="8">
        <f t="shared" si="14"/>
        <v>143</v>
      </c>
      <c r="L61" s="8">
        <f t="shared" si="14"/>
        <v>240</v>
      </c>
      <c r="M61" s="8">
        <f t="shared" si="14"/>
        <v>108</v>
      </c>
      <c r="N61" s="8">
        <f t="shared" si="14"/>
        <v>133</v>
      </c>
      <c r="O61" s="7">
        <f t="shared" si="14"/>
        <v>1663</v>
      </c>
      <c r="Q61" s="7"/>
    </row>
    <row r="62" spans="1:17" s="37" customFormat="1" ht="24.75" customHeight="1">
      <c r="A62" s="19" t="s">
        <v>161</v>
      </c>
      <c r="B62" s="66" t="s">
        <v>101</v>
      </c>
      <c r="C62" s="68">
        <v>198</v>
      </c>
      <c r="D62" s="68">
        <v>193</v>
      </c>
      <c r="E62" s="68">
        <v>198</v>
      </c>
      <c r="F62" s="68">
        <v>198</v>
      </c>
      <c r="G62" s="68">
        <v>183</v>
      </c>
      <c r="H62" s="68">
        <v>155</v>
      </c>
      <c r="I62" s="68">
        <v>70</v>
      </c>
      <c r="J62" s="68">
        <v>60</v>
      </c>
      <c r="K62" s="68">
        <v>193</v>
      </c>
      <c r="L62" s="68">
        <v>198</v>
      </c>
      <c r="M62" s="68">
        <v>193</v>
      </c>
      <c r="N62" s="68">
        <v>188</v>
      </c>
      <c r="O62" s="11">
        <f>SUM(C62:N62)</f>
        <v>2027</v>
      </c>
      <c r="Q62" s="7">
        <v>2400</v>
      </c>
    </row>
    <row r="63" spans="1:17" s="37" customFormat="1" ht="15.75" customHeight="1">
      <c r="A63" s="19" t="s">
        <v>108</v>
      </c>
      <c r="B63" s="19"/>
      <c r="C63" s="69">
        <v>3</v>
      </c>
      <c r="D63" s="69">
        <v>3</v>
      </c>
      <c r="E63" s="69">
        <v>3</v>
      </c>
      <c r="F63" s="69">
        <v>3</v>
      </c>
      <c r="G63" s="69">
        <v>3</v>
      </c>
      <c r="H63" s="69"/>
      <c r="I63" s="69"/>
      <c r="J63" s="69"/>
      <c r="K63" s="69">
        <v>3</v>
      </c>
      <c r="L63" s="69">
        <v>3</v>
      </c>
      <c r="M63" s="69">
        <v>3</v>
      </c>
      <c r="N63" s="69">
        <v>3</v>
      </c>
      <c r="O63" s="11">
        <f>SUM(C63:N63)</f>
        <v>27</v>
      </c>
      <c r="Q63" s="7"/>
    </row>
    <row r="64" spans="1:17" s="37" customFormat="1" ht="25.5" customHeight="1">
      <c r="A64" s="19" t="s">
        <v>146</v>
      </c>
      <c r="B64" s="66" t="s">
        <v>101</v>
      </c>
      <c r="C64" s="64">
        <f aca="true" t="shared" si="15" ref="C64:O64">C62-C63</f>
        <v>195</v>
      </c>
      <c r="D64" s="64">
        <f t="shared" si="15"/>
        <v>190</v>
      </c>
      <c r="E64" s="64">
        <f t="shared" si="15"/>
        <v>195</v>
      </c>
      <c r="F64" s="64">
        <f t="shared" si="15"/>
        <v>195</v>
      </c>
      <c r="G64" s="64">
        <f t="shared" si="15"/>
        <v>180</v>
      </c>
      <c r="H64" s="64">
        <f t="shared" si="15"/>
        <v>155</v>
      </c>
      <c r="I64" s="64">
        <f t="shared" si="15"/>
        <v>70</v>
      </c>
      <c r="J64" s="64">
        <f t="shared" si="15"/>
        <v>60</v>
      </c>
      <c r="K64" s="64">
        <f t="shared" si="15"/>
        <v>190</v>
      </c>
      <c r="L64" s="64">
        <f t="shared" si="15"/>
        <v>195</v>
      </c>
      <c r="M64" s="64">
        <f t="shared" si="15"/>
        <v>190</v>
      </c>
      <c r="N64" s="64">
        <f t="shared" si="15"/>
        <v>185</v>
      </c>
      <c r="O64" s="92">
        <f t="shared" si="15"/>
        <v>2000</v>
      </c>
      <c r="Q64" s="7"/>
    </row>
    <row r="65" spans="1:17" s="37" customFormat="1" ht="14.25" customHeight="1">
      <c r="A65" s="19" t="s">
        <v>16</v>
      </c>
      <c r="B65" s="66" t="s">
        <v>101</v>
      </c>
      <c r="C65" s="8">
        <v>105</v>
      </c>
      <c r="D65" s="8">
        <v>110</v>
      </c>
      <c r="E65" s="8">
        <v>111</v>
      </c>
      <c r="F65" s="8">
        <v>110</v>
      </c>
      <c r="G65" s="8">
        <v>99</v>
      </c>
      <c r="H65" s="8">
        <v>85</v>
      </c>
      <c r="I65" s="8">
        <v>72</v>
      </c>
      <c r="J65" s="8">
        <v>55</v>
      </c>
      <c r="K65" s="8">
        <v>90</v>
      </c>
      <c r="L65" s="8">
        <v>118</v>
      </c>
      <c r="M65" s="8">
        <v>105</v>
      </c>
      <c r="N65" s="8">
        <v>100</v>
      </c>
      <c r="O65" s="73">
        <f aca="true" t="shared" si="16" ref="O65:O72">SUM(C65:N65)</f>
        <v>1160</v>
      </c>
      <c r="Q65" s="7">
        <v>1820</v>
      </c>
    </row>
    <row r="66" spans="1:17" s="37" customFormat="1" ht="12.75" customHeight="1">
      <c r="A66" s="19" t="s">
        <v>17</v>
      </c>
      <c r="B66" s="66" t="s">
        <v>101</v>
      </c>
      <c r="C66" s="67">
        <v>170</v>
      </c>
      <c r="D66" s="67">
        <v>165</v>
      </c>
      <c r="E66" s="67">
        <v>170</v>
      </c>
      <c r="F66" s="67">
        <v>165</v>
      </c>
      <c r="G66" s="67">
        <v>160</v>
      </c>
      <c r="H66" s="67">
        <v>125</v>
      </c>
      <c r="I66" s="67">
        <v>75</v>
      </c>
      <c r="J66" s="67">
        <v>65</v>
      </c>
      <c r="K66" s="64">
        <v>140</v>
      </c>
      <c r="L66" s="64">
        <v>155</v>
      </c>
      <c r="M66" s="64">
        <v>160</v>
      </c>
      <c r="N66" s="64">
        <v>150</v>
      </c>
      <c r="O66" s="73">
        <f t="shared" si="16"/>
        <v>1700</v>
      </c>
      <c r="Q66" s="7">
        <v>2600</v>
      </c>
    </row>
    <row r="67" spans="1:17" s="37" customFormat="1" ht="27" customHeight="1">
      <c r="A67" s="19" t="s">
        <v>169</v>
      </c>
      <c r="B67" s="66" t="s">
        <v>101</v>
      </c>
      <c r="C67" s="119">
        <v>250.3</v>
      </c>
      <c r="D67" s="25">
        <v>248</v>
      </c>
      <c r="E67" s="119">
        <v>243.3</v>
      </c>
      <c r="F67" s="25">
        <v>238</v>
      </c>
      <c r="G67" s="119">
        <v>230.3</v>
      </c>
      <c r="H67" s="25">
        <v>155</v>
      </c>
      <c r="I67" s="25">
        <v>98</v>
      </c>
      <c r="J67" s="25">
        <v>105</v>
      </c>
      <c r="K67" s="120">
        <v>230.1</v>
      </c>
      <c r="L67" s="6">
        <v>235</v>
      </c>
      <c r="M67" s="6">
        <v>238</v>
      </c>
      <c r="N67" s="6">
        <v>230</v>
      </c>
      <c r="O67" s="73">
        <f t="shared" si="16"/>
        <v>2501</v>
      </c>
      <c r="Q67" s="7">
        <v>3005</v>
      </c>
    </row>
    <row r="68" spans="1:17" s="37" customFormat="1" ht="12.75" customHeight="1">
      <c r="A68" s="19" t="s">
        <v>79</v>
      </c>
      <c r="B68" s="114"/>
      <c r="C68" s="116">
        <v>0.3</v>
      </c>
      <c r="D68" s="117"/>
      <c r="E68" s="116">
        <v>0.3</v>
      </c>
      <c r="F68" s="117"/>
      <c r="G68" s="116">
        <v>0.3</v>
      </c>
      <c r="H68" s="117"/>
      <c r="I68" s="117"/>
      <c r="J68" s="117"/>
      <c r="K68" s="116">
        <v>0.1</v>
      </c>
      <c r="L68" s="117"/>
      <c r="M68" s="117"/>
      <c r="N68" s="117"/>
      <c r="O68" s="118">
        <f>SUM(C68:N68)</f>
        <v>0.9999999999999999</v>
      </c>
      <c r="Q68" s="7"/>
    </row>
    <row r="69" spans="1:17" s="37" customFormat="1" ht="27" customHeight="1">
      <c r="A69" s="19" t="s">
        <v>170</v>
      </c>
      <c r="B69" s="114"/>
      <c r="C69" s="25">
        <f>C67-C68</f>
        <v>250</v>
      </c>
      <c r="D69" s="25">
        <f aca="true" t="shared" si="17" ref="D69:N69">D67-D68</f>
        <v>248</v>
      </c>
      <c r="E69" s="25">
        <f t="shared" si="17"/>
        <v>243</v>
      </c>
      <c r="F69" s="25">
        <f t="shared" si="17"/>
        <v>238</v>
      </c>
      <c r="G69" s="25">
        <f t="shared" si="17"/>
        <v>230</v>
      </c>
      <c r="H69" s="25">
        <f t="shared" si="17"/>
        <v>155</v>
      </c>
      <c r="I69" s="25">
        <f t="shared" si="17"/>
        <v>98</v>
      </c>
      <c r="J69" s="25">
        <f t="shared" si="17"/>
        <v>105</v>
      </c>
      <c r="K69" s="25">
        <f t="shared" si="17"/>
        <v>230</v>
      </c>
      <c r="L69" s="25">
        <f t="shared" si="17"/>
        <v>235</v>
      </c>
      <c r="M69" s="25">
        <f t="shared" si="17"/>
        <v>238</v>
      </c>
      <c r="N69" s="25">
        <f t="shared" si="17"/>
        <v>230</v>
      </c>
      <c r="O69" s="65">
        <f t="shared" si="16"/>
        <v>2500</v>
      </c>
      <c r="Q69" s="7"/>
    </row>
    <row r="70" spans="1:17" s="37" customFormat="1" ht="32.25" customHeight="1">
      <c r="A70" s="19" t="s">
        <v>99</v>
      </c>
      <c r="B70" s="103" t="s">
        <v>158</v>
      </c>
      <c r="C70" s="111">
        <v>254.06</v>
      </c>
      <c r="D70" s="111">
        <v>259.06</v>
      </c>
      <c r="E70" s="111">
        <v>268.06</v>
      </c>
      <c r="F70" s="111">
        <v>263.06</v>
      </c>
      <c r="G70" s="111">
        <v>243.06</v>
      </c>
      <c r="H70" s="111">
        <v>164.42</v>
      </c>
      <c r="I70" s="111">
        <v>129.42</v>
      </c>
      <c r="J70" s="111">
        <v>139.42</v>
      </c>
      <c r="K70" s="111">
        <v>234.06</v>
      </c>
      <c r="L70" s="111">
        <v>253.06</v>
      </c>
      <c r="M70" s="111">
        <v>262.04</v>
      </c>
      <c r="N70" s="111">
        <v>253.08</v>
      </c>
      <c r="O70" s="92">
        <f t="shared" si="16"/>
        <v>2722.8</v>
      </c>
      <c r="Q70" s="7">
        <v>3286</v>
      </c>
    </row>
    <row r="71" spans="1:17" s="37" customFormat="1" ht="12.75" customHeight="1">
      <c r="A71" s="8" t="s">
        <v>71</v>
      </c>
      <c r="B71" s="71"/>
      <c r="C71" s="140">
        <v>15.42</v>
      </c>
      <c r="D71" s="140">
        <v>15.42</v>
      </c>
      <c r="E71" s="140">
        <v>14.42</v>
      </c>
      <c r="F71" s="140">
        <v>14.42</v>
      </c>
      <c r="G71" s="140">
        <v>14.42</v>
      </c>
      <c r="H71" s="140">
        <v>14.42</v>
      </c>
      <c r="I71" s="140">
        <v>14.42</v>
      </c>
      <c r="J71" s="140">
        <v>14.42</v>
      </c>
      <c r="K71" s="140">
        <v>14.42</v>
      </c>
      <c r="L71" s="140">
        <v>14.42</v>
      </c>
      <c r="M71" s="140">
        <v>14.4</v>
      </c>
      <c r="N71" s="140">
        <v>14.4</v>
      </c>
      <c r="O71" s="73">
        <f t="shared" si="16"/>
        <v>175</v>
      </c>
      <c r="Q71" s="7"/>
    </row>
    <row r="72" spans="1:17" s="37" customFormat="1" ht="12.75" customHeight="1">
      <c r="A72" s="8" t="s">
        <v>79</v>
      </c>
      <c r="B72" s="114"/>
      <c r="C72" s="111">
        <v>38.64</v>
      </c>
      <c r="D72" s="111">
        <v>38.64</v>
      </c>
      <c r="E72" s="111">
        <v>38.64</v>
      </c>
      <c r="F72" s="111">
        <v>38.64</v>
      </c>
      <c r="G72" s="111">
        <v>38.64</v>
      </c>
      <c r="H72" s="111"/>
      <c r="I72" s="111"/>
      <c r="J72" s="111"/>
      <c r="K72" s="111">
        <v>38.64</v>
      </c>
      <c r="L72" s="111">
        <v>38.64</v>
      </c>
      <c r="M72" s="111">
        <v>38.64</v>
      </c>
      <c r="N72" s="111">
        <v>38.68</v>
      </c>
      <c r="O72" s="138">
        <f t="shared" si="16"/>
        <v>347.79999999999995</v>
      </c>
      <c r="Q72" s="7"/>
    </row>
    <row r="73" spans="1:19" s="37" customFormat="1" ht="41.25" customHeight="1">
      <c r="A73" s="8" t="s">
        <v>168</v>
      </c>
      <c r="B73" s="103" t="s">
        <v>158</v>
      </c>
      <c r="C73" s="18">
        <f>C70-C71-C72</f>
        <v>200</v>
      </c>
      <c r="D73" s="18">
        <f aca="true" t="shared" si="18" ref="D73:S73">D70-D71-D72</f>
        <v>205</v>
      </c>
      <c r="E73" s="18">
        <f t="shared" si="18"/>
        <v>215</v>
      </c>
      <c r="F73" s="18">
        <f t="shared" si="18"/>
        <v>210</v>
      </c>
      <c r="G73" s="18">
        <f t="shared" si="18"/>
        <v>190</v>
      </c>
      <c r="H73" s="18">
        <f t="shared" si="18"/>
        <v>150</v>
      </c>
      <c r="I73" s="18">
        <f t="shared" si="18"/>
        <v>114.99999999999999</v>
      </c>
      <c r="J73" s="18">
        <f t="shared" si="18"/>
        <v>124.99999999999999</v>
      </c>
      <c r="K73" s="18">
        <f t="shared" si="18"/>
        <v>181</v>
      </c>
      <c r="L73" s="18">
        <f t="shared" si="18"/>
        <v>200</v>
      </c>
      <c r="M73" s="18">
        <f t="shared" si="18"/>
        <v>209</v>
      </c>
      <c r="N73" s="18">
        <f t="shared" si="18"/>
        <v>200</v>
      </c>
      <c r="O73" s="142">
        <f t="shared" si="18"/>
        <v>2200</v>
      </c>
      <c r="P73" s="100">
        <f t="shared" si="18"/>
        <v>0</v>
      </c>
      <c r="Q73" s="100">
        <f t="shared" si="18"/>
        <v>3286</v>
      </c>
      <c r="R73" s="100">
        <f t="shared" si="18"/>
        <v>0</v>
      </c>
      <c r="S73" s="100">
        <f t="shared" si="18"/>
        <v>0</v>
      </c>
    </row>
    <row r="74" spans="1:17" s="37" customFormat="1" ht="27.75" customHeight="1">
      <c r="A74" s="19" t="s">
        <v>163</v>
      </c>
      <c r="B74" s="4" t="s">
        <v>159</v>
      </c>
      <c r="C74" s="130">
        <v>307.06</v>
      </c>
      <c r="D74" s="130">
        <v>304.06</v>
      </c>
      <c r="E74" s="130">
        <v>318.06</v>
      </c>
      <c r="F74" s="130">
        <v>316.06</v>
      </c>
      <c r="G74" s="130">
        <v>291.06</v>
      </c>
      <c r="H74" s="130">
        <v>189.42</v>
      </c>
      <c r="I74" s="130">
        <v>144.42</v>
      </c>
      <c r="J74" s="130">
        <v>159.42</v>
      </c>
      <c r="K74" s="130">
        <v>279.06</v>
      </c>
      <c r="L74" s="130">
        <v>296.06</v>
      </c>
      <c r="M74" s="130">
        <v>309.03999999999996</v>
      </c>
      <c r="N74" s="130">
        <v>299.0799999999999</v>
      </c>
      <c r="O74" s="131">
        <f>SUM(C74:N74)</f>
        <v>3212.8</v>
      </c>
      <c r="Q74" s="7"/>
    </row>
    <row r="75" spans="1:17" s="37" customFormat="1" ht="16.5" customHeight="1">
      <c r="A75" s="8" t="s">
        <v>77</v>
      </c>
      <c r="B75" s="70"/>
      <c r="C75" s="80">
        <v>15.42</v>
      </c>
      <c r="D75" s="80">
        <v>15.42</v>
      </c>
      <c r="E75" s="80">
        <v>14.42</v>
      </c>
      <c r="F75" s="80">
        <v>14.42</v>
      </c>
      <c r="G75" s="80">
        <v>14.42</v>
      </c>
      <c r="H75" s="80">
        <v>14.42</v>
      </c>
      <c r="I75" s="80">
        <v>14.42</v>
      </c>
      <c r="J75" s="80">
        <v>14.42</v>
      </c>
      <c r="K75" s="80">
        <v>14.42</v>
      </c>
      <c r="L75" s="80">
        <v>14.42</v>
      </c>
      <c r="M75" s="80">
        <v>14.4</v>
      </c>
      <c r="N75" s="80">
        <v>14.4</v>
      </c>
      <c r="O75" s="131">
        <f>SUM(C75:N75)</f>
        <v>175</v>
      </c>
      <c r="Q75" s="7"/>
    </row>
    <row r="76" spans="1:17" s="37" customFormat="1" ht="14.25" customHeight="1">
      <c r="A76" s="8" t="s">
        <v>79</v>
      </c>
      <c r="B76" s="70"/>
      <c r="C76" s="139">
        <v>38.64</v>
      </c>
      <c r="D76" s="139">
        <v>38.64</v>
      </c>
      <c r="E76" s="139">
        <v>38.64</v>
      </c>
      <c r="F76" s="139">
        <v>38.64</v>
      </c>
      <c r="G76" s="139">
        <v>38.64</v>
      </c>
      <c r="H76" s="139"/>
      <c r="I76" s="139"/>
      <c r="J76" s="139"/>
      <c r="K76" s="139">
        <v>38.64</v>
      </c>
      <c r="L76" s="139">
        <v>38.64</v>
      </c>
      <c r="M76" s="139">
        <v>38.64</v>
      </c>
      <c r="N76" s="139">
        <v>38.68</v>
      </c>
      <c r="O76" s="156">
        <f>SUM(C76:N76)</f>
        <v>347.79999999999995</v>
      </c>
      <c r="Q76" s="65"/>
    </row>
    <row r="77" spans="1:19" s="37" customFormat="1" ht="42.75" customHeight="1">
      <c r="A77" s="19" t="s">
        <v>168</v>
      </c>
      <c r="B77" s="4" t="s">
        <v>159</v>
      </c>
      <c r="C77" s="100">
        <f>C74-C75-C76</f>
        <v>253</v>
      </c>
      <c r="D77" s="100">
        <f aca="true" t="shared" si="19" ref="D77:S77">D74-D75-D76</f>
        <v>250</v>
      </c>
      <c r="E77" s="100">
        <f t="shared" si="19"/>
        <v>265</v>
      </c>
      <c r="F77" s="100">
        <f t="shared" si="19"/>
        <v>263</v>
      </c>
      <c r="G77" s="100">
        <f t="shared" si="19"/>
        <v>238</v>
      </c>
      <c r="H77" s="100">
        <f t="shared" si="19"/>
        <v>175</v>
      </c>
      <c r="I77" s="100">
        <f t="shared" si="19"/>
        <v>130</v>
      </c>
      <c r="J77" s="100">
        <f t="shared" si="19"/>
        <v>145</v>
      </c>
      <c r="K77" s="100">
        <f t="shared" si="19"/>
        <v>226</v>
      </c>
      <c r="L77" s="100">
        <f t="shared" si="19"/>
        <v>243</v>
      </c>
      <c r="M77" s="100">
        <f t="shared" si="19"/>
        <v>256</v>
      </c>
      <c r="N77" s="100">
        <f t="shared" si="19"/>
        <v>245.99999999999994</v>
      </c>
      <c r="O77" s="131">
        <f t="shared" si="19"/>
        <v>2690</v>
      </c>
      <c r="P77" s="100">
        <f t="shared" si="19"/>
        <v>0</v>
      </c>
      <c r="Q77" s="100">
        <f t="shared" si="19"/>
        <v>0</v>
      </c>
      <c r="R77" s="100">
        <f t="shared" si="19"/>
        <v>0</v>
      </c>
      <c r="S77" s="100">
        <f t="shared" si="19"/>
        <v>0</v>
      </c>
    </row>
    <row r="78" spans="1:17" s="37" customFormat="1" ht="24" customHeight="1">
      <c r="A78" s="19" t="s">
        <v>78</v>
      </c>
      <c r="B78" s="66" t="s">
        <v>101</v>
      </c>
      <c r="C78" s="67">
        <v>264</v>
      </c>
      <c r="D78" s="67">
        <v>260</v>
      </c>
      <c r="E78" s="67">
        <v>265</v>
      </c>
      <c r="F78" s="67">
        <v>268</v>
      </c>
      <c r="G78" s="67">
        <v>250</v>
      </c>
      <c r="H78" s="67">
        <v>183</v>
      </c>
      <c r="I78" s="67">
        <v>130</v>
      </c>
      <c r="J78" s="67">
        <v>100</v>
      </c>
      <c r="K78" s="75">
        <v>256</v>
      </c>
      <c r="L78" s="64">
        <v>251</v>
      </c>
      <c r="M78" s="64">
        <v>255</v>
      </c>
      <c r="N78" s="64">
        <v>254</v>
      </c>
      <c r="O78" s="73">
        <f>SUM(C78:N78)</f>
        <v>2736</v>
      </c>
      <c r="Q78" s="7">
        <v>3495</v>
      </c>
    </row>
    <row r="79" spans="1:17" s="37" customFormat="1" ht="15.75" customHeight="1">
      <c r="A79" s="8" t="s">
        <v>77</v>
      </c>
      <c r="B79" s="8"/>
      <c r="C79" s="8">
        <v>4</v>
      </c>
      <c r="D79" s="8">
        <v>4</v>
      </c>
      <c r="E79" s="8">
        <v>4</v>
      </c>
      <c r="F79" s="8">
        <v>4</v>
      </c>
      <c r="G79" s="8">
        <v>4</v>
      </c>
      <c r="H79" s="8"/>
      <c r="I79" s="8"/>
      <c r="J79" s="8"/>
      <c r="K79" s="8">
        <v>4</v>
      </c>
      <c r="L79" s="8">
        <v>4</v>
      </c>
      <c r="M79" s="8">
        <v>4</v>
      </c>
      <c r="N79" s="8">
        <v>4</v>
      </c>
      <c r="O79" s="73">
        <f>SUM(C79:N79)</f>
        <v>36</v>
      </c>
      <c r="Q79" s="7"/>
    </row>
    <row r="80" spans="1:18" s="37" customFormat="1" ht="27" customHeight="1">
      <c r="A80" s="19" t="s">
        <v>143</v>
      </c>
      <c r="B80" s="66" t="s">
        <v>101</v>
      </c>
      <c r="C80" s="8">
        <f aca="true" t="shared" si="20" ref="C80:R80">C78-C79</f>
        <v>260</v>
      </c>
      <c r="D80" s="8">
        <f t="shared" si="20"/>
        <v>256</v>
      </c>
      <c r="E80" s="8">
        <f t="shared" si="20"/>
        <v>261</v>
      </c>
      <c r="F80" s="8">
        <f t="shared" si="20"/>
        <v>264</v>
      </c>
      <c r="G80" s="8">
        <f t="shared" si="20"/>
        <v>246</v>
      </c>
      <c r="H80" s="8">
        <f t="shared" si="20"/>
        <v>183</v>
      </c>
      <c r="I80" s="8">
        <f t="shared" si="20"/>
        <v>130</v>
      </c>
      <c r="J80" s="8">
        <f t="shared" si="20"/>
        <v>100</v>
      </c>
      <c r="K80" s="8">
        <f t="shared" si="20"/>
        <v>252</v>
      </c>
      <c r="L80" s="8">
        <f t="shared" si="20"/>
        <v>247</v>
      </c>
      <c r="M80" s="8">
        <f t="shared" si="20"/>
        <v>251</v>
      </c>
      <c r="N80" s="8">
        <f t="shared" si="20"/>
        <v>250</v>
      </c>
      <c r="O80" s="7">
        <f t="shared" si="20"/>
        <v>2700</v>
      </c>
      <c r="P80" s="8">
        <f t="shared" si="20"/>
        <v>0</v>
      </c>
      <c r="Q80" s="8">
        <f t="shared" si="20"/>
        <v>3495</v>
      </c>
      <c r="R80" s="8">
        <f t="shared" si="20"/>
        <v>0</v>
      </c>
    </row>
    <row r="81" spans="1:17" s="37" customFormat="1" ht="27" customHeight="1">
      <c r="A81" s="19" t="s">
        <v>128</v>
      </c>
      <c r="B81" s="66" t="s">
        <v>101</v>
      </c>
      <c r="C81" s="86">
        <v>232</v>
      </c>
      <c r="D81" s="86">
        <v>214</v>
      </c>
      <c r="E81" s="86">
        <v>220</v>
      </c>
      <c r="F81" s="86">
        <v>228</v>
      </c>
      <c r="G81" s="86">
        <v>212</v>
      </c>
      <c r="H81" s="86">
        <v>151</v>
      </c>
      <c r="I81" s="86">
        <v>111</v>
      </c>
      <c r="J81" s="86">
        <v>81</v>
      </c>
      <c r="K81" s="86">
        <v>222</v>
      </c>
      <c r="L81" s="86">
        <v>225</v>
      </c>
      <c r="M81" s="86">
        <v>225</v>
      </c>
      <c r="N81" s="86">
        <v>200</v>
      </c>
      <c r="O81" s="73">
        <f>SUM(C81:N81)</f>
        <v>2321</v>
      </c>
      <c r="Q81" s="7">
        <v>2265</v>
      </c>
    </row>
    <row r="82" spans="1:17" ht="32.25" customHeight="1" hidden="1">
      <c r="A82" s="11" t="s">
        <v>20</v>
      </c>
      <c r="B82" s="11"/>
      <c r="C82" s="22" t="s">
        <v>0</v>
      </c>
      <c r="D82" s="22" t="s">
        <v>1</v>
      </c>
      <c r="E82" s="22" t="s">
        <v>2</v>
      </c>
      <c r="F82" s="22" t="s">
        <v>3</v>
      </c>
      <c r="G82" s="22" t="s">
        <v>4</v>
      </c>
      <c r="H82" s="22" t="s">
        <v>21</v>
      </c>
      <c r="I82" s="22" t="s">
        <v>5</v>
      </c>
      <c r="J82" s="22" t="s">
        <v>6</v>
      </c>
      <c r="K82" s="22" t="s">
        <v>7</v>
      </c>
      <c r="L82" s="22" t="s">
        <v>8</v>
      </c>
      <c r="M82" s="22" t="s">
        <v>9</v>
      </c>
      <c r="N82" s="22" t="s">
        <v>10</v>
      </c>
      <c r="O82" s="22" t="s">
        <v>19</v>
      </c>
      <c r="Q82" s="11" t="s">
        <v>66</v>
      </c>
    </row>
    <row r="83" spans="1:17" s="37" customFormat="1" ht="15" customHeight="1">
      <c r="A83" s="8" t="s">
        <v>77</v>
      </c>
      <c r="B83" s="66"/>
      <c r="C83" s="47">
        <v>2</v>
      </c>
      <c r="D83" s="47">
        <v>2</v>
      </c>
      <c r="E83" s="47">
        <v>2</v>
      </c>
      <c r="F83" s="47">
        <v>2</v>
      </c>
      <c r="G83" s="47">
        <v>2</v>
      </c>
      <c r="H83" s="47">
        <v>1</v>
      </c>
      <c r="I83" s="47">
        <v>1</v>
      </c>
      <c r="J83" s="47">
        <v>1</v>
      </c>
      <c r="K83" s="8">
        <v>2</v>
      </c>
      <c r="L83" s="8">
        <v>2</v>
      </c>
      <c r="M83" s="8">
        <v>2</v>
      </c>
      <c r="N83" s="8">
        <v>2</v>
      </c>
      <c r="O83" s="73">
        <f>SUM(C83:N83)</f>
        <v>21</v>
      </c>
      <c r="Q83" s="7"/>
    </row>
    <row r="84" spans="1:18" s="37" customFormat="1" ht="39" customHeight="1">
      <c r="A84" s="19" t="s">
        <v>144</v>
      </c>
      <c r="B84" s="66" t="s">
        <v>101</v>
      </c>
      <c r="C84" s="91">
        <f>C81-C83</f>
        <v>230</v>
      </c>
      <c r="D84" s="91">
        <f aca="true" t="shared" si="21" ref="D84:R84">D81-D83</f>
        <v>212</v>
      </c>
      <c r="E84" s="91">
        <f t="shared" si="21"/>
        <v>218</v>
      </c>
      <c r="F84" s="91">
        <f t="shared" si="21"/>
        <v>226</v>
      </c>
      <c r="G84" s="91">
        <f t="shared" si="21"/>
        <v>210</v>
      </c>
      <c r="H84" s="91">
        <f t="shared" si="21"/>
        <v>150</v>
      </c>
      <c r="I84" s="91">
        <f t="shared" si="21"/>
        <v>110</v>
      </c>
      <c r="J84" s="91">
        <f t="shared" si="21"/>
        <v>80</v>
      </c>
      <c r="K84" s="91">
        <f t="shared" si="21"/>
        <v>220</v>
      </c>
      <c r="L84" s="91">
        <f t="shared" si="21"/>
        <v>223</v>
      </c>
      <c r="M84" s="91">
        <f t="shared" si="21"/>
        <v>223</v>
      </c>
      <c r="N84" s="91">
        <f t="shared" si="21"/>
        <v>198</v>
      </c>
      <c r="O84" s="132">
        <f t="shared" si="21"/>
        <v>2300</v>
      </c>
      <c r="P84" s="91">
        <f t="shared" si="21"/>
        <v>0</v>
      </c>
      <c r="Q84" s="91">
        <f t="shared" si="21"/>
        <v>2265</v>
      </c>
      <c r="R84" s="91">
        <f t="shared" si="21"/>
        <v>0</v>
      </c>
    </row>
    <row r="85" spans="1:17" s="37" customFormat="1" ht="49.5" customHeight="1">
      <c r="A85" s="19" t="s">
        <v>98</v>
      </c>
      <c r="B85" s="66" t="s">
        <v>101</v>
      </c>
      <c r="C85" s="113">
        <v>30</v>
      </c>
      <c r="D85" s="113">
        <v>25</v>
      </c>
      <c r="E85" s="113">
        <v>30</v>
      </c>
      <c r="F85" s="113">
        <v>30</v>
      </c>
      <c r="G85" s="113">
        <v>32</v>
      </c>
      <c r="H85" s="113">
        <v>20</v>
      </c>
      <c r="I85" s="113">
        <v>12</v>
      </c>
      <c r="J85" s="113">
        <v>12</v>
      </c>
      <c r="K85" s="113">
        <v>26</v>
      </c>
      <c r="L85" s="113">
        <v>28</v>
      </c>
      <c r="M85" s="113">
        <v>30</v>
      </c>
      <c r="N85" s="113">
        <v>25</v>
      </c>
      <c r="O85" s="73">
        <f>SUM(C85:N85)</f>
        <v>300</v>
      </c>
      <c r="Q85" s="7">
        <v>291</v>
      </c>
    </row>
    <row r="86" spans="1:17" s="37" customFormat="1" ht="30.75" customHeight="1">
      <c r="A86" s="165" t="s">
        <v>176</v>
      </c>
      <c r="B86" s="103" t="s">
        <v>158</v>
      </c>
      <c r="C86" s="67">
        <v>320</v>
      </c>
      <c r="D86" s="67">
        <v>330</v>
      </c>
      <c r="E86" s="67">
        <v>340</v>
      </c>
      <c r="F86" s="67">
        <v>340</v>
      </c>
      <c r="G86" s="67">
        <v>340</v>
      </c>
      <c r="H86" s="67">
        <v>210</v>
      </c>
      <c r="I86" s="87">
        <v>140</v>
      </c>
      <c r="J86" s="87">
        <v>130</v>
      </c>
      <c r="K86" s="8">
        <v>320</v>
      </c>
      <c r="L86" s="64">
        <v>325</v>
      </c>
      <c r="M86" s="64">
        <v>320</v>
      </c>
      <c r="N86" s="64">
        <v>335</v>
      </c>
      <c r="O86" s="7">
        <f aca="true" t="shared" si="22" ref="O86:O95">SUM(C86:N86)</f>
        <v>3450</v>
      </c>
      <c r="Q86" s="7">
        <v>4396</v>
      </c>
    </row>
    <row r="87" spans="1:17" s="37" customFormat="1" ht="28.5" customHeight="1">
      <c r="A87" s="167"/>
      <c r="B87" s="4" t="s">
        <v>159</v>
      </c>
      <c r="C87" s="69">
        <v>530.6</v>
      </c>
      <c r="D87" s="69">
        <v>517.11</v>
      </c>
      <c r="E87" s="69">
        <v>502</v>
      </c>
      <c r="F87" s="69">
        <v>340</v>
      </c>
      <c r="G87" s="69">
        <v>340</v>
      </c>
      <c r="H87" s="69">
        <v>210</v>
      </c>
      <c r="I87" s="146">
        <v>140</v>
      </c>
      <c r="J87" s="146">
        <v>130</v>
      </c>
      <c r="K87" s="74">
        <v>320</v>
      </c>
      <c r="L87" s="69">
        <v>391.58</v>
      </c>
      <c r="M87" s="69">
        <v>371.03</v>
      </c>
      <c r="N87" s="69">
        <v>385.94</v>
      </c>
      <c r="O87" s="10">
        <f>SUM(C87:N87)</f>
        <v>4178.259999999999</v>
      </c>
      <c r="Q87" s="7"/>
    </row>
    <row r="88" spans="1:17" s="37" customFormat="1" ht="37.5" customHeight="1">
      <c r="A88" s="165" t="s">
        <v>177</v>
      </c>
      <c r="B88" s="103" t="s">
        <v>158</v>
      </c>
      <c r="C88" s="64">
        <v>70</v>
      </c>
      <c r="D88" s="64">
        <v>76</v>
      </c>
      <c r="E88" s="64">
        <v>80</v>
      </c>
      <c r="F88" s="64">
        <v>75</v>
      </c>
      <c r="G88" s="64">
        <v>60</v>
      </c>
      <c r="H88" s="64">
        <v>0</v>
      </c>
      <c r="I88" s="64">
        <v>0</v>
      </c>
      <c r="J88" s="64">
        <v>0</v>
      </c>
      <c r="K88" s="64">
        <v>70</v>
      </c>
      <c r="L88" s="64">
        <v>72</v>
      </c>
      <c r="M88" s="64">
        <v>74</v>
      </c>
      <c r="N88" s="64">
        <v>63</v>
      </c>
      <c r="O88" s="10">
        <f t="shared" si="22"/>
        <v>640</v>
      </c>
      <c r="Q88" s="7"/>
    </row>
    <row r="89" spans="1:19" s="37" customFormat="1" ht="33.75" customHeight="1">
      <c r="A89" s="167"/>
      <c r="B89" s="4" t="s">
        <v>159</v>
      </c>
      <c r="C89" s="69">
        <v>119.4</v>
      </c>
      <c r="D89" s="69">
        <v>119.89</v>
      </c>
      <c r="E89" s="69">
        <v>118</v>
      </c>
      <c r="F89" s="69">
        <v>75</v>
      </c>
      <c r="G89" s="69">
        <v>60</v>
      </c>
      <c r="H89" s="69">
        <v>0</v>
      </c>
      <c r="I89" s="69">
        <v>0</v>
      </c>
      <c r="J89" s="69">
        <v>0</v>
      </c>
      <c r="K89" s="69">
        <v>70</v>
      </c>
      <c r="L89" s="69">
        <v>87.62</v>
      </c>
      <c r="M89" s="69">
        <v>85.97</v>
      </c>
      <c r="N89" s="69">
        <v>74.96000000000001</v>
      </c>
      <c r="O89" s="92">
        <f>SUM(C89:N89)</f>
        <v>810.84</v>
      </c>
      <c r="P89" s="69" t="e">
        <f>P88-#REF!</f>
        <v>#REF!</v>
      </c>
      <c r="Q89" s="69" t="e">
        <f>Q88-#REF!</f>
        <v>#REF!</v>
      </c>
      <c r="R89" s="69" t="e">
        <f>R88-#REF!</f>
        <v>#REF!</v>
      </c>
      <c r="S89" s="69" t="e">
        <f>S88-#REF!</f>
        <v>#REF!</v>
      </c>
    </row>
    <row r="90" spans="1:17" s="37" customFormat="1" ht="29.25" customHeight="1">
      <c r="A90" s="165" t="s">
        <v>178</v>
      </c>
      <c r="B90" s="103" t="s">
        <v>158</v>
      </c>
      <c r="C90" s="93">
        <v>152</v>
      </c>
      <c r="D90" s="47">
        <v>154</v>
      </c>
      <c r="E90" s="47">
        <v>153</v>
      </c>
      <c r="F90" s="47">
        <v>154</v>
      </c>
      <c r="G90" s="47">
        <v>148</v>
      </c>
      <c r="H90" s="47">
        <v>105</v>
      </c>
      <c r="I90" s="47">
        <v>110</v>
      </c>
      <c r="J90" s="47">
        <v>70</v>
      </c>
      <c r="K90" s="8">
        <v>126</v>
      </c>
      <c r="L90" s="8">
        <v>144</v>
      </c>
      <c r="M90" s="8">
        <v>140</v>
      </c>
      <c r="N90" s="8">
        <v>144</v>
      </c>
      <c r="O90" s="7">
        <f t="shared" si="22"/>
        <v>1600</v>
      </c>
      <c r="Q90" s="7"/>
    </row>
    <row r="91" spans="1:17" s="37" customFormat="1" ht="27" customHeight="1">
      <c r="A91" s="166"/>
      <c r="B91" s="4" t="s">
        <v>159</v>
      </c>
      <c r="C91" s="105">
        <v>232</v>
      </c>
      <c r="D91" s="67">
        <v>237</v>
      </c>
      <c r="E91" s="67">
        <v>235</v>
      </c>
      <c r="F91" s="67">
        <v>229</v>
      </c>
      <c r="G91" s="67">
        <v>216</v>
      </c>
      <c r="H91" s="67">
        <v>155</v>
      </c>
      <c r="I91" s="67">
        <v>145</v>
      </c>
      <c r="J91" s="67">
        <v>95</v>
      </c>
      <c r="K91" s="64">
        <v>201</v>
      </c>
      <c r="L91" s="64">
        <v>221</v>
      </c>
      <c r="M91" s="64">
        <v>210</v>
      </c>
      <c r="N91" s="64">
        <v>224</v>
      </c>
      <c r="O91" s="65">
        <f>SUM(C91:N91)</f>
        <v>2400</v>
      </c>
      <c r="Q91" s="65"/>
    </row>
    <row r="92" spans="1:17" s="37" customFormat="1" ht="32.25" customHeight="1">
      <c r="A92" s="165" t="s">
        <v>179</v>
      </c>
      <c r="B92" s="103" t="s">
        <v>158</v>
      </c>
      <c r="C92" s="67">
        <v>66</v>
      </c>
      <c r="D92" s="67">
        <v>66</v>
      </c>
      <c r="E92" s="67">
        <v>66</v>
      </c>
      <c r="F92" s="67">
        <v>66</v>
      </c>
      <c r="G92" s="67">
        <v>66</v>
      </c>
      <c r="H92" s="67">
        <v>64</v>
      </c>
      <c r="I92" s="67">
        <v>54</v>
      </c>
      <c r="J92" s="67">
        <v>30</v>
      </c>
      <c r="K92" s="64">
        <v>54</v>
      </c>
      <c r="L92" s="64">
        <v>66</v>
      </c>
      <c r="M92" s="64">
        <v>66</v>
      </c>
      <c r="N92" s="64">
        <v>56</v>
      </c>
      <c r="O92" s="65">
        <f>SUM(C92:N92)</f>
        <v>720</v>
      </c>
      <c r="Q92" s="65"/>
    </row>
    <row r="93" spans="1:17" s="37" customFormat="1" ht="27" customHeight="1">
      <c r="A93" s="166"/>
      <c r="B93" s="4" t="s">
        <v>159</v>
      </c>
      <c r="C93" s="67">
        <v>86</v>
      </c>
      <c r="D93" s="67">
        <v>84</v>
      </c>
      <c r="E93" s="67">
        <v>81</v>
      </c>
      <c r="F93" s="67">
        <v>86</v>
      </c>
      <c r="G93" s="67">
        <v>84</v>
      </c>
      <c r="H93" s="67">
        <v>76</v>
      </c>
      <c r="I93" s="67">
        <v>64</v>
      </c>
      <c r="J93" s="67">
        <v>40</v>
      </c>
      <c r="K93" s="64">
        <v>72</v>
      </c>
      <c r="L93" s="64">
        <v>89</v>
      </c>
      <c r="M93" s="64">
        <v>86</v>
      </c>
      <c r="N93" s="64">
        <v>72</v>
      </c>
      <c r="O93" s="65">
        <f t="shared" si="22"/>
        <v>920</v>
      </c>
      <c r="Q93" s="65"/>
    </row>
    <row r="94" spans="1:18" s="37" customFormat="1" ht="29.25" customHeight="1">
      <c r="A94" s="19" t="s">
        <v>125</v>
      </c>
      <c r="B94" s="66" t="s">
        <v>101</v>
      </c>
      <c r="C94" s="86">
        <v>60</v>
      </c>
      <c r="D94" s="86">
        <v>58</v>
      </c>
      <c r="E94" s="86">
        <v>60</v>
      </c>
      <c r="F94" s="86">
        <v>63</v>
      </c>
      <c r="G94" s="86">
        <v>56</v>
      </c>
      <c r="H94" s="86">
        <v>35</v>
      </c>
      <c r="I94" s="86">
        <v>40</v>
      </c>
      <c r="J94" s="86">
        <v>35</v>
      </c>
      <c r="K94" s="86">
        <v>60</v>
      </c>
      <c r="L94" s="86">
        <v>58</v>
      </c>
      <c r="M94" s="86">
        <v>55</v>
      </c>
      <c r="N94" s="86">
        <v>50</v>
      </c>
      <c r="O94" s="65">
        <f t="shared" si="22"/>
        <v>630</v>
      </c>
      <c r="P94" s="64" t="e">
        <f>SUM(#REF!)</f>
        <v>#REF!</v>
      </c>
      <c r="Q94" s="64" t="e">
        <f>SUM(#REF!)</f>
        <v>#REF!</v>
      </c>
      <c r="R94" s="64" t="e">
        <f>SUM(#REF!)</f>
        <v>#REF!</v>
      </c>
    </row>
    <row r="95" spans="1:18" s="37" customFormat="1" ht="29.25" customHeight="1">
      <c r="A95" s="19" t="s">
        <v>126</v>
      </c>
      <c r="B95" s="66" t="s">
        <v>101</v>
      </c>
      <c r="C95" s="86">
        <v>143</v>
      </c>
      <c r="D95" s="86">
        <v>139</v>
      </c>
      <c r="E95" s="86">
        <v>142</v>
      </c>
      <c r="F95" s="86">
        <v>145</v>
      </c>
      <c r="G95" s="86">
        <v>141</v>
      </c>
      <c r="H95" s="86">
        <v>90</v>
      </c>
      <c r="I95" s="86">
        <v>80</v>
      </c>
      <c r="J95" s="86">
        <v>55</v>
      </c>
      <c r="K95" s="86">
        <v>142</v>
      </c>
      <c r="L95" s="86">
        <v>145</v>
      </c>
      <c r="M95" s="86">
        <v>140</v>
      </c>
      <c r="N95" s="86">
        <v>138</v>
      </c>
      <c r="O95" s="65">
        <f t="shared" si="22"/>
        <v>1500</v>
      </c>
      <c r="P95" s="64" t="e">
        <f>SUM(P94)</f>
        <v>#REF!</v>
      </c>
      <c r="Q95" s="64" t="e">
        <f>SUM(Q94)</f>
        <v>#REF!</v>
      </c>
      <c r="R95" s="64" t="e">
        <f>SUM(R94)</f>
        <v>#REF!</v>
      </c>
    </row>
    <row r="96" spans="1:17" s="37" customFormat="1" ht="29.25" customHeight="1">
      <c r="A96" s="19" t="s">
        <v>109</v>
      </c>
      <c r="B96" s="66" t="s">
        <v>101</v>
      </c>
      <c r="C96" s="88">
        <v>160</v>
      </c>
      <c r="D96" s="88">
        <v>145</v>
      </c>
      <c r="E96" s="88">
        <v>155</v>
      </c>
      <c r="F96" s="88">
        <v>151</v>
      </c>
      <c r="G96" s="88">
        <v>148</v>
      </c>
      <c r="H96" s="88">
        <v>100</v>
      </c>
      <c r="I96" s="88">
        <v>70</v>
      </c>
      <c r="J96" s="88">
        <v>90</v>
      </c>
      <c r="K96" s="88">
        <v>0</v>
      </c>
      <c r="L96" s="88">
        <v>0</v>
      </c>
      <c r="M96" s="88">
        <v>0</v>
      </c>
      <c r="N96" s="88">
        <v>0</v>
      </c>
      <c r="O96" s="7">
        <f aca="true" t="shared" si="23" ref="O96:O105">SUM(C96:N96)</f>
        <v>1019</v>
      </c>
      <c r="Q96" s="7">
        <v>2350</v>
      </c>
    </row>
    <row r="97" spans="1:17" s="37" customFormat="1" ht="30" customHeight="1">
      <c r="A97" s="19" t="s">
        <v>110</v>
      </c>
      <c r="B97" s="66" t="s">
        <v>101</v>
      </c>
      <c r="C97" s="67">
        <v>17</v>
      </c>
      <c r="D97" s="67">
        <v>22</v>
      </c>
      <c r="E97" s="67">
        <v>23</v>
      </c>
      <c r="F97" s="64">
        <v>24</v>
      </c>
      <c r="G97" s="67">
        <v>23</v>
      </c>
      <c r="H97" s="67">
        <v>16</v>
      </c>
      <c r="I97" s="67">
        <v>10</v>
      </c>
      <c r="J97" s="67">
        <v>15</v>
      </c>
      <c r="K97" s="64">
        <v>0</v>
      </c>
      <c r="L97" s="64">
        <v>0</v>
      </c>
      <c r="M97" s="64">
        <v>0</v>
      </c>
      <c r="N97" s="64">
        <v>0</v>
      </c>
      <c r="O97" s="7">
        <f t="shared" si="23"/>
        <v>150</v>
      </c>
      <c r="Q97" s="7"/>
    </row>
    <row r="98" spans="1:17" s="37" customFormat="1" ht="31.5" customHeight="1">
      <c r="A98" s="19" t="s">
        <v>184</v>
      </c>
      <c r="B98" s="66" t="s">
        <v>101</v>
      </c>
      <c r="C98" s="47">
        <v>180</v>
      </c>
      <c r="D98" s="47">
        <v>178</v>
      </c>
      <c r="E98" s="47">
        <v>183</v>
      </c>
      <c r="F98" s="47">
        <v>185</v>
      </c>
      <c r="G98" s="47">
        <v>165</v>
      </c>
      <c r="H98" s="47">
        <v>130</v>
      </c>
      <c r="I98" s="47">
        <v>85</v>
      </c>
      <c r="J98" s="47">
        <v>87</v>
      </c>
      <c r="K98" s="8">
        <v>165</v>
      </c>
      <c r="L98" s="8">
        <v>180</v>
      </c>
      <c r="M98" s="8">
        <v>184</v>
      </c>
      <c r="N98" s="8">
        <v>178</v>
      </c>
      <c r="O98" s="7">
        <f t="shared" si="23"/>
        <v>1900</v>
      </c>
      <c r="Q98" s="7">
        <v>3650</v>
      </c>
    </row>
    <row r="99" spans="1:17" ht="32.25" customHeight="1" hidden="1">
      <c r="A99" s="11" t="s">
        <v>20</v>
      </c>
      <c r="B99" s="11"/>
      <c r="C99" s="22" t="s">
        <v>0</v>
      </c>
      <c r="D99" s="22" t="s">
        <v>1</v>
      </c>
      <c r="E99" s="22" t="s">
        <v>2</v>
      </c>
      <c r="F99" s="22" t="s">
        <v>3</v>
      </c>
      <c r="G99" s="22" t="s">
        <v>4</v>
      </c>
      <c r="H99" s="22" t="s">
        <v>21</v>
      </c>
      <c r="I99" s="22" t="s">
        <v>5</v>
      </c>
      <c r="J99" s="22" t="s">
        <v>6</v>
      </c>
      <c r="K99" s="22" t="s">
        <v>7</v>
      </c>
      <c r="L99" s="22" t="s">
        <v>8</v>
      </c>
      <c r="M99" s="22" t="s">
        <v>9</v>
      </c>
      <c r="N99" s="22" t="s">
        <v>10</v>
      </c>
      <c r="O99" s="22" t="s">
        <v>19</v>
      </c>
      <c r="Q99" s="11" t="s">
        <v>66</v>
      </c>
    </row>
    <row r="100" spans="1:17" s="37" customFormat="1" ht="39" customHeight="1">
      <c r="A100" s="19" t="s">
        <v>183</v>
      </c>
      <c r="B100" s="66" t="s">
        <v>101</v>
      </c>
      <c r="C100" s="67">
        <v>114.623</v>
      </c>
      <c r="D100" s="67">
        <v>124.623</v>
      </c>
      <c r="E100" s="67">
        <v>129.623</v>
      </c>
      <c r="F100" s="67">
        <v>124.623</v>
      </c>
      <c r="G100" s="67">
        <v>116.623</v>
      </c>
      <c r="H100" s="67">
        <v>84</v>
      </c>
      <c r="I100" s="67">
        <v>60</v>
      </c>
      <c r="J100" s="67">
        <v>60</v>
      </c>
      <c r="K100" s="64">
        <v>116.623</v>
      </c>
      <c r="L100" s="64">
        <v>124.623</v>
      </c>
      <c r="M100" s="64">
        <v>120.625</v>
      </c>
      <c r="N100" s="64">
        <v>125.623</v>
      </c>
      <c r="O100" s="7">
        <f t="shared" si="23"/>
        <v>1301.6090000000002</v>
      </c>
      <c r="Q100" s="7"/>
    </row>
    <row r="101" spans="1:17" s="37" customFormat="1" ht="16.5" customHeight="1">
      <c r="A101" s="19" t="s">
        <v>79</v>
      </c>
      <c r="B101" s="66"/>
      <c r="C101" s="67">
        <v>24.623</v>
      </c>
      <c r="D101" s="67">
        <v>24.623</v>
      </c>
      <c r="E101" s="67">
        <v>24.623</v>
      </c>
      <c r="F101" s="67">
        <v>24.623</v>
      </c>
      <c r="G101" s="67">
        <v>24.623</v>
      </c>
      <c r="H101" s="67"/>
      <c r="I101" s="67"/>
      <c r="J101" s="67"/>
      <c r="K101" s="143">
        <v>24.623</v>
      </c>
      <c r="L101" s="143">
        <v>24.623</v>
      </c>
      <c r="M101" s="143">
        <v>24.625</v>
      </c>
      <c r="N101" s="143">
        <v>24.623</v>
      </c>
      <c r="O101" s="95">
        <f>SUM(C101:N101)</f>
        <v>221.60899999999998</v>
      </c>
      <c r="Q101" s="7"/>
    </row>
    <row r="102" spans="1:17" s="37" customFormat="1" ht="39" customHeight="1">
      <c r="A102" s="19" t="s">
        <v>182</v>
      </c>
      <c r="B102" s="70" t="s">
        <v>101</v>
      </c>
      <c r="C102" s="67">
        <f>C100-C101</f>
        <v>90</v>
      </c>
      <c r="D102" s="67">
        <f aca="true" t="shared" si="24" ref="D102:N102">D100-D101</f>
        <v>100</v>
      </c>
      <c r="E102" s="67">
        <f t="shared" si="24"/>
        <v>104.99999999999999</v>
      </c>
      <c r="F102" s="67">
        <f t="shared" si="24"/>
        <v>100</v>
      </c>
      <c r="G102" s="67">
        <f t="shared" si="24"/>
        <v>92</v>
      </c>
      <c r="H102" s="67">
        <f t="shared" si="24"/>
        <v>84</v>
      </c>
      <c r="I102" s="67">
        <f t="shared" si="24"/>
        <v>60</v>
      </c>
      <c r="J102" s="67">
        <f t="shared" si="24"/>
        <v>60</v>
      </c>
      <c r="K102" s="67">
        <f t="shared" si="24"/>
        <v>92</v>
      </c>
      <c r="L102" s="67">
        <f t="shared" si="24"/>
        <v>100</v>
      </c>
      <c r="M102" s="67">
        <f t="shared" si="24"/>
        <v>96</v>
      </c>
      <c r="N102" s="67">
        <f t="shared" si="24"/>
        <v>101</v>
      </c>
      <c r="O102" s="7">
        <f>SUM(C102:N102)</f>
        <v>1080</v>
      </c>
      <c r="Q102" s="7"/>
    </row>
    <row r="103" spans="1:17" s="37" customFormat="1" ht="39" customHeight="1">
      <c r="A103" s="19" t="s">
        <v>185</v>
      </c>
      <c r="B103" s="66" t="s">
        <v>101</v>
      </c>
      <c r="C103" s="88">
        <v>80</v>
      </c>
      <c r="D103" s="88">
        <v>78</v>
      </c>
      <c r="E103" s="88">
        <v>83</v>
      </c>
      <c r="F103" s="88">
        <v>85</v>
      </c>
      <c r="G103" s="88">
        <v>78</v>
      </c>
      <c r="H103" s="88">
        <v>68</v>
      </c>
      <c r="I103" s="88">
        <v>62</v>
      </c>
      <c r="J103" s="88">
        <v>55</v>
      </c>
      <c r="K103" s="88">
        <v>75</v>
      </c>
      <c r="L103" s="88">
        <v>72</v>
      </c>
      <c r="M103" s="88">
        <v>84</v>
      </c>
      <c r="N103" s="88">
        <v>80</v>
      </c>
      <c r="O103" s="7">
        <f t="shared" si="23"/>
        <v>900</v>
      </c>
      <c r="Q103" s="7">
        <v>2850</v>
      </c>
    </row>
    <row r="104" spans="1:17" s="37" customFormat="1" ht="47.25" customHeight="1">
      <c r="A104" s="19" t="s">
        <v>180</v>
      </c>
      <c r="B104" s="70" t="s">
        <v>101</v>
      </c>
      <c r="C104" s="86">
        <v>172</v>
      </c>
      <c r="D104" s="86">
        <v>150</v>
      </c>
      <c r="E104" s="86">
        <v>159</v>
      </c>
      <c r="F104" s="86">
        <v>150</v>
      </c>
      <c r="G104" s="86">
        <v>120</v>
      </c>
      <c r="H104" s="86">
        <v>80</v>
      </c>
      <c r="I104" s="86">
        <v>55</v>
      </c>
      <c r="J104" s="86">
        <v>55</v>
      </c>
      <c r="K104" s="86">
        <v>135</v>
      </c>
      <c r="L104" s="86">
        <v>152</v>
      </c>
      <c r="M104" s="86">
        <v>165</v>
      </c>
      <c r="N104" s="86">
        <v>167</v>
      </c>
      <c r="O104" s="76">
        <f t="shared" si="23"/>
        <v>1560</v>
      </c>
      <c r="Q104" s="7"/>
    </row>
    <row r="105" spans="1:18" s="37" customFormat="1" ht="21" customHeight="1">
      <c r="A105" s="19" t="s">
        <v>79</v>
      </c>
      <c r="B105" s="19"/>
      <c r="C105" s="133">
        <v>55</v>
      </c>
      <c r="D105" s="133">
        <v>45</v>
      </c>
      <c r="E105" s="133">
        <v>40</v>
      </c>
      <c r="F105" s="133">
        <v>30</v>
      </c>
      <c r="G105" s="133">
        <v>20</v>
      </c>
      <c r="H105" s="133"/>
      <c r="I105" s="133"/>
      <c r="J105" s="133"/>
      <c r="K105" s="133">
        <v>30</v>
      </c>
      <c r="L105" s="133">
        <v>35</v>
      </c>
      <c r="M105" s="133">
        <v>50</v>
      </c>
      <c r="N105" s="133">
        <v>55</v>
      </c>
      <c r="O105" s="10">
        <f t="shared" si="23"/>
        <v>360</v>
      </c>
      <c r="Q105" s="7"/>
      <c r="R105" s="37">
        <v>662</v>
      </c>
    </row>
    <row r="106" spans="1:17" s="37" customFormat="1" ht="36.75" customHeight="1">
      <c r="A106" s="19" t="s">
        <v>181</v>
      </c>
      <c r="B106" s="70" t="s">
        <v>101</v>
      </c>
      <c r="C106" s="8">
        <f>C104-C105</f>
        <v>117</v>
      </c>
      <c r="D106" s="8">
        <f aca="true" t="shared" si="25" ref="D106:O106">D104-D105</f>
        <v>105</v>
      </c>
      <c r="E106" s="8">
        <f t="shared" si="25"/>
        <v>119</v>
      </c>
      <c r="F106" s="8">
        <f t="shared" si="25"/>
        <v>120</v>
      </c>
      <c r="G106" s="8">
        <f t="shared" si="25"/>
        <v>100</v>
      </c>
      <c r="H106" s="8">
        <f t="shared" si="25"/>
        <v>80</v>
      </c>
      <c r="I106" s="8">
        <f t="shared" si="25"/>
        <v>55</v>
      </c>
      <c r="J106" s="8">
        <f t="shared" si="25"/>
        <v>55</v>
      </c>
      <c r="K106" s="8">
        <f t="shared" si="25"/>
        <v>105</v>
      </c>
      <c r="L106" s="8">
        <f t="shared" si="25"/>
        <v>117</v>
      </c>
      <c r="M106" s="8">
        <f t="shared" si="25"/>
        <v>115</v>
      </c>
      <c r="N106" s="8">
        <f t="shared" si="25"/>
        <v>112</v>
      </c>
      <c r="O106" s="7">
        <f t="shared" si="25"/>
        <v>1200</v>
      </c>
      <c r="Q106" s="7"/>
    </row>
    <row r="107" spans="1:19" s="37" customFormat="1" ht="42.75" customHeight="1">
      <c r="A107" s="170" t="s">
        <v>114</v>
      </c>
      <c r="B107" s="66" t="s">
        <v>111</v>
      </c>
      <c r="C107" s="74">
        <f>C7+C10+C13+C14+C19+C21+C22+C23+C24+C27+C28+C33+C39+C42+C43+C47+C50+C52+C54+C58+C62+C65+C66+C67+C74+C78+C81+C87+C89+C91+C93+C94+C95+C96+C97+C98+C100+C103+C104</f>
        <v>8650.373</v>
      </c>
      <c r="D107" s="74">
        <f aca="true" t="shared" si="26" ref="D107:N107">D7+D10+D13+D14+D19+D21+D22+D23+D24+D27+D28+D33+D39+D42+D43+D47+D50+D52+D54+D58+D62+D65+D66+D67+D74+D78+D81+D87+D89+D91+D93+D94+D95+D96+D97+D98+D100+D103+D104</f>
        <v>9160.573</v>
      </c>
      <c r="E107" s="74">
        <f t="shared" si="26"/>
        <v>9837.643</v>
      </c>
      <c r="F107" s="74">
        <f t="shared" si="26"/>
        <v>8032.673</v>
      </c>
      <c r="G107" s="74">
        <f t="shared" si="26"/>
        <v>7584.973</v>
      </c>
      <c r="H107" s="74">
        <f t="shared" si="26"/>
        <v>5162.29</v>
      </c>
      <c r="I107" s="74">
        <f t="shared" si="26"/>
        <v>3359.12</v>
      </c>
      <c r="J107" s="74">
        <f t="shared" si="26"/>
        <v>3123.8</v>
      </c>
      <c r="K107" s="74">
        <f t="shared" si="26"/>
        <v>8581.003</v>
      </c>
      <c r="L107" s="74">
        <f t="shared" si="26"/>
        <v>9436.873000000001</v>
      </c>
      <c r="M107" s="74">
        <f t="shared" si="26"/>
        <v>8007.754999999999</v>
      </c>
      <c r="N107" s="74">
        <f t="shared" si="26"/>
        <v>7852.293</v>
      </c>
      <c r="O107" s="74">
        <f>SUM(C107:N107)</f>
        <v>88789.36900000002</v>
      </c>
      <c r="P107" s="74" t="e">
        <f>P7+P10+P13+P14+P19+P20+P22+P23+P24+P27+P28+P29+P39+P42+P43+P44+P50+P51+P54+P58+P62+P65+P66+P67+P74+P78+P81+P86+P88+P91+P93+P94+P95+P96+P97+P98+P100+P103+P104</f>
        <v>#REF!</v>
      </c>
      <c r="Q107" s="74" t="e">
        <f>Q7+Q10+Q13+Q14+Q19+Q20+Q22+Q23+Q24+Q27+Q28+Q29+Q39+Q42+Q43+Q44+Q50+Q51+Q54+Q58+Q62+Q65+Q66+Q67+Q74+Q78+Q81+Q86+Q88+Q91+Q93+Q94+Q95+Q96+Q97+Q98+Q100+Q103+Q104</f>
        <v>#REF!</v>
      </c>
      <c r="R107" s="74" t="e">
        <f>R7+R10+R13+R14+R19+R20+R22+R23+R24+R27+R28+R29+R39+R42+R43+R44+R50+R51+R54+R58+R62+R65+R66+R67+R74+R78+R81+R86+R88+R91+R93+R94+R95+R96+R97+R98+R100+R103+R104</f>
        <v>#REF!</v>
      </c>
      <c r="S107" s="74">
        <f>S7+S10+S13+S14+S19+S20+S22+S23+S24+S27+S28+S29+S39+S42+S43+S44+S50+S51+S54+S58+S62+S65+S66+S67+S74+S78+S81+S86+S88+S91+S93+S94+S95+S96+S97+S98+S100+S103+S104</f>
        <v>0</v>
      </c>
    </row>
    <row r="108" spans="1:18" s="37" customFormat="1" ht="18" customHeight="1">
      <c r="A108" s="172"/>
      <c r="B108" s="77" t="s">
        <v>113</v>
      </c>
      <c r="C108" s="121">
        <f>C68+C72+C101+C105</f>
        <v>118.563</v>
      </c>
      <c r="D108" s="121">
        <f aca="true" t="shared" si="27" ref="D108:N108">D68+D72+D101+D105</f>
        <v>108.263</v>
      </c>
      <c r="E108" s="121">
        <f t="shared" si="27"/>
        <v>103.563</v>
      </c>
      <c r="F108" s="121">
        <f t="shared" si="27"/>
        <v>93.263</v>
      </c>
      <c r="G108" s="121">
        <f t="shared" si="27"/>
        <v>83.563</v>
      </c>
      <c r="H108" s="121">
        <f t="shared" si="27"/>
        <v>0</v>
      </c>
      <c r="I108" s="121">
        <f t="shared" si="27"/>
        <v>0</v>
      </c>
      <c r="J108" s="121">
        <f t="shared" si="27"/>
        <v>0</v>
      </c>
      <c r="K108" s="121">
        <f t="shared" si="27"/>
        <v>93.363</v>
      </c>
      <c r="L108" s="121">
        <f t="shared" si="27"/>
        <v>98.263</v>
      </c>
      <c r="M108" s="121">
        <f t="shared" si="27"/>
        <v>113.265</v>
      </c>
      <c r="N108" s="121">
        <f t="shared" si="27"/>
        <v>118.303</v>
      </c>
      <c r="O108" s="95">
        <f>SUM(C108:N108)</f>
        <v>930.409</v>
      </c>
      <c r="P108" s="74" t="e">
        <f>#REF!+#REF!+#REF!+#REF!+P105</f>
        <v>#REF!</v>
      </c>
      <c r="Q108" s="74" t="e">
        <f>#REF!+#REF!+#REF!+#REF!+Q105</f>
        <v>#REF!</v>
      </c>
      <c r="R108" s="74" t="e">
        <f>#REF!+#REF!+#REF!+#REF!+R105</f>
        <v>#REF!</v>
      </c>
    </row>
    <row r="109" spans="1:18" s="37" customFormat="1" ht="21" customHeight="1">
      <c r="A109" s="172"/>
      <c r="B109" s="77" t="s">
        <v>77</v>
      </c>
      <c r="C109" s="74">
        <f aca="true" t="shared" si="28" ref="C109:N109">C8+C11+C15+C25+C31+C37+C45+C56+C63+C71+C79+C83</f>
        <v>79.31</v>
      </c>
      <c r="D109" s="74">
        <f t="shared" si="28"/>
        <v>78.31</v>
      </c>
      <c r="E109" s="74">
        <f t="shared" si="28"/>
        <v>78.31</v>
      </c>
      <c r="F109" s="74">
        <f t="shared" si="28"/>
        <v>78.41</v>
      </c>
      <c r="G109" s="74">
        <f t="shared" si="28"/>
        <v>77.41</v>
      </c>
      <c r="H109" s="74">
        <f t="shared" si="28"/>
        <v>50.29</v>
      </c>
      <c r="I109" s="74">
        <f t="shared" si="28"/>
        <v>21.12</v>
      </c>
      <c r="J109" s="74">
        <f t="shared" si="28"/>
        <v>33.8</v>
      </c>
      <c r="K109" s="74">
        <f t="shared" si="28"/>
        <v>76.41</v>
      </c>
      <c r="L109" s="74">
        <f t="shared" si="28"/>
        <v>79.41</v>
      </c>
      <c r="M109" s="74">
        <f t="shared" si="28"/>
        <v>80.29</v>
      </c>
      <c r="N109" s="74">
        <f t="shared" si="28"/>
        <v>80.29</v>
      </c>
      <c r="O109" s="10">
        <f>SUM(C109:N109)</f>
        <v>813.3599999999999</v>
      </c>
      <c r="P109" s="74" t="e">
        <f>P8+P11+P15+P25+P31+#REF!+P45+P56+P63+P71+P79+P83</f>
        <v>#REF!</v>
      </c>
      <c r="Q109" s="74" t="e">
        <f>Q8+Q11+Q15+Q25+Q31+#REF!+Q45+Q56+Q63+Q71+Q79+Q83</f>
        <v>#REF!</v>
      </c>
      <c r="R109" s="74" t="e">
        <f>R8+R11+R15+R25+R31+#REF!+R45+R56+R63+R71+R79+R83</f>
        <v>#REF!</v>
      </c>
    </row>
    <row r="110" spans="1:19" s="37" customFormat="1" ht="32.25" customHeight="1">
      <c r="A110" s="172"/>
      <c r="B110" s="71" t="s">
        <v>112</v>
      </c>
      <c r="C110" s="74">
        <f aca="true" t="shared" si="29" ref="C110:S110">C7+C10+C13+C14+C17+C18+C20+C22+C23+C24+C27+C28+C29+C36+C42+C43+C44+C50+C51+C53+C55+C62+C65+C66+C67+C70+C78+C81+C85+C86+C88+C90+C92+C94+C95+C96+C97+C98+C100+C103+C104</f>
        <v>7704.873</v>
      </c>
      <c r="D110" s="74">
        <f t="shared" si="29"/>
        <v>7634.572999999999</v>
      </c>
      <c r="E110" s="74">
        <f t="shared" si="29"/>
        <v>7782.873</v>
      </c>
      <c r="F110" s="74">
        <f t="shared" si="29"/>
        <v>7696.673</v>
      </c>
      <c r="G110" s="74">
        <f t="shared" si="29"/>
        <v>7219.973</v>
      </c>
      <c r="H110" s="74">
        <f t="shared" si="29"/>
        <v>4808.29</v>
      </c>
      <c r="I110" s="74">
        <f t="shared" si="29"/>
        <v>3297.12</v>
      </c>
      <c r="J110" s="74">
        <f t="shared" si="29"/>
        <v>3096.8</v>
      </c>
      <c r="K110" s="74">
        <f t="shared" si="29"/>
        <v>7082.773</v>
      </c>
      <c r="L110" s="74">
        <f t="shared" si="29"/>
        <v>7404.673</v>
      </c>
      <c r="M110" s="74">
        <f t="shared" si="29"/>
        <v>7368.554999999999</v>
      </c>
      <c r="N110" s="74">
        <f t="shared" si="29"/>
        <v>7058.592999999999</v>
      </c>
      <c r="O110" s="74">
        <f t="shared" si="29"/>
        <v>78155.769</v>
      </c>
      <c r="P110" s="74" t="e">
        <f t="shared" si="29"/>
        <v>#REF!</v>
      </c>
      <c r="Q110" s="74" t="e">
        <f t="shared" si="29"/>
        <v>#REF!</v>
      </c>
      <c r="R110" s="74" t="e">
        <f t="shared" si="29"/>
        <v>#REF!</v>
      </c>
      <c r="S110" s="74">
        <f t="shared" si="29"/>
        <v>1919.8199999999997</v>
      </c>
    </row>
    <row r="111" spans="1:18" s="37" customFormat="1" ht="19.5" customHeight="1">
      <c r="A111" s="172"/>
      <c r="B111" s="77" t="s">
        <v>113</v>
      </c>
      <c r="C111" s="121">
        <f>C68+C72+C101+C105</f>
        <v>118.563</v>
      </c>
      <c r="D111" s="121">
        <f aca="true" t="shared" si="30" ref="D111:N111">D68+D72+D101+D105</f>
        <v>108.263</v>
      </c>
      <c r="E111" s="121">
        <f t="shared" si="30"/>
        <v>103.563</v>
      </c>
      <c r="F111" s="121">
        <f t="shared" si="30"/>
        <v>93.263</v>
      </c>
      <c r="G111" s="121">
        <f t="shared" si="30"/>
        <v>83.563</v>
      </c>
      <c r="H111" s="121">
        <f t="shared" si="30"/>
        <v>0</v>
      </c>
      <c r="I111" s="121">
        <f t="shared" si="30"/>
        <v>0</v>
      </c>
      <c r="J111" s="121">
        <f t="shared" si="30"/>
        <v>0</v>
      </c>
      <c r="K111" s="121">
        <f t="shared" si="30"/>
        <v>93.363</v>
      </c>
      <c r="L111" s="121">
        <f t="shared" si="30"/>
        <v>98.263</v>
      </c>
      <c r="M111" s="121">
        <f t="shared" si="30"/>
        <v>113.265</v>
      </c>
      <c r="N111" s="121">
        <f t="shared" si="30"/>
        <v>118.303</v>
      </c>
      <c r="O111" s="95">
        <f>SUM(C111:N111)</f>
        <v>930.409</v>
      </c>
      <c r="P111" s="74" t="e">
        <f>#REF!+P105</f>
        <v>#REF!</v>
      </c>
      <c r="Q111" s="74" t="e">
        <f>#REF!+Q105</f>
        <v>#REF!</v>
      </c>
      <c r="R111" s="74" t="e">
        <f>#REF!+R105</f>
        <v>#REF!</v>
      </c>
    </row>
    <row r="112" spans="1:18" s="37" customFormat="1" ht="16.5" customHeight="1">
      <c r="A112" s="171"/>
      <c r="B112" s="77" t="s">
        <v>77</v>
      </c>
      <c r="C112" s="74">
        <f aca="true" t="shared" si="31" ref="C112:N112">C8+C11+C15+C25+C31+C37+C45+C56+C63+C71+C79+C83</f>
        <v>79.31</v>
      </c>
      <c r="D112" s="74">
        <f t="shared" si="31"/>
        <v>78.31</v>
      </c>
      <c r="E112" s="74">
        <f t="shared" si="31"/>
        <v>78.31</v>
      </c>
      <c r="F112" s="74">
        <f t="shared" si="31"/>
        <v>78.41</v>
      </c>
      <c r="G112" s="74">
        <f t="shared" si="31"/>
        <v>77.41</v>
      </c>
      <c r="H112" s="74">
        <f t="shared" si="31"/>
        <v>50.29</v>
      </c>
      <c r="I112" s="74">
        <f t="shared" si="31"/>
        <v>21.12</v>
      </c>
      <c r="J112" s="74">
        <f t="shared" si="31"/>
        <v>33.8</v>
      </c>
      <c r="K112" s="74">
        <f t="shared" si="31"/>
        <v>76.41</v>
      </c>
      <c r="L112" s="74">
        <f t="shared" si="31"/>
        <v>79.41</v>
      </c>
      <c r="M112" s="74">
        <f t="shared" si="31"/>
        <v>80.29</v>
      </c>
      <c r="N112" s="74">
        <f t="shared" si="31"/>
        <v>80.29</v>
      </c>
      <c r="O112" s="10">
        <f>SUM(C112:N112)</f>
        <v>813.3599999999999</v>
      </c>
      <c r="P112" s="74" t="e">
        <f>P8+P11+P15+P25+P31+P37+P45+#REF!+P63+#REF!+P79+P83</f>
        <v>#REF!</v>
      </c>
      <c r="Q112" s="74" t="e">
        <f>Q8+Q11+Q15+Q25+Q31+Q37+Q45+#REF!+Q63+#REF!+Q79+Q83</f>
        <v>#REF!</v>
      </c>
      <c r="R112" s="74" t="e">
        <f>R8+R11+R15+R25+R31+R37+R45+#REF!+R63+#REF!+R79+R83</f>
        <v>#REF!</v>
      </c>
    </row>
    <row r="113" spans="1:18" s="37" customFormat="1" ht="50.25" customHeight="1">
      <c r="A113" s="170" t="s">
        <v>60</v>
      </c>
      <c r="B113" s="66" t="s">
        <v>111</v>
      </c>
      <c r="C113" s="74">
        <f>C107-C109</f>
        <v>8571.063</v>
      </c>
      <c r="D113" s="74">
        <f aca="true" t="shared" si="32" ref="D113:N113">D107-D109</f>
        <v>9082.263</v>
      </c>
      <c r="E113" s="74">
        <f t="shared" si="32"/>
        <v>9759.333</v>
      </c>
      <c r="F113" s="74">
        <f t="shared" si="32"/>
        <v>7954.263</v>
      </c>
      <c r="G113" s="74">
        <f t="shared" si="32"/>
        <v>7507.563</v>
      </c>
      <c r="H113" s="74">
        <f t="shared" si="32"/>
        <v>5112</v>
      </c>
      <c r="I113" s="74">
        <f t="shared" si="32"/>
        <v>3338</v>
      </c>
      <c r="J113" s="74">
        <f t="shared" si="32"/>
        <v>3090</v>
      </c>
      <c r="K113" s="74">
        <f t="shared" si="32"/>
        <v>8504.593</v>
      </c>
      <c r="L113" s="74">
        <f t="shared" si="32"/>
        <v>9357.463000000002</v>
      </c>
      <c r="M113" s="74">
        <f t="shared" si="32"/>
        <v>7927.464999999999</v>
      </c>
      <c r="N113" s="74">
        <f t="shared" si="32"/>
        <v>7772.003</v>
      </c>
      <c r="O113" s="10">
        <f>SUM(C113:N113)</f>
        <v>87976.00899999999</v>
      </c>
      <c r="P113" s="74" t="e">
        <f>P7-P8+P10-P11+P13-+P14-P15+#REF!+P20+P22+P23+P24-P25+P27+P28+P29-P31+#REF!-#REF!++P42+P43+P44-P45+P50+P51+#REF!+P55-P56+P62-P63+P65+P66+P67+P70-P71+P78-P79+P81-P83+P86+P88+#REF!+#REF!+P94+P95+P96+P97+#REF!+#REF!+P98+P100+P103+P104</f>
        <v>#REF!</v>
      </c>
      <c r="Q113" s="74" t="e">
        <f>Q7-Q8+Q10-Q11+Q13-+Q14-Q15+#REF!+Q20+Q22+Q23+Q24-Q25+Q27+Q28+Q29-Q31+#REF!-#REF!++Q42+Q43+Q44-Q45+Q50+Q51+#REF!+Q55-Q56+Q62-Q63+Q65+Q66+Q67+Q70-Q71+Q78-Q79+Q81-Q83+Q86+Q88+#REF!+#REF!+Q94+Q95+Q96+Q97+#REF!+#REF!+Q98+Q100+Q103+Q104</f>
        <v>#REF!</v>
      </c>
      <c r="R113" s="74" t="e">
        <f>R7-R8+R10-R11+R13-+R14-R15+#REF!+R20+R22+R23+R24-R25+R27+R28+R29-R31+#REF!-#REF!++R42+R43+R44-R45+R50+R51+#REF!+R55-R56+R62-R63+R65+R66+R67+R70-R71+R78-R79+R81-R83+R86+R88+#REF!+#REF!+R94+R95+R96+R97+#REF!+#REF!+R98+R100+R103+R104</f>
        <v>#REF!</v>
      </c>
    </row>
    <row r="114" spans="1:17" s="37" customFormat="1" ht="14.25" customHeight="1">
      <c r="A114" s="173"/>
      <c r="B114" s="77" t="s">
        <v>79</v>
      </c>
      <c r="C114" s="121">
        <f>C111</f>
        <v>118.563</v>
      </c>
      <c r="D114" s="121">
        <f aca="true" t="shared" si="33" ref="D114:O114">D111</f>
        <v>108.263</v>
      </c>
      <c r="E114" s="121">
        <f t="shared" si="33"/>
        <v>103.563</v>
      </c>
      <c r="F114" s="121">
        <f t="shared" si="33"/>
        <v>93.263</v>
      </c>
      <c r="G114" s="121">
        <f t="shared" si="33"/>
        <v>83.563</v>
      </c>
      <c r="H114" s="121">
        <f t="shared" si="33"/>
        <v>0</v>
      </c>
      <c r="I114" s="121">
        <f t="shared" si="33"/>
        <v>0</v>
      </c>
      <c r="J114" s="121">
        <f t="shared" si="33"/>
        <v>0</v>
      </c>
      <c r="K114" s="121">
        <f t="shared" si="33"/>
        <v>93.363</v>
      </c>
      <c r="L114" s="121">
        <f t="shared" si="33"/>
        <v>98.263</v>
      </c>
      <c r="M114" s="121">
        <f t="shared" si="33"/>
        <v>113.265</v>
      </c>
      <c r="N114" s="121">
        <f t="shared" si="33"/>
        <v>118.303</v>
      </c>
      <c r="O114" s="121">
        <f t="shared" si="33"/>
        <v>930.409</v>
      </c>
      <c r="Q114" s="7"/>
    </row>
    <row r="115" spans="1:18" s="37" customFormat="1" ht="43.5" customHeight="1">
      <c r="A115" s="173"/>
      <c r="B115" s="66" t="s">
        <v>112</v>
      </c>
      <c r="C115" s="74">
        <f>C110-C112</f>
        <v>7625.562999999999</v>
      </c>
      <c r="D115" s="74">
        <f aca="true" t="shared" si="34" ref="D115:N115">D110-D112</f>
        <v>7556.262999999999</v>
      </c>
      <c r="E115" s="74">
        <f t="shared" si="34"/>
        <v>7704.562999999999</v>
      </c>
      <c r="F115" s="74">
        <f t="shared" si="34"/>
        <v>7618.263</v>
      </c>
      <c r="G115" s="74">
        <f t="shared" si="34"/>
        <v>7142.563</v>
      </c>
      <c r="H115" s="74">
        <f t="shared" si="34"/>
        <v>4758</v>
      </c>
      <c r="I115" s="74">
        <f t="shared" si="34"/>
        <v>3276</v>
      </c>
      <c r="J115" s="74">
        <f t="shared" si="34"/>
        <v>3063</v>
      </c>
      <c r="K115" s="74">
        <f t="shared" si="34"/>
        <v>7006.363</v>
      </c>
      <c r="L115" s="74">
        <f t="shared" si="34"/>
        <v>7325.263</v>
      </c>
      <c r="M115" s="74">
        <f t="shared" si="34"/>
        <v>7288.264999999999</v>
      </c>
      <c r="N115" s="74">
        <f t="shared" si="34"/>
        <v>6978.302999999999</v>
      </c>
      <c r="O115" s="10">
        <f>SUM(C115:N115)</f>
        <v>77342.409</v>
      </c>
      <c r="P115" s="74" t="e">
        <f>P9+P12+P13+P16+P17+#REF!+P20+P22+P23+P26+P27+P28+P32+P38+P42+P46+P50+P51+#REF!+P57+P64+P65+P66+P67+P73+P80+P84+P85+P86+P88+#REF!+#REF!+P94+P95+P96+P97+#REF!+#REF!+P98+P100+P103+P104</f>
        <v>#REF!</v>
      </c>
      <c r="Q115" s="74" t="e">
        <f>Q9+Q12+Q13+Q16+Q17+#REF!+Q20+Q22+Q23+Q26+Q27+Q28+Q32+Q38+Q42+Q46+Q50+Q51+#REF!+Q57+Q64+Q65+Q66+Q67+Q73+Q80+Q84+Q85+Q86+Q88+#REF!+#REF!+Q94+Q95+Q96+Q97+#REF!+#REF!+Q98+Q100+Q103+Q104</f>
        <v>#REF!</v>
      </c>
      <c r="R115" s="74" t="e">
        <f>R9+R12+R13+R16+R17+#REF!+R20+R22+R23+R26+R27+R28+R32+R38+R42+R46+R50+R51+#REF!+R57+R64+R65+R66+R67+R73+R80+R84+R85+R86+R88+#REF!+#REF!+R94+R95+R96+R97+#REF!+#REF!+R98+R100+R103+R104</f>
        <v>#REF!</v>
      </c>
    </row>
    <row r="116" spans="1:18" s="37" customFormat="1" ht="15.75" customHeight="1">
      <c r="A116" s="166"/>
      <c r="B116" s="77" t="s">
        <v>79</v>
      </c>
      <c r="C116" s="121">
        <f>C111</f>
        <v>118.563</v>
      </c>
      <c r="D116" s="121">
        <f aca="true" t="shared" si="35" ref="D116:O116">D111</f>
        <v>108.263</v>
      </c>
      <c r="E116" s="121">
        <f t="shared" si="35"/>
        <v>103.563</v>
      </c>
      <c r="F116" s="121">
        <f t="shared" si="35"/>
        <v>93.263</v>
      </c>
      <c r="G116" s="121">
        <f t="shared" si="35"/>
        <v>83.563</v>
      </c>
      <c r="H116" s="121">
        <f t="shared" si="35"/>
        <v>0</v>
      </c>
      <c r="I116" s="121">
        <f t="shared" si="35"/>
        <v>0</v>
      </c>
      <c r="J116" s="121">
        <f t="shared" si="35"/>
        <v>0</v>
      </c>
      <c r="K116" s="121">
        <f t="shared" si="35"/>
        <v>93.363</v>
      </c>
      <c r="L116" s="121">
        <f t="shared" si="35"/>
        <v>98.263</v>
      </c>
      <c r="M116" s="121">
        <f t="shared" si="35"/>
        <v>113.265</v>
      </c>
      <c r="N116" s="121">
        <f t="shared" si="35"/>
        <v>118.303</v>
      </c>
      <c r="O116" s="121">
        <f t="shared" si="35"/>
        <v>930.409</v>
      </c>
      <c r="P116" s="74">
        <f>P105</f>
        <v>0</v>
      </c>
      <c r="Q116" s="74">
        <f>Q105</f>
        <v>0</v>
      </c>
      <c r="R116" s="74">
        <f>R105</f>
        <v>662</v>
      </c>
    </row>
    <row r="117" spans="1:19" s="37" customFormat="1" ht="54.75" customHeight="1">
      <c r="A117" s="170" t="s">
        <v>118</v>
      </c>
      <c r="B117" s="66" t="s">
        <v>119</v>
      </c>
      <c r="C117" s="12">
        <f>C113-C114</f>
        <v>8452.5</v>
      </c>
      <c r="D117" s="12">
        <f aca="true" t="shared" si="36" ref="D117:O117">D113-D114</f>
        <v>8974</v>
      </c>
      <c r="E117" s="12">
        <f t="shared" si="36"/>
        <v>9655.77</v>
      </c>
      <c r="F117" s="12">
        <f t="shared" si="36"/>
        <v>7861</v>
      </c>
      <c r="G117" s="12">
        <f t="shared" si="36"/>
        <v>7424</v>
      </c>
      <c r="H117" s="12">
        <f t="shared" si="36"/>
        <v>5112</v>
      </c>
      <c r="I117" s="12">
        <f t="shared" si="36"/>
        <v>3338</v>
      </c>
      <c r="J117" s="12">
        <f t="shared" si="36"/>
        <v>3090</v>
      </c>
      <c r="K117" s="12">
        <f t="shared" si="36"/>
        <v>8411.230000000001</v>
      </c>
      <c r="L117" s="12">
        <f t="shared" si="36"/>
        <v>9259.2</v>
      </c>
      <c r="M117" s="12">
        <f t="shared" si="36"/>
        <v>7814.199999999999</v>
      </c>
      <c r="N117" s="12">
        <f t="shared" si="36"/>
        <v>7653.7</v>
      </c>
      <c r="O117" s="12">
        <f t="shared" si="36"/>
        <v>87045.59999999999</v>
      </c>
      <c r="P117" s="74" t="e">
        <f>P9+P12+P16+#REF!+P20+P22+P23+P26+P27+P28+P32+#REF!+P42+P43+P46+P50+P51+#REF!+#REF!+P64+P65+P66+P67+#REF!+P80+P84+P86+P88+#REF!+#REF!+P94+P95+P96+P97+#REF!+#REF!+P98+P100+P103+P106</f>
        <v>#REF!</v>
      </c>
      <c r="Q117" s="74" t="e">
        <f>Q9+Q12+Q16+#REF!+Q20+Q22+Q23+Q26+Q27+Q28+Q32+#REF!+Q42+Q43+Q46+Q50+Q51+#REF!+#REF!+Q64+Q65+Q66+Q67+#REF!+Q80+Q84+Q86+Q88+#REF!+#REF!+Q94+Q95+Q96+Q97+#REF!+#REF!+Q98+Q100+Q103+Q106</f>
        <v>#REF!</v>
      </c>
      <c r="R117" s="74" t="e">
        <f>R9+R12+R16+#REF!+R20+R22+R23+R26+R27+R28+R32+#REF!+R42+R43+R46+R50+R51+#REF!+#REF!+R64+R65+R66+R67+#REF!+R80+R84+R86+R88+#REF!+#REF!+R94+R95+R96+R97+#REF!+#REF!+R98+R100+R103+R106</f>
        <v>#REF!</v>
      </c>
      <c r="S117" s="37">
        <v>91040</v>
      </c>
    </row>
    <row r="118" spans="1:19" s="37" customFormat="1" ht="41.25" customHeight="1">
      <c r="A118" s="171"/>
      <c r="B118" s="66" t="s">
        <v>120</v>
      </c>
      <c r="C118" s="74">
        <f>C115-C116</f>
        <v>7506.999999999999</v>
      </c>
      <c r="D118" s="74">
        <f aca="true" t="shared" si="37" ref="D118:O118">D115-D116</f>
        <v>7447.999999999999</v>
      </c>
      <c r="E118" s="74">
        <f t="shared" si="37"/>
        <v>7600.999999999999</v>
      </c>
      <c r="F118" s="74">
        <f t="shared" si="37"/>
        <v>7525</v>
      </c>
      <c r="G118" s="74">
        <f t="shared" si="37"/>
        <v>7059</v>
      </c>
      <c r="H118" s="74">
        <f t="shared" si="37"/>
        <v>4758</v>
      </c>
      <c r="I118" s="74">
        <f t="shared" si="37"/>
        <v>3276</v>
      </c>
      <c r="J118" s="74">
        <f t="shared" si="37"/>
        <v>3063</v>
      </c>
      <c r="K118" s="74">
        <f t="shared" si="37"/>
        <v>6913</v>
      </c>
      <c r="L118" s="74">
        <f t="shared" si="37"/>
        <v>7227</v>
      </c>
      <c r="M118" s="74">
        <f t="shared" si="37"/>
        <v>7174.999999999999</v>
      </c>
      <c r="N118" s="74">
        <f t="shared" si="37"/>
        <v>6859.999999999999</v>
      </c>
      <c r="O118" s="74">
        <f t="shared" si="37"/>
        <v>76412</v>
      </c>
      <c r="P118" s="74" t="e">
        <f>P9+P12+P16+P17+#REF!+P20+P22+P23+P26+P27+P28+P32+P38+P42+P43+P46+P50+P51+#REF!+P57+P64+P65+P66+P67+P73+P80+P84+P85+P86+P88+#REF!+#REF!+P94+P95+P96+P97+#REF!+#REF!+P98+P100+P103+P106</f>
        <v>#REF!</v>
      </c>
      <c r="Q118" s="74" t="e">
        <f>Q9+Q12+Q16+Q17+#REF!+Q20+Q22+Q23+Q26+Q27+Q28+Q32+Q38+Q42+Q43+Q46+Q50+Q51+#REF!+Q57+Q64+Q65+Q66+Q67+Q73+Q80+Q84+Q85+Q86+Q88+#REF!+#REF!+Q94+Q95+Q96+Q97+#REF!+#REF!+Q98+Q100+Q103+Q106</f>
        <v>#REF!</v>
      </c>
      <c r="R118" s="74" t="e">
        <f>R9+R12+R16+R17+#REF!+R20+R22+R23+R26+R27+R28+R32+R38+R42+R43+R46+R50+R51+#REF!+R57+R64+R65+R66+R67+R73+R80+R84+R85+R86+R88+#REF!+#REF!+R94+R95+R96+R97+#REF!+#REF!+R98+R100+R103+R106</f>
        <v>#REF!</v>
      </c>
      <c r="S118" s="37">
        <v>86610</v>
      </c>
    </row>
  </sheetData>
  <sheetProtection/>
  <mergeCells count="13">
    <mergeCell ref="A3:O3"/>
    <mergeCell ref="A4:O4"/>
    <mergeCell ref="A107:A112"/>
    <mergeCell ref="A113:A116"/>
    <mergeCell ref="A18:A19"/>
    <mergeCell ref="A53:A54"/>
    <mergeCell ref="A90:A91"/>
    <mergeCell ref="A92:A93"/>
    <mergeCell ref="A20:A21"/>
    <mergeCell ref="A88:A89"/>
    <mergeCell ref="A51:A52"/>
    <mergeCell ref="A86:A87"/>
    <mergeCell ref="A117:A11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74"/>
  <sheetViews>
    <sheetView tabSelected="1" zoomScalePageLayoutView="0" workbookViewId="0" topLeftCell="A1">
      <pane xSplit="1" ySplit="5" topLeftCell="B8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00390625" defaultRowHeight="12.75"/>
  <cols>
    <col min="1" max="1" width="13.375" style="39" customWidth="1"/>
    <col min="2" max="2" width="9.375" style="39" customWidth="1"/>
    <col min="3" max="3" width="8.25390625" style="39" customWidth="1"/>
    <col min="4" max="4" width="8.75390625" style="39" customWidth="1"/>
    <col min="5" max="6" width="8.25390625" style="39" customWidth="1"/>
    <col min="7" max="7" width="8.375" style="39" customWidth="1"/>
    <col min="8" max="8" width="8.25390625" style="39" customWidth="1"/>
    <col min="9" max="10" width="7.625" style="39" customWidth="1"/>
    <col min="11" max="11" width="8.25390625" style="39" customWidth="1"/>
    <col min="12" max="12" width="8.75390625" style="39" customWidth="1"/>
    <col min="13" max="13" width="8.375" style="39" customWidth="1"/>
    <col min="14" max="14" width="8.625" style="39" customWidth="1"/>
    <col min="15" max="15" width="9.25390625" style="63" customWidth="1"/>
    <col min="16" max="16" width="10.375" style="39" hidden="1" customWidth="1"/>
    <col min="17" max="16384" width="9.125" style="39" customWidth="1"/>
  </cols>
  <sheetData>
    <row r="2" spans="1:15" s="20" customFormat="1" ht="12.75" customHeight="1">
      <c r="A2" s="161" t="s">
        <v>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20" customFormat="1" ht="16.5" customHeight="1">
      <c r="A3" s="162" t="s">
        <v>157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ht="12">
      <c r="O4" s="40"/>
    </row>
    <row r="5" spans="1:15" s="43" customFormat="1" ht="15.75" customHeight="1">
      <c r="A5" s="41" t="s">
        <v>20</v>
      </c>
      <c r="B5" s="41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21</v>
      </c>
      <c r="I5" s="42" t="s">
        <v>5</v>
      </c>
      <c r="J5" s="42" t="s">
        <v>6</v>
      </c>
      <c r="K5" s="42" t="s">
        <v>7</v>
      </c>
      <c r="L5" s="42" t="s">
        <v>8</v>
      </c>
      <c r="M5" s="42" t="s">
        <v>9</v>
      </c>
      <c r="N5" s="42" t="s">
        <v>10</v>
      </c>
      <c r="O5" s="22" t="s">
        <v>58</v>
      </c>
    </row>
    <row r="6" spans="1:15" s="43" customFormat="1" ht="27.75" customHeight="1">
      <c r="A6" s="44" t="s">
        <v>127</v>
      </c>
      <c r="B6" s="4" t="s">
        <v>172</v>
      </c>
      <c r="C6" s="79">
        <v>140</v>
      </c>
      <c r="D6" s="79">
        <v>130</v>
      </c>
      <c r="E6" s="79">
        <v>135</v>
      </c>
      <c r="F6" s="79">
        <v>138</v>
      </c>
      <c r="G6" s="79">
        <v>120</v>
      </c>
      <c r="H6" s="79">
        <v>110</v>
      </c>
      <c r="I6" s="79">
        <v>80</v>
      </c>
      <c r="J6" s="79">
        <v>90</v>
      </c>
      <c r="K6" s="5">
        <v>100</v>
      </c>
      <c r="L6" s="5">
        <v>100</v>
      </c>
      <c r="M6" s="5">
        <v>130</v>
      </c>
      <c r="N6" s="5">
        <v>127</v>
      </c>
      <c r="O6" s="17">
        <f>SUM(C6:N6)</f>
        <v>1400</v>
      </c>
    </row>
    <row r="7" spans="1:15" s="43" customFormat="1" ht="45.75" customHeight="1">
      <c r="A7" s="44" t="s">
        <v>80</v>
      </c>
      <c r="B7" s="4" t="s">
        <v>172</v>
      </c>
      <c r="C7" s="106">
        <v>43</v>
      </c>
      <c r="D7" s="106">
        <v>48</v>
      </c>
      <c r="E7" s="106">
        <v>43</v>
      </c>
      <c r="F7" s="106">
        <v>46</v>
      </c>
      <c r="G7" s="106">
        <v>41</v>
      </c>
      <c r="H7" s="106">
        <v>32</v>
      </c>
      <c r="I7" s="106">
        <v>24</v>
      </c>
      <c r="J7" s="106">
        <v>18</v>
      </c>
      <c r="K7" s="106">
        <v>40</v>
      </c>
      <c r="L7" s="106">
        <v>45</v>
      </c>
      <c r="M7" s="106">
        <v>46</v>
      </c>
      <c r="N7" s="106">
        <v>42</v>
      </c>
      <c r="O7" s="17">
        <f>SUM(C7:N7)</f>
        <v>468</v>
      </c>
    </row>
    <row r="8" spans="1:15" s="43" customFormat="1" ht="16.5" customHeight="1">
      <c r="A8" s="44" t="s">
        <v>71</v>
      </c>
      <c r="B8" s="44"/>
      <c r="C8" s="45">
        <v>1</v>
      </c>
      <c r="D8" s="45">
        <v>2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11">
        <f>SUM(C8:N8)</f>
        <v>13</v>
      </c>
    </row>
    <row r="9" spans="1:15" s="43" customFormat="1" ht="51" customHeight="1">
      <c r="A9" s="44" t="s">
        <v>171</v>
      </c>
      <c r="B9" s="4" t="s">
        <v>172</v>
      </c>
      <c r="C9" s="45">
        <f aca="true" t="shared" si="0" ref="C9:O9">C7-C8</f>
        <v>42</v>
      </c>
      <c r="D9" s="45">
        <f t="shared" si="0"/>
        <v>46</v>
      </c>
      <c r="E9" s="45">
        <f t="shared" si="0"/>
        <v>42</v>
      </c>
      <c r="F9" s="45">
        <f t="shared" si="0"/>
        <v>45</v>
      </c>
      <c r="G9" s="45">
        <f t="shared" si="0"/>
        <v>40</v>
      </c>
      <c r="H9" s="45">
        <f t="shared" si="0"/>
        <v>31</v>
      </c>
      <c r="I9" s="45">
        <f t="shared" si="0"/>
        <v>23</v>
      </c>
      <c r="J9" s="45">
        <f t="shared" si="0"/>
        <v>17</v>
      </c>
      <c r="K9" s="45">
        <f t="shared" si="0"/>
        <v>39</v>
      </c>
      <c r="L9" s="45">
        <f t="shared" si="0"/>
        <v>44</v>
      </c>
      <c r="M9" s="45">
        <f t="shared" si="0"/>
        <v>45</v>
      </c>
      <c r="N9" s="45">
        <f t="shared" si="0"/>
        <v>41</v>
      </c>
      <c r="O9" s="96">
        <f t="shared" si="0"/>
        <v>455</v>
      </c>
    </row>
    <row r="10" spans="1:16" s="43" customFormat="1" ht="30.75" customHeight="1">
      <c r="A10" s="44" t="s">
        <v>64</v>
      </c>
      <c r="B10" s="4" t="s">
        <v>172</v>
      </c>
      <c r="C10" s="19">
        <f>C11+C12+C13+C14+C15+C16+C17+C18+C19+C20</f>
        <v>21</v>
      </c>
      <c r="D10" s="19">
        <f aca="true" t="shared" si="1" ref="D10:P10">D11+D12+D13+D14+D15+D16+D17+D18+D19+D20</f>
        <v>16</v>
      </c>
      <c r="E10" s="19">
        <f t="shared" si="1"/>
        <v>16</v>
      </c>
      <c r="F10" s="19">
        <f t="shared" si="1"/>
        <v>15</v>
      </c>
      <c r="G10" s="19">
        <f t="shared" si="1"/>
        <v>13</v>
      </c>
      <c r="H10" s="19">
        <f t="shared" si="1"/>
        <v>8</v>
      </c>
      <c r="I10" s="19">
        <f t="shared" si="1"/>
        <v>7</v>
      </c>
      <c r="J10" s="19">
        <f t="shared" si="1"/>
        <v>11</v>
      </c>
      <c r="K10" s="19">
        <f t="shared" si="1"/>
        <v>9</v>
      </c>
      <c r="L10" s="19">
        <f t="shared" si="1"/>
        <v>13</v>
      </c>
      <c r="M10" s="19">
        <f t="shared" si="1"/>
        <v>14</v>
      </c>
      <c r="N10" s="19">
        <f t="shared" si="1"/>
        <v>17</v>
      </c>
      <c r="O10" s="19">
        <f>SUM(C10:N10)</f>
        <v>160</v>
      </c>
      <c r="P10" s="19">
        <f t="shared" si="1"/>
        <v>0</v>
      </c>
    </row>
    <row r="11" spans="1:15" s="43" customFormat="1" ht="15" customHeight="1">
      <c r="A11" s="46" t="s">
        <v>92</v>
      </c>
      <c r="B11" s="46"/>
      <c r="C11" s="14">
        <v>2</v>
      </c>
      <c r="D11" s="14">
        <v>2</v>
      </c>
      <c r="E11" s="19">
        <v>2</v>
      </c>
      <c r="F11" s="47">
        <v>1</v>
      </c>
      <c r="G11" s="47">
        <v>1</v>
      </c>
      <c r="H11" s="47">
        <v>1</v>
      </c>
      <c r="I11" s="47">
        <v>1</v>
      </c>
      <c r="J11" s="47">
        <v>1</v>
      </c>
      <c r="K11" s="47">
        <v>1</v>
      </c>
      <c r="L11" s="47">
        <v>1</v>
      </c>
      <c r="M11" s="47">
        <v>1</v>
      </c>
      <c r="N11" s="47">
        <v>2</v>
      </c>
      <c r="O11" s="11">
        <f aca="true" t="shared" si="2" ref="O11:O20">SUM(C11:N11)</f>
        <v>16</v>
      </c>
    </row>
    <row r="12" spans="1:15" s="43" customFormat="1" ht="15" customHeight="1">
      <c r="A12" s="46" t="s">
        <v>93</v>
      </c>
      <c r="B12" s="46"/>
      <c r="C12" s="14">
        <v>1</v>
      </c>
      <c r="D12" s="14">
        <v>1</v>
      </c>
      <c r="E12" s="19"/>
      <c r="F12" s="47"/>
      <c r="G12" s="47">
        <v>1</v>
      </c>
      <c r="H12" s="47"/>
      <c r="I12" s="47">
        <v>1</v>
      </c>
      <c r="J12" s="47"/>
      <c r="K12" s="47">
        <v>1</v>
      </c>
      <c r="L12" s="47"/>
      <c r="M12" s="47"/>
      <c r="N12" s="47">
        <v>1</v>
      </c>
      <c r="O12" s="11">
        <f t="shared" si="2"/>
        <v>6</v>
      </c>
    </row>
    <row r="13" spans="1:15" s="43" customFormat="1" ht="15" customHeight="1">
      <c r="A13" s="46" t="s">
        <v>85</v>
      </c>
      <c r="B13" s="46"/>
      <c r="C13" s="94">
        <v>2</v>
      </c>
      <c r="D13" s="94"/>
      <c r="E13" s="94">
        <v>1</v>
      </c>
      <c r="F13" s="94"/>
      <c r="G13" s="94"/>
      <c r="H13" s="94"/>
      <c r="I13" s="94"/>
      <c r="J13" s="94"/>
      <c r="K13" s="94">
        <v>1</v>
      </c>
      <c r="L13" s="94"/>
      <c r="M13" s="94">
        <v>1</v>
      </c>
      <c r="N13" s="94">
        <v>1</v>
      </c>
      <c r="O13" s="11">
        <f t="shared" si="2"/>
        <v>6</v>
      </c>
    </row>
    <row r="14" spans="1:15" s="43" customFormat="1" ht="15" customHeight="1">
      <c r="A14" s="46" t="s">
        <v>86</v>
      </c>
      <c r="B14" s="46"/>
      <c r="C14" s="14">
        <v>1</v>
      </c>
      <c r="D14" s="14"/>
      <c r="E14" s="19"/>
      <c r="F14" s="47">
        <v>1</v>
      </c>
      <c r="G14" s="47"/>
      <c r="H14" s="47"/>
      <c r="I14" s="47"/>
      <c r="J14" s="47"/>
      <c r="K14" s="47">
        <v>1</v>
      </c>
      <c r="L14" s="47"/>
      <c r="M14" s="47">
        <v>1</v>
      </c>
      <c r="N14" s="47">
        <v>1</v>
      </c>
      <c r="O14" s="11">
        <f t="shared" si="2"/>
        <v>5</v>
      </c>
    </row>
    <row r="15" spans="1:15" s="43" customFormat="1" ht="15" customHeight="1">
      <c r="A15" s="46" t="s">
        <v>87</v>
      </c>
      <c r="B15" s="46"/>
      <c r="C15" s="14">
        <v>1</v>
      </c>
      <c r="D15" s="14"/>
      <c r="E15" s="19">
        <v>1</v>
      </c>
      <c r="F15" s="47"/>
      <c r="G15" s="47">
        <v>1</v>
      </c>
      <c r="H15" s="47"/>
      <c r="I15" s="47"/>
      <c r="J15" s="47">
        <v>1</v>
      </c>
      <c r="K15" s="47"/>
      <c r="L15" s="47">
        <v>1</v>
      </c>
      <c r="M15" s="47">
        <v>1</v>
      </c>
      <c r="N15" s="47">
        <v>1</v>
      </c>
      <c r="O15" s="11">
        <f t="shared" si="2"/>
        <v>7</v>
      </c>
    </row>
    <row r="16" spans="1:15" s="43" customFormat="1" ht="15" customHeight="1">
      <c r="A16" s="46" t="s">
        <v>89</v>
      </c>
      <c r="B16" s="46"/>
      <c r="C16" s="94">
        <v>8</v>
      </c>
      <c r="D16" s="94">
        <v>8</v>
      </c>
      <c r="E16" s="94">
        <v>7</v>
      </c>
      <c r="F16" s="94">
        <v>8</v>
      </c>
      <c r="G16" s="94">
        <v>6</v>
      </c>
      <c r="H16" s="94">
        <v>3</v>
      </c>
      <c r="I16" s="94">
        <v>3</v>
      </c>
      <c r="J16" s="94">
        <v>3</v>
      </c>
      <c r="K16" s="94">
        <v>3</v>
      </c>
      <c r="L16" s="94">
        <v>6</v>
      </c>
      <c r="M16" s="94">
        <v>5</v>
      </c>
      <c r="N16" s="94">
        <v>5</v>
      </c>
      <c r="O16" s="11">
        <f t="shared" si="2"/>
        <v>65</v>
      </c>
    </row>
    <row r="17" spans="1:15" s="43" customFormat="1" ht="19.5" customHeight="1">
      <c r="A17" s="46" t="s">
        <v>88</v>
      </c>
      <c r="B17" s="46"/>
      <c r="C17" s="14">
        <v>1</v>
      </c>
      <c r="D17" s="14"/>
      <c r="E17" s="19"/>
      <c r="F17" s="47">
        <v>1</v>
      </c>
      <c r="G17" s="47"/>
      <c r="H17" s="47">
        <v>1</v>
      </c>
      <c r="I17" s="47"/>
      <c r="J17" s="47">
        <v>1</v>
      </c>
      <c r="K17" s="47"/>
      <c r="L17" s="47">
        <v>1</v>
      </c>
      <c r="M17" s="47"/>
      <c r="N17" s="47">
        <v>1</v>
      </c>
      <c r="O17" s="11">
        <f t="shared" si="2"/>
        <v>6</v>
      </c>
    </row>
    <row r="18" spans="1:15" s="43" customFormat="1" ht="18" customHeight="1">
      <c r="A18" s="46" t="s">
        <v>90</v>
      </c>
      <c r="B18" s="46"/>
      <c r="C18" s="48">
        <v>1</v>
      </c>
      <c r="D18" s="48">
        <v>1</v>
      </c>
      <c r="E18" s="48">
        <v>1</v>
      </c>
      <c r="F18" s="48"/>
      <c r="G18" s="48"/>
      <c r="H18" s="48"/>
      <c r="I18" s="48"/>
      <c r="J18" s="48">
        <v>1</v>
      </c>
      <c r="K18" s="48"/>
      <c r="L18" s="48"/>
      <c r="M18" s="48">
        <v>1</v>
      </c>
      <c r="N18" s="49">
        <v>1</v>
      </c>
      <c r="O18" s="11">
        <f t="shared" si="2"/>
        <v>6</v>
      </c>
    </row>
    <row r="19" spans="1:15" s="43" customFormat="1" ht="16.5" customHeight="1">
      <c r="A19" s="46" t="s">
        <v>91</v>
      </c>
      <c r="B19" s="46"/>
      <c r="C19" s="14">
        <v>1</v>
      </c>
      <c r="D19" s="14">
        <v>1</v>
      </c>
      <c r="E19" s="19">
        <v>1</v>
      </c>
      <c r="F19" s="47">
        <v>1</v>
      </c>
      <c r="G19" s="47">
        <v>1</v>
      </c>
      <c r="H19" s="47"/>
      <c r="I19" s="47"/>
      <c r="J19" s="47">
        <v>1</v>
      </c>
      <c r="K19" s="47"/>
      <c r="L19" s="47">
        <v>1</v>
      </c>
      <c r="M19" s="47">
        <v>1</v>
      </c>
      <c r="N19" s="47">
        <v>1</v>
      </c>
      <c r="O19" s="11">
        <f t="shared" si="2"/>
        <v>9</v>
      </c>
    </row>
    <row r="20" spans="1:15" s="43" customFormat="1" ht="21.75" customHeight="1">
      <c r="A20" s="46" t="s">
        <v>94</v>
      </c>
      <c r="B20" s="46"/>
      <c r="C20" s="14">
        <v>3</v>
      </c>
      <c r="D20" s="14">
        <v>3</v>
      </c>
      <c r="E20" s="19">
        <v>3</v>
      </c>
      <c r="F20" s="47">
        <v>3</v>
      </c>
      <c r="G20" s="47">
        <v>3</v>
      </c>
      <c r="H20" s="47">
        <v>3</v>
      </c>
      <c r="I20" s="47">
        <v>2</v>
      </c>
      <c r="J20" s="47">
        <v>3</v>
      </c>
      <c r="K20" s="47">
        <v>2</v>
      </c>
      <c r="L20" s="47">
        <v>3</v>
      </c>
      <c r="M20" s="47">
        <v>3</v>
      </c>
      <c r="N20" s="47">
        <v>3</v>
      </c>
      <c r="O20" s="11">
        <f t="shared" si="2"/>
        <v>34</v>
      </c>
    </row>
    <row r="21" spans="1:15" s="43" customFormat="1" ht="66" customHeight="1">
      <c r="A21" s="44" t="s">
        <v>61</v>
      </c>
      <c r="B21" s="4" t="s">
        <v>172</v>
      </c>
      <c r="C21" s="14">
        <v>60</v>
      </c>
      <c r="D21" s="14">
        <v>55</v>
      </c>
      <c r="E21" s="14">
        <v>60</v>
      </c>
      <c r="F21" s="14">
        <v>61</v>
      </c>
      <c r="G21" s="14">
        <v>65</v>
      </c>
      <c r="H21" s="14">
        <v>68</v>
      </c>
      <c r="I21" s="14">
        <v>67</v>
      </c>
      <c r="J21" s="50">
        <v>54</v>
      </c>
      <c r="K21" s="50">
        <v>59</v>
      </c>
      <c r="L21" s="50">
        <v>51</v>
      </c>
      <c r="M21" s="50">
        <v>50</v>
      </c>
      <c r="N21" s="50">
        <v>50</v>
      </c>
      <c r="O21" s="17">
        <f>C21+D21+E21+F21+G21+H21+I21+J21+K21+L21+M21+N21</f>
        <v>700</v>
      </c>
    </row>
    <row r="22" spans="1:15" s="43" customFormat="1" ht="27" customHeight="1" hidden="1">
      <c r="A22" s="41" t="s">
        <v>20</v>
      </c>
      <c r="B22" s="4" t="s">
        <v>172</v>
      </c>
      <c r="C22" s="42" t="s">
        <v>0</v>
      </c>
      <c r="D22" s="42" t="s">
        <v>1</v>
      </c>
      <c r="E22" s="42" t="s">
        <v>2</v>
      </c>
      <c r="F22" s="42" t="s">
        <v>3</v>
      </c>
      <c r="G22" s="42" t="s">
        <v>4</v>
      </c>
      <c r="H22" s="42" t="s">
        <v>21</v>
      </c>
      <c r="I22" s="42" t="s">
        <v>5</v>
      </c>
      <c r="J22" s="42" t="s">
        <v>6</v>
      </c>
      <c r="K22" s="42" t="s">
        <v>7</v>
      </c>
      <c r="L22" s="42" t="s">
        <v>8</v>
      </c>
      <c r="M22" s="42" t="s">
        <v>9</v>
      </c>
      <c r="N22" s="42" t="s">
        <v>10</v>
      </c>
      <c r="O22" s="22" t="s">
        <v>58</v>
      </c>
    </row>
    <row r="23" spans="1:15" s="43" customFormat="1" ht="67.5" customHeight="1">
      <c r="A23" s="110" t="s">
        <v>81</v>
      </c>
      <c r="B23" s="4" t="s">
        <v>172</v>
      </c>
      <c r="C23" s="13">
        <v>4</v>
      </c>
      <c r="D23" s="13">
        <v>4</v>
      </c>
      <c r="E23" s="13">
        <v>4</v>
      </c>
      <c r="F23" s="13">
        <v>4</v>
      </c>
      <c r="G23" s="13">
        <v>3</v>
      </c>
      <c r="H23" s="13">
        <v>3</v>
      </c>
      <c r="I23" s="13">
        <v>2</v>
      </c>
      <c r="J23" s="13">
        <v>2</v>
      </c>
      <c r="K23" s="13">
        <v>3</v>
      </c>
      <c r="L23" s="13">
        <v>4</v>
      </c>
      <c r="M23" s="13">
        <v>4</v>
      </c>
      <c r="N23" s="13">
        <v>3</v>
      </c>
      <c r="O23" s="17">
        <f>C23+D23+E23+F23+G23+H23+I23+J23+K23+L23+M23+N23</f>
        <v>40</v>
      </c>
    </row>
    <row r="24" spans="1:15" s="43" customFormat="1" ht="73.5" customHeight="1">
      <c r="A24" s="110" t="s">
        <v>115</v>
      </c>
      <c r="B24" s="4" t="s">
        <v>172</v>
      </c>
      <c r="C24" s="79">
        <v>5</v>
      </c>
      <c r="D24" s="79">
        <v>5</v>
      </c>
      <c r="E24" s="79">
        <v>3</v>
      </c>
      <c r="F24" s="79">
        <v>4</v>
      </c>
      <c r="G24" s="79">
        <v>4</v>
      </c>
      <c r="H24" s="79">
        <v>4</v>
      </c>
      <c r="I24" s="79">
        <v>3</v>
      </c>
      <c r="J24" s="79">
        <v>3</v>
      </c>
      <c r="K24" s="5">
        <v>3</v>
      </c>
      <c r="L24" s="5">
        <v>3</v>
      </c>
      <c r="M24" s="5">
        <v>4</v>
      </c>
      <c r="N24" s="5">
        <v>4</v>
      </c>
      <c r="O24" s="17">
        <f>SUM(C24:N24)</f>
        <v>45</v>
      </c>
    </row>
    <row r="25" spans="1:15" s="43" customFormat="1" ht="44.25" customHeight="1">
      <c r="A25" s="110" t="s">
        <v>133</v>
      </c>
      <c r="B25" s="4" t="s">
        <v>172</v>
      </c>
      <c r="C25" s="79">
        <v>117</v>
      </c>
      <c r="D25" s="79">
        <v>114</v>
      </c>
      <c r="E25" s="79">
        <v>122</v>
      </c>
      <c r="F25" s="79">
        <v>147</v>
      </c>
      <c r="G25" s="79">
        <v>131</v>
      </c>
      <c r="H25" s="79">
        <v>120</v>
      </c>
      <c r="I25" s="79">
        <v>97</v>
      </c>
      <c r="J25" s="79">
        <v>107</v>
      </c>
      <c r="K25" s="5">
        <v>97</v>
      </c>
      <c r="L25" s="5">
        <v>144</v>
      </c>
      <c r="M25" s="5">
        <v>125</v>
      </c>
      <c r="N25" s="5">
        <v>106</v>
      </c>
      <c r="O25" s="17">
        <f>SUM(C25:N25)</f>
        <v>1427</v>
      </c>
    </row>
    <row r="26" spans="1:15" s="43" customFormat="1" ht="15" customHeight="1">
      <c r="A26" s="110" t="s">
        <v>77</v>
      </c>
      <c r="B26" s="4"/>
      <c r="C26" s="79">
        <v>93</v>
      </c>
      <c r="D26" s="79">
        <v>91</v>
      </c>
      <c r="E26" s="79">
        <v>97</v>
      </c>
      <c r="F26" s="79">
        <v>118</v>
      </c>
      <c r="G26" s="79">
        <v>105</v>
      </c>
      <c r="H26" s="79">
        <v>96</v>
      </c>
      <c r="I26" s="79">
        <v>78</v>
      </c>
      <c r="J26" s="79">
        <v>86</v>
      </c>
      <c r="K26" s="79">
        <v>78</v>
      </c>
      <c r="L26" s="79">
        <v>115</v>
      </c>
      <c r="M26" s="79">
        <v>100</v>
      </c>
      <c r="N26" s="79">
        <v>85</v>
      </c>
      <c r="O26" s="17">
        <f>SUM(C26:N26)</f>
        <v>1142</v>
      </c>
    </row>
    <row r="27" spans="1:16" s="43" customFormat="1" ht="39" customHeight="1">
      <c r="A27" s="110" t="s">
        <v>134</v>
      </c>
      <c r="B27" s="4"/>
      <c r="C27" s="25">
        <f>C25-C26</f>
        <v>24</v>
      </c>
      <c r="D27" s="25">
        <f aca="true" t="shared" si="3" ref="D27:O27">D25-D26</f>
        <v>23</v>
      </c>
      <c r="E27" s="25">
        <f t="shared" si="3"/>
        <v>25</v>
      </c>
      <c r="F27" s="25">
        <f t="shared" si="3"/>
        <v>29</v>
      </c>
      <c r="G27" s="25">
        <f t="shared" si="3"/>
        <v>26</v>
      </c>
      <c r="H27" s="25">
        <f t="shared" si="3"/>
        <v>24</v>
      </c>
      <c r="I27" s="25">
        <f t="shared" si="3"/>
        <v>19</v>
      </c>
      <c r="J27" s="25">
        <f t="shared" si="3"/>
        <v>21</v>
      </c>
      <c r="K27" s="25">
        <f t="shared" si="3"/>
        <v>19</v>
      </c>
      <c r="L27" s="25">
        <f t="shared" si="3"/>
        <v>29</v>
      </c>
      <c r="M27" s="25">
        <f t="shared" si="3"/>
        <v>25</v>
      </c>
      <c r="N27" s="25">
        <f t="shared" si="3"/>
        <v>21</v>
      </c>
      <c r="O27" s="25">
        <f t="shared" si="3"/>
        <v>285</v>
      </c>
      <c r="P27" s="79">
        <f>P25-P26</f>
        <v>0</v>
      </c>
    </row>
    <row r="28" spans="1:15" s="43" customFormat="1" ht="54.75" customHeight="1">
      <c r="A28" s="51" t="s">
        <v>82</v>
      </c>
      <c r="B28" s="51"/>
      <c r="C28" s="11">
        <f>C6+C7+C10+C21+C23+C24+C25</f>
        <v>390</v>
      </c>
      <c r="D28" s="11">
        <f aca="true" t="shared" si="4" ref="D28:N28">D6+D7+D10+D21+D23+D24+D25</f>
        <v>372</v>
      </c>
      <c r="E28" s="11">
        <f t="shared" si="4"/>
        <v>383</v>
      </c>
      <c r="F28" s="11">
        <f t="shared" si="4"/>
        <v>415</v>
      </c>
      <c r="G28" s="11">
        <f t="shared" si="4"/>
        <v>377</v>
      </c>
      <c r="H28" s="11">
        <f t="shared" si="4"/>
        <v>345</v>
      </c>
      <c r="I28" s="11">
        <f t="shared" si="4"/>
        <v>280</v>
      </c>
      <c r="J28" s="11">
        <f t="shared" si="4"/>
        <v>285</v>
      </c>
      <c r="K28" s="11">
        <f t="shared" si="4"/>
        <v>311</v>
      </c>
      <c r="L28" s="11">
        <f t="shared" si="4"/>
        <v>360</v>
      </c>
      <c r="M28" s="11">
        <f t="shared" si="4"/>
        <v>373</v>
      </c>
      <c r="N28" s="11">
        <f t="shared" si="4"/>
        <v>349</v>
      </c>
      <c r="O28" s="11">
        <f>SUM(C28:N28)</f>
        <v>4240</v>
      </c>
    </row>
    <row r="29" spans="1:16" s="43" customFormat="1" ht="17.25" customHeight="1">
      <c r="A29" s="51" t="s">
        <v>71</v>
      </c>
      <c r="B29" s="51"/>
      <c r="C29" s="11">
        <f aca="true" t="shared" si="5" ref="C29:P29">C8+C26</f>
        <v>94</v>
      </c>
      <c r="D29" s="11">
        <f t="shared" si="5"/>
        <v>93</v>
      </c>
      <c r="E29" s="11">
        <f t="shared" si="5"/>
        <v>98</v>
      </c>
      <c r="F29" s="11">
        <f t="shared" si="5"/>
        <v>119</v>
      </c>
      <c r="G29" s="11">
        <f t="shared" si="5"/>
        <v>106</v>
      </c>
      <c r="H29" s="11">
        <f t="shared" si="5"/>
        <v>97</v>
      </c>
      <c r="I29" s="11">
        <f t="shared" si="5"/>
        <v>79</v>
      </c>
      <c r="J29" s="11">
        <f t="shared" si="5"/>
        <v>87</v>
      </c>
      <c r="K29" s="11">
        <f t="shared" si="5"/>
        <v>79</v>
      </c>
      <c r="L29" s="11">
        <f t="shared" si="5"/>
        <v>116</v>
      </c>
      <c r="M29" s="11">
        <f t="shared" si="5"/>
        <v>101</v>
      </c>
      <c r="N29" s="11">
        <f t="shared" si="5"/>
        <v>86</v>
      </c>
      <c r="O29" s="11">
        <f t="shared" si="5"/>
        <v>1155</v>
      </c>
      <c r="P29" s="11">
        <f t="shared" si="5"/>
        <v>0</v>
      </c>
    </row>
    <row r="30" spans="1:15" s="43" customFormat="1" ht="37.5" customHeight="1">
      <c r="A30" s="51" t="s">
        <v>124</v>
      </c>
      <c r="B30" s="51"/>
      <c r="C30" s="11">
        <f>C28-C29</f>
        <v>296</v>
      </c>
      <c r="D30" s="11">
        <f aca="true" t="shared" si="6" ref="D30:O30">D28-D29</f>
        <v>279</v>
      </c>
      <c r="E30" s="11">
        <f t="shared" si="6"/>
        <v>285</v>
      </c>
      <c r="F30" s="11">
        <f t="shared" si="6"/>
        <v>296</v>
      </c>
      <c r="G30" s="11">
        <f t="shared" si="6"/>
        <v>271</v>
      </c>
      <c r="H30" s="11">
        <f t="shared" si="6"/>
        <v>248</v>
      </c>
      <c r="I30" s="11">
        <f t="shared" si="6"/>
        <v>201</v>
      </c>
      <c r="J30" s="11">
        <f t="shared" si="6"/>
        <v>198</v>
      </c>
      <c r="K30" s="11">
        <f t="shared" si="6"/>
        <v>232</v>
      </c>
      <c r="L30" s="11">
        <f t="shared" si="6"/>
        <v>244</v>
      </c>
      <c r="M30" s="11">
        <f t="shared" si="6"/>
        <v>272</v>
      </c>
      <c r="N30" s="11">
        <f t="shared" si="6"/>
        <v>263</v>
      </c>
      <c r="O30" s="11">
        <f t="shared" si="6"/>
        <v>3085</v>
      </c>
    </row>
    <row r="31" spans="1:15" s="43" customFormat="1" ht="57" customHeight="1">
      <c r="A31" s="179" t="s">
        <v>148</v>
      </c>
      <c r="B31" s="4" t="s">
        <v>158</v>
      </c>
      <c r="C31" s="6">
        <v>50</v>
      </c>
      <c r="D31" s="6">
        <v>60</v>
      </c>
      <c r="E31" s="6">
        <v>65</v>
      </c>
      <c r="F31" s="6">
        <v>65</v>
      </c>
      <c r="G31" s="6">
        <v>60</v>
      </c>
      <c r="H31" s="6">
        <v>40</v>
      </c>
      <c r="I31" s="6">
        <v>30</v>
      </c>
      <c r="J31" s="6">
        <v>35</v>
      </c>
      <c r="K31" s="6">
        <v>55</v>
      </c>
      <c r="L31" s="6">
        <v>65</v>
      </c>
      <c r="M31" s="6">
        <v>60</v>
      </c>
      <c r="N31" s="6">
        <v>65</v>
      </c>
      <c r="O31" s="31">
        <f>SUM(C31:N31)</f>
        <v>650</v>
      </c>
    </row>
    <row r="32" spans="1:15" s="43" customFormat="1" ht="57" customHeight="1">
      <c r="A32" s="169"/>
      <c r="B32" s="4" t="s">
        <v>159</v>
      </c>
      <c r="C32" s="6">
        <v>90</v>
      </c>
      <c r="D32" s="6">
        <v>100</v>
      </c>
      <c r="E32" s="6">
        <v>110</v>
      </c>
      <c r="F32" s="6">
        <v>105</v>
      </c>
      <c r="G32" s="6">
        <v>95</v>
      </c>
      <c r="H32" s="6">
        <v>55</v>
      </c>
      <c r="I32" s="6">
        <v>45</v>
      </c>
      <c r="J32" s="6">
        <v>50</v>
      </c>
      <c r="K32" s="6">
        <v>90</v>
      </c>
      <c r="L32" s="6">
        <v>105</v>
      </c>
      <c r="M32" s="6">
        <v>100</v>
      </c>
      <c r="N32" s="6">
        <v>105</v>
      </c>
      <c r="O32" s="31">
        <f>SUM(C32:N32)</f>
        <v>1050</v>
      </c>
    </row>
    <row r="33" spans="1:15" s="43" customFormat="1" ht="15.75" customHeight="1" hidden="1">
      <c r="A33" s="41" t="s">
        <v>20</v>
      </c>
      <c r="B33" s="41"/>
      <c r="C33" s="42" t="s">
        <v>0</v>
      </c>
      <c r="D33" s="42" t="s">
        <v>1</v>
      </c>
      <c r="E33" s="42" t="s">
        <v>2</v>
      </c>
      <c r="F33" s="42" t="s">
        <v>3</v>
      </c>
      <c r="G33" s="42" t="s">
        <v>4</v>
      </c>
      <c r="H33" s="42" t="s">
        <v>21</v>
      </c>
      <c r="I33" s="42" t="s">
        <v>5</v>
      </c>
      <c r="J33" s="42" t="s">
        <v>6</v>
      </c>
      <c r="K33" s="42" t="s">
        <v>7</v>
      </c>
      <c r="L33" s="42" t="s">
        <v>8</v>
      </c>
      <c r="M33" s="42" t="s">
        <v>9</v>
      </c>
      <c r="N33" s="42" t="s">
        <v>10</v>
      </c>
      <c r="O33" s="22" t="s">
        <v>58</v>
      </c>
    </row>
    <row r="34" spans="1:15" s="43" customFormat="1" ht="29.25" customHeight="1">
      <c r="A34" s="19" t="s">
        <v>164</v>
      </c>
      <c r="B34" s="4" t="s">
        <v>172</v>
      </c>
      <c r="C34" s="107">
        <v>130</v>
      </c>
      <c r="D34" s="107">
        <v>125</v>
      </c>
      <c r="E34" s="107">
        <v>123</v>
      </c>
      <c r="F34" s="107">
        <v>120</v>
      </c>
      <c r="G34" s="107">
        <v>105</v>
      </c>
      <c r="H34" s="107">
        <v>80</v>
      </c>
      <c r="I34" s="107">
        <v>80</v>
      </c>
      <c r="J34" s="107">
        <v>75</v>
      </c>
      <c r="K34" s="107">
        <v>120</v>
      </c>
      <c r="L34" s="107">
        <v>115</v>
      </c>
      <c r="M34" s="107">
        <v>110</v>
      </c>
      <c r="N34" s="107">
        <v>117</v>
      </c>
      <c r="O34" s="135">
        <f>SUM(C34:N34)</f>
        <v>1300</v>
      </c>
    </row>
    <row r="35" spans="1:15" s="43" customFormat="1" ht="27.75" customHeight="1">
      <c r="A35" s="19" t="s">
        <v>165</v>
      </c>
      <c r="B35" s="4" t="s">
        <v>172</v>
      </c>
      <c r="C35" s="108">
        <v>100</v>
      </c>
      <c r="D35" s="108">
        <v>113</v>
      </c>
      <c r="E35" s="108">
        <v>105</v>
      </c>
      <c r="F35" s="108">
        <v>100</v>
      </c>
      <c r="G35" s="108">
        <v>115</v>
      </c>
      <c r="H35" s="108">
        <v>95</v>
      </c>
      <c r="I35" s="108">
        <v>72</v>
      </c>
      <c r="J35" s="108">
        <v>68</v>
      </c>
      <c r="K35" s="108">
        <v>118</v>
      </c>
      <c r="L35" s="108">
        <v>120</v>
      </c>
      <c r="M35" s="108">
        <v>113</v>
      </c>
      <c r="N35" s="108">
        <v>121</v>
      </c>
      <c r="O35" s="135">
        <f>SUM(C35:N35)</f>
        <v>1240</v>
      </c>
    </row>
    <row r="36" spans="1:16" s="43" customFormat="1" ht="57" customHeight="1">
      <c r="A36" s="170" t="s">
        <v>166</v>
      </c>
      <c r="B36" s="66" t="s">
        <v>167</v>
      </c>
      <c r="C36" s="108">
        <f>C32+C34+C35</f>
        <v>320</v>
      </c>
      <c r="D36" s="108">
        <f aca="true" t="shared" si="7" ref="D36:P36">D32+D34+D35</f>
        <v>338</v>
      </c>
      <c r="E36" s="108">
        <f t="shared" si="7"/>
        <v>338</v>
      </c>
      <c r="F36" s="108">
        <f t="shared" si="7"/>
        <v>325</v>
      </c>
      <c r="G36" s="108">
        <f t="shared" si="7"/>
        <v>315</v>
      </c>
      <c r="H36" s="108">
        <f t="shared" si="7"/>
        <v>230</v>
      </c>
      <c r="I36" s="108">
        <f t="shared" si="7"/>
        <v>197</v>
      </c>
      <c r="J36" s="108">
        <f t="shared" si="7"/>
        <v>193</v>
      </c>
      <c r="K36" s="108">
        <f t="shared" si="7"/>
        <v>328</v>
      </c>
      <c r="L36" s="108">
        <f t="shared" si="7"/>
        <v>340</v>
      </c>
      <c r="M36" s="108">
        <f t="shared" si="7"/>
        <v>323</v>
      </c>
      <c r="N36" s="108">
        <f t="shared" si="7"/>
        <v>343</v>
      </c>
      <c r="O36" s="108">
        <f t="shared" si="7"/>
        <v>3590</v>
      </c>
      <c r="P36" s="108">
        <f t="shared" si="7"/>
        <v>0</v>
      </c>
    </row>
    <row r="37" spans="1:16" s="43" customFormat="1" ht="57" customHeight="1">
      <c r="A37" s="171"/>
      <c r="B37" s="71" t="s">
        <v>120</v>
      </c>
      <c r="C37" s="108">
        <f>C31+C34+C35</f>
        <v>280</v>
      </c>
      <c r="D37" s="108">
        <f aca="true" t="shared" si="8" ref="D37:P37">D31+D34+D35</f>
        <v>298</v>
      </c>
      <c r="E37" s="108">
        <f t="shared" si="8"/>
        <v>293</v>
      </c>
      <c r="F37" s="108">
        <f t="shared" si="8"/>
        <v>285</v>
      </c>
      <c r="G37" s="108">
        <f t="shared" si="8"/>
        <v>280</v>
      </c>
      <c r="H37" s="108">
        <f t="shared" si="8"/>
        <v>215</v>
      </c>
      <c r="I37" s="108">
        <f t="shared" si="8"/>
        <v>182</v>
      </c>
      <c r="J37" s="108">
        <f t="shared" si="8"/>
        <v>178</v>
      </c>
      <c r="K37" s="108">
        <f t="shared" si="8"/>
        <v>293</v>
      </c>
      <c r="L37" s="108">
        <f t="shared" si="8"/>
        <v>300</v>
      </c>
      <c r="M37" s="108">
        <f t="shared" si="8"/>
        <v>283</v>
      </c>
      <c r="N37" s="108">
        <f t="shared" si="8"/>
        <v>303</v>
      </c>
      <c r="O37" s="108">
        <f t="shared" si="8"/>
        <v>3190</v>
      </c>
      <c r="P37" s="108">
        <f t="shared" si="8"/>
        <v>0</v>
      </c>
    </row>
    <row r="38" spans="1:16" s="43" customFormat="1" ht="57" customHeight="1">
      <c r="A38" s="44" t="s">
        <v>186</v>
      </c>
      <c r="B38" s="4" t="s">
        <v>172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7">
        <v>149</v>
      </c>
      <c r="L38" s="107">
        <v>145</v>
      </c>
      <c r="M38" s="107">
        <v>143</v>
      </c>
      <c r="N38" s="107">
        <v>144</v>
      </c>
      <c r="O38" s="108">
        <f>SUM(C38:N38)</f>
        <v>581</v>
      </c>
      <c r="P38" s="151"/>
    </row>
    <row r="39" spans="1:16" s="43" customFormat="1" ht="60.75" customHeight="1">
      <c r="A39" s="44" t="s">
        <v>188</v>
      </c>
      <c r="B39" s="4" t="s">
        <v>172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8">
        <v>20</v>
      </c>
      <c r="L39" s="18">
        <v>23</v>
      </c>
      <c r="M39" s="18">
        <v>23</v>
      </c>
      <c r="N39" s="18">
        <v>24</v>
      </c>
      <c r="O39" s="108">
        <f>SUM(C39:N39)</f>
        <v>90</v>
      </c>
      <c r="P39" s="151"/>
    </row>
    <row r="40" spans="1:16" s="43" customFormat="1" ht="60" customHeight="1">
      <c r="A40" s="149" t="s">
        <v>187</v>
      </c>
      <c r="B40" s="4" t="s">
        <v>172</v>
      </c>
      <c r="C40" s="140">
        <f>C38+C39</f>
        <v>0</v>
      </c>
      <c r="D40" s="140">
        <f aca="true" t="shared" si="9" ref="D40:P40">D38+D39</f>
        <v>0</v>
      </c>
      <c r="E40" s="140">
        <f t="shared" si="9"/>
        <v>0</v>
      </c>
      <c r="F40" s="140">
        <f t="shared" si="9"/>
        <v>0</v>
      </c>
      <c r="G40" s="140">
        <f t="shared" si="9"/>
        <v>0</v>
      </c>
      <c r="H40" s="140">
        <f t="shared" si="9"/>
        <v>0</v>
      </c>
      <c r="I40" s="140">
        <f t="shared" si="9"/>
        <v>0</v>
      </c>
      <c r="J40" s="140">
        <f t="shared" si="9"/>
        <v>0</v>
      </c>
      <c r="K40" s="140">
        <f t="shared" si="9"/>
        <v>169</v>
      </c>
      <c r="L40" s="140">
        <f t="shared" si="9"/>
        <v>168</v>
      </c>
      <c r="M40" s="140">
        <f t="shared" si="9"/>
        <v>166</v>
      </c>
      <c r="N40" s="140">
        <f t="shared" si="9"/>
        <v>168</v>
      </c>
      <c r="O40" s="140">
        <f t="shared" si="9"/>
        <v>671</v>
      </c>
      <c r="P40" s="80">
        <f t="shared" si="9"/>
        <v>0</v>
      </c>
    </row>
    <row r="41" spans="1:16" s="43" customFormat="1" ht="60" customHeight="1">
      <c r="A41" s="44" t="s">
        <v>173</v>
      </c>
      <c r="B41" s="4" t="s">
        <v>172</v>
      </c>
      <c r="C41" s="140">
        <v>15.42</v>
      </c>
      <c r="D41" s="140">
        <v>15.42</v>
      </c>
      <c r="E41" s="140">
        <v>14.42</v>
      </c>
      <c r="F41" s="140">
        <v>14.42</v>
      </c>
      <c r="G41" s="140">
        <v>14.42</v>
      </c>
      <c r="H41" s="140">
        <v>14.42</v>
      </c>
      <c r="I41" s="140">
        <v>14.42</v>
      </c>
      <c r="J41" s="140">
        <v>14.42</v>
      </c>
      <c r="K41" s="140">
        <v>14.42</v>
      </c>
      <c r="L41" s="140">
        <v>14.42</v>
      </c>
      <c r="M41" s="140">
        <v>14.4</v>
      </c>
      <c r="N41" s="140">
        <v>14.4</v>
      </c>
      <c r="O41" s="140">
        <f>SUM(C41:N41)</f>
        <v>175</v>
      </c>
      <c r="P41" s="153"/>
    </row>
    <row r="42" spans="1:15" s="43" customFormat="1" ht="133.5" customHeight="1">
      <c r="A42" s="44" t="s">
        <v>62</v>
      </c>
      <c r="B42" s="4" t="s">
        <v>172</v>
      </c>
      <c r="C42" s="152">
        <v>2.261</v>
      </c>
      <c r="D42" s="152">
        <v>2.261</v>
      </c>
      <c r="E42" s="152">
        <v>2.142</v>
      </c>
      <c r="F42" s="152">
        <v>2.142</v>
      </c>
      <c r="G42" s="152">
        <v>2.142</v>
      </c>
      <c r="H42" s="152">
        <v>2.142</v>
      </c>
      <c r="I42" s="152">
        <v>2.142</v>
      </c>
      <c r="J42" s="152">
        <v>2.142</v>
      </c>
      <c r="K42" s="152">
        <v>2.142</v>
      </c>
      <c r="L42" s="152">
        <v>2.142</v>
      </c>
      <c r="M42" s="152">
        <v>3.431</v>
      </c>
      <c r="N42" s="152">
        <v>2.261</v>
      </c>
      <c r="O42" s="95">
        <f>C42+D42+E42+F42+G42+H42+I42+J42+K42+L42+M42+N42</f>
        <v>27.349999999999998</v>
      </c>
    </row>
    <row r="43" spans="1:15" s="43" customFormat="1" ht="33" customHeight="1">
      <c r="A43" s="44" t="s">
        <v>23</v>
      </c>
      <c r="B43" s="4" t="s">
        <v>172</v>
      </c>
      <c r="C43" s="14">
        <v>16.644</v>
      </c>
      <c r="D43" s="14">
        <v>16.644</v>
      </c>
      <c r="E43" s="14">
        <v>15.768</v>
      </c>
      <c r="F43" s="14">
        <v>15.768</v>
      </c>
      <c r="G43" s="14">
        <v>15.768</v>
      </c>
      <c r="H43" s="14">
        <v>15.768</v>
      </c>
      <c r="I43" s="14">
        <v>15.768</v>
      </c>
      <c r="J43" s="14">
        <v>15.768</v>
      </c>
      <c r="K43" s="14">
        <v>15.768</v>
      </c>
      <c r="L43" s="14">
        <v>15.768</v>
      </c>
      <c r="M43" s="14">
        <v>20.224</v>
      </c>
      <c r="N43" s="14">
        <v>16.644</v>
      </c>
      <c r="O43" s="136">
        <f>SUM(C43:N43)</f>
        <v>196.29999999999998</v>
      </c>
    </row>
    <row r="44" spans="1:15" s="43" customFormat="1" ht="39" customHeight="1" hidden="1">
      <c r="A44" s="41" t="s">
        <v>20</v>
      </c>
      <c r="B44" s="4" t="s">
        <v>172</v>
      </c>
      <c r="C44" s="42" t="s">
        <v>0</v>
      </c>
      <c r="D44" s="42" t="s">
        <v>1</v>
      </c>
      <c r="E44" s="42" t="s">
        <v>2</v>
      </c>
      <c r="F44" s="42" t="s">
        <v>3</v>
      </c>
      <c r="G44" s="42" t="s">
        <v>4</v>
      </c>
      <c r="H44" s="42" t="s">
        <v>21</v>
      </c>
      <c r="I44" s="42" t="s">
        <v>5</v>
      </c>
      <c r="J44" s="42" t="s">
        <v>6</v>
      </c>
      <c r="K44" s="42" t="s">
        <v>7</v>
      </c>
      <c r="L44" s="42" t="s">
        <v>8</v>
      </c>
      <c r="M44" s="42" t="s">
        <v>9</v>
      </c>
      <c r="N44" s="42" t="s">
        <v>10</v>
      </c>
      <c r="O44" s="22" t="s">
        <v>58</v>
      </c>
    </row>
    <row r="45" spans="1:15" s="43" customFormat="1" ht="66" customHeight="1">
      <c r="A45" s="174" t="s">
        <v>149</v>
      </c>
      <c r="B45" s="4" t="s">
        <v>158</v>
      </c>
      <c r="C45" s="16">
        <v>13</v>
      </c>
      <c r="D45" s="16">
        <v>14</v>
      </c>
      <c r="E45" s="16">
        <v>13</v>
      </c>
      <c r="F45" s="16">
        <v>12</v>
      </c>
      <c r="G45" s="16">
        <v>11</v>
      </c>
      <c r="H45" s="16">
        <v>10</v>
      </c>
      <c r="I45" s="16">
        <v>4</v>
      </c>
      <c r="J45" s="5">
        <v>3</v>
      </c>
      <c r="K45" s="5">
        <v>9</v>
      </c>
      <c r="L45" s="5">
        <v>11</v>
      </c>
      <c r="M45" s="5">
        <v>13</v>
      </c>
      <c r="N45" s="5">
        <v>12</v>
      </c>
      <c r="O45" s="17">
        <f>C45+D45+E45+F45+G45+H45+I45+J45+K45+L45+M45+N45</f>
        <v>125</v>
      </c>
    </row>
    <row r="46" spans="1:15" s="43" customFormat="1" ht="66" customHeight="1">
      <c r="A46" s="167"/>
      <c r="B46" s="4" t="s">
        <v>159</v>
      </c>
      <c r="C46" s="9">
        <v>14</v>
      </c>
      <c r="D46" s="9">
        <v>15</v>
      </c>
      <c r="E46" s="9">
        <v>14</v>
      </c>
      <c r="F46" s="9">
        <v>13</v>
      </c>
      <c r="G46" s="9">
        <v>11</v>
      </c>
      <c r="H46" s="9">
        <v>10</v>
      </c>
      <c r="I46" s="9">
        <v>4</v>
      </c>
      <c r="J46" s="18">
        <v>3</v>
      </c>
      <c r="K46" s="18">
        <v>9</v>
      </c>
      <c r="L46" s="18">
        <v>12</v>
      </c>
      <c r="M46" s="18">
        <v>14</v>
      </c>
      <c r="N46" s="18">
        <v>13</v>
      </c>
      <c r="O46" s="17">
        <f>SUM(C46:N46)</f>
        <v>132</v>
      </c>
    </row>
    <row r="47" spans="1:15" s="43" customFormat="1" ht="68.25" customHeight="1">
      <c r="A47" s="44" t="s">
        <v>150</v>
      </c>
      <c r="B47" s="4" t="s">
        <v>172</v>
      </c>
      <c r="C47" s="13">
        <v>15</v>
      </c>
      <c r="D47" s="13">
        <v>15</v>
      </c>
      <c r="E47" s="13">
        <v>15</v>
      </c>
      <c r="F47" s="13">
        <v>15</v>
      </c>
      <c r="G47" s="13">
        <v>14</v>
      </c>
      <c r="H47" s="13">
        <v>10</v>
      </c>
      <c r="I47" s="13">
        <v>4</v>
      </c>
      <c r="J47" s="13">
        <v>4</v>
      </c>
      <c r="K47" s="13">
        <v>15</v>
      </c>
      <c r="L47" s="13">
        <v>15</v>
      </c>
      <c r="M47" s="13">
        <v>15</v>
      </c>
      <c r="N47" s="13">
        <v>13</v>
      </c>
      <c r="O47" s="17">
        <f>C47+D47+E47+F47+G47+H47+I47+J47+K47+L47+M47+N47</f>
        <v>150</v>
      </c>
    </row>
    <row r="48" spans="1:15" s="43" customFormat="1" ht="32.25" customHeight="1">
      <c r="A48" s="44" t="s">
        <v>129</v>
      </c>
      <c r="B48" s="4" t="s">
        <v>172</v>
      </c>
      <c r="C48" s="122">
        <v>5</v>
      </c>
      <c r="D48" s="122">
        <v>4</v>
      </c>
      <c r="E48" s="122">
        <v>5</v>
      </c>
      <c r="F48" s="122">
        <v>4</v>
      </c>
      <c r="G48" s="122">
        <v>4</v>
      </c>
      <c r="H48" s="122">
        <v>4</v>
      </c>
      <c r="I48" s="122">
        <v>4</v>
      </c>
      <c r="J48" s="122">
        <v>4</v>
      </c>
      <c r="K48" s="122">
        <v>4</v>
      </c>
      <c r="L48" s="122">
        <v>4</v>
      </c>
      <c r="M48" s="122">
        <v>4</v>
      </c>
      <c r="N48" s="122">
        <v>4</v>
      </c>
      <c r="O48" s="17">
        <f>C48+D48+E48+F48+G48+H48+I48+J48+K48+L48+M48+N48</f>
        <v>50</v>
      </c>
    </row>
    <row r="49" spans="1:16" s="43" customFormat="1" ht="123" customHeight="1">
      <c r="A49" s="175" t="s">
        <v>116</v>
      </c>
      <c r="B49" s="4" t="s">
        <v>151</v>
      </c>
      <c r="C49" s="10">
        <f>'ДДЗ вода'!C69+'ЗОШ вода'!C107+'Позаш. вода'!C28+'Позаш. вода'!C36+'Позаш. вода'!C40+C41+'Позаш. вода'!C42+'Позаш. вода'!C43+C46+C47+C48</f>
        <v>18310.197999999997</v>
      </c>
      <c r="D49" s="10">
        <f>'ДДЗ вода'!D69+'ЗОШ вода'!D107+'Позаш. вода'!D28+'Позаш. вода'!D36+'Позаш. вода'!D40+D41+'Позаш. вода'!D42+'Позаш. вода'!D43+D46+D47+D48</f>
        <v>18761.374999999996</v>
      </c>
      <c r="E49" s="10">
        <f>'ДДЗ вода'!E69+'ЗОШ вода'!E107+'Позаш. вода'!E28+'Позаш. вода'!E36+'Позаш. вода'!E40+E41+'Позаш. вода'!E42+'Позаш. вода'!E43+E46+E47+E48</f>
        <v>19408.449999999997</v>
      </c>
      <c r="F49" s="10">
        <f>'ДДЗ вода'!F69+'ЗОШ вода'!F107+'Позаш. вода'!F28+'Позаш. вода'!F36+'Позаш. вода'!F40+F41+'Позаш. вода'!F42+'Позаш. вода'!F43+F46+F47+F48</f>
        <v>17310.87</v>
      </c>
      <c r="G49" s="10">
        <f>'ДДЗ вода'!G69+'ЗОШ вода'!G107+'Позаш. вода'!G28+'Позаш. вода'!G36+'Позаш. вода'!G40+G41+'Позаш. вода'!G42+'Позаш. вода'!G43+G46+G47+G48</f>
        <v>16446.086999999996</v>
      </c>
      <c r="H49" s="10">
        <f>'ДДЗ вода'!H69+'ЗОШ вода'!H107+'Позаш. вода'!H28+'Позаш. вода'!H36+'Позаш. вода'!H40+H41+'Позаш. вода'!H42+'Позаш. вода'!H43+H46+H47+H48</f>
        <v>12084.067000000001</v>
      </c>
      <c r="I49" s="10">
        <f>'ДДЗ вода'!I69+'ЗОШ вода'!I107+'Позаш. вода'!I28+'Позаш. вода'!I36+'Позаш. вода'!I40+I41+'Позаш. вода'!I42+'Позаш. вода'!I43+I46+I47+I48</f>
        <v>9052.903</v>
      </c>
      <c r="J49" s="10">
        <f>'ДДЗ вода'!J69+'ЗОШ вода'!J107+'Позаш. вода'!J28+'Позаш. вода'!J36+'Позаш. вода'!J40+J41+'Позаш. вода'!J42+'Позаш. вода'!J43+J46+J47+J48</f>
        <v>8948.583</v>
      </c>
      <c r="K49" s="10">
        <f>'ДДЗ вода'!K69+'ЗОШ вода'!K107+'Позаш. вода'!K28+'Позаш. вода'!K36+'Позаш. вода'!K40+K41+'Позаш. вода'!K42+'Позаш. вода'!K43+K46+K47+K48</f>
        <v>17341.536</v>
      </c>
      <c r="L49" s="10">
        <f>'ДДЗ вода'!L69+'ЗОШ вода'!L107+'Позаш. вода'!L28+'Позаш. вода'!L36+'Позаш. вода'!L40+L41+'Позаш. вода'!L42+'Позаш. вода'!L43+L46+L47+L48</f>
        <v>19288.115999999998</v>
      </c>
      <c r="M49" s="10">
        <f>'ДДЗ вода'!M69+'ЗОШ вода'!M107+'Позаш. вода'!M28+'Позаш. вода'!M36+'Позаш. вода'!M40+M41+'Позаш. вода'!M42+'Позаш. вода'!M43+M46+M47+M48</f>
        <v>17665.663</v>
      </c>
      <c r="N49" s="10">
        <f>'ДДЗ вода'!N69+'ЗОШ вода'!N107+'Позаш. вода'!N28+'Позаш. вода'!N36+'Позаш. вода'!N40+N41+'Позаш. вода'!N42+'Позаш. вода'!N43+N46+N47+N48</f>
        <v>17331.650999999998</v>
      </c>
      <c r="O49" s="10">
        <f>'ДДЗ вода'!O69+'ЗОШ вода'!O107+'Позаш. вода'!O28+'Позаш. вода'!O36+'Позаш. вода'!O40+O41+'Позаш. вода'!O42+'Позаш. вода'!O43+O46+O47+O48</f>
        <v>191949.499</v>
      </c>
      <c r="P49" s="10" t="e">
        <f>'ДДЗ вода'!P69+'ЗОШ вода'!P107+'Позаш. вода'!P28+'Позаш. вода'!P31+'Позаш. вода'!P40+'Позаш. вода'!P42+'Позаш. вода'!P43+'Позаш. вода'!P45+P47+P48</f>
        <v>#REF!</v>
      </c>
    </row>
    <row r="50" spans="1:15" s="43" customFormat="1" ht="18.75" customHeight="1">
      <c r="A50" s="176"/>
      <c r="B50" s="29" t="s">
        <v>113</v>
      </c>
      <c r="C50" s="95">
        <f>'ЗОШ вода'!C108</f>
        <v>118.563</v>
      </c>
      <c r="D50" s="95">
        <f>'ЗОШ вода'!D108</f>
        <v>108.263</v>
      </c>
      <c r="E50" s="95">
        <f>'ЗОШ вода'!E108</f>
        <v>103.563</v>
      </c>
      <c r="F50" s="95">
        <f>'ЗОШ вода'!F108</f>
        <v>93.263</v>
      </c>
      <c r="G50" s="95">
        <f>'ЗОШ вода'!G108</f>
        <v>83.563</v>
      </c>
      <c r="H50" s="95">
        <f>'ЗОШ вода'!H108</f>
        <v>0</v>
      </c>
      <c r="I50" s="95">
        <f>'ЗОШ вода'!I108</f>
        <v>0</v>
      </c>
      <c r="J50" s="95">
        <f>'ЗОШ вода'!J108</f>
        <v>0</v>
      </c>
      <c r="K50" s="95">
        <f>'ЗОШ вода'!K108</f>
        <v>93.363</v>
      </c>
      <c r="L50" s="95">
        <f>'ЗОШ вода'!L108</f>
        <v>98.263</v>
      </c>
      <c r="M50" s="95">
        <f>'ЗОШ вода'!M108</f>
        <v>113.265</v>
      </c>
      <c r="N50" s="95">
        <f>'ЗОШ вода'!N108</f>
        <v>118.303</v>
      </c>
      <c r="O50" s="95">
        <f>SUM(C50:N50)</f>
        <v>930.409</v>
      </c>
    </row>
    <row r="51" spans="1:16" s="43" customFormat="1" ht="18" customHeight="1">
      <c r="A51" s="176"/>
      <c r="B51" s="29" t="s">
        <v>77</v>
      </c>
      <c r="C51" s="10">
        <f>'ДДЗ вода'!C70+'ЗОШ вода'!C109+'Позаш. вода'!C29</f>
        <v>174.81</v>
      </c>
      <c r="D51" s="10">
        <f>'ДДЗ вода'!D70+'ЗОШ вода'!D109+'Позаш. вода'!D29</f>
        <v>172.787</v>
      </c>
      <c r="E51" s="10">
        <f>'ДДЗ вода'!E70+'ЗОШ вода'!E109+'Позаш. вода'!E29</f>
        <v>177.787</v>
      </c>
      <c r="F51" s="10">
        <f>'ДДЗ вода'!F70+'ЗОШ вода'!F109+'Позаш. вода'!F29</f>
        <v>198.817</v>
      </c>
      <c r="G51" s="10">
        <f>'ДДЗ вода'!G70+'ЗОШ вода'!G109+'Позаш. вода'!G29</f>
        <v>184.86399999999998</v>
      </c>
      <c r="H51" s="10">
        <f>'ДДЗ вода'!H70+'ЗОШ вода'!H109+'Позаш. вода'!H29</f>
        <v>148.767</v>
      </c>
      <c r="I51" s="10">
        <f>'ДДЗ вода'!I70+'ЗОШ вода'!I109+'Позаш. вода'!I29</f>
        <v>101.57300000000001</v>
      </c>
      <c r="J51" s="10">
        <f>'ДДЗ вода'!J70+'ЗОШ вода'!J109+'Позаш. вода'!J29</f>
        <v>122.253</v>
      </c>
      <c r="K51" s="10">
        <f>'ДДЗ вода'!K70+'ЗОШ вода'!K109+'Позаш. вода'!K29</f>
        <v>156.863</v>
      </c>
      <c r="L51" s="10">
        <f>'ДДЗ вода'!L70+'ЗОШ вода'!L109+'Позаш. вода'!L29</f>
        <v>196.863</v>
      </c>
      <c r="M51" s="10">
        <f>'ДДЗ вода'!M70+'ЗОШ вода'!M109+'Позаш. вода'!M29</f>
        <v>182.743</v>
      </c>
      <c r="N51" s="10">
        <f>'ДДЗ вода'!N70+'ЗОШ вода'!N109+'Позаш. вода'!N29</f>
        <v>167.743</v>
      </c>
      <c r="O51" s="10">
        <f>'ДДЗ вода'!O70+'ЗОШ вода'!O109+'Позаш. вода'!O29</f>
        <v>1985.87</v>
      </c>
      <c r="P51" s="10" t="e">
        <f>'ДДЗ вода'!P70+'ЗОШ вода'!P109+'Позаш. вода'!P29</f>
        <v>#REF!</v>
      </c>
    </row>
    <row r="52" spans="1:15" s="43" customFormat="1" ht="66.75" customHeight="1">
      <c r="A52" s="176"/>
      <c r="B52" s="15" t="s">
        <v>112</v>
      </c>
      <c r="C52" s="52">
        <f>'ДДЗ вода'!C71+'ЗОШ вода'!C110+'Позаш. вода'!C28+'Позаш. вода'!C37+'Позаш. вода'!C40+C41+'Позаш. вода'!C42+'Позаш. вода'!C43+'Позаш. вода'!C45+'Позаш. вода'!C47+'Позаш. вода'!C48</f>
        <v>15886.698</v>
      </c>
      <c r="D52" s="52">
        <f>'ДДЗ вода'!D71+'ЗОШ вода'!D110+'Позаш. вода'!D28+'Позаш. вода'!D37+'Позаш. вода'!D40+D41+'Позаш. вода'!D42+'Позаш. вода'!D43+'Позаш. вода'!D45+'Позаш. вода'!D47+'Позаш. вода'!D48</f>
        <v>15678.375</v>
      </c>
      <c r="E52" s="52">
        <f>'ДДЗ вода'!E71+'ЗОШ вода'!E110+'Позаш. вода'!E28+'Позаш. вода'!E37+'Позаш. вода'!E40+E41+'Позаш. вода'!E42+'Позаш. вода'!E43+'Позаш. вода'!E45+'Позаш. вода'!E47+'Позаш. вода'!E48</f>
        <v>15866.679999999998</v>
      </c>
      <c r="F52" s="52">
        <f>'ДДЗ вода'!F71+'ЗОШ вода'!F110+'Позаш. вода'!F28+'Позаш. вода'!F37+'Позаш. вода'!F40+F41+'Позаш. вода'!F42+'Позаш. вода'!F43+'Позаш. вода'!F45+'Позаш. вода'!F47+'Позаш. вода'!F48</f>
        <v>15695.41</v>
      </c>
      <c r="G52" s="52">
        <f>'ДДЗ вода'!G71+'ЗОШ вода'!G110+'Позаш. вода'!G28+'Позаш. вода'!G37+'Позаш. вода'!G40+G41+'Позаш. вода'!G42+'Позаш. вода'!G43+'Позаш. вода'!G45+'Позаш. вода'!G47+'Позаш. вода'!G48</f>
        <v>14906.757</v>
      </c>
      <c r="H52" s="52">
        <f>'ДДЗ вода'!H71+'ЗОШ вода'!H110+'Позаш. вода'!H28+'Позаш. вода'!H37+'Позаш. вода'!H40+H41+'Позаш. вода'!H42+'Позаш. вода'!H43+'Позаш. вода'!H45+'Позаш. вода'!H47+'Позаш. вода'!H48</f>
        <v>10851.097</v>
      </c>
      <c r="I52" s="52">
        <f>'ДДЗ вода'!I71+'ЗОШ вода'!I110+'Позаш. вода'!I28+'Позаш. вода'!I37+'Позаш. вода'!I40+I41+'Позаш. вода'!I42+'Позаш. вода'!I43+'Позаш. вода'!I45+'Позаш. вода'!I47+'Позаш. вода'!I48</f>
        <v>8434.903</v>
      </c>
      <c r="J52" s="52">
        <f>'ДДЗ вода'!J71+'ЗОШ вода'!J110+'Позаш. вода'!J28+'Позаш. вода'!J37+'Позаш. вода'!J40+J41+'Позаш. вода'!J42+'Позаш. вода'!J43+'Позаш. вода'!J45+'Позаш. вода'!J47+'Позаш. вода'!J48</f>
        <v>8216.582999999999</v>
      </c>
      <c r="K52" s="52">
        <f>'ДДЗ вода'!K71+'ЗОШ вода'!K110+'Позаш. вода'!K28+'Позаш. вода'!K37+'Позаш. вода'!K40+K41+'Позаш. вода'!K42+'Позаш. вода'!K43+'Позаш. вода'!K45+'Позаш. вода'!K47+'Позаш. вода'!K48</f>
        <v>14750.556</v>
      </c>
      <c r="L52" s="52">
        <f>'ДДЗ вода'!L71+'ЗОШ вода'!L110+'Позаш. вода'!L28+'Позаш. вода'!L37+'Позаш. вода'!L40+L41+'Позаш. вода'!L42+'Позаш. вода'!L43+'Позаш. вода'!L45+'Позаш. вода'!L47+'Позаш. вода'!L48</f>
        <v>15394.456</v>
      </c>
      <c r="M52" s="52">
        <f>'ДДЗ вода'!M71+'ЗОШ вода'!M110+'Позаш. вода'!M28+'Позаш. вода'!M37+'Позаш. вода'!M40+M41+'Позаш. вода'!M42+'Позаш. вода'!M43+'Позаш. вода'!M45+'Позаш. вода'!M47+'Позаш. вода'!M48</f>
        <v>15413.063</v>
      </c>
      <c r="N52" s="52">
        <f>'ДДЗ вода'!N71+'ЗОШ вода'!N110+'Позаш. вода'!N28+'Позаш. вода'!N37+'Позаш. вода'!N40+N41+'Позаш. вода'!N42+'Позаш. вода'!N43+'Позаш. вода'!N45+'Позаш. вода'!N47+'Позаш. вода'!N48</f>
        <v>14943.350999999999</v>
      </c>
      <c r="O52" s="52">
        <f>'ДДЗ вода'!O71+'ЗОШ вода'!O110+'Позаш. вода'!O28+'Позаш. вода'!O37+'Позаш. вода'!O40+O41+'Позаш. вода'!O42+'Позаш. вода'!O43+'Позаш. вода'!O45+'Позаш. вода'!O47+'Позаш. вода'!O48</f>
        <v>166037.929</v>
      </c>
    </row>
    <row r="53" spans="1:15" s="43" customFormat="1" ht="24" customHeight="1">
      <c r="A53" s="176"/>
      <c r="B53" s="29" t="s">
        <v>113</v>
      </c>
      <c r="C53" s="95">
        <f>'ЗОШ вода'!C111</f>
        <v>118.563</v>
      </c>
      <c r="D53" s="95">
        <f>'ЗОШ вода'!D111</f>
        <v>108.263</v>
      </c>
      <c r="E53" s="95">
        <f>'ЗОШ вода'!E111</f>
        <v>103.563</v>
      </c>
      <c r="F53" s="95">
        <f>'ЗОШ вода'!F111</f>
        <v>93.263</v>
      </c>
      <c r="G53" s="95">
        <f>'ЗОШ вода'!G111</f>
        <v>83.563</v>
      </c>
      <c r="H53" s="95">
        <f>'ЗОШ вода'!H111</f>
        <v>0</v>
      </c>
      <c r="I53" s="95">
        <f>'ЗОШ вода'!I111</f>
        <v>0</v>
      </c>
      <c r="J53" s="95">
        <f>'ЗОШ вода'!J111</f>
        <v>0</v>
      </c>
      <c r="K53" s="95">
        <f>'ЗОШ вода'!K111</f>
        <v>93.363</v>
      </c>
      <c r="L53" s="95">
        <f>'ЗОШ вода'!L111</f>
        <v>98.263</v>
      </c>
      <c r="M53" s="95">
        <f>'ЗОШ вода'!M111</f>
        <v>113.265</v>
      </c>
      <c r="N53" s="95">
        <f>'ЗОШ вода'!N111</f>
        <v>118.303</v>
      </c>
      <c r="O53" s="95">
        <f>'ЗОШ вода'!O111</f>
        <v>930.409</v>
      </c>
    </row>
    <row r="54" spans="1:16" s="43" customFormat="1" ht="24" customHeight="1">
      <c r="A54" s="177"/>
      <c r="B54" s="29" t="s">
        <v>77</v>
      </c>
      <c r="C54" s="10">
        <f>'ДДЗ вода'!C72+'ЗОШ вода'!C112+'Позаш. вода'!C29</f>
        <v>174.81</v>
      </c>
      <c r="D54" s="10">
        <f>'ДДЗ вода'!D72+'ЗОШ вода'!D112+'Позаш. вода'!D29</f>
        <v>172.787</v>
      </c>
      <c r="E54" s="10">
        <f>'ДДЗ вода'!E72+'ЗОШ вода'!E112+'Позаш. вода'!E29</f>
        <v>177.787</v>
      </c>
      <c r="F54" s="10">
        <f>'ДДЗ вода'!F72+'ЗОШ вода'!F112+'Позаш. вода'!F29</f>
        <v>198.817</v>
      </c>
      <c r="G54" s="10">
        <f>'ДДЗ вода'!G72+'ЗОШ вода'!G112+'Позаш. вода'!G29</f>
        <v>184.86399999999998</v>
      </c>
      <c r="H54" s="10">
        <f>'ДДЗ вода'!H72+'ЗОШ вода'!H112+'Позаш. вода'!H29</f>
        <v>148.767</v>
      </c>
      <c r="I54" s="10">
        <f>'ДДЗ вода'!I72+'ЗОШ вода'!I112+'Позаш. вода'!I29</f>
        <v>101.57300000000001</v>
      </c>
      <c r="J54" s="10">
        <f>'ДДЗ вода'!J72+'ЗОШ вода'!J112+'Позаш. вода'!J29</f>
        <v>122.253</v>
      </c>
      <c r="K54" s="10">
        <f>'ДДЗ вода'!K72+'ЗОШ вода'!K112+'Позаш. вода'!K29</f>
        <v>156.863</v>
      </c>
      <c r="L54" s="10">
        <f>'ДДЗ вода'!L72+'ЗОШ вода'!L112+'Позаш. вода'!L29</f>
        <v>196.863</v>
      </c>
      <c r="M54" s="10">
        <f>'ДДЗ вода'!M72+'ЗОШ вода'!M112+'Позаш. вода'!M29</f>
        <v>182.743</v>
      </c>
      <c r="N54" s="10">
        <f>'ДДЗ вода'!N72+'ЗОШ вода'!N112+'Позаш. вода'!N29</f>
        <v>167.743</v>
      </c>
      <c r="O54" s="10">
        <f>'ДДЗ вода'!O72+'ЗОШ вода'!O112+'Позаш. вода'!O29</f>
        <v>1985.87</v>
      </c>
      <c r="P54" s="10" t="e">
        <f>'ДДЗ вода'!P72+'ЗОШ вода'!P112+'Позаш. вода'!P29</f>
        <v>#REF!</v>
      </c>
    </row>
    <row r="55" spans="1:15" s="43" customFormat="1" ht="21.75" customHeight="1" hidden="1">
      <c r="A55" s="41" t="s">
        <v>20</v>
      </c>
      <c r="B55" s="41"/>
      <c r="C55" s="42" t="s">
        <v>0</v>
      </c>
      <c r="D55" s="42" t="s">
        <v>1</v>
      </c>
      <c r="E55" s="42" t="s">
        <v>2</v>
      </c>
      <c r="F55" s="42" t="s">
        <v>3</v>
      </c>
      <c r="G55" s="42" t="s">
        <v>4</v>
      </c>
      <c r="H55" s="42" t="s">
        <v>21</v>
      </c>
      <c r="I55" s="42" t="s">
        <v>5</v>
      </c>
      <c r="J55" s="42" t="s">
        <v>6</v>
      </c>
      <c r="K55" s="42" t="s">
        <v>7</v>
      </c>
      <c r="L55" s="42" t="s">
        <v>8</v>
      </c>
      <c r="M55" s="42" t="s">
        <v>9</v>
      </c>
      <c r="N55" s="42" t="s">
        <v>10</v>
      </c>
      <c r="O55" s="22" t="s">
        <v>58</v>
      </c>
    </row>
    <row r="56" spans="1:16" s="43" customFormat="1" ht="107.25" customHeight="1">
      <c r="A56" s="175" t="s">
        <v>117</v>
      </c>
      <c r="B56" s="4" t="s">
        <v>151</v>
      </c>
      <c r="C56" s="52">
        <f>'ДДЗ вода'!C73+'ЗОШ вода'!C113+'Позаш. вода'!C30+C36+'Позаш. вода'!C40+C41+'Позаш. вода'!C42+'Позаш. вода'!C43+C46+C47+C48</f>
        <v>18135.388</v>
      </c>
      <c r="D56" s="52">
        <f>'ДДЗ вода'!D73+'ЗОШ вода'!D113+'Позаш. вода'!D30+D36+'Позаш. вода'!D40+D41+'Позаш. вода'!D42+'Позаш. вода'!D43+D46+D47+D48</f>
        <v>18588.587999999996</v>
      </c>
      <c r="E56" s="52">
        <f>'ДДЗ вода'!E73+'ЗОШ вода'!E113+'Позаш. вода'!E30+E36+'Позаш. вода'!E40+E41+'Позаш. вода'!E42+'Позаш. вода'!E43+E46+E47+E48</f>
        <v>19230.662999999997</v>
      </c>
      <c r="F56" s="52">
        <f>'ДДЗ вода'!F73+'ЗОШ вода'!F113+'Позаш. вода'!F30+F36+'Позаш. вода'!F40+F41+'Позаш. вода'!F42+'Позаш. вода'!F43+F46+F47+F48</f>
        <v>17112.053</v>
      </c>
      <c r="G56" s="52">
        <f>'ДДЗ вода'!G73+'ЗОШ вода'!G113+'Позаш. вода'!G30+G36+'Позаш. вода'!G40+G41+'Позаш. вода'!G42+'Позаш. вода'!G43+G46+G47+G48</f>
        <v>16261.223</v>
      </c>
      <c r="H56" s="52">
        <f>'ДДЗ вода'!H73+'ЗОШ вода'!H113+'Позаш. вода'!H30+H36+'Позаш. вода'!H40+H41+'Позаш. вода'!H42+'Позаш. вода'!H43+H46+H47+H48</f>
        <v>11935.300000000001</v>
      </c>
      <c r="I56" s="52">
        <f>'ДДЗ вода'!I73+'ЗОШ вода'!I113+'Позаш. вода'!I30+I36+'Позаш. вода'!I40+I41+'Позаш. вода'!I42+'Позаш. вода'!I43+I46+I47+I48</f>
        <v>8951.33</v>
      </c>
      <c r="J56" s="52">
        <f>'ДДЗ вода'!J73+'ЗОШ вода'!J113+'Позаш. вода'!J30+J36+'Позаш. вода'!J40+J41+'Позаш. вода'!J42+'Позаш. вода'!J43+J46+J47+J48</f>
        <v>8826.33</v>
      </c>
      <c r="K56" s="52">
        <f>'ДДЗ вода'!K73+'ЗОШ вода'!K113+'Позаш. вода'!K30+K36+'Позаш. вода'!K40+K41+'Позаш. вода'!K42+'Позаш. вода'!K43+K46+K47+K48</f>
        <v>17184.673</v>
      </c>
      <c r="L56" s="52">
        <f>'ДДЗ вода'!L73+'ЗОШ вода'!L113+'Позаш. вода'!L30+L36+'Позаш. вода'!L40+L41+'Позаш. вода'!L42+'Позаш. вода'!L43+L46+L47+L48</f>
        <v>19091.253</v>
      </c>
      <c r="M56" s="52">
        <f>'ДДЗ вода'!M73+'ЗОШ вода'!M113+'Позаш. вода'!M30+M36+'Позаш. вода'!M40+M41+'Позаш. вода'!M42+'Позаш. вода'!M43+M46+M47+M48</f>
        <v>17482.92</v>
      </c>
      <c r="N56" s="52">
        <f>'ДДЗ вода'!N73+'ЗОШ вода'!N113+'Позаш. вода'!N30+N36+'Позаш. вода'!N40+N41+'Позаш. вода'!N42+'Позаш. вода'!N43+N46+N47+N48</f>
        <v>17163.908</v>
      </c>
      <c r="O56" s="52">
        <f>'ДДЗ вода'!O73+'ЗОШ вода'!O113+'Позаш. вода'!O30+O36+'Позаш. вода'!O40+O41+'Позаш. вода'!O42+'Позаш. вода'!O43+O46+O47+O48</f>
        <v>189963.629</v>
      </c>
      <c r="P56" s="52" t="e">
        <f>'ДДЗ вода'!P73+'ЗОШ вода'!P113+'Позаш. вода'!P30+P36+'Позаш. вода'!P40+'Позаш. вода'!P42+'Позаш. вода'!P43+'Позаш. вода'!P45+P47+P48</f>
        <v>#REF!</v>
      </c>
    </row>
    <row r="57" spans="1:15" s="43" customFormat="1" ht="18" customHeight="1">
      <c r="A57" s="176"/>
      <c r="B57" s="29" t="s">
        <v>79</v>
      </c>
      <c r="C57" s="95">
        <f>'ЗОШ вода'!C114</f>
        <v>118.563</v>
      </c>
      <c r="D57" s="95">
        <f>'ЗОШ вода'!D114</f>
        <v>108.263</v>
      </c>
      <c r="E57" s="95">
        <f>'ЗОШ вода'!E114</f>
        <v>103.563</v>
      </c>
      <c r="F57" s="95">
        <f>'ЗОШ вода'!F114</f>
        <v>93.263</v>
      </c>
      <c r="G57" s="95">
        <f>'ЗОШ вода'!G114</f>
        <v>83.563</v>
      </c>
      <c r="H57" s="95">
        <f>'ЗОШ вода'!H114</f>
        <v>0</v>
      </c>
      <c r="I57" s="95">
        <f>'ЗОШ вода'!I114</f>
        <v>0</v>
      </c>
      <c r="J57" s="95">
        <f>'ЗОШ вода'!J114</f>
        <v>0</v>
      </c>
      <c r="K57" s="95">
        <f>'ЗОШ вода'!K114</f>
        <v>93.363</v>
      </c>
      <c r="L57" s="95">
        <f>'ЗОШ вода'!L114</f>
        <v>98.263</v>
      </c>
      <c r="M57" s="95">
        <f>'ЗОШ вода'!M114</f>
        <v>113.265</v>
      </c>
      <c r="N57" s="95">
        <f>'ЗОШ вода'!N114</f>
        <v>118.303</v>
      </c>
      <c r="O57" s="95">
        <f>'ЗОШ вода'!O114</f>
        <v>930.409</v>
      </c>
    </row>
    <row r="58" spans="1:16" s="43" customFormat="1" ht="60" customHeight="1">
      <c r="A58" s="176"/>
      <c r="B58" s="15" t="s">
        <v>112</v>
      </c>
      <c r="C58" s="52">
        <f>'ДДЗ вода'!C74+'ЗОШ вода'!C115+C30+C37+'Позаш. вода'!C40+C41+'Позаш. вода'!C42+'Позаш. вода'!C43+'Позаш. вода'!C45+'Позаш. вода'!C47+C48</f>
        <v>15711.887999999999</v>
      </c>
      <c r="D58" s="52">
        <f>'ДДЗ вода'!D74+'ЗОШ вода'!D115+D30+D37+'Позаш. вода'!D40+D41+'Позаш. вода'!D42+'Позаш. вода'!D43+'Позаш. вода'!D45+'Позаш. вода'!D47+D48</f>
        <v>15505.588</v>
      </c>
      <c r="E58" s="52">
        <f>'ДДЗ вода'!E74+'ЗОШ вода'!E115+E30+E37+'Позаш. вода'!E40+E41+'Позаш. вода'!E42+'Позаш. вода'!E43+'Позаш. вода'!E45+'Позаш. вода'!E47+E48</f>
        <v>15688.892999999998</v>
      </c>
      <c r="F58" s="52">
        <f>'ДДЗ вода'!F74+'ЗОШ вода'!F115+F30+F37+'Позаш. вода'!F40+F41+'Позаш. вода'!F42+'Позаш. вода'!F43+'Позаш. вода'!F45+'Позаш. вода'!F47+F48</f>
        <v>15496.592999999999</v>
      </c>
      <c r="G58" s="52">
        <f>'ДДЗ вода'!G74+'ЗОШ вода'!G115+G30+G37+'Позаш. вода'!G40+G41+'Позаш. вода'!G42+'Позаш. вода'!G43+'Позаш. вода'!G45+'Позаш. вода'!G47+G48</f>
        <v>14721.893</v>
      </c>
      <c r="H58" s="52">
        <f>'ДДЗ вода'!H74+'ЗОШ вода'!H115+H30+H37+'Позаш. вода'!H40+H41+'Позаш. вода'!H42+'Позаш. вода'!H43+'Позаш. вода'!H45+'Позаш. вода'!H47+H48</f>
        <v>10702.33</v>
      </c>
      <c r="I58" s="52">
        <f>'ДДЗ вода'!I74+'ЗОШ вода'!I115+I30+I37+'Позаш. вода'!I40+I41+'Позаш. вода'!I42+'Позаш. вода'!I43+'Позаш. вода'!I45+'Позаш. вода'!I47+I48</f>
        <v>8333.33</v>
      </c>
      <c r="J58" s="52">
        <f>'ДДЗ вода'!J74+'ЗОШ вода'!J115+J30+J37+'Позаш. вода'!J40+J41+'Позаш. вода'!J42+'Позаш. вода'!J43+'Позаш. вода'!J45+'Позаш. вода'!J47+J48</f>
        <v>8094.329999999999</v>
      </c>
      <c r="K58" s="52">
        <f>'ДДЗ вода'!K74+'ЗОШ вода'!K115+K30+K37+'Позаш. вода'!K40+K41+'Позаш. вода'!K42+'Позаш. вода'!K43+'Позаш. вода'!K45+'Позаш. вода'!K47+K48</f>
        <v>14593.693000000001</v>
      </c>
      <c r="L58" s="52">
        <f>'ДДЗ вода'!L74+'ЗОШ вода'!L115+L30+L37+'Позаш. вода'!L40+L41+'Позаш. вода'!L42+'Позаш. вода'!L43+'Позаш. вода'!L45+'Позаш. вода'!L47+L48</f>
        <v>15197.592999999999</v>
      </c>
      <c r="M58" s="52">
        <f>'ДДЗ вода'!M74+'ЗОШ вода'!M115+M30+M37+'Позаш. вода'!M40+M41+'Позаш. вода'!M42+'Позаш. вода'!M43+'Позаш. вода'!M45+'Позаш. вода'!M47+M48</f>
        <v>15230.32</v>
      </c>
      <c r="N58" s="52">
        <f>'ДДЗ вода'!N74+'ЗОШ вода'!N115+N30+N37+'Позаш. вода'!N40+N41+'Позаш. вода'!N42+'Позаш. вода'!N43+'Позаш. вода'!N45+'Позаш. вода'!N47+N48</f>
        <v>14775.608</v>
      </c>
      <c r="O58" s="52">
        <f>'ДДЗ вода'!O74+'ЗОШ вода'!O115+O30+O37+'Позаш. вода'!O40+O41+'Позаш. вода'!O42+'Позаш. вода'!O43+'Позаш. вода'!O45+'Позаш. вода'!O47+O48</f>
        <v>164052.059</v>
      </c>
      <c r="P58" s="52" t="e">
        <f>'ДДЗ вода'!P74+'ЗОШ вода'!P115+'Позаш. вода'!P30+'Позаш. вода'!P40+'Позаш. вода'!P42+'Позаш. вода'!P43+'Позаш. вода'!P45+'Позаш. вода'!P47+P48</f>
        <v>#REF!</v>
      </c>
    </row>
    <row r="59" spans="1:15" s="43" customFormat="1" ht="27.75" customHeight="1">
      <c r="A59" s="177"/>
      <c r="B59" s="29" t="s">
        <v>79</v>
      </c>
      <c r="C59" s="95">
        <f>'ЗОШ вода'!C116</f>
        <v>118.563</v>
      </c>
      <c r="D59" s="95">
        <f>'ЗОШ вода'!D116</f>
        <v>108.263</v>
      </c>
      <c r="E59" s="95">
        <f>'ЗОШ вода'!E116</f>
        <v>103.563</v>
      </c>
      <c r="F59" s="95">
        <f>'ЗОШ вода'!F116</f>
        <v>93.263</v>
      </c>
      <c r="G59" s="95">
        <f>'ЗОШ вода'!G116</f>
        <v>83.563</v>
      </c>
      <c r="H59" s="95">
        <f>'ЗОШ вода'!H116</f>
        <v>0</v>
      </c>
      <c r="I59" s="95">
        <f>'ЗОШ вода'!I116</f>
        <v>0</v>
      </c>
      <c r="J59" s="95">
        <f>'ЗОШ вода'!J116</f>
        <v>0</v>
      </c>
      <c r="K59" s="95">
        <f>'ЗОШ вода'!K116</f>
        <v>93.363</v>
      </c>
      <c r="L59" s="95">
        <f>'ЗОШ вода'!L116</f>
        <v>98.263</v>
      </c>
      <c r="M59" s="95">
        <f>'ЗОШ вода'!M116</f>
        <v>113.265</v>
      </c>
      <c r="N59" s="95">
        <f>'ЗОШ вода'!N116</f>
        <v>118.303</v>
      </c>
      <c r="O59" s="95">
        <f>'ЗОШ вода'!O116</f>
        <v>930.409</v>
      </c>
    </row>
    <row r="60" spans="1:16" s="43" customFormat="1" ht="96" customHeight="1">
      <c r="A60" s="175" t="s">
        <v>121</v>
      </c>
      <c r="B60" s="4" t="s">
        <v>152</v>
      </c>
      <c r="C60" s="52">
        <f>'ДДЗ вода'!C73+'ЗОШ вода'!C117+'Позаш. вода'!C30+'Позаш. вода'!C36+'Позаш. вода'!C40+C41+'Позаш. вода'!C42+'Позаш. вода'!C43+C46+'Позаш. вода'!C47+'Позаш. вода'!C48</f>
        <v>18016.824999999997</v>
      </c>
      <c r="D60" s="52">
        <f>'ДДЗ вода'!D73+'ЗОШ вода'!D117+'Позаш. вода'!D30+'Позаш. вода'!D36+'Позаш. вода'!D40+D41+'Позаш. вода'!D42+'Позаш. вода'!D43+D46+'Позаш. вода'!D47+'Позаш. вода'!D48</f>
        <v>18480.324999999997</v>
      </c>
      <c r="E60" s="52">
        <f>'ДДЗ вода'!E73+'ЗОШ вода'!E117+'Позаш. вода'!E30+'Позаш. вода'!E36+'Позаш. вода'!E40+E41+'Позаш. вода'!E42+'Позаш. вода'!E43+E46+'Позаш. вода'!E47+'Позаш. вода'!E48</f>
        <v>19127.099999999995</v>
      </c>
      <c r="F60" s="52">
        <f>'ДДЗ вода'!F73+'ЗОШ вода'!F117+'Позаш. вода'!F30+'Позаш. вода'!F36+'Позаш. вода'!F40+F41+'Позаш. вода'!F42+'Позаш. вода'!F43+F46+'Позаш. вода'!F47+'Позаш. вода'!F48</f>
        <v>17018.789999999997</v>
      </c>
      <c r="G60" s="52">
        <f>'ДДЗ вода'!G73+'ЗОШ вода'!G117+'Позаш. вода'!G30+'Позаш. вода'!G36+'Позаш. вода'!G40+G41+'Позаш. вода'!G42+'Позаш. вода'!G43+G46+'Позаш. вода'!G47+'Позаш. вода'!G48</f>
        <v>16177.66</v>
      </c>
      <c r="H60" s="52">
        <f>'ДДЗ вода'!H73+'ЗОШ вода'!H117+'Позаш. вода'!H30+'Позаш. вода'!H36+'Позаш. вода'!H40+H41+'Позаш. вода'!H42+'Позаш. вода'!H43+H46+'Позаш. вода'!H47+'Позаш. вода'!H48</f>
        <v>11935.300000000001</v>
      </c>
      <c r="I60" s="52">
        <f>'ДДЗ вода'!I73+'ЗОШ вода'!I117+'Позаш. вода'!I30+'Позаш. вода'!I36+'Позаш. вода'!I40+I41+'Позаш. вода'!I42+'Позаш. вода'!I43+I46+'Позаш. вода'!I47+'Позаш. вода'!I48</f>
        <v>8951.33</v>
      </c>
      <c r="J60" s="52">
        <f>'ДДЗ вода'!J73+'ЗОШ вода'!J117+'Позаш. вода'!J30+'Позаш. вода'!J36+'Позаш. вода'!J40+J41+'Позаш. вода'!J42+'Позаш. вода'!J43+J46+'Позаш. вода'!J47+'Позаш. вода'!J48</f>
        <v>8826.33</v>
      </c>
      <c r="K60" s="52">
        <f>'ДДЗ вода'!K73+'ЗОШ вода'!K117+'Позаш. вода'!K30+'Позаш. вода'!K36+'Позаш. вода'!K40+K41+'Позаш. вода'!K42+'Позаш. вода'!K43+K46+'Позаш. вода'!K47+'Позаш. вода'!K48</f>
        <v>17091.31</v>
      </c>
      <c r="L60" s="52">
        <f>'ДДЗ вода'!L73+'ЗОШ вода'!L117+'Позаш. вода'!L30+'Позаш. вода'!L36+'Позаш. вода'!L40+L41+'Позаш. вода'!L42+'Позаш. вода'!L43+L46+'Позаш. вода'!L47+'Позаш. вода'!L48</f>
        <v>18992.99</v>
      </c>
      <c r="M60" s="52">
        <f>'ДДЗ вода'!M73+'ЗОШ вода'!M117+'Позаш. вода'!M30+'Позаш. вода'!M36+'Позаш. вода'!M40+M41+'Позаш. вода'!M42+'Позаш. вода'!M43+M46+'Позаш. вода'!M47+'Позаш. вода'!M48</f>
        <v>17369.655</v>
      </c>
      <c r="N60" s="52">
        <f>'ДДЗ вода'!N73+'ЗОШ вода'!N117+'Позаш. вода'!N30+'Позаш. вода'!N36+'Позаш. вода'!N40+N41+'Позаш. вода'!N42+'Позаш. вода'!N43+N46+'Позаш. вода'!N47+'Позаш. вода'!N48</f>
        <v>17045.605</v>
      </c>
      <c r="O60" s="52">
        <f>'ДДЗ вода'!O73+'ЗОШ вода'!O117+'Позаш. вода'!O30+'Позаш. вода'!O36+'Позаш. вода'!O40+O41+'Позаш. вода'!O42+'Позаш. вода'!O43+O46+'Позаш. вода'!O47+'Позаш. вода'!O48</f>
        <v>189033.22</v>
      </c>
      <c r="P60" s="52" t="e">
        <f>'ДДЗ вода'!P73+'ЗОШ вода'!P117+'Позаш. вода'!P30+'Позаш. вода'!P36+'Позаш. вода'!P40+'Позаш. вода'!P42+'Позаш. вода'!P43+'Позаш. вода'!P45+'Позаш. вода'!P47+'Позаш. вода'!P48</f>
        <v>#REF!</v>
      </c>
    </row>
    <row r="61" spans="1:16" s="43" customFormat="1" ht="61.5" customHeight="1">
      <c r="A61" s="177"/>
      <c r="B61" s="15" t="s">
        <v>135</v>
      </c>
      <c r="C61" s="52">
        <f>'ДДЗ вода'!C74+'ЗОШ вода'!C118+'Позаш. вода'!C30+C37+'Позаш. вода'!C40+C41+'Позаш. вода'!C42+'Позаш. вода'!C43+'Позаш. вода'!C45+'Позаш. вода'!C47+C48</f>
        <v>15593.325</v>
      </c>
      <c r="D61" s="52">
        <f>'ДДЗ вода'!D74+'ЗОШ вода'!D118+'Позаш. вода'!D30+D37+'Позаш. вода'!D40+D41+'Позаш. вода'!D42+'Позаш. вода'!D43+'Позаш. вода'!D45+'Позаш. вода'!D47+D48</f>
        <v>15397.325</v>
      </c>
      <c r="E61" s="52">
        <f>'ДДЗ вода'!E74+'ЗОШ вода'!E118+'Позаш. вода'!E30+E37+'Позаш. вода'!E40+E41+'Позаш. вода'!E42+'Позаш. вода'!E43+'Позаш. вода'!E45+'Позаш. вода'!E47+E48</f>
        <v>15585.33</v>
      </c>
      <c r="F61" s="52">
        <f>'ДДЗ вода'!F74+'ЗОШ вода'!F118+'Позаш. вода'!F30+F37+'Позаш. вода'!F40+F41+'Позаш. вода'!F42+'Позаш. вода'!F43+'Позаш. вода'!F45+'Позаш. вода'!F47+F48</f>
        <v>15403.33</v>
      </c>
      <c r="G61" s="52">
        <f>'ДДЗ вода'!G74+'ЗОШ вода'!G118+'Позаш. вода'!G30+G37+'Позаш. вода'!G40+G41+'Позаш. вода'!G42+'Позаш. вода'!G43+'Позаш. вода'!G45+'Позаш. вода'!G47+G48</f>
        <v>14638.33</v>
      </c>
      <c r="H61" s="52">
        <f>'ДДЗ вода'!H74+'ЗОШ вода'!H118+'Позаш. вода'!H30+H37+'Позаш. вода'!H40+H41+'Позаш. вода'!H42+'Позаш. вода'!H43+'Позаш. вода'!H45+'Позаш. вода'!H47+H48</f>
        <v>10702.33</v>
      </c>
      <c r="I61" s="52">
        <f>'ДДЗ вода'!I74+'ЗОШ вода'!I118+'Позаш. вода'!I30+I37+'Позаш. вода'!I40+I41+'Позаш. вода'!I42+'Позаш. вода'!I43+'Позаш. вода'!I45+'Позаш. вода'!I47+I48</f>
        <v>8333.33</v>
      </c>
      <c r="J61" s="52">
        <f>'ДДЗ вода'!J74+'ЗОШ вода'!J118+'Позаш. вода'!J30+J37+'Позаш. вода'!J40+J41+'Позаш. вода'!J42+'Позаш. вода'!J43+'Позаш. вода'!J45+'Позаш. вода'!J47+J48</f>
        <v>8094.329999999999</v>
      </c>
      <c r="K61" s="52">
        <f>'ДДЗ вода'!K74+'ЗОШ вода'!K118+'Позаш. вода'!K30+K37+'Позаш. вода'!K40+K41+'Позаш. вода'!K42+'Позаш. вода'!K43+'Позаш. вода'!K45+'Позаш. вода'!K47+K48</f>
        <v>14500.33</v>
      </c>
      <c r="L61" s="52">
        <f>'ДДЗ вода'!L74+'ЗОШ вода'!L118+'Позаш. вода'!L30+L37+'Позаш. вода'!L40+L41+'Позаш. вода'!L42+'Позаш. вода'!L43+'Позаш. вода'!L45+'Позаш. вода'!L47+L48</f>
        <v>15099.33</v>
      </c>
      <c r="M61" s="52">
        <f>'ДДЗ вода'!M74+'ЗОШ вода'!M118+'Позаш. вода'!M30+M37+'Позаш. вода'!M40+M41+'Позаш. вода'!M42+'Позаш. вода'!M43+'Позаш. вода'!M45+'Позаш. вода'!M47+M48</f>
        <v>15117.055</v>
      </c>
      <c r="N61" s="52">
        <f>'ДДЗ вода'!N74+'ЗОШ вода'!N118+'Позаш. вода'!N30+N37+'Позаш. вода'!N40+N41+'Позаш. вода'!N42+'Позаш. вода'!N43+'Позаш. вода'!N45+'Позаш. вода'!N47+N48</f>
        <v>14657.305</v>
      </c>
      <c r="O61" s="52">
        <f>'ДДЗ вода'!O74+'ЗОШ вода'!O118+'Позаш. вода'!O30+O37+'Позаш. вода'!O40+O41+'Позаш. вода'!O42+'Позаш. вода'!O43+'Позаш. вода'!O45+'Позаш. вода'!O47+O48</f>
        <v>163121.65</v>
      </c>
      <c r="P61" s="52" t="e">
        <f>'ДДЗ вода'!P74+'ЗОШ вода'!P118+'Позаш. вода'!P30+P37+'Позаш. вода'!P40+'Позаш. вода'!P42+'Позаш. вода'!P43+'Позаш. вода'!P45+'Позаш. вода'!P47+P48</f>
        <v>#REF!</v>
      </c>
    </row>
    <row r="62" spans="1:15" s="43" customFormat="1" ht="31.5" customHeight="1" hidden="1">
      <c r="A62" s="41" t="s">
        <v>20</v>
      </c>
      <c r="B62" s="41"/>
      <c r="C62" s="42" t="s">
        <v>0</v>
      </c>
      <c r="D62" s="42" t="s">
        <v>1</v>
      </c>
      <c r="E62" s="42" t="s">
        <v>2</v>
      </c>
      <c r="F62" s="42" t="s">
        <v>3</v>
      </c>
      <c r="G62" s="42" t="s">
        <v>4</v>
      </c>
      <c r="H62" s="42" t="s">
        <v>21</v>
      </c>
      <c r="I62" s="42" t="s">
        <v>5</v>
      </c>
      <c r="J62" s="42" t="s">
        <v>6</v>
      </c>
      <c r="K62" s="42" t="s">
        <v>7</v>
      </c>
      <c r="L62" s="42" t="s">
        <v>8</v>
      </c>
      <c r="M62" s="42" t="s">
        <v>9</v>
      </c>
      <c r="N62" s="42" t="s">
        <v>10</v>
      </c>
      <c r="O62" s="22" t="s">
        <v>58</v>
      </c>
    </row>
    <row r="63" spans="1:15" s="43" customFormat="1" ht="31.5" customHeight="1">
      <c r="A63" s="53" t="s">
        <v>59</v>
      </c>
      <c r="B63" s="4" t="s">
        <v>172</v>
      </c>
      <c r="C63" s="150">
        <v>1.88</v>
      </c>
      <c r="D63" s="150">
        <v>1.85</v>
      </c>
      <c r="E63" s="150">
        <v>1.48</v>
      </c>
      <c r="F63" s="150">
        <v>1.44</v>
      </c>
      <c r="G63" s="150">
        <v>1.44</v>
      </c>
      <c r="H63" s="150">
        <v>1.44</v>
      </c>
      <c r="I63" s="150">
        <v>1.44</v>
      </c>
      <c r="J63" s="150">
        <v>1.44</v>
      </c>
      <c r="K63" s="150">
        <v>1.15</v>
      </c>
      <c r="L63" s="150">
        <v>1.61</v>
      </c>
      <c r="M63" s="150">
        <v>1.45</v>
      </c>
      <c r="N63" s="86">
        <v>1</v>
      </c>
      <c r="O63" s="10">
        <f>C63+D63+E63+F63+G63+H63+I63+J63+K63+L63+M63+N63</f>
        <v>17.619999999999997</v>
      </c>
    </row>
    <row r="64" spans="1:15" s="43" customFormat="1" ht="54" customHeight="1">
      <c r="A64" s="174" t="s">
        <v>18</v>
      </c>
      <c r="B64" s="4" t="s">
        <v>158</v>
      </c>
      <c r="C64" s="6">
        <v>13</v>
      </c>
      <c r="D64" s="147">
        <v>13</v>
      </c>
      <c r="E64" s="147">
        <v>13</v>
      </c>
      <c r="F64" s="6">
        <v>13</v>
      </c>
      <c r="G64" s="147">
        <v>10</v>
      </c>
      <c r="H64" s="147">
        <v>8</v>
      </c>
      <c r="I64" s="14">
        <v>8</v>
      </c>
      <c r="J64" s="14">
        <v>8</v>
      </c>
      <c r="K64" s="14">
        <v>9</v>
      </c>
      <c r="L64" s="14">
        <v>11</v>
      </c>
      <c r="M64" s="14">
        <v>12</v>
      </c>
      <c r="N64" s="14">
        <v>12</v>
      </c>
      <c r="O64" s="17">
        <f>C64+D64+E64+F64+G64+H64+I64+J64+K64+L64+M64+N64</f>
        <v>130</v>
      </c>
    </row>
    <row r="65" spans="1:15" s="43" customFormat="1" ht="43.5" customHeight="1">
      <c r="A65" s="167"/>
      <c r="B65" s="4" t="s">
        <v>159</v>
      </c>
      <c r="C65" s="120">
        <v>14.6</v>
      </c>
      <c r="D65" s="148">
        <v>14.6</v>
      </c>
      <c r="E65" s="148">
        <v>14.6</v>
      </c>
      <c r="F65" s="120">
        <v>14.6</v>
      </c>
      <c r="G65" s="148">
        <v>11.6</v>
      </c>
      <c r="H65" s="148">
        <v>8</v>
      </c>
      <c r="I65" s="119">
        <v>8</v>
      </c>
      <c r="J65" s="119">
        <v>8</v>
      </c>
      <c r="K65" s="119">
        <v>9</v>
      </c>
      <c r="L65" s="119">
        <v>12.6</v>
      </c>
      <c r="M65" s="119">
        <v>13.6</v>
      </c>
      <c r="N65" s="119">
        <v>13.6</v>
      </c>
      <c r="O65" s="17">
        <f>SUM(C65:N65)</f>
        <v>142.79999999999998</v>
      </c>
    </row>
    <row r="66" spans="1:15" s="43" customFormat="1" ht="63" customHeight="1">
      <c r="A66" s="180" t="s">
        <v>68</v>
      </c>
      <c r="B66" s="4" t="s">
        <v>158</v>
      </c>
      <c r="C66" s="11">
        <f>C63+C64</f>
        <v>14.879999999999999</v>
      </c>
      <c r="D66" s="11">
        <f aca="true" t="shared" si="10" ref="D66:O66">D63+D64</f>
        <v>14.85</v>
      </c>
      <c r="E66" s="11">
        <f t="shared" si="10"/>
        <v>14.48</v>
      </c>
      <c r="F66" s="11">
        <f t="shared" si="10"/>
        <v>14.44</v>
      </c>
      <c r="G66" s="11">
        <f t="shared" si="10"/>
        <v>11.44</v>
      </c>
      <c r="H66" s="11">
        <f t="shared" si="10"/>
        <v>9.44</v>
      </c>
      <c r="I66" s="11">
        <f t="shared" si="10"/>
        <v>9.44</v>
      </c>
      <c r="J66" s="11">
        <f t="shared" si="10"/>
        <v>9.44</v>
      </c>
      <c r="K66" s="11">
        <f t="shared" si="10"/>
        <v>10.15</v>
      </c>
      <c r="L66" s="11">
        <f t="shared" si="10"/>
        <v>12.61</v>
      </c>
      <c r="M66" s="11">
        <f t="shared" si="10"/>
        <v>13.45</v>
      </c>
      <c r="N66" s="11">
        <f t="shared" si="10"/>
        <v>13</v>
      </c>
      <c r="O66" s="11">
        <f t="shared" si="10"/>
        <v>147.62</v>
      </c>
    </row>
    <row r="67" spans="1:15" s="43" customFormat="1" ht="49.5" customHeight="1">
      <c r="A67" s="167"/>
      <c r="B67" s="4" t="s">
        <v>159</v>
      </c>
      <c r="C67" s="11">
        <f>C63+C65</f>
        <v>16.48</v>
      </c>
      <c r="D67" s="11">
        <f aca="true" t="shared" si="11" ref="D67:N67">D63+D65</f>
        <v>16.45</v>
      </c>
      <c r="E67" s="11">
        <f t="shared" si="11"/>
        <v>16.08</v>
      </c>
      <c r="F67" s="11">
        <f t="shared" si="11"/>
        <v>16.04</v>
      </c>
      <c r="G67" s="11">
        <f t="shared" si="11"/>
        <v>13.04</v>
      </c>
      <c r="H67" s="11">
        <f t="shared" si="11"/>
        <v>9.44</v>
      </c>
      <c r="I67" s="11">
        <f t="shared" si="11"/>
        <v>9.44</v>
      </c>
      <c r="J67" s="11">
        <f t="shared" si="11"/>
        <v>9.44</v>
      </c>
      <c r="K67" s="11">
        <f t="shared" si="11"/>
        <v>10.15</v>
      </c>
      <c r="L67" s="11">
        <f t="shared" si="11"/>
        <v>14.209999999999999</v>
      </c>
      <c r="M67" s="11">
        <f t="shared" si="11"/>
        <v>15.049999999999999</v>
      </c>
      <c r="N67" s="11">
        <f t="shared" si="11"/>
        <v>14.6</v>
      </c>
      <c r="O67" s="11">
        <f>SUM(C67:N67)</f>
        <v>160.42000000000002</v>
      </c>
    </row>
    <row r="68" spans="1:15" s="43" customFormat="1" ht="45" customHeight="1">
      <c r="A68" s="51" t="s">
        <v>69</v>
      </c>
      <c r="B68" s="4" t="s">
        <v>172</v>
      </c>
      <c r="C68" s="14">
        <v>8.322</v>
      </c>
      <c r="D68" s="14">
        <v>8.322</v>
      </c>
      <c r="E68" s="14">
        <v>7.884</v>
      </c>
      <c r="F68" s="14">
        <v>7.884</v>
      </c>
      <c r="G68" s="14">
        <v>7.884</v>
      </c>
      <c r="H68" s="14">
        <v>7.884</v>
      </c>
      <c r="I68" s="14">
        <v>7.884</v>
      </c>
      <c r="J68" s="14">
        <v>7.884</v>
      </c>
      <c r="K68" s="14">
        <v>7.884</v>
      </c>
      <c r="L68" s="14">
        <v>7.884</v>
      </c>
      <c r="M68" s="14">
        <v>8.322</v>
      </c>
      <c r="N68" s="14">
        <v>8.322</v>
      </c>
      <c r="O68" s="136">
        <f>C68+D68+E68+F68+G68+H68+I68+J68+K68+L68+M68+N68</f>
        <v>96.36</v>
      </c>
    </row>
    <row r="69" spans="1:15" s="43" customFormat="1" ht="18.75" customHeight="1">
      <c r="A69" s="54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</row>
    <row r="70" spans="1:15" s="62" customFormat="1" ht="33" customHeight="1">
      <c r="A70" s="57"/>
      <c r="B70" s="57"/>
      <c r="C70" s="178" t="s">
        <v>103</v>
      </c>
      <c r="D70" s="178"/>
      <c r="E70" s="178"/>
      <c r="F70" s="178"/>
      <c r="G70" s="178"/>
      <c r="H70" s="178"/>
      <c r="I70" s="58"/>
      <c r="J70" s="59"/>
      <c r="K70" s="178" t="s">
        <v>95</v>
      </c>
      <c r="L70" s="178"/>
      <c r="M70" s="178"/>
      <c r="N70" s="60"/>
      <c r="O70" s="61"/>
    </row>
    <row r="71" ht="12" hidden="1"/>
    <row r="72" ht="12" hidden="1">
      <c r="O72" s="39"/>
    </row>
    <row r="73" ht="12" hidden="1"/>
    <row r="74" ht="12" hidden="1">
      <c r="O74" s="39"/>
    </row>
    <row r="75" ht="12" hidden="1"/>
    <row r="76" ht="12" hidden="1"/>
    <row r="77" ht="12" hidden="1"/>
    <row r="78" ht="12" hidden="1"/>
    <row r="79" ht="12" hidden="1"/>
    <row r="80" ht="12" hidden="1"/>
    <row r="81" ht="12" hidden="1"/>
  </sheetData>
  <sheetProtection/>
  <mergeCells count="12">
    <mergeCell ref="A31:A32"/>
    <mergeCell ref="A66:A67"/>
    <mergeCell ref="A45:A46"/>
    <mergeCell ref="A64:A65"/>
    <mergeCell ref="A2:O2"/>
    <mergeCell ref="A49:A54"/>
    <mergeCell ref="A3:O3"/>
    <mergeCell ref="K70:M70"/>
    <mergeCell ref="C70:H70"/>
    <mergeCell ref="A56:A59"/>
    <mergeCell ref="A60:A61"/>
    <mergeCell ref="A36:A37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Стеценко Світлана Миколаївна</cp:lastModifiedBy>
  <cp:lastPrinted>2021-12-17T08:26:44Z</cp:lastPrinted>
  <dcterms:created xsi:type="dcterms:W3CDTF">2004-07-05T12:07:17Z</dcterms:created>
  <dcterms:modified xsi:type="dcterms:W3CDTF">2022-01-21T13:27:23Z</dcterms:modified>
  <cp:category/>
  <cp:version/>
  <cp:contentType/>
  <cp:contentStatus/>
</cp:coreProperties>
</file>