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4\Фін.плани\4кв\доопрацьовані рішення\з номерами\КНП ЦПМСД № 2\"/>
    </mc:Choice>
  </mc:AlternateContent>
  <bookViews>
    <workbookView xWindow="0" yWindow="0" windowWidth="28800" windowHeight="11145"/>
  </bookViews>
  <sheets>
    <sheet name="ФІНПЛАН (2)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0" hidden="1">[1]GDP!#REF!</definedName>
    <definedName name="__123Graph_XGRAPH3" hidden="1">[1]GDP!#REF!</definedName>
    <definedName name="_1Excel_BuiltIn_Print_Titles_1_1">'[2]Дод 30'!$A$1:$A$65529,'[2]Дод 30'!$3:$7</definedName>
    <definedName name="_2Excel_BuiltIn_Print_Titles_5_1">'[2]Дод 34'!$A$1:$A$65524,'[2]Дод 34'!$6:$7</definedName>
    <definedName name="aa">'[3]1993'!$1:$3,'[3]1993'!$A:$A</definedName>
    <definedName name="ad">'[4]МТР Газ України'!$B$1</definedName>
    <definedName name="as">'[5]МТР Газ України'!$B$1</definedName>
    <definedName name="asdf">[6]Inform!$E$6</definedName>
    <definedName name="asdfg">[6]Inform!$F$2</definedName>
    <definedName name="BuiltIn_Print_Area___1___1" localSheetId="0">#REF!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 localSheetId="0">#REF!</definedName>
    <definedName name="Cost_Category_National_ID">#REF!</definedName>
    <definedName name="CREXPORT" localSheetId="0">#REF!</definedName>
    <definedName name="CREXPORT">#REF!</definedName>
    <definedName name="Cе511">#REF!</definedName>
    <definedName name="d">'[10]МТР Газ України'!$B$4</definedName>
    <definedName name="dCPIb" localSheetId="0">[11]попер_роз!#REF!</definedName>
    <definedName name="dCPIb">[11]попер_роз!#REF!</definedName>
    <definedName name="dPPIb" localSheetId="0">[11]попер_роз!#REF!</definedName>
    <definedName name="dPPIb">[11]попер_роз!#REF!</definedName>
    <definedName name="ds" localSheetId="0">'[12]7  Інші витрати'!#REF!</definedName>
    <definedName name="ds">'[12]7  Інші витрати'!#REF!</definedName>
    <definedName name="Fact_Type_ID" localSheetId="0">#REF!</definedName>
    <definedName name="Fact_Type_ID">#REF!</definedName>
    <definedName name="G">'[13]МТР Газ України'!$B$1</definedName>
    <definedName name="ij1sssss" localSheetId="0">'[14]7  Інші витрати'!#REF!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 localSheetId="0">'[18]7  Інші витрати'!#REF!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[6]Inform!$E$5</definedName>
    <definedName name="qwert">[6]Inform!$G$2</definedName>
    <definedName name="qwerty">'[5]МТР Газ України'!$B$4</definedName>
    <definedName name="ShowFil">[15]!ShowFil</definedName>
    <definedName name="SU_ID" localSheetId="0">#REF!</definedName>
    <definedName name="SU_ID">#REF!</definedName>
    <definedName name="Time_ID">'[17]МТР Газ України'!$B$1</definedName>
    <definedName name="Time_ID_10" localSheetId="0">'[18]7  Інші витрати'!#REF!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 localSheetId="0">'[18]7  Інші витрати'!#REF!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 localSheetId="0">#REF!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 localSheetId="0">#REF!</definedName>
    <definedName name="yyyy">#REF!</definedName>
    <definedName name="zx">'[5]МТР Газ України'!$F$1</definedName>
    <definedName name="zxc">[6]Inform!$E$38</definedName>
    <definedName name="а" localSheetId="0">'[14]7  Інші витрати'!#REF!</definedName>
    <definedName name="а">'[14]7  Інші витрати'!#REF!</definedName>
    <definedName name="ав" localSheetId="0">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 localSheetId="0">'[28]БАЗА  '!#REF!</definedName>
    <definedName name="ватт">'[28]БАЗА  '!#REF!</definedName>
    <definedName name="Д">'[16]МТР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'ФІНПЛАН (2)'!$48:$50</definedName>
    <definedName name="Заголовки_для_печати_МИ">'[29]1993'!$1:$3,'[29]1993'!$A:$A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>#REF!</definedName>
    <definedName name="йцукц" localSheetId="0">'[31]7  Інші витрати'!#REF!</definedName>
    <definedName name="йцукц">'[31]7  Інші витрати'!#REF!</definedName>
    <definedName name="і">[30]Inform!$F$2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>#REF!</definedName>
    <definedName name="ів_26">#REF!</definedName>
    <definedName name="іваіа" localSheetId="0">'[31]7  Інші витрати'!#REF!</definedName>
    <definedName name="іваіа">'[31]7  Інші витрати'!#REF!</definedName>
    <definedName name="іваф" localSheetId="0">#REF!</definedName>
    <definedName name="іваф">#REF!</definedName>
    <definedName name="івів">'[13]МТР Газ України'!$B$1</definedName>
    <definedName name="іцу">[24]Inform!$G$2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'ФІНПЛАН (2)'!$A$1:$N$169</definedName>
    <definedName name="ооо" localSheetId="0">#REF!</definedName>
    <definedName name="ооо">#REF!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 localSheetId="0">#REF!</definedName>
    <definedName name="р">#REF!</definedName>
    <definedName name="Січень" localSheetId="0">#REF!</definedName>
    <definedName name="Січень">#REF!</definedName>
    <definedName name="т">[33]Inform!$E$6</definedName>
    <definedName name="тариф">[34]Inform!$G$2</definedName>
    <definedName name="уйцукйцуйу" localSheetId="0">#REF!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 localSheetId="0">'[31]7  Інші витрати'!#REF!</definedName>
    <definedName name="фіваіф">'[31]7  Інші витрати'!#REF!</definedName>
    <definedName name="фф">'[27]МТР Газ України'!$F$1</definedName>
    <definedName name="ц" localSheetId="0">'[14]7  Інші витрати'!#REF!</definedName>
    <definedName name="ц">'[14]7  Інші витрати'!#REF!</definedName>
    <definedName name="ЦМКЛ" localSheetId="0">#REF!</definedName>
    <definedName name="ЦМКЛ">#REF!</definedName>
    <definedName name="ччч" localSheetId="0">'[36]БАЗА  '!#REF!</definedName>
    <definedName name="ччч">'[36]БАЗА  '!#REF!</definedName>
    <definedName name="ш" localSheetId="0">#REF!</definedName>
    <definedName name="ш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6" i="3" l="1"/>
  <c r="F166" i="3"/>
  <c r="C166" i="3"/>
  <c r="G165" i="3"/>
  <c r="F165" i="3"/>
  <c r="E165" i="3"/>
  <c r="C165" i="3"/>
  <c r="G164" i="3"/>
  <c r="F164" i="3"/>
  <c r="E164" i="3"/>
  <c r="C164" i="3"/>
  <c r="G163" i="3"/>
  <c r="F163" i="3"/>
  <c r="E163" i="3"/>
  <c r="C163" i="3"/>
  <c r="G162" i="3"/>
  <c r="F162" i="3"/>
  <c r="C162" i="3"/>
  <c r="G161" i="3"/>
  <c r="F161" i="3"/>
  <c r="E161" i="3"/>
  <c r="C161" i="3"/>
  <c r="H159" i="3"/>
  <c r="H166" i="3" s="1"/>
  <c r="E159" i="3"/>
  <c r="E166" i="3" s="1"/>
  <c r="H158" i="3"/>
  <c r="H165" i="3" s="1"/>
  <c r="H157" i="3"/>
  <c r="H164" i="3" s="1"/>
  <c r="H156" i="3"/>
  <c r="D156" i="3" s="1"/>
  <c r="D163" i="3" s="1"/>
  <c r="H155" i="3"/>
  <c r="H162" i="3" s="1"/>
  <c r="E155" i="3"/>
  <c r="E153" i="3" s="1"/>
  <c r="H154" i="3"/>
  <c r="H161" i="3" s="1"/>
  <c r="G153" i="3"/>
  <c r="F153" i="3"/>
  <c r="F160" i="3" s="1"/>
  <c r="C153" i="3"/>
  <c r="C160" i="3" s="1"/>
  <c r="E152" i="3"/>
  <c r="D152" i="3"/>
  <c r="D151" i="3"/>
  <c r="H150" i="3"/>
  <c r="D150" i="3"/>
  <c r="D149" i="3"/>
  <c r="H148" i="3"/>
  <c r="E148" i="3"/>
  <c r="P89" i="3" s="1"/>
  <c r="D148" i="3"/>
  <c r="D147" i="3"/>
  <c r="T146" i="3"/>
  <c r="G146" i="3"/>
  <c r="F146" i="3"/>
  <c r="L145" i="3" s="1"/>
  <c r="C146" i="3"/>
  <c r="H139" i="3"/>
  <c r="G139" i="3"/>
  <c r="G160" i="3" s="1"/>
  <c r="F139" i="3"/>
  <c r="E139" i="3"/>
  <c r="D139" i="3"/>
  <c r="I137" i="3"/>
  <c r="H137" i="3"/>
  <c r="C137" i="3"/>
  <c r="D136" i="3"/>
  <c r="D135" i="3"/>
  <c r="H134" i="3"/>
  <c r="F134" i="3"/>
  <c r="E134" i="3"/>
  <c r="D134" i="3"/>
  <c r="C134" i="3"/>
  <c r="D133" i="3"/>
  <c r="G132" i="3"/>
  <c r="G134" i="3" s="1"/>
  <c r="D132" i="3"/>
  <c r="H131" i="3"/>
  <c r="F131" i="3"/>
  <c r="F137" i="3" s="1"/>
  <c r="D131" i="3"/>
  <c r="D137" i="3" s="1"/>
  <c r="C131" i="3"/>
  <c r="N130" i="3"/>
  <c r="M130" i="3"/>
  <c r="L130" i="3"/>
  <c r="K130" i="3"/>
  <c r="J130" i="3"/>
  <c r="I130" i="3"/>
  <c r="F130" i="3"/>
  <c r="E130" i="3"/>
  <c r="D130" i="3"/>
  <c r="H129" i="3"/>
  <c r="G129" i="3"/>
  <c r="G131" i="3" s="1"/>
  <c r="G137" i="3" s="1"/>
  <c r="E129" i="3"/>
  <c r="D129" i="3"/>
  <c r="D128" i="3"/>
  <c r="G126" i="3"/>
  <c r="C126" i="3"/>
  <c r="C125" i="3"/>
  <c r="E119" i="3"/>
  <c r="D117" i="3"/>
  <c r="D116" i="3"/>
  <c r="D115" i="3"/>
  <c r="D114" i="3"/>
  <c r="E113" i="3"/>
  <c r="E118" i="3" s="1"/>
  <c r="D113" i="3"/>
  <c r="D112" i="3"/>
  <c r="H111" i="3"/>
  <c r="G111" i="3"/>
  <c r="F111" i="3"/>
  <c r="D107" i="3"/>
  <c r="G106" i="3"/>
  <c r="E106" i="3"/>
  <c r="D106" i="3"/>
  <c r="C106" i="3"/>
  <c r="H105" i="3"/>
  <c r="D105" i="3"/>
  <c r="D104" i="3"/>
  <c r="G103" i="3"/>
  <c r="F103" i="3"/>
  <c r="D103" i="3" s="1"/>
  <c r="D102" i="3"/>
  <c r="D101" i="3"/>
  <c r="D100" i="3"/>
  <c r="U99" i="3"/>
  <c r="T99" i="3"/>
  <c r="H99" i="3"/>
  <c r="H97" i="3" s="1"/>
  <c r="E99" i="3"/>
  <c r="D99" i="3" s="1"/>
  <c r="D98" i="3"/>
  <c r="G97" i="3"/>
  <c r="F97" i="3"/>
  <c r="D97" i="3" s="1"/>
  <c r="E97" i="3"/>
  <c r="C97" i="3"/>
  <c r="D96" i="3"/>
  <c r="G95" i="3"/>
  <c r="E95" i="3"/>
  <c r="D95" i="3" s="1"/>
  <c r="H94" i="3"/>
  <c r="D94" i="3"/>
  <c r="D93" i="3"/>
  <c r="G92" i="3"/>
  <c r="F92" i="3"/>
  <c r="F87" i="3" s="1"/>
  <c r="E92" i="3"/>
  <c r="D91" i="3"/>
  <c r="D90" i="3"/>
  <c r="H89" i="3"/>
  <c r="E89" i="3"/>
  <c r="D89" i="3"/>
  <c r="R88" i="3"/>
  <c r="R89" i="3" s="1"/>
  <c r="Q88" i="3"/>
  <c r="Q89" i="3" s="1"/>
  <c r="P88" i="3"/>
  <c r="H88" i="3"/>
  <c r="E88" i="3"/>
  <c r="D88" i="3" s="1"/>
  <c r="H87" i="3"/>
  <c r="G87" i="3"/>
  <c r="E87" i="3"/>
  <c r="C87" i="3"/>
  <c r="D86" i="3"/>
  <c r="D85" i="3"/>
  <c r="D84" i="3"/>
  <c r="H83" i="3"/>
  <c r="E83" i="3"/>
  <c r="D83" i="3" s="1"/>
  <c r="G82" i="3"/>
  <c r="F82" i="3"/>
  <c r="E82" i="3"/>
  <c r="D82" i="3"/>
  <c r="H81" i="3"/>
  <c r="D81" i="3"/>
  <c r="D80" i="3"/>
  <c r="G79" i="3"/>
  <c r="D79" i="3" s="1"/>
  <c r="F79" i="3"/>
  <c r="D78" i="3"/>
  <c r="H77" i="3"/>
  <c r="F77" i="3"/>
  <c r="F74" i="3" s="1"/>
  <c r="E77" i="3"/>
  <c r="C77" i="3"/>
  <c r="C74" i="3" s="1"/>
  <c r="C108" i="3" s="1"/>
  <c r="H76" i="3"/>
  <c r="D76" i="3"/>
  <c r="H75" i="3"/>
  <c r="D75" i="3" s="1"/>
  <c r="E74" i="3"/>
  <c r="E108" i="3" s="1"/>
  <c r="E122" i="3" s="1"/>
  <c r="E73" i="3"/>
  <c r="E121" i="3" s="1"/>
  <c r="C73" i="3"/>
  <c r="C121" i="3" s="1"/>
  <c r="D72" i="3"/>
  <c r="H71" i="3"/>
  <c r="G71" i="3"/>
  <c r="J70" i="3" s="1"/>
  <c r="F71" i="3"/>
  <c r="E71" i="3"/>
  <c r="D71" i="3"/>
  <c r="C71" i="3"/>
  <c r="D70" i="3"/>
  <c r="D69" i="3"/>
  <c r="G68" i="3"/>
  <c r="D68" i="3" s="1"/>
  <c r="D67" i="3" s="1"/>
  <c r="H67" i="3"/>
  <c r="G67" i="3"/>
  <c r="F67" i="3"/>
  <c r="E67" i="3"/>
  <c r="C67" i="3"/>
  <c r="D65" i="3"/>
  <c r="D64" i="3"/>
  <c r="D63" i="3"/>
  <c r="F62" i="3"/>
  <c r="F57" i="3" s="1"/>
  <c r="F73" i="3" s="1"/>
  <c r="E62" i="3"/>
  <c r="D62" i="3" s="1"/>
  <c r="H61" i="3"/>
  <c r="G61" i="3"/>
  <c r="D60" i="3"/>
  <c r="D59" i="3"/>
  <c r="D58" i="3"/>
  <c r="G57" i="3"/>
  <c r="E57" i="3"/>
  <c r="C57" i="3"/>
  <c r="D56" i="3"/>
  <c r="G55" i="3"/>
  <c r="D55" i="3"/>
  <c r="H54" i="3"/>
  <c r="G54" i="3"/>
  <c r="G73" i="3" s="1"/>
  <c r="F54" i="3"/>
  <c r="E54" i="3"/>
  <c r="D54" i="3" s="1"/>
  <c r="C54" i="3"/>
  <c r="G121" i="3" l="1"/>
  <c r="G109" i="3"/>
  <c r="D77" i="3"/>
  <c r="F118" i="3"/>
  <c r="G118" i="3" s="1"/>
  <c r="H118" i="3" s="1"/>
  <c r="D118" i="3" s="1"/>
  <c r="E128" i="3"/>
  <c r="E131" i="3" s="1"/>
  <c r="E137" i="3" s="1"/>
  <c r="D153" i="3"/>
  <c r="D160" i="3" s="1"/>
  <c r="E160" i="3"/>
  <c r="F121" i="3"/>
  <c r="S89" i="3"/>
  <c r="D74" i="3"/>
  <c r="H73" i="3"/>
  <c r="F108" i="3"/>
  <c r="F122" i="3" s="1"/>
  <c r="J73" i="3"/>
  <c r="E125" i="3"/>
  <c r="H121" i="3"/>
  <c r="C122" i="3"/>
  <c r="C123" i="3"/>
  <c r="C124" i="3"/>
  <c r="F123" i="3"/>
  <c r="Q99" i="3"/>
  <c r="D158" i="3"/>
  <c r="D165" i="3" s="1"/>
  <c r="D92" i="3"/>
  <c r="D87" i="3" s="1"/>
  <c r="R99" i="3"/>
  <c r="C109" i="3"/>
  <c r="H153" i="3"/>
  <c r="H160" i="3" s="1"/>
  <c r="D61" i="3"/>
  <c r="I145" i="3"/>
  <c r="S88" i="3"/>
  <c r="F119" i="3"/>
  <c r="F126" i="3"/>
  <c r="D154" i="3"/>
  <c r="D159" i="3"/>
  <c r="D166" i="3" s="1"/>
  <c r="E109" i="3"/>
  <c r="H126" i="3"/>
  <c r="D155" i="3"/>
  <c r="D162" i="3" s="1"/>
  <c r="H163" i="3"/>
  <c r="E146" i="3"/>
  <c r="J155" i="3"/>
  <c r="E162" i="3"/>
  <c r="G77" i="3"/>
  <c r="G74" i="3" s="1"/>
  <c r="G108" i="3" s="1"/>
  <c r="I70" i="3"/>
  <c r="K70" i="3" s="1"/>
  <c r="M70" i="3" s="1"/>
  <c r="E111" i="3"/>
  <c r="H146" i="3"/>
  <c r="H57" i="3"/>
  <c r="H74" i="3"/>
  <c r="H108" i="3" s="1"/>
  <c r="H123" i="3" s="1"/>
  <c r="D157" i="3"/>
  <c r="D164" i="3" s="1"/>
  <c r="H124" i="3" l="1"/>
  <c r="S99" i="3"/>
  <c r="D146" i="3"/>
  <c r="E124" i="3"/>
  <c r="P99" i="3"/>
  <c r="F124" i="3"/>
  <c r="L70" i="3"/>
  <c r="N70" i="3" s="1"/>
  <c r="F109" i="3"/>
  <c r="D108" i="3"/>
  <c r="D122" i="3" s="1"/>
  <c r="E123" i="3"/>
  <c r="D111" i="3"/>
  <c r="E126" i="3"/>
  <c r="G123" i="3"/>
  <c r="G122" i="3"/>
  <c r="G124" i="3"/>
  <c r="F125" i="3"/>
  <c r="G119" i="3"/>
  <c r="H122" i="3"/>
  <c r="H109" i="3"/>
  <c r="O88" i="3"/>
  <c r="O89" i="3" s="1"/>
  <c r="D161" i="3"/>
  <c r="D57" i="3"/>
  <c r="D73" i="3" s="1"/>
  <c r="D109" i="3" s="1"/>
  <c r="D123" i="3" l="1"/>
  <c r="D126" i="3"/>
  <c r="O99" i="3"/>
  <c r="D124" i="3"/>
  <c r="G125" i="3"/>
  <c r="H119" i="3"/>
  <c r="D121" i="3"/>
  <c r="H125" i="3" l="1"/>
  <c r="D119" i="3"/>
  <c r="D125" i="3" s="1"/>
</calcChain>
</file>

<file path=xl/sharedStrings.xml><?xml version="1.0" encoding="utf-8"?>
<sst xmlns="http://schemas.openxmlformats.org/spreadsheetml/2006/main" count="189" uniqueCount="161">
  <si>
    <t>ЗАТВЕРДЖЕНО</t>
  </si>
  <si>
    <t>М.П. (підпис, ініціали, прізвище)</t>
  </si>
  <si>
    <t> (число, місяць, рік)</t>
  </si>
  <si>
    <t>ПОГОДЖЕНО</t>
  </si>
  <si>
    <t>(підпис, ініціали, прізвище)</t>
  </si>
  <si>
    <t>( керівник уповноваженого органу управління  )</t>
  </si>
  <si>
    <t>Проект</t>
  </si>
  <si>
    <t>Уточнений</t>
  </si>
  <si>
    <t>Змінений</t>
  </si>
  <si>
    <t>зробити позначку"Х"</t>
  </si>
  <si>
    <t>Коди</t>
  </si>
  <si>
    <t>Назва підприємства</t>
  </si>
  <si>
    <t>Комунальне некомерційне підприємство "Центр первинної медико - санітарної допомоги №2" Сумської міської ради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</si>
  <si>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</si>
  <si>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</si>
  <si>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</si>
  <si>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</si>
  <si>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</si>
  <si>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м. Суми</t>
  </si>
  <si>
    <t>за КОАТУУ</t>
  </si>
  <si>
    <t>Сумська міська рада</t>
  </si>
  <si>
    <t>за СПОДУ</t>
  </si>
  <si>
    <t xml:space="preserve">Галузь     </t>
  </si>
  <si>
    <t>Охорона здоров'я</t>
  </si>
  <si>
    <t>за ЗКГНГ</t>
  </si>
  <si>
    <t xml:space="preserve">Вид економічної діяльності    </t>
  </si>
  <si>
    <t>86.21 Загальна медична практика</t>
  </si>
  <si>
    <t xml:space="preserve">за  КВЕД  </t>
  </si>
  <si>
    <t>86.21</t>
  </si>
  <si>
    <t>Одиниця виміру, тис.грн.</t>
  </si>
  <si>
    <t>тис. грн.</t>
  </si>
  <si>
    <t>Стандарти звітності П(с)БОУ</t>
  </si>
  <si>
    <t>Форма власності</t>
  </si>
  <si>
    <t>комунальна</t>
  </si>
  <si>
    <t>Стандарти звітності МСФЗ</t>
  </si>
  <si>
    <t xml:space="preserve">Місцезнаходження  </t>
  </si>
  <si>
    <t>40022, Сумська обл., місто Суми, вулиця Привокзальна, будинок 3-а</t>
  </si>
  <si>
    <t xml:space="preserve">Телефон </t>
  </si>
  <si>
    <t>788-00, 788-001</t>
  </si>
  <si>
    <t xml:space="preserve">Прізвище та ініціали керівника  </t>
  </si>
  <si>
    <t xml:space="preserve">         тис. грн.</t>
  </si>
  <si>
    <t>Найменування показника</t>
  </si>
  <si>
    <t xml:space="preserve">Код рядка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</si>
  <si>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</si>
  <si>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</si>
  <si>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</si>
  <si>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</si>
  <si>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</si>
  <si>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</si>
  <si>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</si>
  <si>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>I. Формування фінансових результатів</t>
  </si>
  <si>
    <t>Доходи і витрати (деталізація)</t>
  </si>
  <si>
    <t xml:space="preserve">Дохід від надання послуг </t>
  </si>
  <si>
    <t>Інші операційні доходи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</si>
  <si>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</si>
  <si>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</si>
  <si>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</si>
  <si>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</si>
  <si>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</si>
  <si>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</si>
  <si>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</si>
  <si>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</si>
  <si>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Інші доходи</t>
  </si>
  <si>
    <t>Дохід від безоплатно одержаних активів (безкоштовно),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</si>
  <si>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</si>
  <si>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</si>
  <si>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Дохід від оприбуткування відходів</t>
  </si>
  <si>
    <t xml:space="preserve">Інші фінансові доходи </t>
  </si>
  <si>
    <t>Відсотки банку</t>
  </si>
  <si>
    <t>РАЗОМ ДОХОДИ</t>
  </si>
  <si>
    <t xml:space="preserve">Собівартість наданих послуг </t>
  </si>
  <si>
    <t>Витрати на оплату праці</t>
  </si>
  <si>
    <t>Відрахування на соціальні заходи</t>
  </si>
  <si>
    <t>Витрати на сировину та основні матеріали: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</si>
  <si>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</si>
  <si>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>1053.1</t>
  </si>
  <si>
    <t>медикаменти та перев'язувальні матеріали</t>
  </si>
  <si>
    <t>1053.2</t>
  </si>
  <si>
    <t>продукти харчування</t>
  </si>
  <si>
    <t>1053.3</t>
  </si>
  <si>
    <t>Оплата комунальних послуг та енергоносіїв</t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</si>
  <si>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</si>
  <si>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</si>
  <si>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</si>
  <si>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</si>
  <si>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t>Адміністративні витрати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</si>
  <si>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</si>
  <si>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Амортизація основних засобів і нематеріальних активів загальногосподарського призначення</t>
  </si>
  <si>
    <t>Інші операційні витрати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</si>
  <si>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</si>
  <si>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</si>
  <si>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Витрати на виплати відпускних особам, постраждалим внаслідок аварії на ЧАЕС</t>
  </si>
  <si>
    <t>Відшкодування комунальних послуг орендарями</t>
  </si>
  <si>
    <t>Витрати на реалізацію відходів</t>
  </si>
  <si>
    <t>Списані пені, претензії, ПДВ, земельний податок</t>
  </si>
  <si>
    <t>Витрати на виплату пенсій та допомоги</t>
  </si>
  <si>
    <t>Витрати на інші виплати населенню</t>
  </si>
  <si>
    <t>Інші витрати</t>
  </si>
  <si>
    <t>Списання (ліквідація) необоротних активів</t>
  </si>
  <si>
    <t>1080.1</t>
  </si>
  <si>
    <t>РАЗОМ ВИТРАТИ</t>
  </si>
  <si>
    <t>ФІНАНСОВИЙ РЕЗУЛЬТАТ</t>
  </si>
  <si>
    <t>II. Інвестиційна діяльність</t>
  </si>
  <si>
    <t xml:space="preserve">Інвестиційна діяльність 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</si>
  <si>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</si>
  <si>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</si>
  <si>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</si>
  <si>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</si>
  <si>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</si>
  <si>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</si>
  <si>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Вартість основних засобів</t>
  </si>
  <si>
    <t>Амортизація</t>
  </si>
  <si>
    <t>III. Коефіцієнтний аналіз</t>
  </si>
  <si>
    <t>Питома вага доходу з  бюджету Сумської міської ТГ у загальних доходах підприємства (%)</t>
  </si>
  <si>
    <t>Питома вага комунальних витрат у загальних видатках підприємства (%)</t>
  </si>
  <si>
    <t>Питома вага  капітальних видатків у загальних видатках підприємства (%)</t>
  </si>
  <si>
    <t>Питома вага сумарного ФОП з нарахуваннями у загальних  видатках підприємства (%)</t>
  </si>
  <si>
    <t>Коефіцієнт зносу основних засобів</t>
  </si>
  <si>
    <t>Коефіцієнт оновлення основних засобів і інших необоротних матеріальних активів</t>
  </si>
  <si>
    <t>IV. Інформація про фінансовий стан</t>
  </si>
  <si>
    <t>Необоротні активи</t>
  </si>
  <si>
    <t>Оборотні активи, у тому числі:</t>
  </si>
  <si>
    <t>грошові кошти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</si>
  <si>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</si>
  <si>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</si>
  <si>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</si>
  <si>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забезпечення, в тому числі:</t>
  </si>
  <si>
    <t>гранти і субсидії</t>
  </si>
  <si>
    <t>фінансові запозичення</t>
  </si>
  <si>
    <t>Власний капітал</t>
  </si>
  <si>
    <t xml:space="preserve"> V. Додаткова інформація</t>
  </si>
  <si>
    <t>Середньооблікова чисельність (осіб), у тому числі:</t>
  </si>
  <si>
    <t>керівник</t>
  </si>
  <si>
    <t>адміністративно-управлінський персонал</t>
  </si>
  <si>
    <t>Фонд оплати праці (тис. грн.), у тому числі:</t>
  </si>
  <si>
    <t>Витрати на оплату праці (тис. грн.), у тому числі: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</si>
  <si>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</si>
  <si>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</si>
  <si>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 xml:space="preserve">               (підпис)</t>
  </si>
  <si>
    <t xml:space="preserve">         (ініціали, прізвище)    </t>
  </si>
  <si>
    <t>х</t>
  </si>
  <si>
    <t xml:space="preserve"> (посада)</t>
  </si>
  <si>
    <t>ФІНАНСОВИЙ ПЛАН ПІДПРИЄМСТВА НА 2024 рік</t>
  </si>
  <si>
    <r>
      <t xml:space="preserve">Орган державного управління  </t>
    </r>
    <r>
      <rPr>
        <b/>
        <i/>
        <sz val="14"/>
        <color theme="1"/>
        <rFont val="Times New Roman"/>
        <family val="1"/>
        <charset val="204"/>
      </rPr>
      <t xml:space="preserve"> </t>
    </r>
  </si>
  <si>
    <r>
      <t>Витрати, що здійснюються для підтримання об’єкта в робочому стані</t>
    </r>
    <r>
      <rPr>
        <i/>
        <sz val="14"/>
        <color theme="1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</si>
  <si>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r>
      <t xml:space="preserve">Витрати на сировину та матеріали </t>
    </r>
    <r>
      <rPr>
        <i/>
        <sz val="14"/>
        <color theme="1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</si>
  <si>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(рішення виконкому Сумської міської ради)</t>
  </si>
  <si>
    <t>Начальник Управління вінутрішнього контролю та аудиту Сумської міської ради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</si>
  <si>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</si>
  <si>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</si>
  <si>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Інші операційні доходи, які не включені в рядки 1011-1018</t>
  </si>
  <si>
    <t>основний персонал (лікарі, робітники, тощо)</t>
  </si>
  <si>
    <t>допоміжний персонал (середній медичний персонал, обслуговуючий персонал, тощо)</t>
  </si>
  <si>
    <t>інший персонал (молодший медичний персонал)</t>
  </si>
  <si>
    <t xml:space="preserve">інший персонал </t>
  </si>
  <si>
    <t>Ахтирцева В.В.</t>
  </si>
  <si>
    <t>В.о.директора</t>
  </si>
  <si>
    <t>Людмила ЦЮКАЛО</t>
  </si>
  <si>
    <t xml:space="preserve">Додаток </t>
  </si>
  <si>
    <t>до рішення виконавчого комітету</t>
  </si>
  <si>
    <t>від 26.12.2024 № 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</si>
</sst>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₴_-;\-* #,##0.00_₴_-;_-* &quot;-&quot;??_₴_-;_-@_-"/>
    <numFmt numFmtId="164" formatCode="0.0"/>
    <numFmt numFmtId="165" formatCode="_(* #,##0.0_);_(* \(#,##0.0\);_(* &quot;-&quot;_);_(@_)"/>
    <numFmt numFmtId="166" formatCode="_(* #,##0.0_);_(* \(#,##0.0\);_(* &quot;-&quot;??_);_(@_)"/>
    <numFmt numFmtId="167" formatCode="_-* #,##0.0\ _₴_-;\-* #,##0.0\ _₴_-;_-* &quot;-&quot;?\ _₴_-;_-@_-"/>
    <numFmt numFmtId="168" formatCode="_(* #,##0_);_(* \(#,##0\);_(* &quot;-&quot;_);_(@_)"/>
    <numFmt numFmtId="169" formatCode="_-* #,##0.0\ _₽_-;\-* #,##0.0\ _₽_-;_-* &quot;-&quot;?\ _₽_-;_-@_-"/>
    <numFmt numFmtId="170" formatCode="_-* #,##0.0_₴_-;\-* #,##0.0_₴_-;_-* &quot;-&quot;??_₴_-;_-@_-"/>
    <numFmt numFmtId="171" formatCode="_(* #,##0.00_);_(* \(#,##0.00\);_(* &quot;-&quot;_);_(@_)"/>
    <numFmt numFmtId="172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3" fillId="2" borderId="0" xfId="1" applyFont="1" applyFill="1" applyAlignment="1">
      <alignment vertical="center"/>
    </xf>
    <xf numFmtId="0" fontId="3" fillId="2" borderId="1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 wrapText="1" shrinkToFi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3" xfId="1" quotePrefix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 wrapText="1"/>
    </xf>
    <xf numFmtId="2" fontId="4" fillId="2" borderId="9" xfId="1" applyNumberFormat="1" applyFont="1" applyFill="1" applyBorder="1" applyAlignment="1">
      <alignment horizontal="center" vertical="center" wrapText="1"/>
    </xf>
    <xf numFmtId="2" fontId="4" fillId="2" borderId="10" xfId="1" applyNumberFormat="1" applyFont="1" applyFill="1" applyBorder="1" applyAlignment="1">
      <alignment horizontal="center" vertical="center" wrapText="1"/>
    </xf>
    <xf numFmtId="171" fontId="6" fillId="2" borderId="3" xfId="1" applyNumberFormat="1" applyFont="1" applyFill="1" applyBorder="1" applyAlignment="1">
      <alignment horizontal="center" vertical="center" wrapText="1"/>
    </xf>
    <xf numFmtId="172" fontId="3" fillId="2" borderId="0" xfId="1" applyNumberFormat="1" applyFont="1" applyFill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3" fillId="2" borderId="1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4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vertical="center"/>
    </xf>
    <xf numFmtId="0" fontId="3" fillId="2" borderId="3" xfId="2" applyFont="1" applyFill="1" applyBorder="1" applyAlignment="1">
      <alignment vertical="center" wrapText="1"/>
    </xf>
    <xf numFmtId="0" fontId="3" fillId="2" borderId="7" xfId="2" applyFont="1" applyFill="1" applyBorder="1" applyAlignment="1">
      <alignment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3" fillId="2" borderId="5" xfId="2" applyFont="1" applyFill="1" applyBorder="1" applyAlignment="1">
      <alignment vertical="center" wrapText="1"/>
    </xf>
    <xf numFmtId="0" fontId="3" fillId="2" borderId="6" xfId="2" applyFont="1" applyFill="1" applyBorder="1" applyAlignment="1">
      <alignment vertical="center"/>
    </xf>
    <xf numFmtId="0" fontId="3" fillId="2" borderId="5" xfId="2" applyFont="1" applyFill="1" applyBorder="1" applyAlignment="1">
      <alignment vertical="center"/>
    </xf>
    <xf numFmtId="0" fontId="3" fillId="2" borderId="0" xfId="2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3" fillId="2" borderId="3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3" xfId="1" quotePrefix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right" vertical="center"/>
    </xf>
    <xf numFmtId="165" fontId="3" fillId="2" borderId="3" xfId="2" applyNumberFormat="1" applyFont="1" applyFill="1" applyBorder="1" applyAlignment="1">
      <alignment horizontal="right" vertical="center" wrapText="1"/>
    </xf>
    <xf numFmtId="165" fontId="3" fillId="2" borderId="3" xfId="1" applyNumberFormat="1" applyFont="1" applyFill="1" applyBorder="1" applyAlignment="1">
      <alignment horizontal="right" vertical="center" wrapText="1"/>
    </xf>
    <xf numFmtId="0" fontId="3" fillId="2" borderId="3" xfId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left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Alignment="1">
      <alignment vertical="center"/>
    </xf>
    <xf numFmtId="167" fontId="3" fillId="2" borderId="0" xfId="1" applyNumberFormat="1" applyFont="1" applyFill="1" applyAlignment="1">
      <alignment vertical="center"/>
    </xf>
    <xf numFmtId="0" fontId="5" fillId="2" borderId="3" xfId="1" applyFont="1" applyFill="1" applyBorder="1" applyAlignment="1">
      <alignment horizontal="left" vertical="center" wrapText="1" shrinkToFit="1"/>
    </xf>
    <xf numFmtId="166" fontId="3" fillId="2" borderId="3" xfId="2" applyNumberFormat="1" applyFont="1" applyFill="1" applyBorder="1" applyAlignment="1">
      <alignment horizontal="right" vertical="center" wrapText="1"/>
    </xf>
    <xf numFmtId="0" fontId="3" fillId="2" borderId="3" xfId="1" applyFont="1" applyFill="1" applyBorder="1" applyAlignment="1" applyProtection="1">
      <alignment horizontal="left" vertical="center" wrapText="1"/>
      <protection locked="0"/>
    </xf>
    <xf numFmtId="0" fontId="3" fillId="2" borderId="3" xfId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0" fontId="5" fillId="2" borderId="3" xfId="1" applyFont="1" applyFill="1" applyBorder="1" applyAlignment="1" applyProtection="1">
      <alignment horizontal="left" vertical="center" wrapText="1"/>
      <protection locked="0"/>
    </xf>
    <xf numFmtId="2" fontId="3" fillId="2" borderId="0" xfId="1" applyNumberFormat="1" applyFont="1" applyFill="1" applyAlignment="1">
      <alignment vertical="center"/>
    </xf>
    <xf numFmtId="1" fontId="3" fillId="2" borderId="3" xfId="1" applyNumberFormat="1" applyFont="1" applyFill="1" applyBorder="1" applyAlignment="1">
      <alignment horizontal="right" vertical="center" wrapText="1"/>
    </xf>
    <xf numFmtId="168" fontId="3" fillId="2" borderId="3" xfId="2" applyNumberFormat="1" applyFont="1" applyFill="1" applyBorder="1" applyAlignment="1">
      <alignment horizontal="right" vertical="center" wrapText="1"/>
    </xf>
    <xf numFmtId="168" fontId="3" fillId="2" borderId="0" xfId="1" applyNumberFormat="1" applyFont="1" applyFill="1" applyAlignment="1">
      <alignment vertical="center"/>
    </xf>
    <xf numFmtId="169" fontId="3" fillId="2" borderId="0" xfId="1" applyNumberFormat="1" applyFont="1" applyFill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0" xfId="1" applyFont="1" applyFill="1" applyAlignment="1">
      <alignment vertical="center" wrapText="1"/>
    </xf>
    <xf numFmtId="0" fontId="3" fillId="2" borderId="0" xfId="1" quotePrefix="1" applyFont="1" applyFill="1" applyAlignment="1">
      <alignment horizontal="center" vertical="center"/>
    </xf>
    <xf numFmtId="172" fontId="3" fillId="2" borderId="6" xfId="1" applyNumberFormat="1" applyFont="1" applyFill="1" applyBorder="1" applyAlignment="1">
      <alignment horizontal="left" vertical="center" wrapText="1"/>
    </xf>
    <xf numFmtId="172" fontId="3" fillId="2" borderId="0" xfId="1" applyNumberFormat="1" applyFont="1" applyFill="1" applyAlignment="1">
      <alignment horizontal="left" vertical="center" wrapText="1"/>
    </xf>
    <xf numFmtId="172" fontId="9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172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3" fillId="2" borderId="3" xfId="0" applyFont="1" applyFill="1" applyBorder="1"/>
    <xf numFmtId="1" fontId="3" fillId="2" borderId="0" xfId="1" applyNumberFormat="1" applyFont="1" applyFill="1" applyAlignment="1">
      <alignment vertical="center"/>
    </xf>
    <xf numFmtId="170" fontId="3" fillId="2" borderId="3" xfId="3" applyNumberFormat="1" applyFont="1" applyFill="1" applyBorder="1" applyAlignment="1">
      <alignment horizontal="right" vertical="center" wrapText="1"/>
    </xf>
    <xf numFmtId="164" fontId="3" fillId="2" borderId="3" xfId="2" applyNumberFormat="1" applyFont="1" applyFill="1" applyBorder="1" applyAlignment="1">
      <alignment horizontal="right" vertical="center" wrapText="1"/>
    </xf>
    <xf numFmtId="165" fontId="3" fillId="2" borderId="3" xfId="2" applyNumberFormat="1" applyFont="1" applyFill="1" applyBorder="1" applyAlignment="1">
      <alignment horizontal="right" wrapText="1"/>
    </xf>
    <xf numFmtId="2" fontId="3" fillId="2" borderId="3" xfId="1" applyNumberFormat="1" applyFont="1" applyFill="1" applyBorder="1" applyAlignment="1">
      <alignment horizontal="right" vertical="center" wrapText="1"/>
    </xf>
    <xf numFmtId="171" fontId="3" fillId="2" borderId="3" xfId="2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165" fontId="6" fillId="2" borderId="8" xfId="2" applyNumberFormat="1" applyFont="1" applyFill="1" applyBorder="1" applyAlignment="1">
      <alignment horizontal="right" vertical="center" wrapText="1"/>
    </xf>
    <xf numFmtId="172" fontId="3" fillId="2" borderId="5" xfId="1" applyNumberFormat="1" applyFont="1" applyFill="1" applyBorder="1" applyAlignment="1">
      <alignment horizontal="right" wrapText="1"/>
    </xf>
    <xf numFmtId="172" fontId="3" fillId="2" borderId="3" xfId="1" applyNumberFormat="1" applyFont="1" applyFill="1" applyBorder="1" applyAlignment="1">
      <alignment horizontal="right" wrapText="1"/>
    </xf>
    <xf numFmtId="172" fontId="3" fillId="2" borderId="4" xfId="1" applyNumberFormat="1" applyFont="1" applyFill="1" applyBorder="1" applyAlignment="1">
      <alignment horizontal="right" wrapText="1"/>
    </xf>
    <xf numFmtId="166" fontId="3" fillId="2" borderId="4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3" fillId="2" borderId="3" xfId="1" quotePrefix="1" applyNumberFormat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6" xfId="2" applyFont="1" applyFill="1" applyBorder="1" applyAlignment="1">
      <alignment horizontal="left" vertical="center" wrapText="1"/>
    </xf>
    <xf numFmtId="0" fontId="3" fillId="2" borderId="6" xfId="2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49" fontId="3" fillId="2" borderId="6" xfId="2" applyNumberFormat="1" applyFont="1" applyFill="1" applyBorder="1" applyAlignment="1">
      <alignment horizontal="left" vertical="center" wrapText="1"/>
    </xf>
    <xf numFmtId="0" fontId="7" fillId="2" borderId="3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NOPER\Budg2005\&#1048;&#1085;&#1092;&#1086;&#1088;&#1084;&#1072;&#1094;&#1080;&#1103;%20&#1082;%20&#1075;&#1086;&#1076;&#1086;&#1074;&#1086;&#1084;&#1091;%20&#1086;&#1090;&#1095;&#1077;&#1090;&#1091;%202005\&#1075;.&#1057;&#1091;&#1076;&#1072;&#1082;\dod30-3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99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 30"/>
      <sheetName val="Дод 31"/>
      <sheetName val="Дод 32"/>
      <sheetName val="Дод 33"/>
      <sheetName val="Дод 34"/>
      <sheetName val="Дод 35"/>
      <sheetName val="Дод 36"/>
      <sheetName val="Дод 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  <sheetName val="МТР Газ України"/>
    </sheetNames>
    <sheetDataSet>
      <sheetData sheetId="0" refreshError="1"/>
      <sheetData sheetId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  <sheetName val="Лист1"/>
      <sheetName val="1993"/>
      <sheetName val="Infor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7  інші витрат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  <sheetName val="consolidation hq formatted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1993"/>
      <sheetName val="gdp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77"/>
  <sheetViews>
    <sheetView tabSelected="1" view="pageBreakPreview" zoomScaleNormal="100" zoomScaleSheetLayoutView="100" workbookViewId="0">
      <pane ySplit="1" topLeftCell="A2" activePane="bottomLeft" state="frozen"/>
      <selection activeCell="F74" sqref="F74"/>
      <selection pane="bottomLeft" activeCell="F3" sqref="F3:H3"/>
    </sheetView>
  </sheetViews>
  <sheetFormatPr defaultColWidth="8.85546875" defaultRowHeight="18.75" x14ac:dyDescent="0.25"/>
  <cols>
    <col min="1" max="1" width="60" style="1" customWidth="1"/>
    <col min="2" max="2" width="10.85546875" style="17" customWidth="1"/>
    <col min="3" max="4" width="16.42578125" style="17" customWidth="1"/>
    <col min="5" max="5" width="16" style="1" customWidth="1"/>
    <col min="6" max="6" width="15.42578125" style="1" customWidth="1"/>
    <col min="7" max="7" width="18.140625" style="1" customWidth="1"/>
    <col min="8" max="8" width="18.5703125" style="1" customWidth="1"/>
    <col min="9" max="9" width="13.28515625" style="1" hidden="1" customWidth="1"/>
    <col min="10" max="10" width="14.28515625" style="1" hidden="1" customWidth="1"/>
    <col min="11" max="11" width="11.28515625" style="1" hidden="1" customWidth="1"/>
    <col min="12" max="14" width="0" style="1" hidden="1" customWidth="1"/>
    <col min="15" max="16" width="14.5703125" style="1" customWidth="1"/>
    <col min="17" max="17" width="15" style="1" customWidth="1"/>
    <col min="18" max="19" width="17.85546875" style="1" customWidth="1"/>
    <col min="20" max="16384" width="8.85546875" style="1"/>
  </cols>
  <sheetData>
    <row r="1" spans="5:8" x14ac:dyDescent="0.25">
      <c r="F1" s="114" t="s">
        <v>158</v>
      </c>
      <c r="G1" s="114"/>
      <c r="H1" s="114"/>
    </row>
    <row r="2" spans="5:8" x14ac:dyDescent="0.25">
      <c r="F2" s="114" t="s">
        <v>159</v>
      </c>
      <c r="G2" s="114"/>
      <c r="H2" s="114"/>
    </row>
    <row r="3" spans="5:8" x14ac:dyDescent="0.25">
      <c r="F3" s="114" t="s">
        <v>160</v>
      </c>
      <c r="G3" s="114"/>
      <c r="H3" s="114"/>
    </row>
    <row r="4" spans="5:8" x14ac:dyDescent="0.25">
      <c r="F4" s="1" t="s">
        <v>0</v>
      </c>
      <c r="H4" s="18"/>
    </row>
    <row r="5" spans="5:8" x14ac:dyDescent="0.25">
      <c r="F5" s="2"/>
      <c r="G5" s="2"/>
      <c r="H5" s="19"/>
    </row>
    <row r="6" spans="5:8" x14ac:dyDescent="0.25">
      <c r="F6" s="107" t="s">
        <v>146</v>
      </c>
      <c r="G6" s="107"/>
      <c r="H6" s="107"/>
    </row>
    <row r="7" spans="5:8" x14ac:dyDescent="0.25">
      <c r="F7" s="2"/>
      <c r="G7" s="2"/>
      <c r="H7" s="19"/>
    </row>
    <row r="8" spans="5:8" x14ac:dyDescent="0.25">
      <c r="F8" s="3" t="s">
        <v>1</v>
      </c>
      <c r="H8" s="18"/>
    </row>
    <row r="9" spans="5:8" x14ac:dyDescent="0.25">
      <c r="F9" s="2"/>
      <c r="G9" s="2"/>
      <c r="H9" s="19"/>
    </row>
    <row r="10" spans="5:8" x14ac:dyDescent="0.25">
      <c r="F10" s="3" t="s">
        <v>2</v>
      </c>
      <c r="H10" s="18"/>
    </row>
    <row r="11" spans="5:8" x14ac:dyDescent="0.25">
      <c r="F11" s="3"/>
      <c r="H11" s="18"/>
    </row>
    <row r="12" spans="5:8" ht="23.25" customHeight="1" x14ac:dyDescent="0.25">
      <c r="E12" s="17"/>
      <c r="F12" s="1" t="s">
        <v>3</v>
      </c>
      <c r="H12" s="18"/>
    </row>
    <row r="13" spans="5:8" ht="23.25" customHeight="1" x14ac:dyDescent="0.25">
      <c r="E13" s="17"/>
      <c r="F13" s="108" t="s">
        <v>147</v>
      </c>
      <c r="G13" s="108"/>
      <c r="H13" s="108"/>
    </row>
    <row r="14" spans="5:8" ht="23.25" customHeight="1" x14ac:dyDescent="0.25">
      <c r="E14" s="17"/>
      <c r="F14" s="3"/>
      <c r="H14" s="18"/>
    </row>
    <row r="15" spans="5:8" ht="23.25" customHeight="1" x14ac:dyDescent="0.25">
      <c r="E15" s="17"/>
      <c r="F15" s="2"/>
      <c r="G15" s="2"/>
      <c r="H15" s="19"/>
    </row>
    <row r="16" spans="5:8" ht="23.25" customHeight="1" x14ac:dyDescent="0.25">
      <c r="E16" s="17"/>
      <c r="F16" s="3" t="s">
        <v>4</v>
      </c>
      <c r="H16" s="18"/>
    </row>
    <row r="17" spans="1:8" ht="23.25" customHeight="1" x14ac:dyDescent="0.25">
      <c r="E17" s="17"/>
      <c r="F17" s="2"/>
      <c r="G17" s="2"/>
      <c r="H17" s="19"/>
    </row>
    <row r="18" spans="1:8" ht="23.25" customHeight="1" x14ac:dyDescent="0.25">
      <c r="E18" s="17"/>
      <c r="F18" s="3" t="s">
        <v>2</v>
      </c>
      <c r="H18" s="18"/>
    </row>
    <row r="19" spans="1:8" ht="23.25" customHeight="1" x14ac:dyDescent="0.25">
      <c r="E19" s="17"/>
      <c r="H19" s="18"/>
    </row>
    <row r="20" spans="1:8" x14ac:dyDescent="0.25">
      <c r="E20" s="17"/>
      <c r="F20" s="1" t="s">
        <v>3</v>
      </c>
    </row>
    <row r="21" spans="1:8" x14ac:dyDescent="0.25">
      <c r="B21" s="1"/>
      <c r="C21" s="1"/>
      <c r="D21" s="1"/>
      <c r="F21" s="4"/>
      <c r="G21" s="4"/>
      <c r="H21" s="4"/>
    </row>
    <row r="22" spans="1:8" x14ac:dyDescent="0.25">
      <c r="A22" s="3"/>
      <c r="B22" s="1"/>
      <c r="C22" s="1"/>
      <c r="D22" s="1"/>
      <c r="F22" s="3" t="s">
        <v>5</v>
      </c>
    </row>
    <row r="23" spans="1:8" x14ac:dyDescent="0.25">
      <c r="B23" s="1"/>
      <c r="C23" s="1"/>
      <c r="D23" s="1"/>
      <c r="F23" s="2"/>
      <c r="G23" s="2"/>
      <c r="H23" s="2"/>
    </row>
    <row r="24" spans="1:8" x14ac:dyDescent="0.25">
      <c r="A24" s="3"/>
      <c r="B24" s="1"/>
      <c r="C24" s="1"/>
      <c r="D24" s="1"/>
      <c r="F24" s="3" t="s">
        <v>4</v>
      </c>
      <c r="G24" s="3"/>
      <c r="H24" s="3"/>
    </row>
    <row r="25" spans="1:8" x14ac:dyDescent="0.25">
      <c r="B25" s="1"/>
      <c r="C25" s="1"/>
      <c r="D25" s="1"/>
      <c r="F25" s="2"/>
      <c r="G25" s="2"/>
      <c r="H25" s="2"/>
    </row>
    <row r="26" spans="1:8" x14ac:dyDescent="0.25">
      <c r="A26" s="3"/>
      <c r="B26" s="1"/>
      <c r="C26" s="1"/>
      <c r="D26" s="1"/>
      <c r="F26" s="3" t="s">
        <v>2</v>
      </c>
      <c r="G26" s="3"/>
      <c r="H26" s="3"/>
    </row>
    <row r="27" spans="1:8" x14ac:dyDescent="0.25">
      <c r="A27" s="3"/>
      <c r="B27" s="1"/>
      <c r="C27" s="1"/>
      <c r="D27" s="1"/>
      <c r="F27" s="3"/>
      <c r="G27" s="20" t="s">
        <v>6</v>
      </c>
      <c r="H27" s="20"/>
    </row>
    <row r="28" spans="1:8" x14ac:dyDescent="0.25">
      <c r="A28" s="3"/>
      <c r="B28" s="1"/>
      <c r="C28" s="1"/>
      <c r="D28" s="1"/>
      <c r="F28" s="3"/>
      <c r="G28" s="20" t="s">
        <v>7</v>
      </c>
      <c r="H28" s="20"/>
    </row>
    <row r="29" spans="1:8" x14ac:dyDescent="0.25">
      <c r="A29" s="3"/>
      <c r="B29" s="1"/>
      <c r="C29" s="1"/>
      <c r="D29" s="1"/>
      <c r="F29" s="3"/>
      <c r="G29" s="20" t="s">
        <v>8</v>
      </c>
      <c r="H29" s="20" t="s">
        <v>140</v>
      </c>
    </row>
    <row r="30" spans="1:8" ht="20.25" customHeight="1" x14ac:dyDescent="0.25">
      <c r="A30" s="3"/>
      <c r="B30" s="1"/>
      <c r="C30" s="1"/>
      <c r="D30" s="1"/>
      <c r="F30" s="3"/>
      <c r="G30" s="109" t="s">
        <v>9</v>
      </c>
      <c r="H30" s="110"/>
    </row>
    <row r="32" spans="1:8" x14ac:dyDescent="0.25">
      <c r="B32" s="111"/>
      <c r="C32" s="111"/>
      <c r="D32" s="84"/>
      <c r="E32" s="21"/>
      <c r="F32" s="5"/>
      <c r="G32" s="112" t="s">
        <v>10</v>
      </c>
      <c r="H32" s="113"/>
    </row>
    <row r="33" spans="1:9" ht="65.25" customHeight="1" x14ac:dyDescent="0.25">
      <c r="A33" s="22" t="s">
        <v>11</v>
      </c>
      <c r="B33" s="105" t="s">
        <v>12</v>
      </c>
      <c r="C33" s="105"/>
      <c r="D33" s="105"/>
      <c r="E33" s="106"/>
      <c r="F33" s="23" t="s">
        <v>13</v>
      </c>
      <c r="G33" s="87"/>
      <c r="H33" s="104">
        <v>42204729</v>
      </c>
      <c r="I33" s="104"/>
    </row>
    <row r="34" spans="1:9" ht="18.75" customHeight="1" x14ac:dyDescent="0.25">
      <c r="A34" s="22" t="s">
        <v>14</v>
      </c>
      <c r="B34" s="96" t="s">
        <v>15</v>
      </c>
      <c r="C34" s="96"/>
      <c r="D34" s="96"/>
      <c r="E34" s="96"/>
      <c r="F34" s="23" t="s">
        <v>16</v>
      </c>
      <c r="G34" s="23"/>
      <c r="H34" s="104">
        <v>150</v>
      </c>
      <c r="I34" s="104"/>
    </row>
    <row r="35" spans="1:9" x14ac:dyDescent="0.25">
      <c r="A35" s="22" t="s">
        <v>17</v>
      </c>
      <c r="B35" s="96" t="s">
        <v>18</v>
      </c>
      <c r="C35" s="96"/>
      <c r="D35" s="96"/>
      <c r="E35" s="96"/>
      <c r="F35" s="23" t="s">
        <v>19</v>
      </c>
      <c r="G35" s="23"/>
      <c r="H35" s="104">
        <v>5910100000</v>
      </c>
      <c r="I35" s="104"/>
    </row>
    <row r="36" spans="1:9" ht="18" customHeight="1" x14ac:dyDescent="0.25">
      <c r="A36" s="22" t="s">
        <v>143</v>
      </c>
      <c r="B36" s="96" t="s">
        <v>20</v>
      </c>
      <c r="C36" s="96"/>
      <c r="D36" s="96"/>
      <c r="E36" s="96"/>
      <c r="F36" s="23" t="s">
        <v>21</v>
      </c>
      <c r="G36" s="24"/>
      <c r="H36" s="104">
        <v>17184</v>
      </c>
      <c r="I36" s="104"/>
    </row>
    <row r="37" spans="1:9" ht="38.25" customHeight="1" x14ac:dyDescent="0.25">
      <c r="A37" s="22" t="s">
        <v>22</v>
      </c>
      <c r="B37" s="96" t="s">
        <v>23</v>
      </c>
      <c r="C37" s="96"/>
      <c r="D37" s="96"/>
      <c r="E37" s="96"/>
      <c r="F37" s="23" t="s">
        <v>24</v>
      </c>
      <c r="G37" s="24"/>
      <c r="H37" s="104">
        <v>91000</v>
      </c>
      <c r="I37" s="104"/>
    </row>
    <row r="38" spans="1:9" ht="18.75" customHeight="1" x14ac:dyDescent="0.25">
      <c r="A38" s="22" t="s">
        <v>25</v>
      </c>
      <c r="B38" s="96" t="s">
        <v>26</v>
      </c>
      <c r="C38" s="96"/>
      <c r="D38" s="96"/>
      <c r="E38" s="96"/>
      <c r="F38" s="25" t="s">
        <v>27</v>
      </c>
      <c r="G38" s="24"/>
      <c r="H38" s="104" t="s">
        <v>28</v>
      </c>
      <c r="I38" s="104"/>
    </row>
    <row r="39" spans="1:9" ht="18.75" customHeight="1" x14ac:dyDescent="0.25">
      <c r="A39" s="22" t="s">
        <v>29</v>
      </c>
      <c r="B39" s="100" t="s">
        <v>30</v>
      </c>
      <c r="C39" s="100"/>
      <c r="D39" s="85"/>
      <c r="E39" s="85"/>
      <c r="F39" s="101" t="s">
        <v>31</v>
      </c>
      <c r="G39" s="101"/>
      <c r="H39" s="101"/>
      <c r="I39" s="26"/>
    </row>
    <row r="40" spans="1:9" ht="18.75" customHeight="1" x14ac:dyDescent="0.25">
      <c r="A40" s="22" t="s">
        <v>32</v>
      </c>
      <c r="B40" s="96" t="s">
        <v>33</v>
      </c>
      <c r="C40" s="96"/>
      <c r="D40" s="96"/>
      <c r="E40" s="96"/>
      <c r="F40" s="101" t="s">
        <v>34</v>
      </c>
      <c r="G40" s="101"/>
      <c r="H40" s="101"/>
      <c r="I40" s="27"/>
    </row>
    <row r="41" spans="1:9" ht="18.75" customHeight="1" x14ac:dyDescent="0.25">
      <c r="A41" s="22" t="s">
        <v>35</v>
      </c>
      <c r="B41" s="96" t="s">
        <v>36</v>
      </c>
      <c r="C41" s="96"/>
      <c r="D41" s="96"/>
      <c r="E41" s="96"/>
      <c r="F41" s="96"/>
      <c r="G41" s="96"/>
      <c r="H41" s="96"/>
      <c r="I41" s="102"/>
    </row>
    <row r="42" spans="1:9" x14ac:dyDescent="0.25">
      <c r="A42" s="22" t="s">
        <v>37</v>
      </c>
      <c r="B42" s="103" t="s">
        <v>38</v>
      </c>
      <c r="C42" s="103"/>
      <c r="D42" s="103"/>
      <c r="E42" s="103"/>
      <c r="F42" s="86"/>
      <c r="G42" s="86"/>
      <c r="H42" s="86"/>
      <c r="I42" s="28"/>
    </row>
    <row r="43" spans="1:9" x14ac:dyDescent="0.25">
      <c r="A43" s="22" t="s">
        <v>39</v>
      </c>
      <c r="B43" s="96" t="s">
        <v>155</v>
      </c>
      <c r="C43" s="96"/>
      <c r="D43" s="96"/>
      <c r="E43" s="96"/>
      <c r="F43" s="29"/>
      <c r="G43" s="29"/>
      <c r="H43" s="29"/>
      <c r="I43" s="30"/>
    </row>
    <row r="44" spans="1:9" x14ac:dyDescent="0.25">
      <c r="A44" s="31"/>
      <c r="B44" s="31"/>
      <c r="C44" s="31"/>
      <c r="D44" s="31"/>
      <c r="E44" s="31"/>
      <c r="F44" s="27"/>
      <c r="G44" s="27"/>
      <c r="H44" s="27"/>
      <c r="I44" s="27"/>
    </row>
    <row r="45" spans="1:9" x14ac:dyDescent="0.25">
      <c r="A45" s="31"/>
      <c r="B45" s="31"/>
      <c r="C45" s="31"/>
      <c r="D45" s="31"/>
      <c r="E45" s="31"/>
      <c r="F45" s="27"/>
      <c r="G45" s="27"/>
      <c r="H45" s="27"/>
      <c r="I45" s="27"/>
    </row>
    <row r="46" spans="1:9" x14ac:dyDescent="0.25">
      <c r="A46" s="97" t="s">
        <v>142</v>
      </c>
      <c r="B46" s="97"/>
      <c r="C46" s="97"/>
      <c r="D46" s="97"/>
      <c r="E46" s="97"/>
      <c r="F46" s="97"/>
      <c r="G46" s="97"/>
      <c r="H46" s="97"/>
    </row>
    <row r="47" spans="1:9" x14ac:dyDescent="0.25">
      <c r="A47" s="88"/>
      <c r="B47" s="88"/>
      <c r="C47" s="88"/>
      <c r="D47" s="88"/>
      <c r="E47" s="88"/>
      <c r="F47" s="88"/>
      <c r="G47" s="88"/>
      <c r="H47" s="88"/>
    </row>
    <row r="48" spans="1:9" s="33" customFormat="1" ht="15" customHeight="1" x14ac:dyDescent="0.25">
      <c r="A48" s="88"/>
      <c r="B48" s="32"/>
      <c r="C48" s="88"/>
      <c r="D48" s="88"/>
      <c r="E48" s="88"/>
      <c r="F48" s="88"/>
      <c r="G48" s="88"/>
      <c r="H48" s="88" t="s">
        <v>40</v>
      </c>
    </row>
    <row r="49" spans="1:8" s="33" customFormat="1" ht="63" customHeight="1" x14ac:dyDescent="0.25">
      <c r="A49" s="98" t="s">
        <v>41</v>
      </c>
      <c r="B49" s="99" t="s">
        <v>42</v>
      </c>
      <c r="C49" s="99" t="s">
        <v>43</v>
      </c>
      <c r="D49" s="99" t="s">
        <v>44</v>
      </c>
      <c r="E49" s="99" t="s">
        <v>45</v>
      </c>
      <c r="F49" s="99"/>
      <c r="G49" s="99"/>
      <c r="H49" s="99"/>
    </row>
    <row r="50" spans="1:8" x14ac:dyDescent="0.25">
      <c r="A50" s="98"/>
      <c r="B50" s="99"/>
      <c r="C50" s="99"/>
      <c r="D50" s="99"/>
      <c r="E50" s="6" t="s">
        <v>46</v>
      </c>
      <c r="F50" s="6" t="s">
        <v>47</v>
      </c>
      <c r="G50" s="6" t="s">
        <v>48</v>
      </c>
      <c r="H50" s="6" t="s">
        <v>49</v>
      </c>
    </row>
    <row r="51" spans="1:8" x14ac:dyDescent="0.25">
      <c r="A51" s="34">
        <v>1</v>
      </c>
      <c r="B51" s="7">
        <v>2</v>
      </c>
      <c r="C51" s="7">
        <v>3</v>
      </c>
      <c r="D51" s="7">
        <v>4</v>
      </c>
      <c r="E51" s="7">
        <v>5</v>
      </c>
      <c r="F51" s="7">
        <v>6</v>
      </c>
      <c r="G51" s="7">
        <v>7</v>
      </c>
      <c r="H51" s="7">
        <v>8</v>
      </c>
    </row>
    <row r="52" spans="1:8" s="35" customFormat="1" ht="18.75" customHeight="1" x14ac:dyDescent="0.25">
      <c r="A52" s="93" t="s">
        <v>50</v>
      </c>
      <c r="B52" s="93"/>
      <c r="C52" s="93"/>
      <c r="D52" s="93"/>
      <c r="E52" s="93"/>
      <c r="F52" s="93"/>
      <c r="G52" s="93"/>
      <c r="H52" s="93"/>
    </row>
    <row r="53" spans="1:8" s="35" customFormat="1" ht="17.25" customHeight="1" x14ac:dyDescent="0.25">
      <c r="A53" s="94" t="s">
        <v>51</v>
      </c>
      <c r="B53" s="94"/>
      <c r="C53" s="94"/>
      <c r="D53" s="94"/>
      <c r="E53" s="94"/>
      <c r="F53" s="94"/>
      <c r="G53" s="94"/>
      <c r="H53" s="94"/>
    </row>
    <row r="54" spans="1:8" s="35" customFormat="1" ht="22.5" customHeight="1" x14ac:dyDescent="0.25">
      <c r="A54" s="90" t="s">
        <v>52</v>
      </c>
      <c r="B54" s="36">
        <v>1000</v>
      </c>
      <c r="C54" s="15">
        <f>C55+C56</f>
        <v>73031.8</v>
      </c>
      <c r="D54" s="15">
        <f>E54+F54+G54+H54</f>
        <v>70093</v>
      </c>
      <c r="E54" s="37">
        <f>E55+E56</f>
        <v>18579.400000000001</v>
      </c>
      <c r="F54" s="15">
        <f>F55+F56</f>
        <v>18579.400000000001</v>
      </c>
      <c r="G54" s="15">
        <f>G55+G56</f>
        <v>17292.899999999998</v>
      </c>
      <c r="H54" s="15">
        <f>H55+H56</f>
        <v>15641.3</v>
      </c>
    </row>
    <row r="55" spans="1:8" s="35" customFormat="1" ht="33" customHeight="1" x14ac:dyDescent="0.25">
      <c r="A55" s="76" t="s">
        <v>148</v>
      </c>
      <c r="B55" s="9">
        <v>1001</v>
      </c>
      <c r="C55" s="38">
        <v>73031.8</v>
      </c>
      <c r="D55" s="38">
        <f>E55+F55+G55+H55</f>
        <v>70093</v>
      </c>
      <c r="E55" s="77">
        <v>18579.400000000001</v>
      </c>
      <c r="F55" s="77">
        <v>18579.400000000001</v>
      </c>
      <c r="G55" s="77">
        <f>18579.6-1286.7</f>
        <v>17292.899999999998</v>
      </c>
      <c r="H55" s="77">
        <v>15641.3</v>
      </c>
    </row>
    <row r="56" spans="1:8" s="35" customFormat="1" ht="37.5" x14ac:dyDescent="0.25">
      <c r="A56" s="76" t="s">
        <v>149</v>
      </c>
      <c r="B56" s="9">
        <v>1002</v>
      </c>
      <c r="C56" s="15"/>
      <c r="D56" s="15">
        <f>E56+F56+G56+H56</f>
        <v>0</v>
      </c>
      <c r="E56" s="37"/>
      <c r="F56" s="39"/>
      <c r="G56" s="15"/>
      <c r="H56" s="15"/>
    </row>
    <row r="57" spans="1:8" s="35" customFormat="1" x14ac:dyDescent="0.25">
      <c r="A57" s="90" t="s">
        <v>53</v>
      </c>
      <c r="B57" s="36">
        <v>1010</v>
      </c>
      <c r="C57" s="15">
        <f t="shared" ref="C57:H57" si="0">SUM(C58:C65)</f>
        <v>26374.7</v>
      </c>
      <c r="D57" s="15">
        <f t="shared" si="0"/>
        <v>22540.799999999999</v>
      </c>
      <c r="E57" s="15">
        <f t="shared" si="0"/>
        <v>6432.4999999999991</v>
      </c>
      <c r="F57" s="15">
        <f t="shared" si="0"/>
        <v>5618</v>
      </c>
      <c r="G57" s="15">
        <f t="shared" si="0"/>
        <v>6746.5999999999995</v>
      </c>
      <c r="H57" s="15">
        <f t="shared" si="0"/>
        <v>3743.7</v>
      </c>
    </row>
    <row r="58" spans="1:8" s="35" customFormat="1" ht="37.5" x14ac:dyDescent="0.3">
      <c r="A58" s="8" t="s">
        <v>54</v>
      </c>
      <c r="B58" s="9">
        <v>1011</v>
      </c>
      <c r="C58" s="38">
        <v>118.6</v>
      </c>
      <c r="D58" s="38">
        <f t="shared" ref="D58:D65" si="1">E58+F58+G58+H58</f>
        <v>74.8</v>
      </c>
      <c r="E58" s="78">
        <v>44</v>
      </c>
      <c r="F58" s="79">
        <v>15.1</v>
      </c>
      <c r="G58" s="79">
        <v>15.7</v>
      </c>
      <c r="H58" s="80"/>
    </row>
    <row r="59" spans="1:8" s="35" customFormat="1" x14ac:dyDescent="0.25">
      <c r="A59" s="8" t="s">
        <v>55</v>
      </c>
      <c r="B59" s="9">
        <v>1012</v>
      </c>
      <c r="C59" s="15"/>
      <c r="D59" s="15">
        <f t="shared" si="1"/>
        <v>0</v>
      </c>
      <c r="E59" s="37"/>
      <c r="F59" s="15"/>
      <c r="G59" s="15"/>
      <c r="H59" s="15"/>
    </row>
    <row r="60" spans="1:8" s="35" customFormat="1" x14ac:dyDescent="0.25">
      <c r="A60" s="8" t="s">
        <v>56</v>
      </c>
      <c r="B60" s="9">
        <v>1013</v>
      </c>
      <c r="C60" s="15">
        <v>0</v>
      </c>
      <c r="D60" s="15">
        <f t="shared" si="1"/>
        <v>0</v>
      </c>
      <c r="E60" s="37"/>
      <c r="F60" s="15"/>
      <c r="G60" s="15"/>
      <c r="H60" s="15"/>
    </row>
    <row r="61" spans="1:8" s="35" customFormat="1" x14ac:dyDescent="0.25">
      <c r="A61" s="8" t="s">
        <v>57</v>
      </c>
      <c r="B61" s="9">
        <v>1014</v>
      </c>
      <c r="C61" s="38">
        <v>12852.4</v>
      </c>
      <c r="D61" s="38">
        <f>E61+F61+G61+H61</f>
        <v>12852.4</v>
      </c>
      <c r="E61" s="81">
        <v>3788.7</v>
      </c>
      <c r="F61" s="81">
        <v>2709.6</v>
      </c>
      <c r="G61" s="81">
        <f>2730.5+45.1</f>
        <v>2775.6</v>
      </c>
      <c r="H61" s="81">
        <f>2028.5+1550</f>
        <v>3578.5</v>
      </c>
    </row>
    <row r="62" spans="1:8" s="35" customFormat="1" ht="33" customHeight="1" x14ac:dyDescent="0.25">
      <c r="A62" s="8" t="s">
        <v>58</v>
      </c>
      <c r="B62" s="9">
        <v>1015</v>
      </c>
      <c r="C62" s="38">
        <v>12739.4</v>
      </c>
      <c r="D62" s="38">
        <f t="shared" si="1"/>
        <v>8949.3000000000011</v>
      </c>
      <c r="E62" s="38">
        <f>3790.1-459-900</f>
        <v>2431.1</v>
      </c>
      <c r="F62" s="38">
        <f>3790.1+459-2421+900</f>
        <v>2728.1000000000004</v>
      </c>
      <c r="G62" s="38">
        <v>3790.1</v>
      </c>
      <c r="H62" s="38"/>
    </row>
    <row r="63" spans="1:8" s="35" customFormat="1" x14ac:dyDescent="0.25">
      <c r="A63" s="40" t="s">
        <v>59</v>
      </c>
      <c r="B63" s="9">
        <v>1016</v>
      </c>
      <c r="C63" s="15">
        <v>660.8</v>
      </c>
      <c r="D63" s="15">
        <f t="shared" si="1"/>
        <v>660.8</v>
      </c>
      <c r="E63" s="37">
        <v>165.2</v>
      </c>
      <c r="F63" s="15">
        <v>165.2</v>
      </c>
      <c r="G63" s="15">
        <v>165.2</v>
      </c>
      <c r="H63" s="15">
        <v>165.2</v>
      </c>
    </row>
    <row r="64" spans="1:8" s="35" customFormat="1" ht="37.5" x14ac:dyDescent="0.25">
      <c r="A64" s="8" t="s">
        <v>60</v>
      </c>
      <c r="B64" s="9">
        <v>1017</v>
      </c>
      <c r="C64" s="15"/>
      <c r="D64" s="15">
        <f t="shared" si="1"/>
        <v>0</v>
      </c>
      <c r="E64" s="37"/>
      <c r="F64" s="15"/>
      <c r="G64" s="15"/>
      <c r="H64" s="15"/>
    </row>
    <row r="65" spans="1:19" s="35" customFormat="1" ht="39.75" customHeight="1" x14ac:dyDescent="0.25">
      <c r="A65" s="8" t="s">
        <v>61</v>
      </c>
      <c r="B65" s="9">
        <v>1018</v>
      </c>
      <c r="C65" s="38">
        <v>3.5</v>
      </c>
      <c r="D65" s="38">
        <f t="shared" si="1"/>
        <v>3.5</v>
      </c>
      <c r="E65" s="38">
        <v>3.5</v>
      </c>
      <c r="F65" s="38"/>
      <c r="G65" s="38"/>
      <c r="H65" s="38"/>
    </row>
    <row r="66" spans="1:19" s="35" customFormat="1" ht="39.75" customHeight="1" x14ac:dyDescent="0.25">
      <c r="A66" s="82" t="s">
        <v>150</v>
      </c>
      <c r="B66" s="9">
        <v>1019</v>
      </c>
      <c r="C66" s="38"/>
      <c r="D66" s="38"/>
      <c r="E66" s="38"/>
      <c r="F66" s="38"/>
      <c r="G66" s="38"/>
      <c r="H66" s="38"/>
    </row>
    <row r="67" spans="1:19" ht="21" customHeight="1" x14ac:dyDescent="0.25">
      <c r="A67" s="90" t="s">
        <v>62</v>
      </c>
      <c r="B67" s="36">
        <v>1020</v>
      </c>
      <c r="C67" s="15">
        <f t="shared" ref="C67:H67" si="2">C68+C70</f>
        <v>1385.5</v>
      </c>
      <c r="D67" s="15">
        <f t="shared" si="2"/>
        <v>1320.9</v>
      </c>
      <c r="E67" s="15">
        <f t="shared" si="2"/>
        <v>296.5</v>
      </c>
      <c r="F67" s="15">
        <f t="shared" si="2"/>
        <v>503</v>
      </c>
      <c r="G67" s="15">
        <f t="shared" si="2"/>
        <v>296.39999999999998</v>
      </c>
      <c r="H67" s="15">
        <f t="shared" si="2"/>
        <v>225</v>
      </c>
    </row>
    <row r="68" spans="1:19" ht="39.75" customHeight="1" x14ac:dyDescent="0.3">
      <c r="A68" s="41" t="s">
        <v>63</v>
      </c>
      <c r="B68" s="9">
        <v>1021</v>
      </c>
      <c r="C68" s="15">
        <v>1382</v>
      </c>
      <c r="D68" s="15">
        <f>E68+F68+G68+H68</f>
        <v>1317.4</v>
      </c>
      <c r="E68" s="15">
        <v>293</v>
      </c>
      <c r="F68" s="15">
        <v>503</v>
      </c>
      <c r="G68" s="15">
        <f>293+3.4</f>
        <v>296.39999999999998</v>
      </c>
      <c r="H68" s="15">
        <v>225</v>
      </c>
    </row>
    <row r="69" spans="1:19" ht="53.25" customHeight="1" x14ac:dyDescent="0.3">
      <c r="A69" s="41" t="s">
        <v>64</v>
      </c>
      <c r="B69" s="9" t="s">
        <v>65</v>
      </c>
      <c r="C69" s="38">
        <v>140</v>
      </c>
      <c r="D69" s="38">
        <f>SUM(E69:H69)</f>
        <v>330</v>
      </c>
      <c r="E69" s="38">
        <v>35</v>
      </c>
      <c r="F69" s="38">
        <v>35</v>
      </c>
      <c r="G69" s="38">
        <v>35</v>
      </c>
      <c r="H69" s="38">
        <v>225</v>
      </c>
    </row>
    <row r="70" spans="1:19" s="35" customFormat="1" ht="23.25" customHeight="1" x14ac:dyDescent="0.3">
      <c r="A70" s="41" t="s">
        <v>66</v>
      </c>
      <c r="B70" s="9">
        <v>1022</v>
      </c>
      <c r="C70" s="38">
        <v>3.5</v>
      </c>
      <c r="D70" s="38">
        <f>E70+F70+G70+H70</f>
        <v>3.5</v>
      </c>
      <c r="E70" s="38">
        <v>3.5</v>
      </c>
      <c r="F70" s="38"/>
      <c r="G70" s="38"/>
      <c r="H70" s="38"/>
      <c r="I70" s="42">
        <f>G71*100/F71</f>
        <v>100</v>
      </c>
      <c r="J70" s="10">
        <f>H71*100/G71</f>
        <v>0</v>
      </c>
      <c r="K70" s="10" t="e">
        <f>I70*100/H71</f>
        <v>#DIV/0!</v>
      </c>
      <c r="L70" s="10">
        <f>J70*100/I70</f>
        <v>0</v>
      </c>
      <c r="M70" s="10" t="e">
        <f>K70*100/J70</f>
        <v>#DIV/0!</v>
      </c>
      <c r="N70" s="10" t="e">
        <f>L70*100/K70</f>
        <v>#DIV/0!</v>
      </c>
    </row>
    <row r="71" spans="1:19" s="35" customFormat="1" ht="19.5" customHeight="1" x14ac:dyDescent="0.25">
      <c r="A71" s="90" t="s">
        <v>67</v>
      </c>
      <c r="B71" s="36">
        <v>1030</v>
      </c>
      <c r="C71" s="15">
        <f t="shared" ref="C71:H71" si="3">C72</f>
        <v>2845.2</v>
      </c>
      <c r="D71" s="15">
        <f>D72</f>
        <v>2133.8999999999996</v>
      </c>
      <c r="E71" s="15">
        <f t="shared" si="3"/>
        <v>711.3</v>
      </c>
      <c r="F71" s="15">
        <f t="shared" si="3"/>
        <v>711.3</v>
      </c>
      <c r="G71" s="15">
        <f t="shared" si="3"/>
        <v>711.3</v>
      </c>
      <c r="H71" s="15">
        <f t="shared" si="3"/>
        <v>0</v>
      </c>
    </row>
    <row r="72" spans="1:19" s="35" customFormat="1" ht="19.5" customHeight="1" x14ac:dyDescent="0.25">
      <c r="A72" s="8" t="s">
        <v>68</v>
      </c>
      <c r="B72" s="9">
        <v>1031</v>
      </c>
      <c r="C72" s="38">
        <v>2845.2</v>
      </c>
      <c r="D72" s="38">
        <f>H72+G72+F72+E72</f>
        <v>2133.8999999999996</v>
      </c>
      <c r="E72" s="38">
        <v>711.3</v>
      </c>
      <c r="F72" s="38">
        <v>711.3</v>
      </c>
      <c r="G72" s="38">
        <v>711.3</v>
      </c>
      <c r="H72" s="38"/>
    </row>
    <row r="73" spans="1:19" ht="23.25" customHeight="1" x14ac:dyDescent="0.25">
      <c r="A73" s="90" t="s">
        <v>69</v>
      </c>
      <c r="B73" s="36">
        <v>1040</v>
      </c>
      <c r="C73" s="15">
        <f t="shared" ref="C73:H73" si="4">C54+C57+C67+C71</f>
        <v>103637.2</v>
      </c>
      <c r="D73" s="15">
        <f t="shared" si="4"/>
        <v>96088.599999999991</v>
      </c>
      <c r="E73" s="15">
        <f t="shared" si="4"/>
        <v>26019.7</v>
      </c>
      <c r="F73" s="15">
        <f>F54+F57+F67+F71</f>
        <v>25411.7</v>
      </c>
      <c r="G73" s="15">
        <f t="shared" si="4"/>
        <v>25047.199999999997</v>
      </c>
      <c r="H73" s="15">
        <f t="shared" si="4"/>
        <v>19610</v>
      </c>
      <c r="I73" s="1">
        <v>24763</v>
      </c>
      <c r="J73" s="43">
        <f>I73-F74</f>
        <v>5999.4999999999964</v>
      </c>
    </row>
    <row r="74" spans="1:19" ht="21" customHeight="1" x14ac:dyDescent="0.25">
      <c r="A74" s="90" t="s">
        <v>70</v>
      </c>
      <c r="B74" s="36">
        <v>1050</v>
      </c>
      <c r="C74" s="15">
        <f t="shared" ref="C74:H74" si="5">C75+C76+C77+C82+C83+C84+C85+C86+C81</f>
        <v>82483.7</v>
      </c>
      <c r="D74" s="15">
        <f>D75+D76+D77+D82+D83+D84+D85+D86+D81</f>
        <v>75970.799999999988</v>
      </c>
      <c r="E74" s="15">
        <f>E75+E76+E77+E82+E83+E84+E85+E86+E81</f>
        <v>19310.199999999997</v>
      </c>
      <c r="F74" s="15">
        <f t="shared" si="5"/>
        <v>18763.500000000004</v>
      </c>
      <c r="G74" s="15">
        <f t="shared" si="5"/>
        <v>23198.100000000002</v>
      </c>
      <c r="H74" s="15">
        <f t="shared" si="5"/>
        <v>14699.000000000002</v>
      </c>
      <c r="J74" s="43"/>
    </row>
    <row r="75" spans="1:19" ht="21.75" customHeight="1" x14ac:dyDescent="0.25">
      <c r="A75" s="8" t="s">
        <v>71</v>
      </c>
      <c r="B75" s="9">
        <v>1051</v>
      </c>
      <c r="C75" s="38">
        <v>45455.9</v>
      </c>
      <c r="D75" s="38">
        <f>E75+F75+G75+H75</f>
        <v>44455.899999999994</v>
      </c>
      <c r="E75" s="38">
        <v>11077.000000000002</v>
      </c>
      <c r="F75" s="38">
        <v>11219.199999999999</v>
      </c>
      <c r="G75" s="38">
        <v>12021.5</v>
      </c>
      <c r="H75" s="38">
        <f>11138.2-1000</f>
        <v>10138.200000000001</v>
      </c>
      <c r="J75" s="43"/>
      <c r="O75" s="44"/>
      <c r="P75" s="44"/>
      <c r="Q75" s="44"/>
      <c r="R75" s="44"/>
      <c r="S75" s="44"/>
    </row>
    <row r="76" spans="1:19" x14ac:dyDescent="0.25">
      <c r="A76" s="8" t="s">
        <v>72</v>
      </c>
      <c r="B76" s="9">
        <v>1052</v>
      </c>
      <c r="C76" s="38">
        <v>10000.1</v>
      </c>
      <c r="D76" s="38">
        <f>E76+F76+G76+H76</f>
        <v>9780.1</v>
      </c>
      <c r="E76" s="38">
        <v>2436.799999999997</v>
      </c>
      <c r="F76" s="38">
        <v>2468.2000000000021</v>
      </c>
      <c r="G76" s="38">
        <v>2644.7000000000021</v>
      </c>
      <c r="H76" s="38">
        <f>2450.4-220</f>
        <v>2230.4</v>
      </c>
      <c r="O76" s="44"/>
      <c r="P76" s="44"/>
      <c r="Q76" s="44"/>
      <c r="R76" s="44"/>
      <c r="S76" s="44"/>
    </row>
    <row r="77" spans="1:19" x14ac:dyDescent="0.25">
      <c r="A77" s="8" t="s">
        <v>73</v>
      </c>
      <c r="B77" s="7">
        <v>1053</v>
      </c>
      <c r="C77" s="15">
        <f>C78+C79+C80</f>
        <v>14633.8</v>
      </c>
      <c r="D77" s="15">
        <f>D78+D80+D79</f>
        <v>11930.7</v>
      </c>
      <c r="E77" s="15">
        <f>E78+E79+E80</f>
        <v>3631.2</v>
      </c>
      <c r="F77" s="15">
        <f t="shared" ref="F77:H77" si="6">F78+F79+F80</f>
        <v>3146.1000000000004</v>
      </c>
      <c r="G77" s="15">
        <f t="shared" si="6"/>
        <v>4176.2</v>
      </c>
      <c r="H77" s="15">
        <f t="shared" si="6"/>
        <v>977.2</v>
      </c>
    </row>
    <row r="78" spans="1:19" ht="56.25" x14ac:dyDescent="0.25">
      <c r="A78" s="8" t="s">
        <v>74</v>
      </c>
      <c r="B78" s="7" t="s">
        <v>75</v>
      </c>
      <c r="C78" s="15">
        <v>1000</v>
      </c>
      <c r="D78" s="15">
        <f t="shared" ref="D78:D92" si="7">E78+F78+G78+H78</f>
        <v>710</v>
      </c>
      <c r="E78" s="37">
        <v>230</v>
      </c>
      <c r="F78" s="37">
        <v>250</v>
      </c>
      <c r="G78" s="15">
        <v>230</v>
      </c>
      <c r="H78" s="15"/>
    </row>
    <row r="79" spans="1:19" x14ac:dyDescent="0.25">
      <c r="A79" s="8" t="s">
        <v>76</v>
      </c>
      <c r="B79" s="7" t="s">
        <v>77</v>
      </c>
      <c r="C79" s="15">
        <v>12558.8</v>
      </c>
      <c r="D79" s="15">
        <f t="shared" si="7"/>
        <v>10015.1</v>
      </c>
      <c r="E79" s="37">
        <v>2942.2</v>
      </c>
      <c r="F79" s="37">
        <f>1940.8+750</f>
        <v>2690.8</v>
      </c>
      <c r="G79" s="15">
        <f>3942.9+195-750+353</f>
        <v>3740.8999999999996</v>
      </c>
      <c r="H79" s="15">
        <v>641.20000000000005</v>
      </c>
    </row>
    <row r="80" spans="1:19" ht="19.5" customHeight="1" x14ac:dyDescent="0.25">
      <c r="A80" s="8" t="s">
        <v>78</v>
      </c>
      <c r="B80" s="7" t="s">
        <v>79</v>
      </c>
      <c r="C80" s="15">
        <v>1075</v>
      </c>
      <c r="D80" s="15">
        <f t="shared" si="7"/>
        <v>1205.5999999999999</v>
      </c>
      <c r="E80" s="37">
        <v>459</v>
      </c>
      <c r="F80" s="37">
        <v>205.3</v>
      </c>
      <c r="G80" s="15">
        <v>205.3</v>
      </c>
      <c r="H80" s="15">
        <v>336</v>
      </c>
    </row>
    <row r="81" spans="1:19" x14ac:dyDescent="0.25">
      <c r="A81" s="8" t="s">
        <v>80</v>
      </c>
      <c r="B81" s="9">
        <v>1054</v>
      </c>
      <c r="C81" s="15">
        <v>2297</v>
      </c>
      <c r="D81" s="15">
        <f t="shared" si="7"/>
        <v>2253.1999999999998</v>
      </c>
      <c r="E81" s="37">
        <v>926.1</v>
      </c>
      <c r="F81" s="15">
        <v>221.9</v>
      </c>
      <c r="G81" s="15">
        <v>236</v>
      </c>
      <c r="H81" s="15">
        <f>913-43.8</f>
        <v>869.2</v>
      </c>
      <c r="O81" s="43"/>
      <c r="P81" s="43"/>
      <c r="Q81" s="43"/>
      <c r="R81" s="43"/>
      <c r="S81" s="43"/>
    </row>
    <row r="82" spans="1:19" ht="131.25" x14ac:dyDescent="0.25">
      <c r="A82" s="8" t="s">
        <v>144</v>
      </c>
      <c r="B82" s="7">
        <v>1055</v>
      </c>
      <c r="C82" s="38">
        <v>7089.9</v>
      </c>
      <c r="D82" s="38">
        <f t="shared" si="7"/>
        <v>4811.7</v>
      </c>
      <c r="E82" s="38">
        <f>438.4+49.4</f>
        <v>487.79999999999995</v>
      </c>
      <c r="F82" s="38">
        <f>438.4+137.3+429.6-49.4</f>
        <v>955.90000000000009</v>
      </c>
      <c r="G82" s="38">
        <f>438.4+429.6+2500</f>
        <v>3368</v>
      </c>
      <c r="H82" s="38"/>
      <c r="O82" s="44"/>
      <c r="P82" s="44"/>
      <c r="Q82" s="44"/>
      <c r="R82" s="44"/>
      <c r="S82" s="44"/>
    </row>
    <row r="83" spans="1:19" ht="37.5" x14ac:dyDescent="0.25">
      <c r="A83" s="8" t="s">
        <v>81</v>
      </c>
      <c r="B83" s="7">
        <v>1056</v>
      </c>
      <c r="C83" s="38">
        <v>2960</v>
      </c>
      <c r="D83" s="38">
        <f t="shared" si="7"/>
        <v>2699</v>
      </c>
      <c r="E83" s="38">
        <f>735+5</f>
        <v>740</v>
      </c>
      <c r="F83" s="38">
        <v>740</v>
      </c>
      <c r="G83" s="38">
        <v>740</v>
      </c>
      <c r="H83" s="38">
        <f>740-261</f>
        <v>479</v>
      </c>
      <c r="O83" s="1">
        <v>2502</v>
      </c>
    </row>
    <row r="84" spans="1:19" ht="21.75" customHeight="1" x14ac:dyDescent="0.25">
      <c r="A84" s="8" t="s">
        <v>82</v>
      </c>
      <c r="B84" s="7">
        <v>1057</v>
      </c>
      <c r="C84" s="38">
        <v>20</v>
      </c>
      <c r="D84" s="38">
        <f t="shared" si="7"/>
        <v>20</v>
      </c>
      <c r="E84" s="38">
        <v>4.5999999999999996</v>
      </c>
      <c r="F84" s="38">
        <v>5.4</v>
      </c>
      <c r="G84" s="38">
        <v>5</v>
      </c>
      <c r="H84" s="38">
        <v>5</v>
      </c>
    </row>
    <row r="85" spans="1:19" ht="34.5" customHeight="1" x14ac:dyDescent="0.25">
      <c r="A85" s="8" t="s">
        <v>83</v>
      </c>
      <c r="B85" s="7">
        <v>1058</v>
      </c>
      <c r="C85" s="38">
        <v>27</v>
      </c>
      <c r="D85" s="38">
        <f t="shared" si="7"/>
        <v>20.2</v>
      </c>
      <c r="E85" s="38">
        <v>6.7</v>
      </c>
      <c r="F85" s="38">
        <v>6.8</v>
      </c>
      <c r="G85" s="38">
        <v>6.7</v>
      </c>
      <c r="H85" s="38"/>
    </row>
    <row r="86" spans="1:19" ht="24.75" customHeight="1" x14ac:dyDescent="0.25">
      <c r="A86" s="8" t="s">
        <v>84</v>
      </c>
      <c r="B86" s="7">
        <v>1059</v>
      </c>
      <c r="C86" s="38"/>
      <c r="D86" s="38">
        <f t="shared" si="7"/>
        <v>0</v>
      </c>
      <c r="E86" s="38"/>
      <c r="F86" s="38"/>
      <c r="G86" s="38"/>
      <c r="H86" s="38"/>
    </row>
    <row r="87" spans="1:19" ht="24.75" customHeight="1" x14ac:dyDescent="0.25">
      <c r="A87" s="90" t="s">
        <v>85</v>
      </c>
      <c r="B87" s="36">
        <v>1060</v>
      </c>
      <c r="C87" s="15">
        <f t="shared" ref="C87:H87" si="8">C88+C89+C90+C91+C92+C93+C94+C95+C96</f>
        <v>12834.2</v>
      </c>
      <c r="D87" s="15">
        <f t="shared" si="8"/>
        <v>13130.600000000002</v>
      </c>
      <c r="E87" s="15">
        <f t="shared" si="8"/>
        <v>3243.4999999999995</v>
      </c>
      <c r="F87" s="15">
        <f t="shared" si="8"/>
        <v>3278.1</v>
      </c>
      <c r="G87" s="15">
        <f t="shared" si="8"/>
        <v>3116.8</v>
      </c>
      <c r="H87" s="15">
        <f t="shared" si="8"/>
        <v>3492.2000000000003</v>
      </c>
    </row>
    <row r="88" spans="1:19" ht="17.25" customHeight="1" x14ac:dyDescent="0.25">
      <c r="A88" s="8" t="s">
        <v>71</v>
      </c>
      <c r="B88" s="9">
        <v>1061</v>
      </c>
      <c r="C88" s="38">
        <v>9696.9</v>
      </c>
      <c r="D88" s="38">
        <f t="shared" si="7"/>
        <v>9696.9000000000015</v>
      </c>
      <c r="E88" s="38">
        <f>2287.7+51.2</f>
        <v>2338.8999999999996</v>
      </c>
      <c r="F88" s="38">
        <v>2552.8000000000002</v>
      </c>
      <c r="G88" s="38">
        <v>2411.4</v>
      </c>
      <c r="H88" s="38">
        <f>2445-51.2</f>
        <v>2393.8000000000002</v>
      </c>
      <c r="O88" s="44">
        <f>D154+D155</f>
        <v>9783.4</v>
      </c>
      <c r="P88" s="44">
        <f t="shared" ref="P88:S88" si="9">E154+E155</f>
        <v>2384.7999999999997</v>
      </c>
      <c r="Q88" s="44">
        <f t="shared" si="9"/>
        <v>2575.1999999999998</v>
      </c>
      <c r="R88" s="44">
        <f t="shared" si="9"/>
        <v>2432.2999999999997</v>
      </c>
      <c r="S88" s="44">
        <f t="shared" si="9"/>
        <v>2391.1</v>
      </c>
    </row>
    <row r="89" spans="1:19" ht="17.25" customHeight="1" x14ac:dyDescent="0.25">
      <c r="A89" s="8" t="s">
        <v>72</v>
      </c>
      <c r="B89" s="9">
        <v>1062</v>
      </c>
      <c r="C89" s="38">
        <v>2133.5</v>
      </c>
      <c r="D89" s="38">
        <f t="shared" si="7"/>
        <v>2133.5</v>
      </c>
      <c r="E89" s="38">
        <f>503.4+11.3</f>
        <v>514.69999999999993</v>
      </c>
      <c r="F89" s="38">
        <v>561.70000000000005</v>
      </c>
      <c r="G89" s="38">
        <v>530.5</v>
      </c>
      <c r="H89" s="38">
        <f>537.9-11.3</f>
        <v>526.6</v>
      </c>
      <c r="O89" s="44">
        <f>(D147+D148)-O88</f>
        <v>2152.5</v>
      </c>
      <c r="P89" s="44">
        <f t="shared" ref="P89:S89" si="10">(E147+E148)-P88</f>
        <v>524.70000000000027</v>
      </c>
      <c r="Q89" s="44">
        <f t="shared" si="10"/>
        <v>566.60000000000036</v>
      </c>
      <c r="R89" s="44">
        <f t="shared" si="10"/>
        <v>535.10000000000036</v>
      </c>
      <c r="S89" s="44">
        <f t="shared" si="10"/>
        <v>526.10000000000036</v>
      </c>
    </row>
    <row r="90" spans="1:19" ht="93.75" x14ac:dyDescent="0.25">
      <c r="A90" s="8" t="s">
        <v>145</v>
      </c>
      <c r="B90" s="9">
        <v>1063</v>
      </c>
      <c r="C90" s="38">
        <v>150</v>
      </c>
      <c r="D90" s="38">
        <f t="shared" si="7"/>
        <v>130</v>
      </c>
      <c r="E90" s="38">
        <v>40</v>
      </c>
      <c r="F90" s="38">
        <v>35</v>
      </c>
      <c r="G90" s="38">
        <v>40</v>
      </c>
      <c r="H90" s="38">
        <v>15</v>
      </c>
    </row>
    <row r="91" spans="1:19" ht="18" customHeight="1" x14ac:dyDescent="0.25">
      <c r="A91" s="8" t="s">
        <v>80</v>
      </c>
      <c r="B91" s="9">
        <v>1064</v>
      </c>
      <c r="C91" s="15">
        <v>430.6</v>
      </c>
      <c r="D91" s="15">
        <f t="shared" si="7"/>
        <v>430.6</v>
      </c>
      <c r="E91" s="15">
        <v>181.8</v>
      </c>
      <c r="F91" s="39">
        <v>31.6</v>
      </c>
      <c r="G91" s="15">
        <v>38.4</v>
      </c>
      <c r="H91" s="15">
        <v>178.8</v>
      </c>
    </row>
    <row r="92" spans="1:19" ht="99" customHeight="1" x14ac:dyDescent="0.25">
      <c r="A92" s="8" t="s">
        <v>86</v>
      </c>
      <c r="B92" s="9">
        <v>1065</v>
      </c>
      <c r="C92" s="38">
        <v>223.2</v>
      </c>
      <c r="D92" s="38">
        <f t="shared" si="7"/>
        <v>298.2</v>
      </c>
      <c r="E92" s="38">
        <f>65+4.7-25+43.8</f>
        <v>88.5</v>
      </c>
      <c r="F92" s="38">
        <f>72-25</f>
        <v>47</v>
      </c>
      <c r="G92" s="38">
        <f>75.7-25</f>
        <v>50.7</v>
      </c>
      <c r="H92" s="38">
        <v>112</v>
      </c>
    </row>
    <row r="93" spans="1:19" ht="43.5" customHeight="1" x14ac:dyDescent="0.25">
      <c r="A93" s="8" t="s">
        <v>87</v>
      </c>
      <c r="B93" s="9">
        <v>1066</v>
      </c>
      <c r="C93" s="38">
        <v>68</v>
      </c>
      <c r="D93" s="38">
        <f>E93+F93+G93+H93</f>
        <v>309.39999999999998</v>
      </c>
      <c r="E93" s="38">
        <v>17</v>
      </c>
      <c r="F93" s="38">
        <v>17</v>
      </c>
      <c r="G93" s="38">
        <v>17</v>
      </c>
      <c r="H93" s="38">
        <v>258.39999999999998</v>
      </c>
    </row>
    <row r="94" spans="1:19" ht="18" customHeight="1" x14ac:dyDescent="0.25">
      <c r="A94" s="8" t="s">
        <v>82</v>
      </c>
      <c r="B94" s="9">
        <v>1067</v>
      </c>
      <c r="C94" s="38">
        <v>32</v>
      </c>
      <c r="D94" s="38">
        <f t="shared" ref="D94:D107" si="11">E94+F94+G94+H94</f>
        <v>32</v>
      </c>
      <c r="E94" s="38">
        <v>8.4</v>
      </c>
      <c r="F94" s="38">
        <v>8</v>
      </c>
      <c r="G94" s="38">
        <v>8</v>
      </c>
      <c r="H94" s="38">
        <f>8-0.4</f>
        <v>7.6</v>
      </c>
    </row>
    <row r="95" spans="1:19" ht="43.5" customHeight="1" x14ac:dyDescent="0.25">
      <c r="A95" s="8" t="s">
        <v>83</v>
      </c>
      <c r="B95" s="9">
        <v>1068</v>
      </c>
      <c r="C95" s="38">
        <v>100</v>
      </c>
      <c r="D95" s="38">
        <f t="shared" si="11"/>
        <v>100</v>
      </c>
      <c r="E95" s="38">
        <f>25+29.2</f>
        <v>54.2</v>
      </c>
      <c r="F95" s="38">
        <v>25</v>
      </c>
      <c r="G95" s="38">
        <f>25-4.2</f>
        <v>20.8</v>
      </c>
      <c r="H95" s="38"/>
    </row>
    <row r="96" spans="1:19" ht="26.25" customHeight="1" x14ac:dyDescent="0.25">
      <c r="A96" s="8" t="s">
        <v>84</v>
      </c>
      <c r="B96" s="9">
        <v>1069</v>
      </c>
      <c r="C96" s="15"/>
      <c r="D96" s="15">
        <f t="shared" si="11"/>
        <v>0</v>
      </c>
      <c r="E96" s="15"/>
      <c r="F96" s="15"/>
      <c r="G96" s="15"/>
      <c r="H96" s="15"/>
    </row>
    <row r="97" spans="1:21" x14ac:dyDescent="0.25">
      <c r="A97" s="45" t="s">
        <v>88</v>
      </c>
      <c r="B97" s="36">
        <v>1070</v>
      </c>
      <c r="C97" s="15">
        <f>C98+C99+C100+C101+C102+C103+C104+C105</f>
        <v>9991.7000000000007</v>
      </c>
      <c r="D97" s="15">
        <f t="shared" si="11"/>
        <v>10397.6</v>
      </c>
      <c r="E97" s="15">
        <f>E98+E99+E100+E101+E102+E103+E104+E105</f>
        <v>2829.2</v>
      </c>
      <c r="F97" s="15">
        <f>F98+F99+F100+F101+F102+F103+F104+F105</f>
        <v>2278</v>
      </c>
      <c r="G97" s="15">
        <f>G98+G99+G100+G101+G102+G103+G104+G105</f>
        <v>2666</v>
      </c>
      <c r="H97" s="15">
        <f>H98+H99+H100+H101+H102+H103+H104+H105</f>
        <v>2624.4</v>
      </c>
    </row>
    <row r="98" spans="1:21" ht="33.75" customHeight="1" x14ac:dyDescent="0.25">
      <c r="A98" s="8" t="s">
        <v>89</v>
      </c>
      <c r="B98" s="9">
        <v>1071</v>
      </c>
      <c r="C98" s="15">
        <v>940</v>
      </c>
      <c r="D98" s="15">
        <f t="shared" si="11"/>
        <v>910</v>
      </c>
      <c r="E98" s="15">
        <v>650</v>
      </c>
      <c r="F98" s="15">
        <v>130</v>
      </c>
      <c r="G98" s="15">
        <v>130</v>
      </c>
      <c r="H98" s="15"/>
    </row>
    <row r="99" spans="1:21" ht="33.75" customHeight="1" x14ac:dyDescent="0.25">
      <c r="A99" s="8" t="s">
        <v>90</v>
      </c>
      <c r="B99" s="9">
        <v>1072</v>
      </c>
      <c r="C99" s="15">
        <v>1057.5</v>
      </c>
      <c r="D99" s="15">
        <f t="shared" si="11"/>
        <v>1057.5</v>
      </c>
      <c r="E99" s="15">
        <f>273.6+36.2</f>
        <v>309.8</v>
      </c>
      <c r="F99" s="15">
        <v>273.60000000000002</v>
      </c>
      <c r="G99" s="15">
        <v>255.2</v>
      </c>
      <c r="H99" s="15">
        <f>255.1-36.2</f>
        <v>218.89999999999998</v>
      </c>
      <c r="O99" s="44">
        <f>D146-O88-O89-O75-O76</f>
        <v>55188.000000000007</v>
      </c>
      <c r="P99" s="44">
        <f t="shared" ref="P99:S99" si="12">E146-P88-P89-P75-P76</f>
        <v>13818.600000000002</v>
      </c>
      <c r="Q99" s="44">
        <f t="shared" si="12"/>
        <v>13933.699999999999</v>
      </c>
      <c r="R99" s="44">
        <f t="shared" si="12"/>
        <v>14895.9</v>
      </c>
      <c r="S99" s="44">
        <f t="shared" si="12"/>
        <v>12539.799999999997</v>
      </c>
      <c r="T99" s="44">
        <f t="shared" ref="T99:U99" si="13">I99-I88-I89-I76-I75</f>
        <v>0</v>
      </c>
      <c r="U99" s="44">
        <f t="shared" si="13"/>
        <v>0</v>
      </c>
    </row>
    <row r="100" spans="1:21" ht="18" customHeight="1" x14ac:dyDescent="0.25">
      <c r="A100" s="8" t="s">
        <v>91</v>
      </c>
      <c r="B100" s="9">
        <v>1073</v>
      </c>
      <c r="C100" s="15"/>
      <c r="D100" s="15">
        <f t="shared" si="11"/>
        <v>0</v>
      </c>
      <c r="E100" s="15"/>
      <c r="F100" s="15"/>
      <c r="G100" s="15"/>
      <c r="H100" s="15"/>
      <c r="O100" s="43"/>
      <c r="P100" s="43"/>
      <c r="Q100" s="43"/>
      <c r="R100" s="43"/>
      <c r="S100" s="43"/>
    </row>
    <row r="101" spans="1:21" ht="18.75" customHeight="1" x14ac:dyDescent="0.25">
      <c r="A101" s="8" t="s">
        <v>92</v>
      </c>
      <c r="B101" s="9">
        <v>1074</v>
      </c>
      <c r="C101" s="15"/>
      <c r="D101" s="15">
        <f t="shared" si="11"/>
        <v>0</v>
      </c>
      <c r="E101" s="15"/>
      <c r="F101" s="15"/>
      <c r="G101" s="15"/>
      <c r="H101" s="15"/>
      <c r="O101" s="44"/>
      <c r="P101" s="44"/>
      <c r="Q101" s="44"/>
      <c r="R101" s="44"/>
      <c r="S101" s="44"/>
    </row>
    <row r="102" spans="1:21" ht="16.5" customHeight="1" x14ac:dyDescent="0.25">
      <c r="A102" s="8" t="s">
        <v>93</v>
      </c>
      <c r="B102" s="9">
        <v>1075</v>
      </c>
      <c r="C102" s="15">
        <v>0</v>
      </c>
      <c r="D102" s="15">
        <f t="shared" si="11"/>
        <v>0.4</v>
      </c>
      <c r="E102" s="15"/>
      <c r="F102" s="15"/>
      <c r="G102" s="15"/>
      <c r="H102" s="15">
        <v>0.4</v>
      </c>
    </row>
    <row r="103" spans="1:21" x14ac:dyDescent="0.25">
      <c r="A103" s="8" t="s">
        <v>94</v>
      </c>
      <c r="B103" s="9">
        <v>1076</v>
      </c>
      <c r="C103" s="15">
        <v>422.9</v>
      </c>
      <c r="D103" s="15">
        <f t="shared" si="11"/>
        <v>422.90000000000003</v>
      </c>
      <c r="E103" s="15">
        <v>1.6</v>
      </c>
      <c r="F103" s="15">
        <f>1.6+5</f>
        <v>6.6</v>
      </c>
      <c r="G103" s="15">
        <f>1.6+411.5</f>
        <v>413.1</v>
      </c>
      <c r="H103" s="15">
        <v>1.6</v>
      </c>
    </row>
    <row r="104" spans="1:21" x14ac:dyDescent="0.25">
      <c r="A104" s="8" t="s">
        <v>95</v>
      </c>
      <c r="B104" s="9">
        <v>1077</v>
      </c>
      <c r="C104" s="15">
        <v>0</v>
      </c>
      <c r="D104" s="15">
        <f t="shared" si="11"/>
        <v>0</v>
      </c>
      <c r="E104" s="15"/>
      <c r="F104" s="15"/>
      <c r="G104" s="15"/>
      <c r="H104" s="15"/>
    </row>
    <row r="105" spans="1:21" ht="23.25" customHeight="1" x14ac:dyDescent="0.25">
      <c r="A105" s="8" t="s">
        <v>96</v>
      </c>
      <c r="B105" s="9">
        <v>1078</v>
      </c>
      <c r="C105" s="15">
        <v>7571.3</v>
      </c>
      <c r="D105" s="15">
        <f t="shared" si="11"/>
        <v>8006.8</v>
      </c>
      <c r="E105" s="46">
        <v>1867.8</v>
      </c>
      <c r="F105" s="46">
        <v>1867.8</v>
      </c>
      <c r="G105" s="46">
        <v>1867.7</v>
      </c>
      <c r="H105" s="46">
        <f>1968+135.5+300</f>
        <v>2403.5</v>
      </c>
    </row>
    <row r="106" spans="1:21" ht="19.5" customHeight="1" x14ac:dyDescent="0.25">
      <c r="A106" s="90" t="s">
        <v>97</v>
      </c>
      <c r="B106" s="36">
        <v>1080</v>
      </c>
      <c r="C106" s="15">
        <f>C107</f>
        <v>0.3</v>
      </c>
      <c r="D106" s="15">
        <f t="shared" si="11"/>
        <v>4.0999999999999996</v>
      </c>
      <c r="E106" s="15">
        <f>E107</f>
        <v>0.3</v>
      </c>
      <c r="F106" s="15"/>
      <c r="G106" s="15">
        <f>G107</f>
        <v>3.8</v>
      </c>
      <c r="H106" s="15"/>
    </row>
    <row r="107" spans="1:21" ht="19.5" customHeight="1" x14ac:dyDescent="0.25">
      <c r="A107" s="8" t="s">
        <v>98</v>
      </c>
      <c r="B107" s="9" t="s">
        <v>99</v>
      </c>
      <c r="C107" s="15">
        <v>0.3</v>
      </c>
      <c r="D107" s="15">
        <f t="shared" si="11"/>
        <v>4.0999999999999996</v>
      </c>
      <c r="E107" s="15">
        <v>0.3</v>
      </c>
      <c r="F107" s="15"/>
      <c r="G107" s="15">
        <v>3.8</v>
      </c>
      <c r="H107" s="15"/>
      <c r="O107" s="1">
        <v>0</v>
      </c>
    </row>
    <row r="108" spans="1:21" ht="19.5" customHeight="1" x14ac:dyDescent="0.25">
      <c r="A108" s="90" t="s">
        <v>100</v>
      </c>
      <c r="B108" s="36">
        <v>1090</v>
      </c>
      <c r="C108" s="15">
        <f t="shared" ref="C108:F108" si="14">C74+C87+C97+C106</f>
        <v>105309.9</v>
      </c>
      <c r="D108" s="15">
        <f t="shared" si="14"/>
        <v>99503.1</v>
      </c>
      <c r="E108" s="15">
        <f t="shared" si="14"/>
        <v>25383.199999999997</v>
      </c>
      <c r="F108" s="15">
        <f t="shared" si="14"/>
        <v>24319.600000000002</v>
      </c>
      <c r="G108" s="15">
        <f>G74+G87+G97+G106</f>
        <v>28984.7</v>
      </c>
      <c r="H108" s="15">
        <f>H74+H87+H97+H106</f>
        <v>20815.600000000002</v>
      </c>
    </row>
    <row r="109" spans="1:21" ht="32.25" customHeight="1" x14ac:dyDescent="0.25">
      <c r="A109" s="90" t="s">
        <v>101</v>
      </c>
      <c r="B109" s="36">
        <v>1100</v>
      </c>
      <c r="C109" s="15">
        <f t="shared" ref="C109:H109" si="15">C73-C108</f>
        <v>-1672.6999999999971</v>
      </c>
      <c r="D109" s="15">
        <f t="shared" si="15"/>
        <v>-3414.5000000000146</v>
      </c>
      <c r="E109" s="15">
        <f t="shared" si="15"/>
        <v>636.50000000000364</v>
      </c>
      <c r="F109" s="15">
        <f t="shared" si="15"/>
        <v>1092.0999999999985</v>
      </c>
      <c r="G109" s="15">
        <f t="shared" si="15"/>
        <v>-3937.5000000000036</v>
      </c>
      <c r="H109" s="15">
        <f t="shared" si="15"/>
        <v>-1205.6000000000022</v>
      </c>
    </row>
    <row r="110" spans="1:21" ht="17.25" customHeight="1" x14ac:dyDescent="0.25">
      <c r="A110" s="93" t="s">
        <v>102</v>
      </c>
      <c r="B110" s="93"/>
      <c r="C110" s="93"/>
      <c r="D110" s="93"/>
      <c r="E110" s="93"/>
      <c r="F110" s="93"/>
      <c r="G110" s="93"/>
      <c r="H110" s="93"/>
    </row>
    <row r="111" spans="1:21" x14ac:dyDescent="0.25">
      <c r="A111" s="90" t="s">
        <v>103</v>
      </c>
      <c r="B111" s="89">
        <v>2000</v>
      </c>
      <c r="C111" s="15">
        <v>1705.8</v>
      </c>
      <c r="D111" s="15">
        <f>E111+F111+G111+H111</f>
        <v>1705.8000000000002</v>
      </c>
      <c r="E111" s="15">
        <f>E112+E113+E114+E115+E116+E117</f>
        <v>964.1</v>
      </c>
      <c r="F111" s="15">
        <f t="shared" ref="F111:H111" si="16">F112+F113+F114+F115+F116+F117</f>
        <v>129.1</v>
      </c>
      <c r="G111" s="15">
        <f t="shared" si="16"/>
        <v>472.6</v>
      </c>
      <c r="H111" s="15">
        <f t="shared" si="16"/>
        <v>140</v>
      </c>
    </row>
    <row r="112" spans="1:21" x14ac:dyDescent="0.25">
      <c r="A112" s="8" t="s">
        <v>104</v>
      </c>
      <c r="B112" s="7">
        <v>2010</v>
      </c>
      <c r="C112" s="15"/>
      <c r="D112" s="15">
        <f t="shared" ref="D112:D117" si="17">E112+F112+G112+H112</f>
        <v>0</v>
      </c>
      <c r="E112" s="15"/>
      <c r="F112" s="15"/>
      <c r="G112" s="15"/>
      <c r="H112" s="39"/>
    </row>
    <row r="113" spans="1:8" x14ac:dyDescent="0.25">
      <c r="A113" s="8" t="s">
        <v>105</v>
      </c>
      <c r="B113" s="7">
        <v>2020</v>
      </c>
      <c r="C113" s="38">
        <v>1090</v>
      </c>
      <c r="D113" s="38">
        <f>E113+F113+G113+H113</f>
        <v>1090</v>
      </c>
      <c r="E113" s="38">
        <f>120+700</f>
        <v>820</v>
      </c>
      <c r="F113" s="38">
        <v>85</v>
      </c>
      <c r="G113" s="38">
        <v>185</v>
      </c>
      <c r="H113" s="38"/>
    </row>
    <row r="114" spans="1:8" ht="37.5" x14ac:dyDescent="0.25">
      <c r="A114" s="8" t="s">
        <v>106</v>
      </c>
      <c r="B114" s="7">
        <v>2030</v>
      </c>
      <c r="C114" s="38">
        <v>480.2</v>
      </c>
      <c r="D114" s="38">
        <f>E114+F114+G114+H114</f>
        <v>480.2</v>
      </c>
      <c r="E114" s="38">
        <v>144.1</v>
      </c>
      <c r="F114" s="38">
        <v>44.1</v>
      </c>
      <c r="G114" s="38">
        <v>152</v>
      </c>
      <c r="H114" s="38">
        <v>140</v>
      </c>
    </row>
    <row r="115" spans="1:8" ht="18.75" customHeight="1" x14ac:dyDescent="0.25">
      <c r="A115" s="8" t="s">
        <v>107</v>
      </c>
      <c r="B115" s="7">
        <v>2040</v>
      </c>
      <c r="C115" s="83">
        <v>135.6</v>
      </c>
      <c r="D115" s="15">
        <f>E115+F115+G115+H115</f>
        <v>135.6</v>
      </c>
      <c r="E115" s="15"/>
      <c r="F115" s="15"/>
      <c r="G115" s="15">
        <v>135.6</v>
      </c>
      <c r="H115" s="39"/>
    </row>
    <row r="116" spans="1:8" ht="37.5" x14ac:dyDescent="0.25">
      <c r="A116" s="8" t="s">
        <v>108</v>
      </c>
      <c r="B116" s="7">
        <v>2050</v>
      </c>
      <c r="C116" s="15"/>
      <c r="D116" s="15">
        <f t="shared" si="17"/>
        <v>0</v>
      </c>
      <c r="E116" s="15"/>
      <c r="F116" s="15"/>
      <c r="G116" s="15"/>
      <c r="H116" s="39"/>
    </row>
    <row r="117" spans="1:8" x14ac:dyDescent="0.25">
      <c r="A117" s="8" t="s">
        <v>109</v>
      </c>
      <c r="B117" s="7">
        <v>2060</v>
      </c>
      <c r="C117" s="15"/>
      <c r="D117" s="15">
        <f t="shared" si="17"/>
        <v>0</v>
      </c>
      <c r="E117" s="15"/>
      <c r="F117" s="15"/>
      <c r="G117" s="15"/>
      <c r="H117" s="39"/>
    </row>
    <row r="118" spans="1:8" x14ac:dyDescent="0.25">
      <c r="A118" s="8" t="s">
        <v>110</v>
      </c>
      <c r="B118" s="7">
        <v>2100</v>
      </c>
      <c r="C118" s="38">
        <v>23684.7</v>
      </c>
      <c r="D118" s="38">
        <f>H118</f>
        <v>23684.7</v>
      </c>
      <c r="E118" s="38">
        <f>22594.7+E113</f>
        <v>23414.7</v>
      </c>
      <c r="F118" s="38">
        <f>E118+F113</f>
        <v>23499.7</v>
      </c>
      <c r="G118" s="38">
        <f>F118+G113</f>
        <v>23684.7</v>
      </c>
      <c r="H118" s="38">
        <f>G118+H113</f>
        <v>23684.7</v>
      </c>
    </row>
    <row r="119" spans="1:8" ht="19.5" customHeight="1" x14ac:dyDescent="0.25">
      <c r="A119" s="8" t="s">
        <v>111</v>
      </c>
      <c r="B119" s="7">
        <v>2200</v>
      </c>
      <c r="C119" s="38">
        <v>15426.8</v>
      </c>
      <c r="D119" s="38">
        <f>H119</f>
        <v>15240.8</v>
      </c>
      <c r="E119" s="38">
        <f>12378.8+E93+E83</f>
        <v>13135.8</v>
      </c>
      <c r="F119" s="38">
        <f>E119+F83+F93</f>
        <v>13892.8</v>
      </c>
      <c r="G119" s="38">
        <f>F119+G93+G83</f>
        <v>14649.8</v>
      </c>
      <c r="H119" s="38">
        <f>G119+H92+H83</f>
        <v>15240.8</v>
      </c>
    </row>
    <row r="120" spans="1:8" ht="33.75" customHeight="1" x14ac:dyDescent="0.25">
      <c r="A120" s="93" t="s">
        <v>112</v>
      </c>
      <c r="B120" s="93"/>
      <c r="C120" s="93"/>
      <c r="D120" s="93"/>
      <c r="E120" s="93"/>
      <c r="F120" s="93"/>
      <c r="G120" s="93"/>
      <c r="H120" s="93"/>
    </row>
    <row r="121" spans="1:8" ht="33.75" customHeight="1" x14ac:dyDescent="0.25">
      <c r="A121" s="47" t="s">
        <v>113</v>
      </c>
      <c r="B121" s="7">
        <v>3010</v>
      </c>
      <c r="C121" s="15">
        <f>C61/C73*100</f>
        <v>12.401338515513736</v>
      </c>
      <c r="D121" s="15">
        <f>(D61/D73)*100</f>
        <v>13.375572128223329</v>
      </c>
      <c r="E121" s="15">
        <f>(E61/E73)*100</f>
        <v>14.560890402272122</v>
      </c>
      <c r="F121" s="15">
        <f>(F61/F73)*100</f>
        <v>10.662804928438474</v>
      </c>
      <c r="G121" s="15">
        <f>(G61/G73)*100</f>
        <v>11.081478169216521</v>
      </c>
      <c r="H121" s="15">
        <f>(H61/H73)*100</f>
        <v>18.248342682304948</v>
      </c>
    </row>
    <row r="122" spans="1:8" ht="33.75" customHeight="1" x14ac:dyDescent="0.25">
      <c r="A122" s="8" t="s">
        <v>114</v>
      </c>
      <c r="B122" s="7">
        <v>3020</v>
      </c>
      <c r="C122" s="15">
        <f t="shared" ref="C122:H122" si="18">((C81+C91)/C108)*100</f>
        <v>2.5900698794700214</v>
      </c>
      <c r="D122" s="15">
        <f t="shared" si="18"/>
        <v>2.6972023987192353</v>
      </c>
      <c r="E122" s="15">
        <f t="shared" si="18"/>
        <v>4.3646979104289461</v>
      </c>
      <c r="F122" s="15">
        <f t="shared" si="18"/>
        <v>1.0423691179131234</v>
      </c>
      <c r="G122" s="15">
        <f t="shared" si="18"/>
        <v>0.94670636577228673</v>
      </c>
      <c r="H122" s="15">
        <f t="shared" si="18"/>
        <v>5.0346855243182986</v>
      </c>
    </row>
    <row r="123" spans="1:8" ht="33.75" customHeight="1" x14ac:dyDescent="0.25">
      <c r="A123" s="8" t="s">
        <v>115</v>
      </c>
      <c r="B123" s="7">
        <v>3030</v>
      </c>
      <c r="C123" s="15">
        <f t="shared" ref="C123:H123" si="19">(C111/C108)*100</f>
        <v>1.6197907319254883</v>
      </c>
      <c r="D123" s="15">
        <f t="shared" si="19"/>
        <v>1.7143184483699503</v>
      </c>
      <c r="E123" s="15">
        <f t="shared" si="19"/>
        <v>3.7981814743609954</v>
      </c>
      <c r="F123" s="15">
        <f t="shared" si="19"/>
        <v>0.53084754683465174</v>
      </c>
      <c r="G123" s="15">
        <f>(G111/G108)*100</f>
        <v>1.6305154098541645</v>
      </c>
      <c r="H123" s="15">
        <f t="shared" si="19"/>
        <v>0.67257249370664307</v>
      </c>
    </row>
    <row r="124" spans="1:8" ht="36" customHeight="1" x14ac:dyDescent="0.25">
      <c r="A124" s="8" t="s">
        <v>116</v>
      </c>
      <c r="B124" s="7">
        <v>3040</v>
      </c>
      <c r="C124" s="15">
        <f>(C146/C108)*100</f>
        <v>64.89788709323625</v>
      </c>
      <c r="D124" s="15">
        <f>(D146/D108)*100</f>
        <v>67.459104289213101</v>
      </c>
      <c r="E124" s="15">
        <f t="shared" ref="E124:F124" si="20">(E146/E108)*100</f>
        <v>65.902250307289876</v>
      </c>
      <c r="F124" s="15">
        <f t="shared" si="20"/>
        <v>70.212914686096809</v>
      </c>
      <c r="G124" s="15">
        <f>(G146/G108)*100</f>
        <v>61.630101398323944</v>
      </c>
      <c r="H124" s="15">
        <f>(H146/H108)*100</f>
        <v>74.256807394454142</v>
      </c>
    </row>
    <row r="125" spans="1:8" ht="20.25" customHeight="1" x14ac:dyDescent="0.25">
      <c r="A125" s="47" t="s">
        <v>117</v>
      </c>
      <c r="B125" s="7">
        <v>3050</v>
      </c>
      <c r="C125" s="15">
        <f t="shared" ref="C125:H125" si="21">C119/C118</f>
        <v>0.65134031674456505</v>
      </c>
      <c r="D125" s="15">
        <f>D119/D118</f>
        <v>0.64348714571009968</v>
      </c>
      <c r="E125" s="15">
        <f t="shared" si="21"/>
        <v>0.56100654716908605</v>
      </c>
      <c r="F125" s="15">
        <f t="shared" si="21"/>
        <v>0.5911905258365</v>
      </c>
      <c r="G125" s="15">
        <f t="shared" si="21"/>
        <v>0.61853432806833097</v>
      </c>
      <c r="H125" s="15">
        <f t="shared" si="21"/>
        <v>0.64348714571009968</v>
      </c>
    </row>
    <row r="126" spans="1:8" ht="36.75" customHeight="1" x14ac:dyDescent="0.25">
      <c r="A126" s="47" t="s">
        <v>118</v>
      </c>
      <c r="B126" s="7">
        <v>3060</v>
      </c>
      <c r="C126" s="15">
        <f t="shared" ref="C126:G126" si="22">(C113+C114)/C111</f>
        <v>0.92050650721069294</v>
      </c>
      <c r="D126" s="15">
        <f t="shared" si="22"/>
        <v>0.92050650721069283</v>
      </c>
      <c r="E126" s="15">
        <f>(E113+E114)/E111</f>
        <v>1</v>
      </c>
      <c r="F126" s="15">
        <f t="shared" si="22"/>
        <v>1</v>
      </c>
      <c r="G126" s="15">
        <f t="shared" si="22"/>
        <v>0.71307659754549302</v>
      </c>
      <c r="H126" s="48">
        <f>(H113+H114)/H111</f>
        <v>1</v>
      </c>
    </row>
    <row r="127" spans="1:8" x14ac:dyDescent="0.25">
      <c r="A127" s="95" t="s">
        <v>119</v>
      </c>
      <c r="B127" s="95"/>
      <c r="C127" s="95"/>
      <c r="D127" s="95"/>
      <c r="E127" s="95"/>
      <c r="F127" s="95"/>
      <c r="G127" s="95"/>
      <c r="H127" s="95"/>
    </row>
    <row r="128" spans="1:8" x14ac:dyDescent="0.25">
      <c r="A128" s="47" t="s">
        <v>120</v>
      </c>
      <c r="B128" s="7">
        <v>4010</v>
      </c>
      <c r="C128" s="15">
        <v>9916.6</v>
      </c>
      <c r="D128" s="15">
        <f>H128</f>
        <v>9916.6</v>
      </c>
      <c r="E128" s="16">
        <f>E118-E119</f>
        <v>10278.900000000001</v>
      </c>
      <c r="F128" s="16">
        <v>9780</v>
      </c>
      <c r="G128" s="16">
        <v>9876.6</v>
      </c>
      <c r="H128" s="16">
        <v>9916.6</v>
      </c>
    </row>
    <row r="129" spans="1:18" x14ac:dyDescent="0.25">
      <c r="A129" s="47" t="s">
        <v>121</v>
      </c>
      <c r="B129" s="7">
        <v>4020</v>
      </c>
      <c r="C129" s="15">
        <v>21498.799999999999</v>
      </c>
      <c r="D129" s="15">
        <f>H129</f>
        <v>24498.799999999999</v>
      </c>
      <c r="E129" s="16">
        <f>13266.5+10930.8+9700</f>
        <v>33897.300000000003</v>
      </c>
      <c r="F129" s="16">
        <v>27179.3</v>
      </c>
      <c r="G129" s="16">
        <f>21856+10930.8</f>
        <v>32786.800000000003</v>
      </c>
      <c r="H129" s="16">
        <f>10568+10930.8+3000</f>
        <v>24498.799999999999</v>
      </c>
      <c r="O129" s="43"/>
      <c r="P129" s="43"/>
      <c r="Q129" s="43"/>
    </row>
    <row r="130" spans="1:18" x14ac:dyDescent="0.25">
      <c r="A130" s="47" t="s">
        <v>122</v>
      </c>
      <c r="B130" s="7">
        <v>4021</v>
      </c>
      <c r="C130" s="15">
        <v>16259.2</v>
      </c>
      <c r="D130" s="15">
        <f>H130</f>
        <v>15823.2</v>
      </c>
      <c r="E130" s="15">
        <f>18217.6+3585.2</f>
        <v>21802.799999999999</v>
      </c>
      <c r="F130" s="15">
        <f>17445.7+3434.2</f>
        <v>20879.900000000001</v>
      </c>
      <c r="G130" s="15">
        <v>16786</v>
      </c>
      <c r="H130" s="15">
        <v>15823.2</v>
      </c>
      <c r="I130" s="10">
        <f t="shared" ref="G130:N131" si="23">I127+I128</f>
        <v>0</v>
      </c>
      <c r="J130" s="10">
        <f t="shared" si="23"/>
        <v>0</v>
      </c>
      <c r="K130" s="10">
        <f t="shared" si="23"/>
        <v>0</v>
      </c>
      <c r="L130" s="10">
        <f t="shared" si="23"/>
        <v>0</v>
      </c>
      <c r="M130" s="10">
        <f t="shared" si="23"/>
        <v>0</v>
      </c>
      <c r="N130" s="10">
        <f t="shared" si="23"/>
        <v>0</v>
      </c>
    </row>
    <row r="131" spans="1:18" x14ac:dyDescent="0.25">
      <c r="A131" s="90" t="s">
        <v>123</v>
      </c>
      <c r="B131" s="89">
        <v>4030</v>
      </c>
      <c r="C131" s="15">
        <f>C128+C129</f>
        <v>31415.4</v>
      </c>
      <c r="D131" s="15">
        <f>D128+D129</f>
        <v>34415.4</v>
      </c>
      <c r="E131" s="15">
        <f>E128+E129</f>
        <v>44176.200000000004</v>
      </c>
      <c r="F131" s="15">
        <f>F128+F129</f>
        <v>36959.300000000003</v>
      </c>
      <c r="G131" s="15">
        <f t="shared" si="23"/>
        <v>42663.4</v>
      </c>
      <c r="H131" s="15">
        <f t="shared" si="23"/>
        <v>34415.4</v>
      </c>
    </row>
    <row r="132" spans="1:18" x14ac:dyDescent="0.25">
      <c r="A132" s="47" t="s">
        <v>124</v>
      </c>
      <c r="B132" s="7">
        <v>4040</v>
      </c>
      <c r="C132" s="15">
        <v>4670.3</v>
      </c>
      <c r="D132" s="15">
        <f>H132</f>
        <v>4670.3</v>
      </c>
      <c r="E132" s="16">
        <v>7985.5</v>
      </c>
      <c r="F132" s="16">
        <v>6115</v>
      </c>
      <c r="G132" s="16">
        <f>4588.1+82.2</f>
        <v>4670.3</v>
      </c>
      <c r="H132" s="49">
        <v>4670.3</v>
      </c>
    </row>
    <row r="133" spans="1:18" x14ac:dyDescent="0.25">
      <c r="A133" s="47" t="s">
        <v>125</v>
      </c>
      <c r="B133" s="7">
        <v>4050</v>
      </c>
      <c r="C133" s="15">
        <v>2070</v>
      </c>
      <c r="D133" s="15">
        <f>H133</f>
        <v>2070</v>
      </c>
      <c r="E133" s="16">
        <v>2354.1999999999998</v>
      </c>
      <c r="F133" s="16">
        <v>2370</v>
      </c>
      <c r="G133" s="16">
        <v>2376.5</v>
      </c>
      <c r="H133" s="49">
        <v>2070</v>
      </c>
    </row>
    <row r="134" spans="1:18" ht="37.5" x14ac:dyDescent="0.25">
      <c r="A134" s="50" t="s">
        <v>126</v>
      </c>
      <c r="B134" s="89">
        <v>4060</v>
      </c>
      <c r="C134" s="15">
        <f>C132+C133</f>
        <v>6740.3</v>
      </c>
      <c r="D134" s="15">
        <f>D133+D132</f>
        <v>6740.3</v>
      </c>
      <c r="E134" s="16">
        <f>E132+E133</f>
        <v>10339.700000000001</v>
      </c>
      <c r="F134" s="16">
        <f>F132+F133</f>
        <v>8485</v>
      </c>
      <c r="G134" s="16">
        <f>G132+G133</f>
        <v>7046.8</v>
      </c>
      <c r="H134" s="16">
        <f>H132+H133</f>
        <v>6740.3</v>
      </c>
    </row>
    <row r="135" spans="1:18" x14ac:dyDescent="0.25">
      <c r="A135" s="47" t="s">
        <v>127</v>
      </c>
      <c r="B135" s="7">
        <v>4070</v>
      </c>
      <c r="C135" s="15"/>
      <c r="D135" s="15">
        <f>E135+F135+G135+H135</f>
        <v>0</v>
      </c>
      <c r="E135" s="15"/>
      <c r="F135" s="15"/>
      <c r="G135" s="15"/>
      <c r="H135" s="39"/>
    </row>
    <row r="136" spans="1:18" x14ac:dyDescent="0.25">
      <c r="A136" s="47" t="s">
        <v>128</v>
      </c>
      <c r="B136" s="7">
        <v>4080</v>
      </c>
      <c r="C136" s="15"/>
      <c r="D136" s="15">
        <f>E136+F136+G136+H136</f>
        <v>0</v>
      </c>
      <c r="E136" s="15"/>
      <c r="F136" s="15"/>
      <c r="G136" s="15"/>
      <c r="H136" s="39"/>
    </row>
    <row r="137" spans="1:18" ht="20.25" customHeight="1" x14ac:dyDescent="0.25">
      <c r="A137" s="50" t="s">
        <v>129</v>
      </c>
      <c r="B137" s="89">
        <v>4090</v>
      </c>
      <c r="C137" s="15">
        <f>C131-C134</f>
        <v>24675.100000000002</v>
      </c>
      <c r="D137" s="15">
        <f>D131-D134</f>
        <v>27675.100000000002</v>
      </c>
      <c r="E137" s="15">
        <f>E131-E134</f>
        <v>33836.5</v>
      </c>
      <c r="F137" s="15">
        <f>F131-F134</f>
        <v>28474.300000000003</v>
      </c>
      <c r="G137" s="15">
        <f t="shared" ref="G137:H137" si="24">G131-G134</f>
        <v>35616.6</v>
      </c>
      <c r="H137" s="15">
        <f t="shared" si="24"/>
        <v>27675.100000000002</v>
      </c>
      <c r="I137" s="51">
        <f>SUM(I138:I142)</f>
        <v>236</v>
      </c>
    </row>
    <row r="138" spans="1:18" ht="23.25" customHeight="1" x14ac:dyDescent="0.25">
      <c r="A138" s="93" t="s">
        <v>130</v>
      </c>
      <c r="B138" s="93"/>
      <c r="C138" s="93"/>
      <c r="D138" s="93"/>
      <c r="E138" s="93"/>
      <c r="F138" s="93"/>
      <c r="G138" s="93"/>
      <c r="H138" s="93"/>
      <c r="I138" s="11">
        <v>84</v>
      </c>
    </row>
    <row r="139" spans="1:18" ht="37.5" x14ac:dyDescent="0.25">
      <c r="A139" s="90" t="s">
        <v>131</v>
      </c>
      <c r="B139" s="36">
        <v>5000</v>
      </c>
      <c r="C139" s="15">
        <v>211</v>
      </c>
      <c r="D139" s="52">
        <f>SUM(D140:D145)</f>
        <v>208</v>
      </c>
      <c r="E139" s="15">
        <f>SUM(E140:E145)</f>
        <v>209</v>
      </c>
      <c r="F139" s="15">
        <f t="shared" ref="F139:H139" si="25">SUM(F140:F145)</f>
        <v>211</v>
      </c>
      <c r="G139" s="15">
        <f t="shared" si="25"/>
        <v>210</v>
      </c>
      <c r="H139" s="15">
        <f t="shared" si="25"/>
        <v>197</v>
      </c>
      <c r="I139" s="11">
        <v>108</v>
      </c>
      <c r="O139" s="70"/>
    </row>
    <row r="140" spans="1:18" x14ac:dyDescent="0.25">
      <c r="A140" s="8" t="s">
        <v>132</v>
      </c>
      <c r="B140" s="9">
        <v>5010</v>
      </c>
      <c r="C140" s="53">
        <v>1</v>
      </c>
      <c r="D140" s="53">
        <v>1</v>
      </c>
      <c r="E140" s="53">
        <v>1</v>
      </c>
      <c r="F140" s="53">
        <v>1</v>
      </c>
      <c r="G140" s="53">
        <v>1</v>
      </c>
      <c r="H140" s="53">
        <v>1</v>
      </c>
      <c r="I140" s="11">
        <v>9</v>
      </c>
      <c r="O140" s="70"/>
      <c r="P140" s="54"/>
      <c r="Q140" s="54"/>
      <c r="R140" s="54"/>
    </row>
    <row r="141" spans="1:18" x14ac:dyDescent="0.25">
      <c r="A141" s="8" t="s">
        <v>133</v>
      </c>
      <c r="B141" s="9">
        <v>5020</v>
      </c>
      <c r="C141" s="53">
        <v>22</v>
      </c>
      <c r="D141" s="53">
        <v>22</v>
      </c>
      <c r="E141" s="53">
        <v>22</v>
      </c>
      <c r="F141" s="53">
        <v>22</v>
      </c>
      <c r="G141" s="53">
        <v>22</v>
      </c>
      <c r="H141" s="53">
        <v>20</v>
      </c>
      <c r="I141" s="12">
        <v>35</v>
      </c>
      <c r="O141" s="70"/>
      <c r="P141" s="54"/>
      <c r="Q141" s="54"/>
      <c r="R141" s="54"/>
    </row>
    <row r="142" spans="1:18" x14ac:dyDescent="0.25">
      <c r="A142" s="8" t="s">
        <v>151</v>
      </c>
      <c r="B142" s="9">
        <v>5030</v>
      </c>
      <c r="C142" s="53">
        <v>66</v>
      </c>
      <c r="D142" s="53">
        <v>64</v>
      </c>
      <c r="E142" s="53">
        <v>64</v>
      </c>
      <c r="F142" s="53">
        <v>66</v>
      </c>
      <c r="G142" s="53">
        <v>66</v>
      </c>
      <c r="H142" s="53">
        <v>61</v>
      </c>
      <c r="O142" s="70"/>
      <c r="P142" s="54"/>
      <c r="Q142" s="54"/>
      <c r="R142" s="54"/>
    </row>
    <row r="143" spans="1:18" ht="37.5" x14ac:dyDescent="0.25">
      <c r="A143" s="8" t="s">
        <v>152</v>
      </c>
      <c r="B143" s="9">
        <v>5040</v>
      </c>
      <c r="C143" s="53">
        <v>91</v>
      </c>
      <c r="D143" s="53">
        <v>90</v>
      </c>
      <c r="E143" s="53">
        <v>91</v>
      </c>
      <c r="F143" s="53">
        <v>91</v>
      </c>
      <c r="G143" s="53">
        <v>91</v>
      </c>
      <c r="H143" s="53">
        <v>86</v>
      </c>
      <c r="O143" s="70"/>
      <c r="P143" s="54"/>
      <c r="Q143" s="54"/>
      <c r="R143" s="54"/>
    </row>
    <row r="144" spans="1:18" x14ac:dyDescent="0.25">
      <c r="A144" s="8" t="s">
        <v>153</v>
      </c>
      <c r="B144" s="9">
        <v>5050</v>
      </c>
      <c r="C144" s="53">
        <v>14</v>
      </c>
      <c r="D144" s="53">
        <v>14</v>
      </c>
      <c r="E144" s="53">
        <v>14</v>
      </c>
      <c r="F144" s="53">
        <v>14</v>
      </c>
      <c r="G144" s="53">
        <v>14</v>
      </c>
      <c r="H144" s="53">
        <v>12</v>
      </c>
      <c r="O144" s="70"/>
      <c r="P144" s="54"/>
      <c r="Q144" s="54"/>
      <c r="R144" s="54"/>
    </row>
    <row r="145" spans="1:20" x14ac:dyDescent="0.25">
      <c r="A145" s="8" t="s">
        <v>154</v>
      </c>
      <c r="B145" s="9">
        <v>5060</v>
      </c>
      <c r="C145" s="53">
        <v>17</v>
      </c>
      <c r="D145" s="53">
        <v>17</v>
      </c>
      <c r="E145" s="53">
        <v>17</v>
      </c>
      <c r="F145" s="53">
        <v>17</v>
      </c>
      <c r="G145" s="53">
        <v>16</v>
      </c>
      <c r="H145" s="53">
        <v>17</v>
      </c>
      <c r="I145" s="43" t="e">
        <f>#REF!+#REF!+F103+#REF!+F92</f>
        <v>#REF!</v>
      </c>
      <c r="K145" s="43">
        <v>20781.599999999999</v>
      </c>
      <c r="L145" s="43">
        <f>K145-F146</f>
        <v>3706.0999999999985</v>
      </c>
      <c r="M145" s="1">
        <v>106.1</v>
      </c>
      <c r="O145" s="70"/>
      <c r="P145" s="54"/>
      <c r="Q145" s="54"/>
      <c r="R145" s="54"/>
    </row>
    <row r="146" spans="1:20" x14ac:dyDescent="0.25">
      <c r="A146" s="90" t="s">
        <v>134</v>
      </c>
      <c r="B146" s="9">
        <v>5100</v>
      </c>
      <c r="C146" s="15">
        <f>SUM(C147:C152)</f>
        <v>68343.899999999994</v>
      </c>
      <c r="D146" s="15">
        <f>E146+F146+G146+H146</f>
        <v>67123.900000000009</v>
      </c>
      <c r="E146" s="15">
        <f>SUM(E147:E152)</f>
        <v>16728.100000000002</v>
      </c>
      <c r="F146" s="15">
        <f>SUM(F147:F152)</f>
        <v>17075.5</v>
      </c>
      <c r="G146" s="15">
        <f>SUM(G147:G152)</f>
        <v>17863.3</v>
      </c>
      <c r="H146" s="15">
        <f>SUM(H147:H152)</f>
        <v>15456.999999999998</v>
      </c>
      <c r="O146" s="55"/>
      <c r="P146" s="55"/>
      <c r="Q146" s="55"/>
      <c r="R146" s="55"/>
      <c r="S146" s="55"/>
      <c r="T146" s="55">
        <f t="shared" ref="T146" si="26">J146-J99-J75-J76-J88-J89</f>
        <v>0</v>
      </c>
    </row>
    <row r="147" spans="1:20" x14ac:dyDescent="0.25">
      <c r="A147" s="8" t="s">
        <v>132</v>
      </c>
      <c r="B147" s="9">
        <v>5110</v>
      </c>
      <c r="C147" s="71">
        <v>641.1</v>
      </c>
      <c r="D147" s="71">
        <f>E147+F147+G147+H147</f>
        <v>775.30000000000007</v>
      </c>
      <c r="E147" s="71">
        <v>137.4</v>
      </c>
      <c r="F147" s="71">
        <v>228.9</v>
      </c>
      <c r="G147" s="71">
        <v>137.4</v>
      </c>
      <c r="H147" s="71">
        <v>271.60000000000002</v>
      </c>
      <c r="I147" s="1">
        <v>904.02</v>
      </c>
      <c r="O147" s="44"/>
      <c r="P147" s="44"/>
      <c r="Q147" s="44"/>
    </row>
    <row r="148" spans="1:20" x14ac:dyDescent="0.25">
      <c r="A148" s="8" t="s">
        <v>133</v>
      </c>
      <c r="B148" s="9">
        <v>5120</v>
      </c>
      <c r="C148" s="71">
        <v>11294.8</v>
      </c>
      <c r="D148" s="71">
        <f t="shared" ref="D148:D159" si="27">E148+F148+G148+H148</f>
        <v>11160.6</v>
      </c>
      <c r="E148" s="71">
        <f>2681+91.1</f>
        <v>2772.1</v>
      </c>
      <c r="F148" s="71">
        <v>2912.9</v>
      </c>
      <c r="G148" s="71">
        <v>2830</v>
      </c>
      <c r="H148" s="71">
        <f>2870.9-91.1-134.2</f>
        <v>2645.6000000000004</v>
      </c>
      <c r="I148" s="1">
        <v>8753.4390000000003</v>
      </c>
    </row>
    <row r="149" spans="1:20" x14ac:dyDescent="0.25">
      <c r="A149" s="8" t="s">
        <v>151</v>
      </c>
      <c r="B149" s="9">
        <v>5130</v>
      </c>
      <c r="C149" s="71">
        <v>24822.799999999999</v>
      </c>
      <c r="D149" s="71">
        <f t="shared" si="27"/>
        <v>24822.799999999999</v>
      </c>
      <c r="E149" s="71">
        <v>6156.2</v>
      </c>
      <c r="F149" s="71">
        <v>6276.2</v>
      </c>
      <c r="G149" s="71">
        <v>6710.9</v>
      </c>
      <c r="H149" s="71">
        <v>5679.5</v>
      </c>
      <c r="I149" s="1">
        <v>26845.075199999999</v>
      </c>
    </row>
    <row r="150" spans="1:20" ht="37.5" x14ac:dyDescent="0.25">
      <c r="A150" s="8" t="s">
        <v>152</v>
      </c>
      <c r="B150" s="9">
        <v>5140</v>
      </c>
      <c r="C150" s="71">
        <v>25586.7</v>
      </c>
      <c r="D150" s="71">
        <f t="shared" si="27"/>
        <v>23944.1</v>
      </c>
      <c r="E150" s="71">
        <v>6147.9</v>
      </c>
      <c r="F150" s="71">
        <v>6210</v>
      </c>
      <c r="G150" s="71">
        <v>6638.1</v>
      </c>
      <c r="H150" s="71">
        <f>4813.9+134.2</f>
        <v>4948.0999999999995</v>
      </c>
      <c r="I150" s="1">
        <v>25942.934000000001</v>
      </c>
    </row>
    <row r="151" spans="1:20" x14ac:dyDescent="0.25">
      <c r="A151" s="8" t="s">
        <v>153</v>
      </c>
      <c r="B151" s="9">
        <v>5150</v>
      </c>
      <c r="C151" s="71">
        <v>2878.8</v>
      </c>
      <c r="D151" s="71">
        <f t="shared" si="27"/>
        <v>2878.8</v>
      </c>
      <c r="E151" s="71">
        <v>696.7</v>
      </c>
      <c r="F151" s="71">
        <v>695</v>
      </c>
      <c r="G151" s="71">
        <v>742.7</v>
      </c>
      <c r="H151" s="71">
        <v>744.4</v>
      </c>
      <c r="I151" s="1">
        <v>3227.0219999999999</v>
      </c>
    </row>
    <row r="152" spans="1:20" x14ac:dyDescent="0.25">
      <c r="A152" s="8" t="s">
        <v>154</v>
      </c>
      <c r="B152" s="9">
        <v>5160</v>
      </c>
      <c r="C152" s="71">
        <v>3119.7</v>
      </c>
      <c r="D152" s="71">
        <f t="shared" si="27"/>
        <v>3542.3</v>
      </c>
      <c r="E152" s="71">
        <f>759.3+58.5</f>
        <v>817.8</v>
      </c>
      <c r="F152" s="71">
        <v>752.5</v>
      </c>
      <c r="G152" s="71">
        <v>804.2</v>
      </c>
      <c r="H152" s="71">
        <v>1167.8</v>
      </c>
      <c r="I152" s="43">
        <v>4136.5685999999996</v>
      </c>
    </row>
    <row r="153" spans="1:20" ht="37.5" x14ac:dyDescent="0.25">
      <c r="A153" s="90" t="s">
        <v>135</v>
      </c>
      <c r="B153" s="9">
        <v>5200</v>
      </c>
      <c r="C153" s="15">
        <f>SUM(C154:C159)</f>
        <v>56019.7</v>
      </c>
      <c r="D153" s="15">
        <f t="shared" si="27"/>
        <v>55019.7</v>
      </c>
      <c r="E153" s="15">
        <f>SUM(E154:E159)</f>
        <v>13711.6</v>
      </c>
      <c r="F153" s="15">
        <f>SUM(F154:F159)</f>
        <v>13996.3</v>
      </c>
      <c r="G153" s="15">
        <f>SUM(G154:G159)</f>
        <v>14642.1</v>
      </c>
      <c r="H153" s="15">
        <f>SUM(H154:H159)</f>
        <v>12669.7</v>
      </c>
      <c r="I153" s="13">
        <v>231.4</v>
      </c>
      <c r="O153" s="55"/>
      <c r="P153" s="55"/>
    </row>
    <row r="154" spans="1:20" x14ac:dyDescent="0.3">
      <c r="A154" s="8" t="s">
        <v>132</v>
      </c>
      <c r="B154" s="9">
        <v>5210</v>
      </c>
      <c r="C154" s="72">
        <v>525.4</v>
      </c>
      <c r="D154" s="73">
        <f t="shared" si="27"/>
        <v>635.4</v>
      </c>
      <c r="E154" s="69">
        <v>112.6</v>
      </c>
      <c r="F154" s="69">
        <v>187.6</v>
      </c>
      <c r="G154" s="69">
        <v>112.6</v>
      </c>
      <c r="H154" s="69">
        <f>112.6+110</f>
        <v>222.6</v>
      </c>
      <c r="I154" s="56">
        <v>741</v>
      </c>
    </row>
    <row r="155" spans="1:20" x14ac:dyDescent="0.3">
      <c r="A155" s="8" t="s">
        <v>133</v>
      </c>
      <c r="B155" s="9">
        <v>5220</v>
      </c>
      <c r="C155" s="72">
        <v>9258</v>
      </c>
      <c r="D155" s="73">
        <f t="shared" si="27"/>
        <v>9148</v>
      </c>
      <c r="E155" s="69">
        <f>2197.5+74.7</f>
        <v>2272.1999999999998</v>
      </c>
      <c r="F155" s="69">
        <v>2387.6</v>
      </c>
      <c r="G155" s="69">
        <v>2319.6999999999998</v>
      </c>
      <c r="H155" s="69">
        <f>2353.2-74.7-110</f>
        <v>2168.5</v>
      </c>
      <c r="I155" s="56">
        <v>6977.5</v>
      </c>
      <c r="J155" s="43">
        <f>E156+E157+E158+E159</f>
        <v>11326.800000000001</v>
      </c>
    </row>
    <row r="156" spans="1:20" x14ac:dyDescent="0.3">
      <c r="A156" s="8" t="s">
        <v>151</v>
      </c>
      <c r="B156" s="9">
        <v>5230</v>
      </c>
      <c r="C156" s="72">
        <v>20346.5</v>
      </c>
      <c r="D156" s="73">
        <f>E156+F156+G156+H156</f>
        <v>20346.5</v>
      </c>
      <c r="E156" s="69">
        <v>5046.1000000000004</v>
      </c>
      <c r="F156" s="69">
        <v>5144.3999999999996</v>
      </c>
      <c r="G156" s="69">
        <v>5500.7</v>
      </c>
      <c r="H156" s="69">
        <f>4655.3</f>
        <v>4655.3</v>
      </c>
      <c r="I156" s="56">
        <v>21636</v>
      </c>
    </row>
    <row r="157" spans="1:20" ht="37.5" x14ac:dyDescent="0.3">
      <c r="A157" s="8" t="s">
        <v>152</v>
      </c>
      <c r="B157" s="9">
        <v>5240</v>
      </c>
      <c r="C157" s="72">
        <v>20972.799999999999</v>
      </c>
      <c r="D157" s="73">
        <f t="shared" si="27"/>
        <v>19626.5</v>
      </c>
      <c r="E157" s="69">
        <v>5039.3</v>
      </c>
      <c r="F157" s="69">
        <v>5090.2</v>
      </c>
      <c r="G157" s="69">
        <v>5441.1</v>
      </c>
      <c r="H157" s="69">
        <f>5402.2-110-346.3-1000+110</f>
        <v>4055.8999999999996</v>
      </c>
      <c r="I157" s="56">
        <v>21294.800000000003</v>
      </c>
    </row>
    <row r="158" spans="1:20" x14ac:dyDescent="0.3">
      <c r="A158" s="8" t="s">
        <v>153</v>
      </c>
      <c r="B158" s="9">
        <v>5250</v>
      </c>
      <c r="C158" s="72">
        <v>2359.8000000000002</v>
      </c>
      <c r="D158" s="73">
        <f t="shared" si="27"/>
        <v>2359.8000000000002</v>
      </c>
      <c r="E158" s="69">
        <v>571.1</v>
      </c>
      <c r="F158" s="69">
        <v>569.70000000000005</v>
      </c>
      <c r="G158" s="69">
        <v>608.79999999999995</v>
      </c>
      <c r="H158" s="69">
        <f>610.2</f>
        <v>610.20000000000005</v>
      </c>
      <c r="I158" s="56">
        <v>2284.7999999999997</v>
      </c>
    </row>
    <row r="159" spans="1:20" ht="18.75" customHeight="1" x14ac:dyDescent="0.3">
      <c r="A159" s="8" t="s">
        <v>154</v>
      </c>
      <c r="B159" s="9">
        <v>5260</v>
      </c>
      <c r="C159" s="72">
        <v>2557.1999999999998</v>
      </c>
      <c r="D159" s="73">
        <f t="shared" si="27"/>
        <v>2903.5</v>
      </c>
      <c r="E159" s="69">
        <f>622.4+47.9</f>
        <v>670.3</v>
      </c>
      <c r="F159" s="69">
        <v>616.79999999999995</v>
      </c>
      <c r="G159" s="69">
        <v>659.2</v>
      </c>
      <c r="H159" s="69">
        <f>658.8-47.9+346.3</f>
        <v>957.2</v>
      </c>
      <c r="I159" s="56">
        <v>3378.2</v>
      </c>
    </row>
    <row r="160" spans="1:20" ht="37.5" customHeight="1" x14ac:dyDescent="0.25">
      <c r="A160" s="57" t="s">
        <v>136</v>
      </c>
      <c r="B160" s="9">
        <v>5300</v>
      </c>
      <c r="C160" s="74">
        <f>C153/C139/12*1000</f>
        <v>22124.684044233807</v>
      </c>
      <c r="D160" s="74">
        <f>D153/D139/12*1000</f>
        <v>22043.149038461535</v>
      </c>
      <c r="E160" s="74">
        <f>E153/E139/3*1000</f>
        <v>21868.580542264754</v>
      </c>
      <c r="F160" s="74">
        <f>F153/F139/3*1000</f>
        <v>22111.058451816745</v>
      </c>
      <c r="G160" s="74">
        <f>G153/G139/3*1000</f>
        <v>23241.428571428572</v>
      </c>
      <c r="H160" s="74">
        <f>H153/H139/3*1000</f>
        <v>21437.732656514385</v>
      </c>
    </row>
    <row r="161" spans="1:8" x14ac:dyDescent="0.25">
      <c r="A161" s="8" t="s">
        <v>132</v>
      </c>
      <c r="B161" s="9">
        <v>5310</v>
      </c>
      <c r="C161" s="75">
        <f>ROUND(C154/C140*1000,2)/12</f>
        <v>43783.333333333336</v>
      </c>
      <c r="D161" s="75">
        <f t="shared" ref="C161:D166" si="28">ROUND(D154/D140*1000,2)/12</f>
        <v>52950</v>
      </c>
      <c r="E161" s="75">
        <f t="shared" ref="E161:H166" si="29">ROUND(E154/E140*1000,2)/3</f>
        <v>37533.333333333336</v>
      </c>
      <c r="F161" s="75">
        <f t="shared" si="29"/>
        <v>62533.333333333336</v>
      </c>
      <c r="G161" s="75">
        <f t="shared" si="29"/>
        <v>37533.333333333336</v>
      </c>
      <c r="H161" s="75">
        <f t="shared" si="29"/>
        <v>74200</v>
      </c>
    </row>
    <row r="162" spans="1:8" x14ac:dyDescent="0.25">
      <c r="A162" s="8" t="s">
        <v>133</v>
      </c>
      <c r="B162" s="9">
        <v>5320</v>
      </c>
      <c r="C162" s="75">
        <f t="shared" si="28"/>
        <v>35068.181666666664</v>
      </c>
      <c r="D162" s="75">
        <f t="shared" si="28"/>
        <v>34651.514999999999</v>
      </c>
      <c r="E162" s="75">
        <f t="shared" si="29"/>
        <v>34427.273333333338</v>
      </c>
      <c r="F162" s="75">
        <f t="shared" si="29"/>
        <v>36175.756666666668</v>
      </c>
      <c r="G162" s="75">
        <f t="shared" si="29"/>
        <v>35146.97</v>
      </c>
      <c r="H162" s="75">
        <f t="shared" si="29"/>
        <v>36141.666666666664</v>
      </c>
    </row>
    <row r="163" spans="1:8" x14ac:dyDescent="0.25">
      <c r="A163" s="8" t="s">
        <v>151</v>
      </c>
      <c r="B163" s="9">
        <v>5330</v>
      </c>
      <c r="C163" s="75">
        <f t="shared" si="28"/>
        <v>25690.024999999998</v>
      </c>
      <c r="D163" s="75">
        <f>ROUND(D156/D142*1000,2)/12</f>
        <v>26492.838333333333</v>
      </c>
      <c r="E163" s="75">
        <f t="shared" si="29"/>
        <v>26281.77</v>
      </c>
      <c r="F163" s="75">
        <f t="shared" si="29"/>
        <v>25981.816666666666</v>
      </c>
      <c r="G163" s="75">
        <f t="shared" si="29"/>
        <v>27781.313333333335</v>
      </c>
      <c r="H163" s="75">
        <f t="shared" si="29"/>
        <v>25438.796666666665</v>
      </c>
    </row>
    <row r="164" spans="1:8" ht="37.5" x14ac:dyDescent="0.25">
      <c r="A164" s="8" t="s">
        <v>152</v>
      </c>
      <c r="B164" s="9">
        <v>5340</v>
      </c>
      <c r="C164" s="75">
        <f t="shared" si="28"/>
        <v>19205.860833333332</v>
      </c>
      <c r="D164" s="75">
        <f t="shared" si="28"/>
        <v>18172.685000000001</v>
      </c>
      <c r="E164" s="75">
        <f t="shared" si="29"/>
        <v>18458.973333333332</v>
      </c>
      <c r="F164" s="75">
        <f t="shared" si="29"/>
        <v>18645.420000000002</v>
      </c>
      <c r="G164" s="75">
        <f t="shared" si="29"/>
        <v>19930.77</v>
      </c>
      <c r="H164" s="75">
        <f t="shared" si="29"/>
        <v>15720.543333333333</v>
      </c>
    </row>
    <row r="165" spans="1:8" x14ac:dyDescent="0.25">
      <c r="A165" s="8" t="s">
        <v>153</v>
      </c>
      <c r="B165" s="9">
        <v>5350</v>
      </c>
      <c r="C165" s="75">
        <f>ROUND(C158/C144*1000,2)/12</f>
        <v>14046.428333333335</v>
      </c>
      <c r="D165" s="75">
        <f t="shared" si="28"/>
        <v>14046.428333333335</v>
      </c>
      <c r="E165" s="75">
        <f t="shared" si="29"/>
        <v>13597.62</v>
      </c>
      <c r="F165" s="75">
        <f t="shared" si="29"/>
        <v>13564.286666666667</v>
      </c>
      <c r="G165" s="75">
        <f t="shared" si="29"/>
        <v>14495.236666666666</v>
      </c>
      <c r="H165" s="75">
        <f t="shared" si="29"/>
        <v>16950</v>
      </c>
    </row>
    <row r="166" spans="1:8" ht="22.5" customHeight="1" x14ac:dyDescent="0.25">
      <c r="A166" s="8" t="s">
        <v>154</v>
      </c>
      <c r="B166" s="9">
        <v>5360</v>
      </c>
      <c r="C166" s="75">
        <f t="shared" si="28"/>
        <v>12535.294166666667</v>
      </c>
      <c r="D166" s="75">
        <f t="shared" si="28"/>
        <v>14232.843333333332</v>
      </c>
      <c r="E166" s="75">
        <f t="shared" si="29"/>
        <v>13143.136666666667</v>
      </c>
      <c r="F166" s="75">
        <f t="shared" si="29"/>
        <v>12094.116666666667</v>
      </c>
      <c r="G166" s="75">
        <f t="shared" si="29"/>
        <v>13733.333333333334</v>
      </c>
      <c r="H166" s="75">
        <f t="shared" si="29"/>
        <v>18768.626666666667</v>
      </c>
    </row>
    <row r="167" spans="1:8" ht="40.700000000000003" customHeight="1" x14ac:dyDescent="0.25">
      <c r="A167" s="90" t="s">
        <v>137</v>
      </c>
      <c r="B167" s="9">
        <v>5400</v>
      </c>
      <c r="C167" s="15"/>
      <c r="D167" s="15"/>
      <c r="E167" s="15"/>
      <c r="F167" s="15"/>
      <c r="G167" s="15"/>
      <c r="H167" s="15"/>
    </row>
    <row r="168" spans="1:8" s="63" customFormat="1" ht="32.25" customHeight="1" x14ac:dyDescent="0.25">
      <c r="A168" s="58" t="s">
        <v>156</v>
      </c>
      <c r="B168" s="59"/>
      <c r="C168" s="60"/>
      <c r="D168" s="61"/>
      <c r="E168" s="62"/>
      <c r="F168" s="91" t="s">
        <v>157</v>
      </c>
      <c r="G168" s="91"/>
      <c r="H168" s="91"/>
    </row>
    <row r="169" spans="1:8" x14ac:dyDescent="0.25">
      <c r="A169" s="63" t="s">
        <v>141</v>
      </c>
      <c r="B169" s="63"/>
      <c r="C169" s="64" t="s">
        <v>138</v>
      </c>
      <c r="D169" s="65"/>
      <c r="E169" s="64"/>
      <c r="F169" s="92" t="s">
        <v>139</v>
      </c>
      <c r="G169" s="92"/>
      <c r="H169" s="92"/>
    </row>
    <row r="170" spans="1:8" x14ac:dyDescent="0.25">
      <c r="A170" s="66"/>
      <c r="C170" s="67"/>
      <c r="D170" s="67"/>
      <c r="E170" s="14"/>
      <c r="F170" s="14"/>
      <c r="G170" s="14"/>
      <c r="H170" s="14"/>
    </row>
    <row r="171" spans="1:8" x14ac:dyDescent="0.25">
      <c r="A171" s="66"/>
      <c r="C171" s="67"/>
      <c r="D171" s="67"/>
      <c r="E171" s="14"/>
      <c r="F171" s="14"/>
      <c r="G171" s="14"/>
      <c r="H171" s="14"/>
    </row>
    <row r="172" spans="1:8" x14ac:dyDescent="0.25">
      <c r="A172" s="66"/>
      <c r="C172" s="67"/>
      <c r="D172" s="67"/>
      <c r="E172" s="14"/>
      <c r="F172" s="14"/>
      <c r="G172" s="14"/>
      <c r="H172" s="14"/>
    </row>
    <row r="173" spans="1:8" x14ac:dyDescent="0.25">
      <c r="A173" s="66"/>
      <c r="C173" s="67"/>
      <c r="D173" s="67"/>
      <c r="E173" s="14"/>
      <c r="F173" s="14"/>
      <c r="G173" s="14"/>
      <c r="H173" s="14"/>
    </row>
    <row r="174" spans="1:8" x14ac:dyDescent="0.25">
      <c r="A174" s="66"/>
      <c r="C174" s="67"/>
      <c r="D174" s="67"/>
      <c r="E174" s="14"/>
      <c r="F174" s="14"/>
      <c r="G174" s="14"/>
      <c r="H174" s="14"/>
    </row>
    <row r="175" spans="1:8" x14ac:dyDescent="0.25">
      <c r="A175" s="66"/>
      <c r="C175" s="67"/>
      <c r="D175" s="67"/>
      <c r="E175" s="14"/>
      <c r="F175" s="14"/>
      <c r="G175" s="14"/>
      <c r="H175" s="14"/>
    </row>
    <row r="176" spans="1:8" x14ac:dyDescent="0.25">
      <c r="A176" s="66"/>
      <c r="C176" s="67"/>
      <c r="D176" s="67"/>
      <c r="E176" s="14"/>
      <c r="F176" s="14"/>
      <c r="G176" s="14"/>
      <c r="H176" s="14"/>
    </row>
    <row r="177" spans="1:8" x14ac:dyDescent="0.25">
      <c r="A177" s="66"/>
      <c r="C177" s="67"/>
      <c r="D177" s="67"/>
      <c r="E177" s="14"/>
      <c r="F177" s="14"/>
      <c r="G177" s="14"/>
      <c r="H177" s="14"/>
    </row>
    <row r="178" spans="1:8" x14ac:dyDescent="0.25">
      <c r="A178" s="66"/>
      <c r="C178" s="67"/>
      <c r="D178" s="67"/>
      <c r="E178" s="14"/>
      <c r="F178" s="14"/>
      <c r="G178" s="14"/>
      <c r="H178" s="14"/>
    </row>
    <row r="179" spans="1:8" x14ac:dyDescent="0.25">
      <c r="A179" s="66"/>
      <c r="C179" s="67"/>
      <c r="D179" s="67"/>
      <c r="E179" s="14"/>
      <c r="F179" s="14"/>
      <c r="G179" s="14"/>
      <c r="H179" s="14"/>
    </row>
    <row r="180" spans="1:8" x14ac:dyDescent="0.25">
      <c r="A180" s="66"/>
      <c r="C180" s="67"/>
      <c r="D180" s="67"/>
      <c r="E180" s="14"/>
      <c r="F180" s="14"/>
      <c r="G180" s="14"/>
      <c r="H180" s="14"/>
    </row>
    <row r="181" spans="1:8" x14ac:dyDescent="0.25">
      <c r="A181" s="66"/>
      <c r="C181" s="67"/>
      <c r="D181" s="67"/>
      <c r="E181" s="14"/>
      <c r="F181" s="14"/>
      <c r="G181" s="14"/>
      <c r="H181" s="14"/>
    </row>
    <row r="182" spans="1:8" x14ac:dyDescent="0.25">
      <c r="A182" s="66"/>
      <c r="C182" s="67"/>
      <c r="D182" s="67"/>
      <c r="E182" s="14"/>
      <c r="F182" s="14"/>
      <c r="G182" s="14"/>
      <c r="H182" s="14"/>
    </row>
    <row r="183" spans="1:8" x14ac:dyDescent="0.25">
      <c r="A183" s="66"/>
      <c r="C183" s="67"/>
      <c r="D183" s="67"/>
      <c r="E183" s="14"/>
      <c r="F183" s="14"/>
      <c r="G183" s="14"/>
      <c r="H183" s="14"/>
    </row>
    <row r="184" spans="1:8" x14ac:dyDescent="0.25">
      <c r="A184" s="66"/>
      <c r="C184" s="67"/>
      <c r="D184" s="67"/>
      <c r="E184" s="14"/>
      <c r="F184" s="14"/>
      <c r="G184" s="14"/>
      <c r="H184" s="14"/>
    </row>
    <row r="185" spans="1:8" x14ac:dyDescent="0.25">
      <c r="A185" s="66"/>
      <c r="C185" s="67"/>
      <c r="D185" s="67"/>
      <c r="E185" s="14"/>
      <c r="F185" s="14"/>
      <c r="G185" s="14"/>
      <c r="H185" s="14"/>
    </row>
    <row r="186" spans="1:8" x14ac:dyDescent="0.25">
      <c r="A186" s="66"/>
      <c r="C186" s="67"/>
      <c r="D186" s="67"/>
      <c r="E186" s="14"/>
      <c r="F186" s="14"/>
      <c r="G186" s="14"/>
      <c r="H186" s="14"/>
    </row>
    <row r="187" spans="1:8" x14ac:dyDescent="0.25">
      <c r="A187" s="66"/>
      <c r="C187" s="67"/>
      <c r="D187" s="67"/>
      <c r="E187" s="14"/>
      <c r="F187" s="14"/>
      <c r="G187" s="14"/>
      <c r="H187" s="14"/>
    </row>
    <row r="188" spans="1:8" x14ac:dyDescent="0.25">
      <c r="A188" s="66"/>
      <c r="C188" s="67"/>
      <c r="D188" s="67"/>
      <c r="E188" s="14"/>
      <c r="F188" s="14"/>
      <c r="G188" s="14"/>
      <c r="H188" s="14"/>
    </row>
    <row r="189" spans="1:8" x14ac:dyDescent="0.25">
      <c r="A189" s="66"/>
      <c r="C189" s="67"/>
      <c r="D189" s="67"/>
      <c r="E189" s="14"/>
      <c r="F189" s="14"/>
      <c r="G189" s="14"/>
      <c r="H189" s="14"/>
    </row>
    <row r="190" spans="1:8" x14ac:dyDescent="0.25">
      <c r="A190" s="66"/>
      <c r="C190" s="67"/>
      <c r="D190" s="67"/>
      <c r="E190" s="14"/>
      <c r="F190" s="14"/>
      <c r="G190" s="14"/>
      <c r="H190" s="14"/>
    </row>
    <row r="191" spans="1:8" x14ac:dyDescent="0.25">
      <c r="A191" s="66"/>
      <c r="C191" s="67"/>
      <c r="D191" s="67"/>
      <c r="E191" s="14"/>
      <c r="F191" s="14"/>
      <c r="G191" s="14"/>
      <c r="H191" s="14"/>
    </row>
    <row r="192" spans="1:8" x14ac:dyDescent="0.25">
      <c r="A192" s="66"/>
      <c r="C192" s="67"/>
      <c r="D192" s="67"/>
      <c r="E192" s="14"/>
      <c r="F192" s="14"/>
      <c r="G192" s="14"/>
      <c r="H192" s="14"/>
    </row>
    <row r="193" spans="1:8" x14ac:dyDescent="0.25">
      <c r="A193" s="66"/>
      <c r="C193" s="67"/>
      <c r="D193" s="67"/>
      <c r="E193" s="14"/>
      <c r="F193" s="14"/>
      <c r="G193" s="14"/>
      <c r="H193" s="14"/>
    </row>
    <row r="194" spans="1:8" x14ac:dyDescent="0.25">
      <c r="A194" s="66"/>
      <c r="C194" s="67"/>
      <c r="D194" s="67"/>
      <c r="E194" s="14"/>
      <c r="F194" s="14"/>
      <c r="G194" s="14"/>
      <c r="H194" s="14"/>
    </row>
    <row r="195" spans="1:8" x14ac:dyDescent="0.25">
      <c r="A195" s="66"/>
      <c r="C195" s="67"/>
      <c r="D195" s="67"/>
      <c r="E195" s="14"/>
      <c r="F195" s="14"/>
      <c r="G195" s="14"/>
      <c r="H195" s="14"/>
    </row>
    <row r="196" spans="1:8" x14ac:dyDescent="0.25">
      <c r="A196" s="66"/>
      <c r="C196" s="67"/>
      <c r="D196" s="67"/>
      <c r="E196" s="14"/>
      <c r="F196" s="14"/>
      <c r="G196" s="14"/>
      <c r="H196" s="14"/>
    </row>
    <row r="197" spans="1:8" x14ac:dyDescent="0.25">
      <c r="A197" s="66"/>
      <c r="C197" s="67"/>
      <c r="D197" s="67"/>
      <c r="E197" s="14"/>
      <c r="F197" s="14"/>
      <c r="G197" s="14"/>
      <c r="H197" s="14"/>
    </row>
    <row r="198" spans="1:8" x14ac:dyDescent="0.25">
      <c r="A198" s="66"/>
      <c r="C198" s="67"/>
      <c r="D198" s="67"/>
      <c r="E198" s="14"/>
      <c r="F198" s="14"/>
      <c r="G198" s="14"/>
      <c r="H198" s="14"/>
    </row>
    <row r="199" spans="1:8" x14ac:dyDescent="0.25">
      <c r="A199" s="66"/>
      <c r="C199" s="67"/>
      <c r="D199" s="67"/>
      <c r="E199" s="14"/>
      <c r="F199" s="14"/>
      <c r="G199" s="14"/>
      <c r="H199" s="14"/>
    </row>
    <row r="200" spans="1:8" x14ac:dyDescent="0.25">
      <c r="A200" s="66"/>
      <c r="C200" s="67"/>
      <c r="D200" s="67"/>
      <c r="E200" s="14"/>
      <c r="F200" s="14"/>
      <c r="G200" s="14"/>
      <c r="H200" s="14"/>
    </row>
    <row r="201" spans="1:8" x14ac:dyDescent="0.25">
      <c r="A201" s="66"/>
      <c r="C201" s="67"/>
      <c r="D201" s="67"/>
      <c r="E201" s="14"/>
      <c r="F201" s="14"/>
      <c r="G201" s="14"/>
      <c r="H201" s="14"/>
    </row>
    <row r="202" spans="1:8" x14ac:dyDescent="0.25">
      <c r="A202" s="66"/>
      <c r="C202" s="67"/>
      <c r="D202" s="67"/>
      <c r="E202" s="14"/>
      <c r="F202" s="14"/>
      <c r="G202" s="14"/>
      <c r="H202" s="14"/>
    </row>
    <row r="203" spans="1:8" x14ac:dyDescent="0.25">
      <c r="A203" s="66"/>
      <c r="C203" s="67"/>
      <c r="D203" s="67"/>
      <c r="E203" s="14"/>
      <c r="F203" s="14"/>
      <c r="G203" s="14"/>
      <c r="H203" s="14"/>
    </row>
    <row r="204" spans="1:8" x14ac:dyDescent="0.25">
      <c r="A204" s="66"/>
      <c r="C204" s="67"/>
      <c r="D204" s="67"/>
      <c r="E204" s="14"/>
      <c r="F204" s="14"/>
      <c r="G204" s="14"/>
      <c r="H204" s="14"/>
    </row>
    <row r="205" spans="1:8" x14ac:dyDescent="0.25">
      <c r="A205" s="66"/>
      <c r="C205" s="67"/>
      <c r="D205" s="67"/>
      <c r="E205" s="14"/>
      <c r="F205" s="14"/>
      <c r="G205" s="14"/>
      <c r="H205" s="14"/>
    </row>
    <row r="206" spans="1:8" x14ac:dyDescent="0.25">
      <c r="A206" s="66"/>
      <c r="C206" s="67"/>
      <c r="D206" s="67"/>
      <c r="E206" s="14"/>
      <c r="F206" s="14"/>
      <c r="G206" s="14"/>
      <c r="H206" s="14"/>
    </row>
    <row r="207" spans="1:8" x14ac:dyDescent="0.25">
      <c r="A207" s="66"/>
      <c r="C207" s="67"/>
      <c r="D207" s="67"/>
      <c r="E207" s="14"/>
      <c r="F207" s="14"/>
      <c r="G207" s="14"/>
      <c r="H207" s="14"/>
    </row>
    <row r="208" spans="1:8" x14ac:dyDescent="0.25">
      <c r="A208" s="66"/>
      <c r="C208" s="67"/>
      <c r="D208" s="67"/>
      <c r="E208" s="14"/>
      <c r="F208" s="14"/>
      <c r="G208" s="14"/>
      <c r="H208" s="14"/>
    </row>
    <row r="209" spans="1:8" x14ac:dyDescent="0.25">
      <c r="A209" s="66"/>
      <c r="C209" s="67"/>
      <c r="D209" s="67"/>
      <c r="E209" s="14"/>
      <c r="F209" s="14"/>
      <c r="G209" s="14"/>
      <c r="H209" s="14"/>
    </row>
    <row r="210" spans="1:8" x14ac:dyDescent="0.25">
      <c r="A210" s="66"/>
      <c r="C210" s="67"/>
      <c r="D210" s="67"/>
      <c r="E210" s="14"/>
      <c r="F210" s="14"/>
      <c r="G210" s="14"/>
      <c r="H210" s="14"/>
    </row>
    <row r="211" spans="1:8" x14ac:dyDescent="0.25">
      <c r="A211" s="68"/>
    </row>
    <row r="212" spans="1:8" x14ac:dyDescent="0.25">
      <c r="A212" s="68"/>
    </row>
    <row r="213" spans="1:8" x14ac:dyDescent="0.25">
      <c r="A213" s="68"/>
    </row>
    <row r="214" spans="1:8" x14ac:dyDescent="0.25">
      <c r="A214" s="68"/>
    </row>
    <row r="215" spans="1:8" x14ac:dyDescent="0.25">
      <c r="A215" s="68"/>
    </row>
    <row r="216" spans="1:8" x14ac:dyDescent="0.25">
      <c r="A216" s="68"/>
    </row>
    <row r="217" spans="1:8" x14ac:dyDescent="0.25">
      <c r="A217" s="68"/>
    </row>
    <row r="218" spans="1:8" x14ac:dyDescent="0.25">
      <c r="A218" s="68"/>
    </row>
    <row r="219" spans="1:8" x14ac:dyDescent="0.25">
      <c r="A219" s="68"/>
    </row>
    <row r="220" spans="1:8" x14ac:dyDescent="0.25">
      <c r="A220" s="68"/>
    </row>
    <row r="221" spans="1:8" x14ac:dyDescent="0.25">
      <c r="A221" s="68"/>
    </row>
    <row r="222" spans="1:8" x14ac:dyDescent="0.25">
      <c r="A222" s="68"/>
    </row>
    <row r="223" spans="1:8" x14ac:dyDescent="0.25">
      <c r="A223" s="68"/>
    </row>
    <row r="224" spans="1:8" x14ac:dyDescent="0.25">
      <c r="A224" s="68"/>
    </row>
    <row r="225" spans="1:1" x14ac:dyDescent="0.25">
      <c r="A225" s="68"/>
    </row>
    <row r="226" spans="1:1" x14ac:dyDescent="0.25">
      <c r="A226" s="68"/>
    </row>
    <row r="227" spans="1:1" x14ac:dyDescent="0.25">
      <c r="A227" s="68"/>
    </row>
    <row r="228" spans="1:1" x14ac:dyDescent="0.25">
      <c r="A228" s="68"/>
    </row>
    <row r="229" spans="1:1" x14ac:dyDescent="0.25">
      <c r="A229" s="68"/>
    </row>
    <row r="230" spans="1:1" x14ac:dyDescent="0.25">
      <c r="A230" s="68"/>
    </row>
    <row r="231" spans="1:1" x14ac:dyDescent="0.25">
      <c r="A231" s="68"/>
    </row>
    <row r="232" spans="1:1" x14ac:dyDescent="0.25">
      <c r="A232" s="68"/>
    </row>
    <row r="233" spans="1:1" x14ac:dyDescent="0.25">
      <c r="A233" s="68"/>
    </row>
    <row r="234" spans="1:1" x14ac:dyDescent="0.25">
      <c r="A234" s="68"/>
    </row>
    <row r="235" spans="1:1" x14ac:dyDescent="0.25">
      <c r="A235" s="68"/>
    </row>
    <row r="236" spans="1:1" x14ac:dyDescent="0.25">
      <c r="A236" s="68"/>
    </row>
    <row r="237" spans="1:1" x14ac:dyDescent="0.25">
      <c r="A237" s="68"/>
    </row>
    <row r="238" spans="1:1" x14ac:dyDescent="0.25">
      <c r="A238" s="68"/>
    </row>
    <row r="239" spans="1:1" x14ac:dyDescent="0.25">
      <c r="A239" s="68"/>
    </row>
    <row r="240" spans="1:1" x14ac:dyDescent="0.25">
      <c r="A240" s="68"/>
    </row>
    <row r="241" spans="1:1" x14ac:dyDescent="0.25">
      <c r="A241" s="68"/>
    </row>
    <row r="242" spans="1:1" x14ac:dyDescent="0.25">
      <c r="A242" s="68"/>
    </row>
    <row r="243" spans="1:1" x14ac:dyDescent="0.25">
      <c r="A243" s="68"/>
    </row>
    <row r="244" spans="1:1" x14ac:dyDescent="0.25">
      <c r="A244" s="68"/>
    </row>
    <row r="245" spans="1:1" x14ac:dyDescent="0.25">
      <c r="A245" s="68"/>
    </row>
    <row r="246" spans="1:1" x14ac:dyDescent="0.25">
      <c r="A246" s="68"/>
    </row>
    <row r="247" spans="1:1" x14ac:dyDescent="0.25">
      <c r="A247" s="68"/>
    </row>
    <row r="248" spans="1:1" x14ac:dyDescent="0.25">
      <c r="A248" s="68"/>
    </row>
    <row r="249" spans="1:1" x14ac:dyDescent="0.25">
      <c r="A249" s="68"/>
    </row>
    <row r="250" spans="1:1" x14ac:dyDescent="0.25">
      <c r="A250" s="68"/>
    </row>
    <row r="251" spans="1:1" x14ac:dyDescent="0.25">
      <c r="A251" s="68"/>
    </row>
    <row r="252" spans="1:1" x14ac:dyDescent="0.25">
      <c r="A252" s="68"/>
    </row>
    <row r="253" spans="1:1" x14ac:dyDescent="0.25">
      <c r="A253" s="68"/>
    </row>
    <row r="254" spans="1:1" x14ac:dyDescent="0.25">
      <c r="A254" s="68"/>
    </row>
    <row r="255" spans="1:1" x14ac:dyDescent="0.25">
      <c r="A255" s="68"/>
    </row>
    <row r="256" spans="1:1" x14ac:dyDescent="0.25">
      <c r="A256" s="68"/>
    </row>
    <row r="257" spans="1:1" x14ac:dyDescent="0.25">
      <c r="A257" s="68"/>
    </row>
    <row r="258" spans="1:1" x14ac:dyDescent="0.25">
      <c r="A258" s="68"/>
    </row>
    <row r="259" spans="1:1" x14ac:dyDescent="0.25">
      <c r="A259" s="68"/>
    </row>
    <row r="260" spans="1:1" x14ac:dyDescent="0.25">
      <c r="A260" s="68"/>
    </row>
    <row r="261" spans="1:1" x14ac:dyDescent="0.25">
      <c r="A261" s="68"/>
    </row>
    <row r="262" spans="1:1" x14ac:dyDescent="0.25">
      <c r="A262" s="68"/>
    </row>
    <row r="263" spans="1:1" x14ac:dyDescent="0.25">
      <c r="A263" s="68"/>
    </row>
    <row r="264" spans="1:1" x14ac:dyDescent="0.25">
      <c r="A264" s="68"/>
    </row>
    <row r="265" spans="1:1" x14ac:dyDescent="0.25">
      <c r="A265" s="68"/>
    </row>
    <row r="266" spans="1:1" x14ac:dyDescent="0.25">
      <c r="A266" s="68"/>
    </row>
    <row r="267" spans="1:1" x14ac:dyDescent="0.25">
      <c r="A267" s="68"/>
    </row>
    <row r="268" spans="1:1" x14ac:dyDescent="0.25">
      <c r="A268" s="68"/>
    </row>
    <row r="269" spans="1:1" x14ac:dyDescent="0.25">
      <c r="A269" s="68"/>
    </row>
    <row r="270" spans="1:1" x14ac:dyDescent="0.25">
      <c r="A270" s="68"/>
    </row>
    <row r="271" spans="1:1" x14ac:dyDescent="0.25">
      <c r="A271" s="68"/>
    </row>
    <row r="272" spans="1:1" x14ac:dyDescent="0.25">
      <c r="A272" s="68"/>
    </row>
    <row r="273" spans="1:1" x14ac:dyDescent="0.25">
      <c r="A273" s="68"/>
    </row>
    <row r="274" spans="1:1" x14ac:dyDescent="0.25">
      <c r="A274" s="68"/>
    </row>
    <row r="275" spans="1:1" x14ac:dyDescent="0.25">
      <c r="A275" s="68"/>
    </row>
    <row r="276" spans="1:1" x14ac:dyDescent="0.25">
      <c r="A276" s="68"/>
    </row>
    <row r="277" spans="1:1" x14ac:dyDescent="0.25">
      <c r="A277" s="68"/>
    </row>
    <row r="278" spans="1:1" x14ac:dyDescent="0.25">
      <c r="A278" s="68"/>
    </row>
    <row r="279" spans="1:1" x14ac:dyDescent="0.25">
      <c r="A279" s="68"/>
    </row>
    <row r="280" spans="1:1" x14ac:dyDescent="0.25">
      <c r="A280" s="68"/>
    </row>
    <row r="281" spans="1:1" x14ac:dyDescent="0.25">
      <c r="A281" s="68"/>
    </row>
    <row r="282" spans="1:1" x14ac:dyDescent="0.25">
      <c r="A282" s="68"/>
    </row>
    <row r="283" spans="1:1" x14ac:dyDescent="0.25">
      <c r="A283" s="68"/>
    </row>
    <row r="284" spans="1:1" x14ac:dyDescent="0.25">
      <c r="A284" s="68"/>
    </row>
    <row r="285" spans="1:1" x14ac:dyDescent="0.25">
      <c r="A285" s="68"/>
    </row>
    <row r="286" spans="1:1" x14ac:dyDescent="0.25">
      <c r="A286" s="68"/>
    </row>
    <row r="287" spans="1:1" x14ac:dyDescent="0.25">
      <c r="A287" s="68"/>
    </row>
    <row r="288" spans="1:1" x14ac:dyDescent="0.25">
      <c r="A288" s="68"/>
    </row>
    <row r="289" spans="1:1" x14ac:dyDescent="0.25">
      <c r="A289" s="68"/>
    </row>
    <row r="290" spans="1:1" x14ac:dyDescent="0.25">
      <c r="A290" s="68"/>
    </row>
    <row r="291" spans="1:1" x14ac:dyDescent="0.25">
      <c r="A291" s="68"/>
    </row>
    <row r="292" spans="1:1" x14ac:dyDescent="0.25">
      <c r="A292" s="68"/>
    </row>
    <row r="293" spans="1:1" x14ac:dyDescent="0.25">
      <c r="A293" s="68"/>
    </row>
    <row r="294" spans="1:1" x14ac:dyDescent="0.25">
      <c r="A294" s="68"/>
    </row>
    <row r="295" spans="1:1" x14ac:dyDescent="0.25">
      <c r="A295" s="68"/>
    </row>
    <row r="296" spans="1:1" x14ac:dyDescent="0.25">
      <c r="A296" s="68"/>
    </row>
    <row r="297" spans="1:1" x14ac:dyDescent="0.25">
      <c r="A297" s="68"/>
    </row>
    <row r="298" spans="1:1" x14ac:dyDescent="0.25">
      <c r="A298" s="68"/>
    </row>
    <row r="299" spans="1:1" x14ac:dyDescent="0.25">
      <c r="A299" s="68"/>
    </row>
    <row r="300" spans="1:1" x14ac:dyDescent="0.25">
      <c r="A300" s="68"/>
    </row>
    <row r="301" spans="1:1" x14ac:dyDescent="0.25">
      <c r="A301" s="68"/>
    </row>
    <row r="302" spans="1:1" x14ac:dyDescent="0.25">
      <c r="A302" s="68"/>
    </row>
    <row r="303" spans="1:1" x14ac:dyDescent="0.25">
      <c r="A303" s="68"/>
    </row>
    <row r="304" spans="1:1" x14ac:dyDescent="0.25">
      <c r="A304" s="68"/>
    </row>
    <row r="305" spans="1:1" x14ac:dyDescent="0.25">
      <c r="A305" s="68"/>
    </row>
    <row r="306" spans="1:1" x14ac:dyDescent="0.25">
      <c r="A306" s="68"/>
    </row>
    <row r="307" spans="1:1" x14ac:dyDescent="0.25">
      <c r="A307" s="68"/>
    </row>
    <row r="308" spans="1:1" x14ac:dyDescent="0.25">
      <c r="A308" s="68"/>
    </row>
    <row r="309" spans="1:1" x14ac:dyDescent="0.25">
      <c r="A309" s="68"/>
    </row>
    <row r="310" spans="1:1" x14ac:dyDescent="0.25">
      <c r="A310" s="68"/>
    </row>
    <row r="311" spans="1:1" x14ac:dyDescent="0.25">
      <c r="A311" s="68"/>
    </row>
    <row r="312" spans="1:1" x14ac:dyDescent="0.25">
      <c r="A312" s="68"/>
    </row>
    <row r="313" spans="1:1" x14ac:dyDescent="0.25">
      <c r="A313" s="68"/>
    </row>
    <row r="314" spans="1:1" x14ac:dyDescent="0.25">
      <c r="A314" s="68"/>
    </row>
    <row r="315" spans="1:1" x14ac:dyDescent="0.25">
      <c r="A315" s="68"/>
    </row>
    <row r="316" spans="1:1" x14ac:dyDescent="0.25">
      <c r="A316" s="68"/>
    </row>
    <row r="317" spans="1:1" x14ac:dyDescent="0.25">
      <c r="A317" s="68"/>
    </row>
    <row r="318" spans="1:1" x14ac:dyDescent="0.25">
      <c r="A318" s="68"/>
    </row>
    <row r="319" spans="1:1" x14ac:dyDescent="0.25">
      <c r="A319" s="68"/>
    </row>
    <row r="320" spans="1:1" x14ac:dyDescent="0.25">
      <c r="A320" s="68"/>
    </row>
    <row r="321" spans="1:1" x14ac:dyDescent="0.25">
      <c r="A321" s="68"/>
    </row>
    <row r="322" spans="1:1" x14ac:dyDescent="0.25">
      <c r="A322" s="68"/>
    </row>
    <row r="323" spans="1:1" x14ac:dyDescent="0.25">
      <c r="A323" s="68"/>
    </row>
    <row r="324" spans="1:1" x14ac:dyDescent="0.25">
      <c r="A324" s="68"/>
    </row>
    <row r="325" spans="1:1" x14ac:dyDescent="0.25">
      <c r="A325" s="68"/>
    </row>
    <row r="326" spans="1:1" x14ac:dyDescent="0.25">
      <c r="A326" s="68"/>
    </row>
    <row r="327" spans="1:1" x14ac:dyDescent="0.25">
      <c r="A327" s="68"/>
    </row>
    <row r="328" spans="1:1" x14ac:dyDescent="0.25">
      <c r="A328" s="68"/>
    </row>
    <row r="329" spans="1:1" x14ac:dyDescent="0.25">
      <c r="A329" s="68"/>
    </row>
    <row r="330" spans="1:1" x14ac:dyDescent="0.25">
      <c r="A330" s="68"/>
    </row>
    <row r="331" spans="1:1" x14ac:dyDescent="0.25">
      <c r="A331" s="68"/>
    </row>
    <row r="332" spans="1:1" x14ac:dyDescent="0.25">
      <c r="A332" s="68"/>
    </row>
    <row r="333" spans="1:1" x14ac:dyDescent="0.25">
      <c r="A333" s="68"/>
    </row>
    <row r="334" spans="1:1" x14ac:dyDescent="0.25">
      <c r="A334" s="68"/>
    </row>
    <row r="335" spans="1:1" x14ac:dyDescent="0.25">
      <c r="A335" s="68"/>
    </row>
    <row r="336" spans="1:1" x14ac:dyDescent="0.25">
      <c r="A336" s="68"/>
    </row>
    <row r="337" spans="1:1" x14ac:dyDescent="0.25">
      <c r="A337" s="68"/>
    </row>
    <row r="338" spans="1:1" x14ac:dyDescent="0.25">
      <c r="A338" s="68"/>
    </row>
    <row r="339" spans="1:1" x14ac:dyDescent="0.25">
      <c r="A339" s="68"/>
    </row>
    <row r="340" spans="1:1" x14ac:dyDescent="0.25">
      <c r="A340" s="68"/>
    </row>
    <row r="341" spans="1:1" x14ac:dyDescent="0.25">
      <c r="A341" s="68"/>
    </row>
    <row r="342" spans="1:1" x14ac:dyDescent="0.25">
      <c r="A342" s="68"/>
    </row>
    <row r="343" spans="1:1" x14ac:dyDescent="0.25">
      <c r="A343" s="68"/>
    </row>
    <row r="344" spans="1:1" x14ac:dyDescent="0.25">
      <c r="A344" s="68"/>
    </row>
    <row r="345" spans="1:1" x14ac:dyDescent="0.25">
      <c r="A345" s="68"/>
    </row>
    <row r="346" spans="1:1" x14ac:dyDescent="0.25">
      <c r="A346" s="68"/>
    </row>
    <row r="347" spans="1:1" x14ac:dyDescent="0.25">
      <c r="A347" s="68"/>
    </row>
    <row r="348" spans="1:1" x14ac:dyDescent="0.25">
      <c r="A348" s="68"/>
    </row>
    <row r="349" spans="1:1" x14ac:dyDescent="0.25">
      <c r="A349" s="68"/>
    </row>
    <row r="350" spans="1:1" x14ac:dyDescent="0.25">
      <c r="A350" s="68"/>
    </row>
    <row r="351" spans="1:1" x14ac:dyDescent="0.25">
      <c r="A351" s="68"/>
    </row>
    <row r="352" spans="1:1" x14ac:dyDescent="0.25">
      <c r="A352" s="68"/>
    </row>
    <row r="353" spans="1:1" x14ac:dyDescent="0.25">
      <c r="A353" s="68"/>
    </row>
    <row r="354" spans="1:1" x14ac:dyDescent="0.25">
      <c r="A354" s="68"/>
    </row>
    <row r="355" spans="1:1" x14ac:dyDescent="0.25">
      <c r="A355" s="68"/>
    </row>
    <row r="356" spans="1:1" x14ac:dyDescent="0.25">
      <c r="A356" s="68"/>
    </row>
    <row r="357" spans="1:1" x14ac:dyDescent="0.25">
      <c r="A357" s="68"/>
    </row>
    <row r="358" spans="1:1" x14ac:dyDescent="0.25">
      <c r="A358" s="68"/>
    </row>
    <row r="359" spans="1:1" x14ac:dyDescent="0.25">
      <c r="A359" s="68"/>
    </row>
    <row r="360" spans="1:1" x14ac:dyDescent="0.25">
      <c r="A360" s="68"/>
    </row>
    <row r="361" spans="1:1" x14ac:dyDescent="0.25">
      <c r="A361" s="68"/>
    </row>
    <row r="362" spans="1:1" x14ac:dyDescent="0.25">
      <c r="A362" s="68"/>
    </row>
    <row r="363" spans="1:1" x14ac:dyDescent="0.25">
      <c r="A363" s="68"/>
    </row>
    <row r="364" spans="1:1" x14ac:dyDescent="0.25">
      <c r="A364" s="68"/>
    </row>
    <row r="365" spans="1:1" x14ac:dyDescent="0.25">
      <c r="A365" s="68"/>
    </row>
    <row r="366" spans="1:1" x14ac:dyDescent="0.25">
      <c r="A366" s="68"/>
    </row>
    <row r="367" spans="1:1" x14ac:dyDescent="0.25">
      <c r="A367" s="68"/>
    </row>
    <row r="368" spans="1:1" x14ac:dyDescent="0.25">
      <c r="A368" s="68"/>
    </row>
    <row r="369" spans="1:1" x14ac:dyDescent="0.25">
      <c r="A369" s="68"/>
    </row>
    <row r="370" spans="1:1" x14ac:dyDescent="0.25">
      <c r="A370" s="68"/>
    </row>
    <row r="371" spans="1:1" x14ac:dyDescent="0.25">
      <c r="A371" s="68"/>
    </row>
    <row r="372" spans="1:1" x14ac:dyDescent="0.25">
      <c r="A372" s="68"/>
    </row>
    <row r="373" spans="1:1" x14ac:dyDescent="0.25">
      <c r="A373" s="68"/>
    </row>
    <row r="374" spans="1:1" x14ac:dyDescent="0.25">
      <c r="A374" s="68"/>
    </row>
    <row r="375" spans="1:1" x14ac:dyDescent="0.25">
      <c r="A375" s="68"/>
    </row>
    <row r="376" spans="1:1" x14ac:dyDescent="0.25">
      <c r="A376" s="68"/>
    </row>
    <row r="377" spans="1:1" x14ac:dyDescent="0.25">
      <c r="A377" s="68"/>
    </row>
  </sheetData>
  <mergeCells count="41">
    <mergeCell ref="F6:H6"/>
    <mergeCell ref="F13:H13"/>
    <mergeCell ref="G30:H30"/>
    <mergeCell ref="B32:C32"/>
    <mergeCell ref="G32:H32"/>
    <mergeCell ref="F2:H2"/>
    <mergeCell ref="F3:H3"/>
    <mergeCell ref="F1:H1"/>
    <mergeCell ref="B33:E33"/>
    <mergeCell ref="H33:I33"/>
    <mergeCell ref="B34:E34"/>
    <mergeCell ref="H34:I34"/>
    <mergeCell ref="B35:E35"/>
    <mergeCell ref="H35:I35"/>
    <mergeCell ref="B42:E42"/>
    <mergeCell ref="B36:E36"/>
    <mergeCell ref="H36:I36"/>
    <mergeCell ref="B37:E37"/>
    <mergeCell ref="H37:I37"/>
    <mergeCell ref="B38:E38"/>
    <mergeCell ref="H38:I38"/>
    <mergeCell ref="B39:C39"/>
    <mergeCell ref="F39:H39"/>
    <mergeCell ref="B40:E40"/>
    <mergeCell ref="F40:H40"/>
    <mergeCell ref="B41:I41"/>
    <mergeCell ref="B43:E43"/>
    <mergeCell ref="A46:H46"/>
    <mergeCell ref="A49:A50"/>
    <mergeCell ref="B49:B50"/>
    <mergeCell ref="C49:C50"/>
    <mergeCell ref="D49:D50"/>
    <mergeCell ref="E49:H49"/>
    <mergeCell ref="F168:H168"/>
    <mergeCell ref="F169:H169"/>
    <mergeCell ref="A52:H52"/>
    <mergeCell ref="A53:H53"/>
    <mergeCell ref="A110:H110"/>
    <mergeCell ref="A120:H120"/>
    <mergeCell ref="A127:H127"/>
    <mergeCell ref="A138:H138"/>
  </mergeCells>
  <printOptions horizontalCentered="1"/>
  <pageMargins left="1.1811023622047245" right="0.59055118110236227" top="0.78740157480314965" bottom="0.78740157480314965" header="0.39370078740157483" footer="0.39370078740157483"/>
  <pageSetup paperSize="9" scale="48" fitToHeight="0" orientation="portrait" r:id="rId1"/>
  <rowBreaks count="2" manualBreakCount="2">
    <brk id="66" max="13" man="1"/>
    <brk id="10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 (2)</vt:lpstr>
      <vt:lpstr>'ФІНПЛАН (2)'!Заголовки_для_печати</vt:lpstr>
      <vt:lpstr>'ФІНПЛАН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Tatiana</cp:lastModifiedBy>
  <cp:lastPrinted>2024-11-14T12:43:09Z</cp:lastPrinted>
  <dcterms:created xsi:type="dcterms:W3CDTF">2015-06-05T18:19:34Z</dcterms:created>
  <dcterms:modified xsi:type="dcterms:W3CDTF">2025-01-14T14:03:55Z</dcterms:modified>
</cp:coreProperties>
</file>