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І кв\доопрацьовані\з номерами\Дитяча лік\"/>
    </mc:Choice>
  </mc:AlternateContent>
  <bookViews>
    <workbookView xWindow="0" yWindow="0" windowWidth="28770" windowHeight="11070" firstSheet="2" activeTab="2"/>
  </bookViews>
  <sheets>
    <sheet name="Фінплан 9 міс уоз _x000a_" sheetId="1" state="hidden" r:id="rId1"/>
    <sheet name="Фінплан 9 міс розгорнутий_x000a_ (2)" sheetId="5" state="hidden" r:id="rId2"/>
    <sheet name="Фінплан 2025_x000a_ (3)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localSheetId="2" hidden="1">[1]GDP!#REF!</definedName>
    <definedName name="__123Graph_XGRAPH3" localSheetId="1" hidden="1">[1]GDP!#REF!</definedName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2">#REF!</definedName>
    <definedName name="BuiltIn_Print_Area___1___1" localSheetId="1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2">#REF!</definedName>
    <definedName name="Cost_Category_National_ID" localSheetId="1">#REF!</definedName>
    <definedName name="Cost_Category_National_ID">#REF!</definedName>
    <definedName name="Cе511" localSheetId="2">#REF!</definedName>
    <definedName name="Cе511" localSheetId="1">#REF!</definedName>
    <definedName name="Cе511">#REF!</definedName>
    <definedName name="d">'[9]МТР Газ України'!$B$4</definedName>
    <definedName name="dCPIb" localSheetId="2">[10]попер_роз!#REF!</definedName>
    <definedName name="dCPIb" localSheetId="1">[10]попер_роз!#REF!</definedName>
    <definedName name="dCPIb">[10]попер_роз!#REF!</definedName>
    <definedName name="dPPIb" localSheetId="2">[10]попер_роз!#REF!</definedName>
    <definedName name="dPPIb" localSheetId="1">[10]попер_роз!#REF!</definedName>
    <definedName name="dPPIb">[10]попер_роз!#REF!</definedName>
    <definedName name="ds" localSheetId="2">'[11]7  Інші витрати'!#REF!</definedName>
    <definedName name="ds" localSheetId="1">'[11]7  Інші витрати'!#REF!</definedName>
    <definedName name="ds">'[11]7  Інші витрати'!#REF!</definedName>
    <definedName name="Fact_Type_ID" localSheetId="2">#REF!</definedName>
    <definedName name="Fact_Type_ID" localSheetId="1">#REF!</definedName>
    <definedName name="Fact_Type_ID">#REF!</definedName>
    <definedName name="G">'[12]МТР Газ України'!$B$1</definedName>
    <definedName name="ij1sssss" localSheetId="2">'[13]7  Інші витрати'!#REF!</definedName>
    <definedName name="ij1sssss" localSheetId="1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2">'[17]7  Інші витрати'!#REF!</definedName>
    <definedName name="Load_ID_10" localSheetId="1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2">[14]!ShowFil</definedName>
    <definedName name="ShowFil" localSheetId="1">[14]!ShowFil</definedName>
    <definedName name="ShowFil">[14]!ShowFil</definedName>
    <definedName name="SU_ID" localSheetId="2">#REF!</definedName>
    <definedName name="SU_ID" localSheetId="1">#REF!</definedName>
    <definedName name="SU_ID">#REF!</definedName>
    <definedName name="Time_ID">'[16]МТР Газ України'!$B$1</definedName>
    <definedName name="Time_ID_10" localSheetId="2">'[17]7  Інші витрати'!#REF!</definedName>
    <definedName name="Time_ID_10" localSheetId="1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2">'[17]7  Інші витрати'!#REF!</definedName>
    <definedName name="Time_ID0_10" localSheetId="1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2">#REF!</definedName>
    <definedName name="ttttttt" localSheetId="1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2">#REF!</definedName>
    <definedName name="yyyy" localSheetId="1">#REF!</definedName>
    <definedName name="yyyy">#REF!</definedName>
    <definedName name="zx">'[4]МТР Газ України'!$F$1</definedName>
    <definedName name="zxc">[5]Inform!$E$38</definedName>
    <definedName name="а" localSheetId="2">'[13]7  Інші витрати'!#REF!</definedName>
    <definedName name="а" localSheetId="1">'[13]7  Інші витрати'!#REF!</definedName>
    <definedName name="а">'[13]7  Інші витрати'!#REF!</definedName>
    <definedName name="ав" localSheetId="2">#REF!</definedName>
    <definedName name="ав" localSheetId="1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2">'[27]БАЗА  '!#REF!</definedName>
    <definedName name="ватт" localSheetId="1">'[27]БАЗА  '!#REF!</definedName>
    <definedName name="ватт">'[27]БАЗА  '!#REF!</definedName>
    <definedName name="Д">'[15]МТР Газ України'!$B$4</definedName>
    <definedName name="е" localSheetId="2">#REF!</definedName>
    <definedName name="е" localSheetId="1">#REF!</definedName>
    <definedName name="е">#REF!</definedName>
    <definedName name="є" localSheetId="2">#REF!</definedName>
    <definedName name="є" localSheetId="1">#REF!</definedName>
    <definedName name="є">#REF!</definedName>
    <definedName name="_xlnm.Print_Titles" localSheetId="2">'Фінплан 2025
 (3)'!$48:$50</definedName>
    <definedName name="_xlnm.Print_Titles" localSheetId="1">'Фінплан 9 міс розгорнутий
 (2)'!$47:$49</definedName>
    <definedName name="_xlnm.Print_Titles" localSheetId="0">'Фінплан 9 міс уоз 
'!$47:$49</definedName>
    <definedName name="Заголовки_для_печати_МИ">'[28]1993'!$1:$3,'[28]1993'!$A:$A</definedName>
    <definedName name="йуц" localSheetId="2">#REF!</definedName>
    <definedName name="йуц" localSheetId="1">#REF!</definedName>
    <definedName name="йуц">#REF!</definedName>
    <definedName name="йцу" localSheetId="2">#REF!</definedName>
    <definedName name="йцу" localSheetId="1">#REF!</definedName>
    <definedName name="йцу">#REF!</definedName>
    <definedName name="йцуйй" localSheetId="2">#REF!</definedName>
    <definedName name="йцуйй" localSheetId="1">#REF!</definedName>
    <definedName name="йцуйй">#REF!</definedName>
    <definedName name="йцукц" localSheetId="2">'[29]7  Інші витрати'!#REF!</definedName>
    <definedName name="йцукц" localSheetId="1">'[29]7  Інші витрати'!#REF!</definedName>
    <definedName name="йцукц">'[29]7  Інші витрати'!#REF!</definedName>
    <definedName name="і">[30]Inform!$F$2</definedName>
    <definedName name="ів" localSheetId="2">#REF!</definedName>
    <definedName name="ів" localSheetId="1">#REF!</definedName>
    <definedName name="ів">#REF!</definedName>
    <definedName name="ів___0" localSheetId="2">#REF!</definedName>
    <definedName name="ів___0" localSheetId="1">#REF!</definedName>
    <definedName name="ів___0">#REF!</definedName>
    <definedName name="ів_22" localSheetId="2">#REF!</definedName>
    <definedName name="ів_22" localSheetId="1">#REF!</definedName>
    <definedName name="ів_22">#REF!</definedName>
    <definedName name="ів_26" localSheetId="2">#REF!</definedName>
    <definedName name="ів_26" localSheetId="1">#REF!</definedName>
    <definedName name="ів_26">#REF!</definedName>
    <definedName name="іваіа" localSheetId="2">'[29]7  Інші витрати'!#REF!</definedName>
    <definedName name="іваіа" localSheetId="1">'[29]7  Інші витрати'!#REF!</definedName>
    <definedName name="іваіа">'[29]7  Інші витрати'!#REF!</definedName>
    <definedName name="іваф" localSheetId="2">#REF!</definedName>
    <definedName name="іваф" localSheetId="1">#REF!</definedName>
    <definedName name="іваф">#REF!</definedName>
    <definedName name="івів">'[12]МТР Газ України'!$B$1</definedName>
    <definedName name="іцу">[23]Inform!$G$2</definedName>
    <definedName name="КЕ" localSheetId="2">#REF!</definedName>
    <definedName name="КЕ" localSheetId="1">#REF!</definedName>
    <definedName name="КЕ">#REF!</definedName>
    <definedName name="КЕ___0" localSheetId="2">#REF!</definedName>
    <definedName name="КЕ___0" localSheetId="1">#REF!</definedName>
    <definedName name="КЕ___0">#REF!</definedName>
    <definedName name="КЕ_22" localSheetId="2">#REF!</definedName>
    <definedName name="КЕ_22" localSheetId="1">#REF!</definedName>
    <definedName name="КЕ_22">#REF!</definedName>
    <definedName name="КЕ_26" localSheetId="2">#REF!</definedName>
    <definedName name="КЕ_26" localSheetId="1">#REF!</definedName>
    <definedName name="КЕ_26">#REF!</definedName>
    <definedName name="кен" localSheetId="2">#REF!</definedName>
    <definedName name="кен" localSheetId="1">#REF!</definedName>
    <definedName name="кен">#REF!</definedName>
    <definedName name="л" localSheetId="2">#REF!</definedName>
    <definedName name="л" localSheetId="1">#REF!</definedName>
    <definedName name="л">#REF!</definedName>
    <definedName name="_xlnm.Print_Area" localSheetId="2">'Фінплан 2025
 (3)'!$A$1:$H$168</definedName>
    <definedName name="_xlnm.Print_Area" localSheetId="1">'Фінплан 9 міс розгорнутий
 (2)'!$A$1:$J$185</definedName>
    <definedName name="_xlnm.Print_Area" localSheetId="0">'Фінплан 9 міс уоз 
'!$A$2:$J$185</definedName>
    <definedName name="п" localSheetId="2">'[13]7  Інші витрати'!#REF!</definedName>
    <definedName name="п" localSheetId="1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2">#REF!</definedName>
    <definedName name="План" localSheetId="1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2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2">#REF!</definedName>
    <definedName name="р" localSheetId="1">#REF!</definedName>
    <definedName name="р">#REF!</definedName>
    <definedName name="т">[32]Inform!$E$6</definedName>
    <definedName name="тариф">[33]Inform!$G$2</definedName>
    <definedName name="уйцукйцуйу" localSheetId="2">#REF!</definedName>
    <definedName name="уйцукйцуйу" localSheetId="1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2">'[29]7  Інші витрати'!#REF!</definedName>
    <definedName name="фіваіф" localSheetId="1">'[29]7  Інші витрати'!#REF!</definedName>
    <definedName name="фіваіф">'[29]7  Інші витрати'!#REF!</definedName>
    <definedName name="фф">'[26]МТР Газ України'!$F$1</definedName>
    <definedName name="ц" localSheetId="2">'[13]7  Інші витрати'!#REF!</definedName>
    <definedName name="ц" localSheetId="1">'[13]7  Інші витрати'!#REF!</definedName>
    <definedName name="ц">'[13]7  Інші витрати'!#REF!</definedName>
    <definedName name="ччч" localSheetId="2">'[35]БАЗА  '!#REF!</definedName>
    <definedName name="ччч" localSheetId="1">'[35]БАЗА  '!#REF!</definedName>
    <definedName name="ччч">'[35]БАЗА  '!#REF!</definedName>
    <definedName name="ш" localSheetId="2">#REF!</definedName>
    <definedName name="ш" localSheetId="1">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6" l="1"/>
  <c r="H115" i="6" l="1"/>
  <c r="H114" i="6"/>
  <c r="F114" i="6" s="1"/>
  <c r="H95" i="6"/>
  <c r="H59" i="6"/>
  <c r="H58" i="6"/>
  <c r="F56" i="6" l="1"/>
  <c r="E56" i="6"/>
  <c r="H78" i="6"/>
  <c r="C105" i="6" l="1"/>
  <c r="F88" i="6" l="1"/>
  <c r="F87" i="6"/>
  <c r="H88" i="6"/>
  <c r="H87" i="6"/>
  <c r="G88" i="6"/>
  <c r="G87" i="6"/>
  <c r="E88" i="6"/>
  <c r="E87" i="6"/>
  <c r="D131" i="6" l="1"/>
  <c r="G127" i="6"/>
  <c r="H127" i="6"/>
  <c r="F127" i="6"/>
  <c r="F130" i="6" s="1"/>
  <c r="F136" i="6" s="1"/>
  <c r="E127" i="6"/>
  <c r="C56" i="6" l="1"/>
  <c r="H56" i="6"/>
  <c r="D57" i="6"/>
  <c r="D58" i="6"/>
  <c r="D59" i="6"/>
  <c r="D60" i="6"/>
  <c r="D61" i="6"/>
  <c r="D62" i="6"/>
  <c r="D63" i="6"/>
  <c r="D64" i="6"/>
  <c r="D65" i="6"/>
  <c r="D67" i="6"/>
  <c r="D69" i="6"/>
  <c r="D71" i="6"/>
  <c r="D70" i="6" s="1"/>
  <c r="D77" i="6"/>
  <c r="D79" i="6"/>
  <c r="D81" i="6"/>
  <c r="D82" i="6"/>
  <c r="D83" i="6"/>
  <c r="D84" i="6"/>
  <c r="D85" i="6"/>
  <c r="D87" i="6"/>
  <c r="D88" i="6"/>
  <c r="D91" i="6"/>
  <c r="D93" i="6"/>
  <c r="D94" i="6"/>
  <c r="D95" i="6"/>
  <c r="D97" i="6"/>
  <c r="D99" i="6"/>
  <c r="D100" i="6"/>
  <c r="D101" i="6"/>
  <c r="D102" i="6"/>
  <c r="D103" i="6"/>
  <c r="D104" i="6"/>
  <c r="D106" i="6"/>
  <c r="D56" i="6" l="1"/>
  <c r="D66" i="6"/>
  <c r="C145" i="6"/>
  <c r="D146" i="6"/>
  <c r="H149" i="6" l="1"/>
  <c r="G149" i="6"/>
  <c r="G145" i="6" s="1"/>
  <c r="F149" i="6"/>
  <c r="F145" i="6" s="1"/>
  <c r="F156" i="6"/>
  <c r="G156" i="6"/>
  <c r="H155" i="6"/>
  <c r="H156" i="6"/>
  <c r="H157" i="6"/>
  <c r="G155" i="6"/>
  <c r="F155" i="6"/>
  <c r="E150" i="6"/>
  <c r="E147" i="6"/>
  <c r="E157" i="6"/>
  <c r="H75" i="6"/>
  <c r="H74" i="6"/>
  <c r="F75" i="6"/>
  <c r="G75" i="6"/>
  <c r="G74" i="6"/>
  <c r="F74" i="6"/>
  <c r="E75" i="6"/>
  <c r="E74" i="6"/>
  <c r="D74" i="6" l="1"/>
  <c r="D75" i="6"/>
  <c r="E145" i="6"/>
  <c r="C165" i="6" l="1"/>
  <c r="C164" i="6"/>
  <c r="C163" i="6"/>
  <c r="C162" i="6"/>
  <c r="C161" i="6"/>
  <c r="C160" i="6"/>
  <c r="C124" i="6"/>
  <c r="C96" i="6"/>
  <c r="C86" i="6"/>
  <c r="C125" i="6" l="1"/>
  <c r="C76" i="6"/>
  <c r="E70" i="6"/>
  <c r="F70" i="6"/>
  <c r="G70" i="6"/>
  <c r="H70" i="6"/>
  <c r="E66" i="6"/>
  <c r="F66" i="6"/>
  <c r="G66" i="6"/>
  <c r="H66" i="6"/>
  <c r="C53" i="6"/>
  <c r="C66" i="6"/>
  <c r="C70" i="6"/>
  <c r="F78" i="6"/>
  <c r="F92" i="6"/>
  <c r="D92" i="6" s="1"/>
  <c r="F90" i="6"/>
  <c r="C138" i="6"/>
  <c r="C152" i="6"/>
  <c r="C73" i="6" l="1"/>
  <c r="C107" i="6" s="1"/>
  <c r="D78" i="6"/>
  <c r="D76" i="6" s="1"/>
  <c r="D90" i="6"/>
  <c r="C159" i="6"/>
  <c r="C72" i="6"/>
  <c r="C108" i="6" s="1"/>
  <c r="C123" i="6" l="1"/>
  <c r="C122" i="6"/>
  <c r="C121" i="6"/>
  <c r="C120" i="6"/>
  <c r="D55" i="6"/>
  <c r="D80" i="6" l="1"/>
  <c r="F86" i="6"/>
  <c r="G76" i="6"/>
  <c r="H165" i="6"/>
  <c r="G165" i="6"/>
  <c r="F165" i="6"/>
  <c r="E165" i="6"/>
  <c r="H164" i="6"/>
  <c r="G164" i="6"/>
  <c r="F164" i="6"/>
  <c r="E164" i="6"/>
  <c r="H163" i="6"/>
  <c r="G163" i="6"/>
  <c r="F163" i="6"/>
  <c r="E163" i="6"/>
  <c r="H162" i="6"/>
  <c r="E162" i="6"/>
  <c r="H161" i="6"/>
  <c r="F161" i="6"/>
  <c r="E161" i="6"/>
  <c r="H160" i="6"/>
  <c r="G160" i="6"/>
  <c r="F160" i="6"/>
  <c r="E160" i="6"/>
  <c r="D158" i="6"/>
  <c r="D157" i="6"/>
  <c r="D156" i="6"/>
  <c r="G162" i="6"/>
  <c r="F162" i="6"/>
  <c r="D155" i="6"/>
  <c r="G161" i="6"/>
  <c r="D153" i="6"/>
  <c r="H152" i="6"/>
  <c r="F152" i="6"/>
  <c r="E152" i="6"/>
  <c r="D150" i="6"/>
  <c r="D149" i="6"/>
  <c r="D148" i="6"/>
  <c r="D147" i="6"/>
  <c r="H145" i="6"/>
  <c r="D144" i="6"/>
  <c r="D143" i="6"/>
  <c r="D142" i="6"/>
  <c r="D141" i="6"/>
  <c r="D140" i="6"/>
  <c r="D139" i="6"/>
  <c r="H138" i="6"/>
  <c r="G138" i="6"/>
  <c r="F138" i="6"/>
  <c r="E138" i="6"/>
  <c r="D135" i="6"/>
  <c r="D134" i="6"/>
  <c r="H133" i="6"/>
  <c r="D133" i="6" s="1"/>
  <c r="G133" i="6"/>
  <c r="E133" i="6"/>
  <c r="D132" i="6"/>
  <c r="H130" i="6"/>
  <c r="G130" i="6"/>
  <c r="E130" i="6"/>
  <c r="D129" i="6"/>
  <c r="D128" i="6"/>
  <c r="D127" i="6"/>
  <c r="H124" i="6"/>
  <c r="G124" i="6"/>
  <c r="F124" i="6"/>
  <c r="E124" i="6"/>
  <c r="D118" i="6"/>
  <c r="D117" i="6"/>
  <c r="D116" i="6"/>
  <c r="D115" i="6"/>
  <c r="D114" i="6"/>
  <c r="D113" i="6"/>
  <c r="E110" i="6"/>
  <c r="D112" i="6"/>
  <c r="D111" i="6"/>
  <c r="H110" i="6"/>
  <c r="G110" i="6"/>
  <c r="F110" i="6"/>
  <c r="F125" i="6" s="1"/>
  <c r="H105" i="6"/>
  <c r="G105" i="6"/>
  <c r="F105" i="6"/>
  <c r="E105" i="6"/>
  <c r="G98" i="6"/>
  <c r="D98" i="6" s="1"/>
  <c r="H96" i="6"/>
  <c r="F96" i="6"/>
  <c r="E96" i="6"/>
  <c r="G89" i="6"/>
  <c r="H86" i="6"/>
  <c r="E86" i="6"/>
  <c r="H76" i="6"/>
  <c r="H73" i="6" s="1"/>
  <c r="F76" i="6"/>
  <c r="E76" i="6"/>
  <c r="E73" i="6" s="1"/>
  <c r="D54" i="6"/>
  <c r="D53" i="6" s="1"/>
  <c r="D72" i="6" s="1"/>
  <c r="H53" i="6"/>
  <c r="H72" i="6" s="1"/>
  <c r="G53" i="6"/>
  <c r="G72" i="6" s="1"/>
  <c r="F53" i="6"/>
  <c r="F72" i="6" s="1"/>
  <c r="F120" i="6" s="1"/>
  <c r="E53" i="6"/>
  <c r="E72" i="6" s="1"/>
  <c r="H182" i="5"/>
  <c r="H177" i="5"/>
  <c r="H178" i="5"/>
  <c r="H179" i="5"/>
  <c r="H180" i="5"/>
  <c r="H181" i="5"/>
  <c r="E136" i="6" l="1"/>
  <c r="G136" i="6"/>
  <c r="D130" i="6"/>
  <c r="H136" i="6"/>
  <c r="D136" i="6" s="1"/>
  <c r="D89" i="6"/>
  <c r="D105" i="6"/>
  <c r="D145" i="6"/>
  <c r="G96" i="6"/>
  <c r="D96" i="6" s="1"/>
  <c r="E120" i="6"/>
  <c r="G86" i="6"/>
  <c r="D86" i="6" s="1"/>
  <c r="D124" i="6"/>
  <c r="D160" i="6"/>
  <c r="D162" i="6"/>
  <c r="F159" i="6"/>
  <c r="E159" i="6"/>
  <c r="D163" i="6"/>
  <c r="H159" i="6"/>
  <c r="D165" i="6"/>
  <c r="D164" i="6"/>
  <c r="D138" i="6"/>
  <c r="H107" i="6"/>
  <c r="H121" i="6" s="1"/>
  <c r="D110" i="6"/>
  <c r="D125" i="6" s="1"/>
  <c r="F73" i="6"/>
  <c r="G73" i="6"/>
  <c r="G152" i="6"/>
  <c r="D154" i="6"/>
  <c r="D161" i="6" s="1"/>
  <c r="G107" i="6" l="1"/>
  <c r="G121" i="6" s="1"/>
  <c r="D73" i="6"/>
  <c r="D120" i="6"/>
  <c r="H122" i="6"/>
  <c r="F107" i="6"/>
  <c r="F122" i="6" s="1"/>
  <c r="H123" i="6"/>
  <c r="H108" i="6"/>
  <c r="H120" i="6"/>
  <c r="G108" i="6"/>
  <c r="G120" i="6"/>
  <c r="G159" i="6"/>
  <c r="D152" i="6"/>
  <c r="E107" i="6"/>
  <c r="G122" i="6"/>
  <c r="G123" i="6"/>
  <c r="E108" i="6" l="1"/>
  <c r="D107" i="6"/>
  <c r="D108" i="6" s="1"/>
  <c r="F121" i="6"/>
  <c r="F108" i="6"/>
  <c r="D159" i="6"/>
  <c r="F123" i="6"/>
  <c r="E121" i="6"/>
  <c r="E123" i="6"/>
  <c r="E122" i="6"/>
  <c r="D123" i="6" l="1"/>
  <c r="D122" i="6"/>
  <c r="D121" i="6"/>
  <c r="H171" i="5" l="1"/>
  <c r="H172" i="5"/>
  <c r="H173" i="5"/>
  <c r="H174" i="5"/>
  <c r="H175" i="5"/>
  <c r="G77" i="5"/>
  <c r="H77" i="5"/>
  <c r="G90" i="5"/>
  <c r="H79" i="5"/>
  <c r="G79" i="5"/>
  <c r="F164" i="5" l="1"/>
  <c r="J90" i="5"/>
  <c r="J182" i="5"/>
  <c r="I182" i="5"/>
  <c r="G182" i="5"/>
  <c r="F182" i="5"/>
  <c r="E182" i="5"/>
  <c r="J181" i="5"/>
  <c r="I181" i="5"/>
  <c r="G181" i="5"/>
  <c r="F181" i="5"/>
  <c r="E181" i="5"/>
  <c r="J180" i="5"/>
  <c r="I180" i="5"/>
  <c r="G180" i="5"/>
  <c r="F180" i="5"/>
  <c r="E180" i="5"/>
  <c r="J179" i="5"/>
  <c r="I179" i="5"/>
  <c r="G179" i="5"/>
  <c r="F179" i="5"/>
  <c r="E179" i="5"/>
  <c r="J178" i="5"/>
  <c r="I178" i="5"/>
  <c r="G178" i="5"/>
  <c r="F178" i="5"/>
  <c r="E178" i="5"/>
  <c r="J177" i="5"/>
  <c r="I177" i="5"/>
  <c r="G177" i="5"/>
  <c r="F177" i="5"/>
  <c r="E177" i="5"/>
  <c r="D177" i="5"/>
  <c r="I176" i="5"/>
  <c r="E176" i="5"/>
  <c r="D175" i="5"/>
  <c r="D174" i="5"/>
  <c r="D173" i="5"/>
  <c r="D180" i="5" s="1"/>
  <c r="G172" i="5"/>
  <c r="F172" i="5"/>
  <c r="F169" i="5" s="1"/>
  <c r="F176" i="5" s="1"/>
  <c r="G171" i="5"/>
  <c r="D171" i="5"/>
  <c r="D178" i="5" s="1"/>
  <c r="H170" i="5"/>
  <c r="D170" i="5"/>
  <c r="J169" i="5"/>
  <c r="I169" i="5"/>
  <c r="G169" i="5"/>
  <c r="G176" i="5" s="1"/>
  <c r="E169" i="5"/>
  <c r="D168" i="5"/>
  <c r="C168" i="5"/>
  <c r="J164" i="5"/>
  <c r="J166" i="5" s="1"/>
  <c r="E164" i="5"/>
  <c r="G163" i="5"/>
  <c r="D163" i="5" s="1"/>
  <c r="H162" i="5"/>
  <c r="D162" i="5"/>
  <c r="J161" i="5"/>
  <c r="G161" i="5"/>
  <c r="F161" i="5"/>
  <c r="F157" i="5" s="1"/>
  <c r="D161" i="5"/>
  <c r="G160" i="5"/>
  <c r="H160" i="5" s="1"/>
  <c r="D160" i="5"/>
  <c r="J159" i="5"/>
  <c r="G159" i="5"/>
  <c r="H159" i="5" s="1"/>
  <c r="H158" i="5"/>
  <c r="D158" i="5"/>
  <c r="J157" i="5"/>
  <c r="I157" i="5"/>
  <c r="E157" i="5"/>
  <c r="E156" i="5"/>
  <c r="E151" i="5"/>
  <c r="H150" i="5"/>
  <c r="D150" i="5"/>
  <c r="D182" i="5" s="1"/>
  <c r="H149" i="5"/>
  <c r="D149" i="5"/>
  <c r="D181" i="5" s="1"/>
  <c r="H148" i="5"/>
  <c r="D148" i="5"/>
  <c r="H147" i="5"/>
  <c r="D147" i="5"/>
  <c r="H146" i="5"/>
  <c r="D146" i="5"/>
  <c r="H145" i="5"/>
  <c r="D145" i="5"/>
  <c r="D144" i="5" s="1"/>
  <c r="J144" i="5"/>
  <c r="J176" i="5" s="1"/>
  <c r="I144" i="5"/>
  <c r="H144" i="5"/>
  <c r="G144" i="5"/>
  <c r="F144" i="5"/>
  <c r="E144" i="5"/>
  <c r="D142" i="5"/>
  <c r="D141" i="5"/>
  <c r="D140" i="5"/>
  <c r="J139" i="5"/>
  <c r="I139" i="5"/>
  <c r="H139" i="5"/>
  <c r="G139" i="5"/>
  <c r="E139" i="5"/>
  <c r="D139" i="5"/>
  <c r="D138" i="5"/>
  <c r="D137" i="5"/>
  <c r="J136" i="5"/>
  <c r="I136" i="5"/>
  <c r="H136" i="5"/>
  <c r="G136" i="5"/>
  <c r="E136" i="5"/>
  <c r="D136" i="5"/>
  <c r="D135" i="5"/>
  <c r="D134" i="5"/>
  <c r="D133" i="5"/>
  <c r="I131" i="5"/>
  <c r="J130" i="5"/>
  <c r="G130" i="5"/>
  <c r="F130" i="5"/>
  <c r="E130" i="5"/>
  <c r="D130" i="5"/>
  <c r="I129" i="5"/>
  <c r="I128" i="5"/>
  <c r="I127" i="5"/>
  <c r="D124" i="5"/>
  <c r="D123" i="5"/>
  <c r="H122" i="5"/>
  <c r="D122" i="5"/>
  <c r="H121" i="5"/>
  <c r="D121" i="5"/>
  <c r="H120" i="5"/>
  <c r="D120" i="5"/>
  <c r="H119" i="5"/>
  <c r="D119" i="5"/>
  <c r="G118" i="5"/>
  <c r="G131" i="5" s="1"/>
  <c r="E118" i="5"/>
  <c r="H118" i="5" s="1"/>
  <c r="D118" i="5"/>
  <c r="H117" i="5"/>
  <c r="D117" i="5"/>
  <c r="J116" i="5"/>
  <c r="I116" i="5"/>
  <c r="I130" i="5" s="1"/>
  <c r="G116" i="5"/>
  <c r="F116" i="5"/>
  <c r="F131" i="5" s="1"/>
  <c r="E116" i="5"/>
  <c r="H112" i="5"/>
  <c r="D112" i="5"/>
  <c r="H111" i="5"/>
  <c r="D111" i="5"/>
  <c r="H110" i="5"/>
  <c r="D110" i="5"/>
  <c r="H109" i="5"/>
  <c r="D109" i="5"/>
  <c r="J108" i="5"/>
  <c r="I108" i="5"/>
  <c r="H108" i="5"/>
  <c r="G108" i="5"/>
  <c r="F108" i="5"/>
  <c r="E108" i="5"/>
  <c r="D108" i="5"/>
  <c r="H107" i="5"/>
  <c r="D107" i="5"/>
  <c r="H106" i="5"/>
  <c r="D106" i="5"/>
  <c r="H105" i="5"/>
  <c r="D105" i="5"/>
  <c r="H104" i="5"/>
  <c r="D104" i="5"/>
  <c r="H103" i="5"/>
  <c r="D103" i="5"/>
  <c r="H102" i="5"/>
  <c r="D102" i="5"/>
  <c r="G101" i="5"/>
  <c r="H101" i="5" s="1"/>
  <c r="H99" i="5" s="1"/>
  <c r="H100" i="5"/>
  <c r="D100" i="5"/>
  <c r="J99" i="5"/>
  <c r="I99" i="5"/>
  <c r="F99" i="5"/>
  <c r="E99" i="5"/>
  <c r="H98" i="5"/>
  <c r="D98" i="5"/>
  <c r="H97" i="5"/>
  <c r="D97" i="5"/>
  <c r="H96" i="5"/>
  <c r="D96" i="5"/>
  <c r="H95" i="5"/>
  <c r="D95" i="5"/>
  <c r="H94" i="5"/>
  <c r="D94" i="5"/>
  <c r="F93" i="5"/>
  <c r="D93" i="5" s="1"/>
  <c r="H92" i="5"/>
  <c r="G92" i="5"/>
  <c r="D92" i="5"/>
  <c r="G91" i="5"/>
  <c r="D91" i="5" s="1"/>
  <c r="H90" i="5"/>
  <c r="K90" i="5" s="1"/>
  <c r="D90" i="5"/>
  <c r="J89" i="5"/>
  <c r="E89" i="5"/>
  <c r="H88" i="5"/>
  <c r="D88" i="5"/>
  <c r="H87" i="5"/>
  <c r="H131" i="5" s="1"/>
  <c r="D87" i="5"/>
  <c r="H86" i="5"/>
  <c r="D86" i="5"/>
  <c r="H85" i="5"/>
  <c r="H129" i="5" s="1"/>
  <c r="D85" i="5"/>
  <c r="H84" i="5"/>
  <c r="D84" i="5"/>
  <c r="J83" i="5"/>
  <c r="F83" i="5"/>
  <c r="D83" i="5" s="1"/>
  <c r="H82" i="5"/>
  <c r="D82" i="5"/>
  <c r="J81" i="5"/>
  <c r="F81" i="5"/>
  <c r="D81" i="5" s="1"/>
  <c r="H80" i="5"/>
  <c r="D80" i="5"/>
  <c r="J79" i="5"/>
  <c r="I79" i="5"/>
  <c r="I76" i="5" s="1"/>
  <c r="F79" i="5"/>
  <c r="D79" i="5" s="1"/>
  <c r="E79" i="5"/>
  <c r="J78" i="5"/>
  <c r="G78" i="5"/>
  <c r="F78" i="5"/>
  <c r="F76" i="5" s="1"/>
  <c r="J77" i="5"/>
  <c r="J156" i="5" s="1"/>
  <c r="F77" i="5"/>
  <c r="F151" i="5" s="1"/>
  <c r="D77" i="5"/>
  <c r="E76" i="5"/>
  <c r="H74" i="5"/>
  <c r="D74" i="5"/>
  <c r="J73" i="5"/>
  <c r="I73" i="5"/>
  <c r="G73" i="5"/>
  <c r="E73" i="5"/>
  <c r="H73" i="5" s="1"/>
  <c r="D73" i="5"/>
  <c r="H72" i="5"/>
  <c r="D72" i="5"/>
  <c r="H71" i="5"/>
  <c r="D71" i="5"/>
  <c r="H70" i="5"/>
  <c r="D70" i="5"/>
  <c r="H69" i="5"/>
  <c r="H68" i="5" s="1"/>
  <c r="D69" i="5"/>
  <c r="J68" i="5"/>
  <c r="I68" i="5"/>
  <c r="G68" i="5"/>
  <c r="F68" i="5"/>
  <c r="E68" i="5"/>
  <c r="D68" i="5" s="1"/>
  <c r="H67" i="5"/>
  <c r="D67" i="5"/>
  <c r="H66" i="5"/>
  <c r="D66" i="5"/>
  <c r="D65" i="5"/>
  <c r="H64" i="5"/>
  <c r="D64" i="5"/>
  <c r="H63" i="5"/>
  <c r="D63" i="5"/>
  <c r="H62" i="5"/>
  <c r="D62" i="5"/>
  <c r="H61" i="5"/>
  <c r="D61" i="5"/>
  <c r="H60" i="5"/>
  <c r="K60" i="5" s="1"/>
  <c r="D60" i="5"/>
  <c r="H59" i="5"/>
  <c r="H55" i="5" s="1"/>
  <c r="G59" i="5"/>
  <c r="D59" i="5"/>
  <c r="H58" i="5"/>
  <c r="D58" i="5"/>
  <c r="H57" i="5"/>
  <c r="D57" i="5"/>
  <c r="D55" i="5" s="1"/>
  <c r="H56" i="5"/>
  <c r="D56" i="5"/>
  <c r="J55" i="5"/>
  <c r="I55" i="5"/>
  <c r="G55" i="5"/>
  <c r="F55" i="5"/>
  <c r="E55" i="5"/>
  <c r="H54" i="5"/>
  <c r="D54" i="5"/>
  <c r="H53" i="5"/>
  <c r="H52" i="5" s="1"/>
  <c r="H75" i="5" s="1"/>
  <c r="D53" i="5"/>
  <c r="J52" i="5"/>
  <c r="J75" i="5" s="1"/>
  <c r="I52" i="5"/>
  <c r="I75" i="5" s="1"/>
  <c r="I126" i="5" s="1"/>
  <c r="G52" i="5"/>
  <c r="G75" i="5" s="1"/>
  <c r="F52" i="5"/>
  <c r="D52" i="5" s="1"/>
  <c r="D75" i="5" s="1"/>
  <c r="E52" i="5"/>
  <c r="E75" i="5" s="1"/>
  <c r="F75" i="1"/>
  <c r="E75" i="1"/>
  <c r="F164" i="1"/>
  <c r="G77" i="1"/>
  <c r="G101" i="1"/>
  <c r="G92" i="1"/>
  <c r="J83" i="1"/>
  <c r="D103" i="1"/>
  <c r="G164" i="5" l="1"/>
  <c r="D164" i="5" s="1"/>
  <c r="D166" i="5" s="1"/>
  <c r="K83" i="5"/>
  <c r="M83" i="5" s="1"/>
  <c r="D157" i="5"/>
  <c r="C156" i="5"/>
  <c r="C154" i="5" s="1"/>
  <c r="H157" i="5"/>
  <c r="D126" i="5"/>
  <c r="G126" i="5"/>
  <c r="J126" i="5"/>
  <c r="E128" i="5"/>
  <c r="H116" i="5"/>
  <c r="H130" i="5" s="1"/>
  <c r="D169" i="5"/>
  <c r="D176" i="5" s="1"/>
  <c r="E114" i="5"/>
  <c r="H78" i="5"/>
  <c r="E131" i="5"/>
  <c r="G151" i="5"/>
  <c r="C151" i="5" s="1"/>
  <c r="C153" i="5" s="1"/>
  <c r="F75" i="5"/>
  <c r="E113" i="5"/>
  <c r="G76" i="5"/>
  <c r="H76" i="5"/>
  <c r="H81" i="5"/>
  <c r="H83" i="5"/>
  <c r="H91" i="5"/>
  <c r="H93" i="5"/>
  <c r="J151" i="5"/>
  <c r="J153" i="5" s="1"/>
  <c r="H161" i="5"/>
  <c r="H163" i="5"/>
  <c r="D172" i="5"/>
  <c r="D179" i="5" s="1"/>
  <c r="G89" i="5"/>
  <c r="J76" i="5"/>
  <c r="J113" i="5" s="1"/>
  <c r="J128" i="5" s="1"/>
  <c r="D78" i="5"/>
  <c r="D156" i="5" s="1"/>
  <c r="G99" i="5"/>
  <c r="D99" i="5" s="1"/>
  <c r="D101" i="5"/>
  <c r="D116" i="5"/>
  <c r="F156" i="5"/>
  <c r="G157" i="5"/>
  <c r="D159" i="5"/>
  <c r="H126" i="5"/>
  <c r="G156" i="5"/>
  <c r="F89" i="5"/>
  <c r="H169" i="5"/>
  <c r="J164" i="1"/>
  <c r="G164" i="1"/>
  <c r="J77" i="1"/>
  <c r="J78" i="1"/>
  <c r="E164" i="1"/>
  <c r="J159" i="1"/>
  <c r="G151" i="1"/>
  <c r="G78" i="1"/>
  <c r="G91" i="1"/>
  <c r="C156" i="1"/>
  <c r="F151" i="1"/>
  <c r="E151" i="1"/>
  <c r="G171" i="1"/>
  <c r="G172" i="1"/>
  <c r="C168" i="1"/>
  <c r="D168" i="1"/>
  <c r="D89" i="5" l="1"/>
  <c r="C167" i="5"/>
  <c r="C166" i="5" s="1"/>
  <c r="H176" i="5"/>
  <c r="G113" i="5"/>
  <c r="G129" i="5" s="1"/>
  <c r="D151" i="5"/>
  <c r="E127" i="5"/>
  <c r="E129" i="5"/>
  <c r="D131" i="5"/>
  <c r="F113" i="5"/>
  <c r="J114" i="5"/>
  <c r="H89" i="5"/>
  <c r="H113" i="5" s="1"/>
  <c r="D76" i="5"/>
  <c r="J127" i="5"/>
  <c r="F114" i="5"/>
  <c r="J129" i="5"/>
  <c r="G154" i="5"/>
  <c r="J166" i="1"/>
  <c r="D164" i="1"/>
  <c r="D166" i="1" s="1"/>
  <c r="J151" i="1"/>
  <c r="J153" i="1" s="1"/>
  <c r="D151" i="1"/>
  <c r="C151" i="1"/>
  <c r="C153" i="1" s="1"/>
  <c r="G160" i="1"/>
  <c r="G163" i="1"/>
  <c r="G159" i="1"/>
  <c r="G161" i="1"/>
  <c r="J156" i="1"/>
  <c r="F156" i="1"/>
  <c r="E156" i="1"/>
  <c r="G156" i="1"/>
  <c r="G154" i="1" s="1"/>
  <c r="D91" i="1"/>
  <c r="D92" i="1"/>
  <c r="D93" i="1"/>
  <c r="D94" i="1"/>
  <c r="D95" i="1"/>
  <c r="D96" i="1"/>
  <c r="D97" i="1"/>
  <c r="D98" i="1"/>
  <c r="D90" i="1"/>
  <c r="D79" i="1"/>
  <c r="D80" i="1"/>
  <c r="D81" i="1"/>
  <c r="D82" i="1"/>
  <c r="D83" i="1"/>
  <c r="D84" i="1"/>
  <c r="D85" i="1"/>
  <c r="D86" i="1"/>
  <c r="D87" i="1"/>
  <c r="D88" i="1"/>
  <c r="D78" i="1"/>
  <c r="H114" i="5" l="1"/>
  <c r="H128" i="5" s="1"/>
  <c r="H127" i="5"/>
  <c r="G127" i="5"/>
  <c r="G114" i="5"/>
  <c r="G128" i="5"/>
  <c r="D113" i="5"/>
  <c r="F128" i="5"/>
  <c r="F129" i="5"/>
  <c r="F127" i="5"/>
  <c r="K83" i="1"/>
  <c r="M83" i="1" s="1"/>
  <c r="D60" i="1"/>
  <c r="D61" i="1"/>
  <c r="D62" i="1"/>
  <c r="D63" i="1"/>
  <c r="D64" i="1"/>
  <c r="G59" i="1"/>
  <c r="D114" i="5" l="1"/>
  <c r="D127" i="5"/>
  <c r="D129" i="5"/>
  <c r="D128" i="5"/>
  <c r="J81" i="1"/>
  <c r="H59" i="1"/>
  <c r="I178" i="1"/>
  <c r="I179" i="1"/>
  <c r="I180" i="1"/>
  <c r="I181" i="1"/>
  <c r="I182" i="1"/>
  <c r="I177" i="1"/>
  <c r="I144" i="1"/>
  <c r="H136" i="1"/>
  <c r="I136" i="1"/>
  <c r="H139" i="1"/>
  <c r="I139" i="1"/>
  <c r="E55" i="1"/>
  <c r="E68" i="1"/>
  <c r="D65" i="1"/>
  <c r="F55" i="1"/>
  <c r="F52" i="1"/>
  <c r="E52" i="1"/>
  <c r="G55" i="1"/>
  <c r="I73" i="1" l="1"/>
  <c r="J73" i="1"/>
  <c r="I68" i="1"/>
  <c r="H171" i="1"/>
  <c r="H173" i="1"/>
  <c r="H174" i="1"/>
  <c r="H175" i="1"/>
  <c r="H170" i="1"/>
  <c r="H177" i="1" s="1"/>
  <c r="I169" i="1"/>
  <c r="I176" i="1" s="1"/>
  <c r="H159" i="1"/>
  <c r="H160" i="1"/>
  <c r="H162" i="1"/>
  <c r="H163" i="1"/>
  <c r="H158" i="1"/>
  <c r="I157" i="1"/>
  <c r="H146" i="1"/>
  <c r="H147" i="1"/>
  <c r="H148" i="1"/>
  <c r="H149" i="1"/>
  <c r="H150" i="1"/>
  <c r="H145" i="1"/>
  <c r="I131" i="1"/>
  <c r="I129" i="1"/>
  <c r="I128" i="1"/>
  <c r="I127" i="1"/>
  <c r="H119" i="1"/>
  <c r="H120" i="1"/>
  <c r="H121" i="1"/>
  <c r="H122" i="1"/>
  <c r="H117" i="1"/>
  <c r="I116" i="1"/>
  <c r="I130" i="1" s="1"/>
  <c r="H110" i="1"/>
  <c r="H111" i="1"/>
  <c r="H112" i="1"/>
  <c r="H109" i="1"/>
  <c r="H101" i="1"/>
  <c r="H102" i="1"/>
  <c r="H103" i="1"/>
  <c r="H104" i="1"/>
  <c r="H105" i="1"/>
  <c r="H106" i="1"/>
  <c r="H107" i="1"/>
  <c r="H100" i="1"/>
  <c r="I108" i="1"/>
  <c r="I99" i="1"/>
  <c r="H91" i="1"/>
  <c r="H92" i="1"/>
  <c r="H94" i="1"/>
  <c r="H95" i="1"/>
  <c r="H96" i="1"/>
  <c r="H97" i="1"/>
  <c r="H98" i="1"/>
  <c r="H90" i="1"/>
  <c r="H82" i="1"/>
  <c r="H84" i="1"/>
  <c r="H85" i="1"/>
  <c r="H86" i="1"/>
  <c r="H87" i="1"/>
  <c r="H88" i="1"/>
  <c r="H80" i="1"/>
  <c r="H79" i="1"/>
  <c r="I79" i="1"/>
  <c r="I76" i="1" s="1"/>
  <c r="H74" i="1"/>
  <c r="H70" i="1"/>
  <c r="H71" i="1"/>
  <c r="H68" i="1" s="1"/>
  <c r="H72" i="1"/>
  <c r="H69" i="1"/>
  <c r="H67" i="1"/>
  <c r="H66" i="1"/>
  <c r="H61" i="1"/>
  <c r="H62" i="1"/>
  <c r="H63" i="1"/>
  <c r="H64" i="1"/>
  <c r="H60" i="1"/>
  <c r="K60" i="1" s="1"/>
  <c r="H57" i="1"/>
  <c r="H58" i="1"/>
  <c r="H56" i="1"/>
  <c r="I55" i="1"/>
  <c r="H54" i="1"/>
  <c r="H53" i="1"/>
  <c r="I52" i="1"/>
  <c r="H129" i="1" l="1"/>
  <c r="H180" i="1"/>
  <c r="H181" i="1"/>
  <c r="H182" i="1"/>
  <c r="H108" i="1"/>
  <c r="H131" i="1"/>
  <c r="H144" i="1"/>
  <c r="H52" i="1"/>
  <c r="H178" i="1"/>
  <c r="I75" i="1"/>
  <c r="I126" i="1" s="1"/>
  <c r="H99" i="1"/>
  <c r="H55" i="1"/>
  <c r="J116" i="1"/>
  <c r="F116" i="1"/>
  <c r="E118" i="1" l="1"/>
  <c r="E116" i="1" l="1"/>
  <c r="D74" i="1"/>
  <c r="F78" i="1" l="1"/>
  <c r="H78" i="1" s="1"/>
  <c r="F77" i="1"/>
  <c r="J161" i="1"/>
  <c r="F161" i="1"/>
  <c r="H161" i="1" s="1"/>
  <c r="F172" i="1"/>
  <c r="H172" i="1" s="1"/>
  <c r="H157" i="1" l="1"/>
  <c r="D77" i="1"/>
  <c r="H77" i="1"/>
  <c r="H179" i="1"/>
  <c r="H169" i="1"/>
  <c r="H176" i="1" l="1"/>
  <c r="C167" i="1"/>
  <c r="C166" i="1" s="1"/>
  <c r="G118" i="1"/>
  <c r="G116" i="1" l="1"/>
  <c r="H118" i="1"/>
  <c r="H116" i="1" s="1"/>
  <c r="H130" i="1" s="1"/>
  <c r="F83" i="1"/>
  <c r="H83" i="1" l="1"/>
  <c r="H76" i="1" s="1"/>
  <c r="F93" i="1"/>
  <c r="F81" i="1"/>
  <c r="H81" i="1" l="1"/>
  <c r="H93" i="1"/>
  <c r="E99" i="1" l="1"/>
  <c r="E177" i="1" l="1"/>
  <c r="E79" i="1"/>
  <c r="J55" i="1"/>
  <c r="D67" i="1"/>
  <c r="D66" i="1" l="1"/>
  <c r="D69" i="1" l="1"/>
  <c r="F68" i="1"/>
  <c r="G79" i="1" l="1"/>
  <c r="G68" i="1" l="1"/>
  <c r="G157" i="1" l="1"/>
  <c r="C154" i="1" s="1"/>
  <c r="G99" i="1"/>
  <c r="J68" i="1"/>
  <c r="D68" i="1" s="1"/>
  <c r="J108" i="1" l="1"/>
  <c r="F108" i="1"/>
  <c r="E108" i="1"/>
  <c r="D111" i="1"/>
  <c r="G108" i="1"/>
  <c r="D108" i="1" l="1"/>
  <c r="D112" i="1"/>
  <c r="D145" i="1" l="1"/>
  <c r="D110" i="1" l="1"/>
  <c r="F79" i="1"/>
  <c r="J79" i="1"/>
  <c r="D135" i="1" l="1"/>
  <c r="D122" i="1" l="1"/>
  <c r="D118" i="1"/>
  <c r="D124" i="1"/>
  <c r="D123" i="1"/>
  <c r="D142" i="1"/>
  <c r="E169" i="1"/>
  <c r="D116" i="1" l="1"/>
  <c r="D158" i="1"/>
  <c r="D138" i="1" l="1"/>
  <c r="D134" i="1" l="1"/>
  <c r="D137" i="1"/>
  <c r="E76" i="1" l="1"/>
  <c r="F76" i="1"/>
  <c r="J182" i="1" l="1"/>
  <c r="G182" i="1"/>
  <c r="F182" i="1"/>
  <c r="E182" i="1"/>
  <c r="J181" i="1"/>
  <c r="G181" i="1"/>
  <c r="F181" i="1"/>
  <c r="E181" i="1"/>
  <c r="J180" i="1"/>
  <c r="G180" i="1"/>
  <c r="F180" i="1"/>
  <c r="E180" i="1"/>
  <c r="J179" i="1"/>
  <c r="G179" i="1"/>
  <c r="F179" i="1"/>
  <c r="E179" i="1"/>
  <c r="J178" i="1"/>
  <c r="G178" i="1"/>
  <c r="F178" i="1"/>
  <c r="E178" i="1"/>
  <c r="J177" i="1"/>
  <c r="G177" i="1"/>
  <c r="F177" i="1"/>
  <c r="D175" i="1"/>
  <c r="D174" i="1"/>
  <c r="D173" i="1"/>
  <c r="D172" i="1"/>
  <c r="D171" i="1"/>
  <c r="D170" i="1"/>
  <c r="D177" i="1" s="1"/>
  <c r="D163" i="1"/>
  <c r="D162" i="1"/>
  <c r="D161" i="1"/>
  <c r="D160" i="1"/>
  <c r="D159" i="1"/>
  <c r="D150" i="1"/>
  <c r="D149" i="1"/>
  <c r="D148" i="1"/>
  <c r="D147" i="1"/>
  <c r="D146" i="1"/>
  <c r="D133" i="1"/>
  <c r="D104" i="1"/>
  <c r="D53" i="1"/>
  <c r="D144" i="1" l="1"/>
  <c r="D181" i="1"/>
  <c r="D180" i="1"/>
  <c r="D179" i="1"/>
  <c r="D178" i="1"/>
  <c r="D182" i="1"/>
  <c r="D72" i="1" l="1"/>
  <c r="D58" i="1"/>
  <c r="D59" i="1"/>
  <c r="F89" i="1" l="1"/>
  <c r="G89" i="1"/>
  <c r="J89" i="1"/>
  <c r="E89" i="1"/>
  <c r="F99" i="1"/>
  <c r="J99" i="1"/>
  <c r="D70" i="1"/>
  <c r="E113" i="1" l="1"/>
  <c r="H89" i="1"/>
  <c r="H113" i="1" s="1"/>
  <c r="H127" i="1" s="1"/>
  <c r="D89" i="1"/>
  <c r="D99" i="1"/>
  <c r="G76" i="1"/>
  <c r="J76" i="1"/>
  <c r="D76" i="1" l="1"/>
  <c r="F169" i="1"/>
  <c r="G169" i="1"/>
  <c r="J169" i="1"/>
  <c r="E157" i="1"/>
  <c r="F157" i="1"/>
  <c r="J157" i="1"/>
  <c r="E144" i="1"/>
  <c r="E176" i="1" s="1"/>
  <c r="F144" i="1"/>
  <c r="G144" i="1"/>
  <c r="J144" i="1"/>
  <c r="G139" i="1"/>
  <c r="J139" i="1"/>
  <c r="D139" i="1" s="1"/>
  <c r="G136" i="1"/>
  <c r="J136" i="1"/>
  <c r="D136" i="1" s="1"/>
  <c r="D140" i="1"/>
  <c r="D141" i="1"/>
  <c r="E130" i="1"/>
  <c r="F130" i="1"/>
  <c r="G130" i="1"/>
  <c r="J130" i="1"/>
  <c r="D117" i="1"/>
  <c r="D119" i="1"/>
  <c r="D120" i="1"/>
  <c r="D121" i="1"/>
  <c r="F131" i="1"/>
  <c r="G131" i="1"/>
  <c r="G73" i="1"/>
  <c r="D100" i="1"/>
  <c r="D101" i="1"/>
  <c r="D156" i="1" s="1"/>
  <c r="D102" i="1"/>
  <c r="D105" i="1"/>
  <c r="D106" i="1"/>
  <c r="D107" i="1"/>
  <c r="D109" i="1"/>
  <c r="D71" i="1"/>
  <c r="D56" i="1"/>
  <c r="D57" i="1"/>
  <c r="D54" i="1"/>
  <c r="D55" i="1" l="1"/>
  <c r="D169" i="1"/>
  <c r="G176" i="1"/>
  <c r="F176" i="1"/>
  <c r="J176" i="1"/>
  <c r="J113" i="1"/>
  <c r="J128" i="1" s="1"/>
  <c r="D130" i="1"/>
  <c r="D157" i="1"/>
  <c r="G113" i="1"/>
  <c r="J52" i="1"/>
  <c r="J75" i="1" s="1"/>
  <c r="G52" i="1"/>
  <c r="D52" i="1" l="1"/>
  <c r="G75" i="1"/>
  <c r="J114" i="1"/>
  <c r="D176" i="1"/>
  <c r="G129" i="1"/>
  <c r="G128" i="1"/>
  <c r="G127" i="1"/>
  <c r="J129" i="1"/>
  <c r="J127" i="1"/>
  <c r="E139" i="1" l="1"/>
  <c r="E73" i="1" l="1"/>
  <c r="H73" i="1" l="1"/>
  <c r="H75" i="1" s="1"/>
  <c r="E128" i="1"/>
  <c r="E127" i="1"/>
  <c r="E129" i="1"/>
  <c r="D73" i="1"/>
  <c r="D75" i="1" s="1"/>
  <c r="E131" i="1"/>
  <c r="D131" i="1"/>
  <c r="E136" i="1"/>
  <c r="H126" i="1" l="1"/>
  <c r="H114" i="1"/>
  <c r="H128" i="1" s="1"/>
  <c r="G114" i="1"/>
  <c r="G126" i="1"/>
  <c r="E114" i="1"/>
  <c r="F113" i="1"/>
  <c r="F114" i="1" l="1"/>
  <c r="D113" i="1"/>
  <c r="D114" i="1" s="1"/>
  <c r="D126" i="1"/>
  <c r="F127" i="1"/>
  <c r="F129" i="1"/>
  <c r="F128" i="1"/>
  <c r="J126" i="1" l="1"/>
  <c r="D129" i="1"/>
  <c r="D128" i="1"/>
  <c r="D127" i="1"/>
</calcChain>
</file>

<file path=xl/sharedStrings.xml><?xml version="1.0" encoding="utf-8"?>
<sst xmlns="http://schemas.openxmlformats.org/spreadsheetml/2006/main" count="606" uniqueCount="196">
  <si>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</si>
  <si>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</si>
  <si>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</si>
  <si>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</si>
  <si>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>інший персонал</t>
  </si>
  <si>
    <t>молодший медичний персонал</t>
  </si>
  <si>
    <t>середній медичний персонал</t>
  </si>
  <si>
    <t>лікарі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</si>
  <si>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</si>
  <si>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</si>
  <si>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</si>
  <si>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</si>
  <si>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</si>
  <si>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</si>
  <si>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</si>
  <si>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</si>
  <si>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</si>
  <si>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</si>
  <si>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</si>
  <si>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</si>
  <si>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</si>
  <si>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</si>
  <si>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</si>
  <si>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</si>
  <si>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</si>
  <si>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</si>
  <si>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</si>
  <si>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</si>
  <si>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</si>
  <si>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</si>
  <si>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</si>
  <si>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</si>
  <si>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</si>
  <si>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</si>
  <si>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</si>
  <si>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</si>
  <si>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</si>
  <si>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</si>
  <si>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</si>
  <si>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</si>
  <si>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</si>
  <si>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</si>
  <si>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</si>
  <si>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</si>
  <si>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</si>
  <si>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</si>
  <si>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</si>
  <si>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</si>
  <si>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</si>
  <si>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(директор Департаменту фінансів, економіки та інвестицій)</t>
  </si>
  <si>
    <t>М.П. (підпис, ініціали, прізвище)</t>
  </si>
  <si>
    <t>(Міський голова)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</si>
  <si>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</si>
  <si>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</si>
  <si>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</si>
  <si>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</si>
  <si>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</si>
  <si>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</si>
  <si>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</si>
  <si>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</si>
  <si>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</si>
  <si>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</si>
  <si>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</si>
  <si>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</si>
  <si>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</si>
  <si>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</si>
  <si>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</si>
  <si>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</si>
  <si>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</si>
  <si>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</si>
  <si>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</si>
  <si>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</si>
  <si>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</si>
  <si>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>Додаток 1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</si>
  <si>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</si>
  <si>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</si>
  <si>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</si>
  <si>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</si>
  <si>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</si>
  <si>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</si>
  <si>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</si>
  <si>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</si>
  <si>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</si>
  <si>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</si>
  <si>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</si>
  <si>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</si>
  <si>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</si>
  <si>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</si>
  <si>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</si>
  <si>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</si>
  <si>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</si>
  <si>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</si>
  <si>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</si>
  <si>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</si>
  <si>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</si>
  <si>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</si>
  <si>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</si>
  <si>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</si>
  <si>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</si>
  <si>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</si>
  <si>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</si>
  <si>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Кошти, отримані від надання платних послуг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</si>
  <si>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</si>
  <si>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</si>
  <si>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</si>
  <si>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</si>
  <si>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</si>
  <si>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</si>
  <si>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</si>
  <si>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</si>
  <si>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</si>
  <si>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</si>
  <si>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</si>
  <si>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</si>
  <si>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</si>
  <si>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</si>
  <si>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</si>
  <si>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</si>
  <si>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</si>
  <si>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</si>
  <si>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</si>
  <si>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</si>
  <si>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</si>
  <si>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</si>
  <si>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</si>
  <si>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</si>
  <si>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</si>
  <si>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</si>
  <si>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</si>
  <si>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</si>
  <si>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</si>
  <si>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</si>
  <si>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Кошти, отримані від Національної служби здоров'я України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</si>
  <si>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</si>
  <si>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</si>
  <si>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</si>
  <si>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</si>
  <si>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</si>
  <si>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</si>
  <si>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</si>
  <si>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</si>
  <si>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</si>
  <si>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</si>
  <si>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Комунальне некомерційне підприємство "Дитяча клінічна лікарня Святої Зінаїди" Сумської міської ради</t>
  </si>
  <si>
    <t>Комунальне  підприємство</t>
  </si>
  <si>
    <t>Сумська область, м.Суми</t>
  </si>
  <si>
    <t>Сумська міська рада</t>
  </si>
  <si>
    <t>Охорона здоров'я</t>
  </si>
  <si>
    <t>лікувальна діяльність</t>
  </si>
  <si>
    <t>тис.грн.</t>
  </si>
  <si>
    <t>комунальна</t>
  </si>
  <si>
    <t>40022, м. Суми, вул. Троїцька, 28</t>
  </si>
  <si>
    <t>+38(0542)659007, 660221</t>
  </si>
  <si>
    <t>Бугаєнко Вікторія Олександрівна</t>
  </si>
  <si>
    <t>за ЄДРПОУ</t>
  </si>
  <si>
    <t>02000334</t>
  </si>
  <si>
    <t>86.10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</si>
  <si>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</si>
  <si>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Кредитна програма Північної екологічної фінансової корпораціії  ( НЕФКО)</t>
  </si>
  <si>
    <t>Надходження по молочній кухні</t>
  </si>
  <si>
    <t>В.О.Бугаєнко</t>
  </si>
  <si>
    <t>Витрати на молочну кухню</t>
  </si>
  <si>
    <t>Х</t>
  </si>
  <si>
    <t>1080.2</t>
  </si>
  <si>
    <t>Державний фонд регіонального розвитку</t>
  </si>
  <si>
    <t>1019.1</t>
  </si>
  <si>
    <t>1019.2.</t>
  </si>
  <si>
    <t>Відсотки за користування бюджетною позичкою</t>
  </si>
  <si>
    <t>1080.3</t>
  </si>
  <si>
    <t>Повернення тіла позички</t>
  </si>
  <si>
    <t>1080.4</t>
  </si>
  <si>
    <t xml:space="preserve">Кошти отримані від спонсорів
</t>
  </si>
  <si>
    <t>1019.3</t>
  </si>
  <si>
    <t xml:space="preserve">Керівник     </t>
  </si>
  <si>
    <t>на 2023 рік</t>
  </si>
  <si>
    <t>9 міс план</t>
  </si>
  <si>
    <t>звіт</t>
  </si>
  <si>
    <t>з фінплана</t>
  </si>
  <si>
    <t>х</t>
  </si>
  <si>
    <t>аудиту Сумської міської ради</t>
  </si>
  <si>
    <t>Начальник Управління внутрішнього контролю та</t>
  </si>
  <si>
    <t>на 2025 рік</t>
  </si>
  <si>
    <t>до Порядку складання затвердження,внесення змін,звітування та контролю виконання фінасових планів комунальних некомерційних підприємств, що належить до комунальної власності Сумської міської територіальної громади</t>
  </si>
  <si>
    <t>(рішення виконкому Сумської міської ради)</t>
  </si>
  <si>
    <t xml:space="preserve">М.П. </t>
  </si>
  <si>
    <t>1019</t>
  </si>
  <si>
    <t>Інші операційні доходи, які не включені в рядки 1011-1018</t>
  </si>
  <si>
    <t xml:space="preserve"> основний персонал (лікарі, робітники 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</si>
  <si>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</si>
  <si>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</si>
  <si>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Кошти, отримані від надання платних  послуг за основним видом діяльності</t>
  </si>
  <si>
    <t>Кошти, отримані від надання  інших платних послуг</t>
  </si>
  <si>
    <r>
      <t xml:space="preserve">Орган державного управління  </t>
    </r>
    <r>
      <rPr>
        <b/>
        <i/>
        <sz val="14"/>
        <color theme="1"/>
        <rFont val="Times New Roman"/>
        <family val="1"/>
        <charset val="204"/>
      </rPr>
      <t xml:space="preserve"> </t>
    </r>
  </si>
  <si>
    <r>
      <t>Витрати, що здійснюються для підтримання об’єкта в робочому стані</t>
    </r>
    <r>
      <rPr>
        <i/>
        <sz val="14"/>
        <color theme="1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</si>
  <si>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r>
      <t xml:space="preserve">Витрати на сировину та матеріали </t>
    </r>
    <r>
      <rPr>
        <i/>
        <sz val="14"/>
        <color theme="1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</si>
  <si>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від 09.04.2025 № 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</si>
</sst>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#,##0.0"/>
    <numFmt numFmtId="166" formatCode="_(* #,##0.0_);_(* \(#,##0.0\);_(* &quot;-&quot;_);_(@_)"/>
    <numFmt numFmtId="167" formatCode="0.0"/>
    <numFmt numFmtId="168" formatCode="0.0%"/>
    <numFmt numFmtId="169" formatCode="_(* #,##0.0_);_(* \(#,##0.0\);_(* &quot;-&quot;??_);_(@_)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67" fontId="2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quotePrefix="1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166" fontId="2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left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quotePrefix="1" applyFont="1" applyFill="1" applyBorder="1" applyAlignment="1">
      <alignment horizontal="center" vertical="center"/>
    </xf>
    <xf numFmtId="167" fontId="2" fillId="5" borderId="3" xfId="0" applyNumberFormat="1" applyFont="1" applyFill="1" applyBorder="1" applyAlignment="1">
      <alignment horizontal="center" vertical="center" wrapText="1"/>
    </xf>
    <xf numFmtId="0" fontId="2" fillId="5" borderId="3" xfId="0" quotePrefix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3" xfId="0" quotePrefix="1" applyFont="1" applyFill="1" applyBorder="1" applyAlignment="1">
      <alignment horizontal="center" vertical="center"/>
    </xf>
    <xf numFmtId="165" fontId="2" fillId="6" borderId="3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165" fontId="4" fillId="6" borderId="0" xfId="0" applyNumberFormat="1" applyFont="1" applyFill="1" applyAlignment="1">
      <alignment vertical="center"/>
    </xf>
    <xf numFmtId="49" fontId="2" fillId="6" borderId="3" xfId="0" applyNumberFormat="1" applyFont="1" applyFill="1" applyBorder="1" applyAlignment="1">
      <alignment horizontal="left" vertical="center" wrapText="1"/>
    </xf>
    <xf numFmtId="166" fontId="2" fillId="6" borderId="3" xfId="0" applyNumberFormat="1" applyFont="1" applyFill="1" applyBorder="1" applyAlignment="1">
      <alignment horizontal="center" vertical="center" wrapText="1"/>
    </xf>
    <xf numFmtId="165" fontId="2" fillId="6" borderId="3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167" fontId="2" fillId="6" borderId="3" xfId="0" quotePrefix="1" applyNumberFormat="1" applyFont="1" applyFill="1" applyBorder="1" applyAlignment="1">
      <alignment horizontal="center" vertical="center" wrapText="1"/>
    </xf>
    <xf numFmtId="167" fontId="2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169" fontId="2" fillId="0" borderId="3" xfId="0" applyNumberFormat="1" applyFont="1" applyFill="1" applyBorder="1" applyAlignment="1">
      <alignment horizontal="right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7" fontId="2" fillId="3" borderId="3" xfId="2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3" xfId="0" quotePrefix="1" applyFont="1" applyFill="1" applyBorder="1" applyAlignment="1">
      <alignment horizontal="center" vertical="center"/>
    </xf>
    <xf numFmtId="165" fontId="4" fillId="7" borderId="3" xfId="0" applyNumberFormat="1" applyFont="1" applyFill="1" applyBorder="1" applyAlignment="1">
      <alignment horizontal="center" vertical="center" wrapText="1"/>
    </xf>
    <xf numFmtId="165" fontId="2" fillId="7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vertical="center"/>
    </xf>
    <xf numFmtId="165" fontId="2" fillId="8" borderId="0" xfId="0" applyNumberFormat="1" applyFont="1" applyFill="1" applyAlignment="1">
      <alignment vertical="center"/>
    </xf>
    <xf numFmtId="0" fontId="2" fillId="8" borderId="0" xfId="0" applyFont="1" applyFill="1" applyAlignment="1">
      <alignment vertical="center"/>
    </xf>
    <xf numFmtId="167" fontId="12" fillId="0" borderId="3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2" fillId="0" borderId="3" xfId="3" applyFont="1" applyBorder="1" applyAlignment="1">
      <alignment horizontal="center" vertical="center" wrapText="1"/>
    </xf>
    <xf numFmtId="164" fontId="2" fillId="3" borderId="3" xfId="3" applyFont="1" applyFill="1" applyBorder="1" applyAlignment="1">
      <alignment horizontal="center" vertical="center" wrapText="1"/>
    </xf>
    <xf numFmtId="167" fontId="11" fillId="0" borderId="3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quotePrefix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5" fontId="11" fillId="6" borderId="3" xfId="0" applyNumberFormat="1" applyFont="1" applyFill="1" applyBorder="1" applyAlignment="1">
      <alignment horizontal="center" vertical="center" wrapText="1"/>
    </xf>
    <xf numFmtId="165" fontId="11" fillId="6" borderId="3" xfId="0" applyNumberFormat="1" applyFont="1" applyFill="1" applyBorder="1" applyAlignment="1">
      <alignment horizontal="center" vertical="center"/>
    </xf>
    <xf numFmtId="165" fontId="14" fillId="7" borderId="3" xfId="0" applyNumberFormat="1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center" vertical="center" wrapText="1"/>
    </xf>
    <xf numFmtId="165" fontId="11" fillId="9" borderId="3" xfId="0" applyNumberFormat="1" applyFont="1" applyFill="1" applyBorder="1" applyAlignment="1">
      <alignment horizontal="center" vertical="center" wrapText="1"/>
    </xf>
    <xf numFmtId="165" fontId="4" fillId="9" borderId="3" xfId="0" applyNumberFormat="1" applyFont="1" applyFill="1" applyBorder="1" applyAlignment="1">
      <alignment horizontal="center" vertical="center" wrapText="1"/>
    </xf>
    <xf numFmtId="167" fontId="2" fillId="9" borderId="3" xfId="0" applyNumberFormat="1" applyFont="1" applyFill="1" applyBorder="1" applyAlignment="1">
      <alignment horizontal="center" vertical="center" wrapText="1"/>
    </xf>
    <xf numFmtId="165" fontId="2" fillId="10" borderId="3" xfId="0" applyNumberFormat="1" applyFont="1" applyFill="1" applyBorder="1" applyAlignment="1">
      <alignment horizontal="center" vertical="center" wrapText="1"/>
    </xf>
    <xf numFmtId="169" fontId="2" fillId="10" borderId="3" xfId="0" applyNumberFormat="1" applyFont="1" applyFill="1" applyBorder="1" applyAlignment="1">
      <alignment horizontal="right" vertical="center"/>
    </xf>
    <xf numFmtId="165" fontId="11" fillId="10" borderId="3" xfId="0" applyNumberFormat="1" applyFont="1" applyFill="1" applyBorder="1" applyAlignment="1">
      <alignment horizontal="center" vertical="center" wrapText="1"/>
    </xf>
    <xf numFmtId="165" fontId="4" fillId="10" borderId="3" xfId="0" applyNumberFormat="1" applyFont="1" applyFill="1" applyBorder="1" applyAlignment="1">
      <alignment horizontal="center" vertical="center" wrapText="1"/>
    </xf>
    <xf numFmtId="165" fontId="2" fillId="10" borderId="7" xfId="0" applyNumberFormat="1" applyFont="1" applyFill="1" applyBorder="1" applyAlignment="1">
      <alignment horizontal="center" vertical="center"/>
    </xf>
    <xf numFmtId="164" fontId="2" fillId="10" borderId="3" xfId="3" applyFont="1" applyFill="1" applyBorder="1" applyAlignment="1">
      <alignment horizontal="center" vertical="center" wrapText="1"/>
    </xf>
    <xf numFmtId="165" fontId="2" fillId="11" borderId="3" xfId="0" applyNumberFormat="1" applyFont="1" applyFill="1" applyBorder="1" applyAlignment="1">
      <alignment horizontal="center" vertical="center" wrapText="1"/>
    </xf>
    <xf numFmtId="167" fontId="2" fillId="10" borderId="3" xfId="0" applyNumberFormat="1" applyFont="1" applyFill="1" applyBorder="1" applyAlignment="1">
      <alignment horizontal="center" vertical="center" wrapText="1"/>
    </xf>
    <xf numFmtId="166" fontId="2" fillId="10" borderId="3" xfId="0" applyNumberFormat="1" applyFont="1" applyFill="1" applyBorder="1" applyAlignment="1">
      <alignment horizontal="center" vertical="center" wrapText="1"/>
    </xf>
    <xf numFmtId="167" fontId="2" fillId="9" borderId="3" xfId="2" applyNumberFormat="1" applyFont="1" applyFill="1" applyBorder="1" applyAlignment="1">
      <alignment horizontal="center" vertical="center" wrapText="1"/>
    </xf>
    <xf numFmtId="2" fontId="2" fillId="9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65" fontId="11" fillId="10" borderId="3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167" fontId="15" fillId="3" borderId="3" xfId="2" applyNumberFormat="1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left" vertical="center" wrapText="1"/>
    </xf>
    <xf numFmtId="0" fontId="2" fillId="12" borderId="3" xfId="0" quotePrefix="1" applyFont="1" applyFill="1" applyBorder="1" applyAlignment="1">
      <alignment horizontal="center" vertical="center"/>
    </xf>
    <xf numFmtId="167" fontId="2" fillId="12" borderId="3" xfId="0" applyNumberFormat="1" applyFont="1" applyFill="1" applyBorder="1" applyAlignment="1">
      <alignment horizontal="center" vertical="center" wrapText="1"/>
    </xf>
    <xf numFmtId="1" fontId="13" fillId="12" borderId="3" xfId="0" applyNumberFormat="1" applyFont="1" applyFill="1" applyBorder="1" applyAlignment="1">
      <alignment horizontal="center" vertical="center" wrapText="1"/>
    </xf>
    <xf numFmtId="1" fontId="11" fillId="12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center" wrapText="1"/>
    </xf>
    <xf numFmtId="167" fontId="2" fillId="12" borderId="3" xfId="2" applyNumberFormat="1" applyFont="1" applyFill="1" applyBorder="1" applyAlignment="1">
      <alignment horizontal="center" vertical="center" wrapText="1"/>
    </xf>
    <xf numFmtId="165" fontId="11" fillId="3" borderId="7" xfId="0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5" fontId="11" fillId="8" borderId="3" xfId="0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horizontal="right" vertical="center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3" borderId="3" xfId="0" applyFont="1" applyFill="1" applyBorder="1" applyAlignment="1">
      <alignment horizontal="left" vertical="center" wrapText="1"/>
    </xf>
    <xf numFmtId="0" fontId="21" fillId="3" borderId="3" xfId="0" quotePrefix="1" applyFont="1" applyFill="1" applyBorder="1" applyAlignment="1">
      <alignment horizontal="center" vertical="center"/>
    </xf>
    <xf numFmtId="165" fontId="16" fillId="3" borderId="3" xfId="0" applyNumberFormat="1" applyFont="1" applyFill="1" applyBorder="1" applyAlignment="1">
      <alignment horizontal="center" vertical="center" wrapText="1"/>
    </xf>
    <xf numFmtId="165" fontId="16" fillId="3" borderId="3" xfId="0" applyNumberFormat="1" applyFont="1" applyFill="1" applyBorder="1" applyAlignment="1">
      <alignment horizontal="center" vertical="center"/>
    </xf>
    <xf numFmtId="0" fontId="16" fillId="3" borderId="3" xfId="0" quotePrefix="1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center" vertical="center" wrapText="1"/>
    </xf>
    <xf numFmtId="165" fontId="21" fillId="3" borderId="0" xfId="0" applyNumberFormat="1" applyFont="1" applyFill="1" applyAlignment="1">
      <alignment vertical="center"/>
    </xf>
    <xf numFmtId="167" fontId="16" fillId="13" borderId="3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top" wrapText="1"/>
    </xf>
    <xf numFmtId="49" fontId="16" fillId="3" borderId="3" xfId="0" applyNumberFormat="1" applyFont="1" applyFill="1" applyBorder="1" applyAlignment="1">
      <alignment horizontal="left" vertical="center" wrapText="1"/>
    </xf>
    <xf numFmtId="166" fontId="16" fillId="3" borderId="3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wrapText="1"/>
    </xf>
    <xf numFmtId="165" fontId="21" fillId="3" borderId="3" xfId="0" applyNumberFormat="1" applyFont="1" applyFill="1" applyBorder="1" applyAlignment="1">
      <alignment horizontal="center" vertical="center" wrapText="1"/>
    </xf>
    <xf numFmtId="165" fontId="22" fillId="3" borderId="0" xfId="0" applyNumberFormat="1" applyFont="1" applyFill="1" applyAlignment="1">
      <alignment vertical="center"/>
    </xf>
    <xf numFmtId="165" fontId="16" fillId="3" borderId="0" xfId="0" applyNumberFormat="1" applyFont="1" applyFill="1" applyAlignment="1">
      <alignment vertical="center"/>
    </xf>
    <xf numFmtId="165" fontId="16" fillId="3" borderId="7" xfId="0" applyNumberFormat="1" applyFont="1" applyFill="1" applyBorder="1" applyAlignment="1">
      <alignment horizontal="center" vertical="center"/>
    </xf>
    <xf numFmtId="165" fontId="16" fillId="3" borderId="4" xfId="0" applyNumberFormat="1" applyFont="1" applyFill="1" applyBorder="1" applyAlignment="1">
      <alignment horizontal="center" vertical="center" wrapText="1"/>
    </xf>
    <xf numFmtId="164" fontId="16" fillId="3" borderId="3" xfId="3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 wrapText="1" shrinkToFit="1"/>
    </xf>
    <xf numFmtId="0" fontId="21" fillId="3" borderId="3" xfId="0" applyFont="1" applyFill="1" applyBorder="1" applyAlignment="1">
      <alignment horizontal="center" vertical="center" wrapText="1"/>
    </xf>
    <xf numFmtId="167" fontId="16" fillId="3" borderId="3" xfId="0" applyNumberFormat="1" applyFont="1" applyFill="1" applyBorder="1" applyAlignment="1">
      <alignment horizontal="center" vertical="center" wrapText="1"/>
    </xf>
    <xf numFmtId="167" fontId="16" fillId="3" borderId="0" xfId="0" applyNumberFormat="1" applyFont="1" applyFill="1" applyAlignment="1">
      <alignment vertical="center"/>
    </xf>
    <xf numFmtId="167" fontId="16" fillId="3" borderId="3" xfId="0" quotePrefix="1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 applyProtection="1">
      <alignment horizontal="left" vertical="center" wrapText="1"/>
      <protection locked="0"/>
    </xf>
    <xf numFmtId="168" fontId="16" fillId="3" borderId="3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 applyProtection="1">
      <alignment horizontal="left" vertical="center" wrapText="1"/>
      <protection locked="0"/>
    </xf>
    <xf numFmtId="1" fontId="16" fillId="3" borderId="3" xfId="0" applyNumberFormat="1" applyFont="1" applyFill="1" applyBorder="1" applyAlignment="1">
      <alignment horizontal="center" vertical="center" wrapText="1"/>
    </xf>
    <xf numFmtId="167" fontId="16" fillId="3" borderId="3" xfId="2" applyNumberFormat="1" applyFont="1" applyFill="1" applyBorder="1" applyAlignment="1">
      <alignment horizontal="center" vertical="center" wrapText="1"/>
    </xf>
    <xf numFmtId="167" fontId="16" fillId="3" borderId="3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top" wrapText="1"/>
    </xf>
    <xf numFmtId="2" fontId="16" fillId="3" borderId="3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center" vertical="center"/>
    </xf>
    <xf numFmtId="165" fontId="16" fillId="3" borderId="0" xfId="0" applyNumberFormat="1" applyFont="1" applyFill="1" applyAlignment="1">
      <alignment horizontal="left" vertical="center" wrapText="1"/>
    </xf>
    <xf numFmtId="165" fontId="23" fillId="3" borderId="0" xfId="0" applyNumberFormat="1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165" fontId="16" fillId="3" borderId="0" xfId="0" applyNumberFormat="1" applyFont="1" applyFill="1" applyAlignment="1">
      <alignment horizontal="center" vertical="center" wrapText="1"/>
    </xf>
    <xf numFmtId="165" fontId="16" fillId="3" borderId="0" xfId="0" applyNumberFormat="1" applyFont="1" applyFill="1" applyAlignment="1">
      <alignment horizontal="right" vertical="center" wrapText="1"/>
    </xf>
    <xf numFmtId="4" fontId="16" fillId="3" borderId="0" xfId="0" applyNumberFormat="1" applyFont="1" applyFill="1" applyAlignment="1">
      <alignment horizontal="right" vertical="center" wrapText="1"/>
    </xf>
    <xf numFmtId="4" fontId="16" fillId="3" borderId="0" xfId="0" applyNumberFormat="1" applyFont="1" applyFill="1" applyAlignment="1">
      <alignment horizontal="center" vertical="center"/>
    </xf>
    <xf numFmtId="165" fontId="16" fillId="3" borderId="0" xfId="0" applyNumberFormat="1" applyFont="1" applyFill="1" applyAlignment="1">
      <alignment horizontal="center" vertical="center"/>
    </xf>
    <xf numFmtId="164" fontId="24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left" vertical="center"/>
    </xf>
    <xf numFmtId="0" fontId="17" fillId="3" borderId="0" xfId="0" applyFont="1" applyFill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3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49" fontId="16" fillId="3" borderId="5" xfId="0" applyNumberFormat="1" applyFont="1" applyFill="1" applyBorder="1" applyAlignment="1">
      <alignment horizontal="left" vertical="center" wrapText="1"/>
    </xf>
    <xf numFmtId="49" fontId="16" fillId="3" borderId="4" xfId="0" applyNumberFormat="1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 2" xfId="1"/>
    <cellStyle name="Обычный_Узагальнена відомість ФП_10,11,20_ 9 міс.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393"/>
  <sheetViews>
    <sheetView view="pageBreakPreview" topLeftCell="A70" zoomScale="85" zoomScaleNormal="100" zoomScaleSheetLayoutView="85" workbookViewId="0">
      <selection activeCell="F79" sqref="F79"/>
    </sheetView>
  </sheetViews>
  <sheetFormatPr defaultColWidth="8.85546875" defaultRowHeight="18.75" x14ac:dyDescent="0.2"/>
  <cols>
    <col min="1" max="1" width="60" style="1" customWidth="1"/>
    <col min="2" max="2" width="10.85546875" style="92" customWidth="1"/>
    <col min="3" max="4" width="16.42578125" style="92" customWidth="1"/>
    <col min="5" max="5" width="16" style="1" customWidth="1"/>
    <col min="6" max="6" width="15.42578125" style="1" customWidth="1"/>
    <col min="7" max="7" width="18.140625" style="1" customWidth="1"/>
    <col min="8" max="9" width="18.140625" style="1" hidden="1" customWidth="1"/>
    <col min="10" max="10" width="19.5703125" style="1" customWidth="1"/>
    <col min="11" max="11" width="12.85546875" style="1" bestFit="1" customWidth="1"/>
    <col min="12" max="12" width="20.7109375" style="1" customWidth="1"/>
    <col min="13" max="13" width="12.140625" style="1" bestFit="1" customWidth="1"/>
    <col min="14" max="14" width="11.42578125" style="1" bestFit="1" customWidth="1"/>
    <col min="15" max="15" width="11.28515625" style="1" bestFit="1" customWidth="1"/>
    <col min="16" max="16" width="9.85546875" style="1" bestFit="1" customWidth="1"/>
    <col min="17" max="18" width="9.28515625" style="1" bestFit="1" customWidth="1"/>
    <col min="19" max="16384" width="8.85546875" style="1"/>
  </cols>
  <sheetData>
    <row r="1" spans="5:10" x14ac:dyDescent="0.2">
      <c r="G1" s="269" t="s">
        <v>73</v>
      </c>
      <c r="H1" s="269"/>
      <c r="I1" s="269"/>
      <c r="J1" s="269"/>
    </row>
    <row r="2" spans="5:10" x14ac:dyDescent="0.2">
      <c r="G2" s="38"/>
      <c r="H2" s="38"/>
      <c r="I2" s="38"/>
      <c r="J2" s="38"/>
    </row>
    <row r="3" spans="5:10" x14ac:dyDescent="0.2">
      <c r="F3" s="1" t="s">
        <v>52</v>
      </c>
      <c r="J3" s="38"/>
    </row>
    <row r="4" spans="5:10" x14ac:dyDescent="0.2">
      <c r="F4" s="36"/>
      <c r="G4" s="36"/>
      <c r="H4" s="36"/>
      <c r="I4" s="36"/>
      <c r="J4" s="39"/>
    </row>
    <row r="5" spans="5:10" x14ac:dyDescent="0.2">
      <c r="F5" s="268" t="s">
        <v>51</v>
      </c>
      <c r="G5" s="268"/>
      <c r="H5" s="268"/>
      <c r="I5" s="268"/>
      <c r="J5" s="268"/>
    </row>
    <row r="6" spans="5:10" x14ac:dyDescent="0.2">
      <c r="F6" s="36"/>
      <c r="G6" s="36"/>
      <c r="H6" s="36"/>
      <c r="I6" s="36"/>
      <c r="J6" s="39"/>
    </row>
    <row r="7" spans="5:10" x14ac:dyDescent="0.2">
      <c r="F7" s="35" t="s">
        <v>50</v>
      </c>
      <c r="J7" s="38"/>
    </row>
    <row r="8" spans="5:10" x14ac:dyDescent="0.2">
      <c r="F8" s="36"/>
      <c r="G8" s="36"/>
      <c r="H8" s="36"/>
      <c r="I8" s="36"/>
      <c r="J8" s="39"/>
    </row>
    <row r="9" spans="5:10" x14ac:dyDescent="0.2">
      <c r="F9" s="35" t="s">
        <v>45</v>
      </c>
      <c r="J9" s="38"/>
    </row>
    <row r="10" spans="5:10" x14ac:dyDescent="0.2">
      <c r="F10" s="35"/>
      <c r="J10" s="38"/>
    </row>
    <row r="11" spans="5:10" ht="23.25" customHeight="1" x14ac:dyDescent="0.2">
      <c r="E11" s="92"/>
      <c r="F11" s="1" t="s">
        <v>48</v>
      </c>
      <c r="J11" s="38"/>
    </row>
    <row r="12" spans="5:10" ht="23.25" customHeight="1" x14ac:dyDescent="0.2">
      <c r="E12" s="92"/>
      <c r="F12" s="36"/>
      <c r="G12" s="36"/>
      <c r="H12" s="36"/>
      <c r="I12" s="36"/>
      <c r="J12" s="39"/>
    </row>
    <row r="13" spans="5:10" ht="23.25" customHeight="1" x14ac:dyDescent="0.2">
      <c r="E13" s="92"/>
      <c r="F13" s="35" t="s">
        <v>49</v>
      </c>
      <c r="J13" s="38"/>
    </row>
    <row r="14" spans="5:10" ht="23.25" customHeight="1" x14ac:dyDescent="0.2">
      <c r="E14" s="92"/>
      <c r="F14" s="36"/>
      <c r="G14" s="36"/>
      <c r="H14" s="36"/>
      <c r="I14" s="36"/>
      <c r="J14" s="39"/>
    </row>
    <row r="15" spans="5:10" ht="23.25" customHeight="1" x14ac:dyDescent="0.2">
      <c r="E15" s="92"/>
      <c r="F15" s="35" t="s">
        <v>46</v>
      </c>
      <c r="J15" s="38"/>
    </row>
    <row r="16" spans="5:10" ht="23.25" customHeight="1" x14ac:dyDescent="0.2">
      <c r="E16" s="92"/>
      <c r="F16" s="36"/>
      <c r="G16" s="36"/>
      <c r="H16" s="36"/>
      <c r="I16" s="36"/>
      <c r="J16" s="39"/>
    </row>
    <row r="17" spans="1:10" ht="23.25" customHeight="1" x14ac:dyDescent="0.2">
      <c r="E17" s="92"/>
      <c r="F17" s="35" t="s">
        <v>45</v>
      </c>
      <c r="J17" s="38"/>
    </row>
    <row r="18" spans="1:10" ht="23.25" customHeight="1" x14ac:dyDescent="0.2">
      <c r="E18" s="92"/>
      <c r="J18" s="38"/>
    </row>
    <row r="19" spans="1:10" x14ac:dyDescent="0.2">
      <c r="E19" s="92"/>
      <c r="F19" s="1" t="s">
        <v>48</v>
      </c>
    </row>
    <row r="20" spans="1:10" x14ac:dyDescent="0.2">
      <c r="B20" s="1"/>
      <c r="C20" s="1"/>
      <c r="D20" s="1"/>
      <c r="F20" s="37"/>
      <c r="G20" s="37"/>
      <c r="H20" s="37"/>
      <c r="I20" s="37"/>
      <c r="J20" s="37"/>
    </row>
    <row r="21" spans="1:10" x14ac:dyDescent="0.2">
      <c r="A21" s="35"/>
      <c r="B21" s="1"/>
      <c r="C21" s="1"/>
      <c r="D21" s="1"/>
      <c r="F21" s="35" t="s">
        <v>47</v>
      </c>
    </row>
    <row r="22" spans="1:10" x14ac:dyDescent="0.2">
      <c r="B22" s="1"/>
      <c r="C22" s="1"/>
      <c r="D22" s="1"/>
      <c r="F22" s="36"/>
      <c r="G22" s="36"/>
      <c r="H22" s="36"/>
      <c r="I22" s="36"/>
      <c r="J22" s="36"/>
    </row>
    <row r="23" spans="1:10" x14ac:dyDescent="0.2">
      <c r="A23" s="35"/>
      <c r="B23" s="1"/>
      <c r="C23" s="1"/>
      <c r="D23" s="1"/>
      <c r="F23" s="35" t="s">
        <v>46</v>
      </c>
      <c r="G23" s="35"/>
      <c r="H23" s="35"/>
      <c r="I23" s="35"/>
      <c r="J23" s="35"/>
    </row>
    <row r="24" spans="1:10" x14ac:dyDescent="0.2">
      <c r="B24" s="1"/>
      <c r="C24" s="1"/>
      <c r="D24" s="1"/>
      <c r="F24" s="36"/>
      <c r="G24" s="36"/>
      <c r="H24" s="36"/>
      <c r="I24" s="36"/>
      <c r="J24" s="36"/>
    </row>
    <row r="25" spans="1:10" x14ac:dyDescent="0.2">
      <c r="A25" s="35"/>
      <c r="B25" s="1"/>
      <c r="C25" s="1"/>
      <c r="D25" s="1"/>
      <c r="F25" s="35" t="s">
        <v>45</v>
      </c>
      <c r="G25" s="35"/>
      <c r="H25" s="35"/>
      <c r="I25" s="35"/>
      <c r="J25" s="35"/>
    </row>
    <row r="26" spans="1:10" x14ac:dyDescent="0.2">
      <c r="A26" s="35"/>
      <c r="B26" s="1"/>
      <c r="C26" s="1"/>
      <c r="D26" s="1"/>
      <c r="F26" s="35"/>
      <c r="G26" s="46" t="s">
        <v>69</v>
      </c>
      <c r="H26" s="46"/>
      <c r="I26" s="46"/>
      <c r="J26" s="65"/>
    </row>
    <row r="27" spans="1:10" x14ac:dyDescent="0.2">
      <c r="A27" s="35"/>
      <c r="B27" s="1"/>
      <c r="C27" s="1"/>
      <c r="D27" s="1"/>
      <c r="F27" s="35"/>
      <c r="G27" s="46" t="s">
        <v>70</v>
      </c>
      <c r="H27" s="46"/>
      <c r="I27" s="46"/>
      <c r="J27" s="46"/>
    </row>
    <row r="28" spans="1:10" x14ac:dyDescent="0.2">
      <c r="A28" s="35"/>
      <c r="B28" s="1"/>
      <c r="C28" s="1"/>
      <c r="D28" s="1"/>
      <c r="F28" s="35"/>
      <c r="G28" s="46" t="s">
        <v>72</v>
      </c>
      <c r="H28" s="46"/>
      <c r="I28" s="46"/>
      <c r="J28" s="65" t="s">
        <v>162</v>
      </c>
    </row>
    <row r="29" spans="1:10" ht="20.25" customHeight="1" x14ac:dyDescent="0.2">
      <c r="A29" s="35"/>
      <c r="B29" s="1"/>
      <c r="C29" s="1"/>
      <c r="D29" s="1"/>
      <c r="F29" s="35"/>
      <c r="G29" s="271" t="s">
        <v>71</v>
      </c>
      <c r="H29" s="272"/>
      <c r="I29" s="272"/>
      <c r="J29" s="273"/>
    </row>
    <row r="31" spans="1:10" x14ac:dyDescent="0.2">
      <c r="B31" s="259"/>
      <c r="C31" s="259"/>
      <c r="D31" s="90"/>
      <c r="E31" s="34"/>
      <c r="F31" s="67"/>
      <c r="G31" s="260" t="s">
        <v>44</v>
      </c>
      <c r="H31" s="261"/>
      <c r="I31" s="261"/>
      <c r="J31" s="262"/>
    </row>
    <row r="32" spans="1:10" ht="81" customHeight="1" x14ac:dyDescent="0.2">
      <c r="A32" s="31" t="s">
        <v>43</v>
      </c>
      <c r="B32" s="264" t="s">
        <v>143</v>
      </c>
      <c r="C32" s="264"/>
      <c r="D32" s="265"/>
      <c r="E32" s="33" t="s">
        <v>154</v>
      </c>
      <c r="F32" s="91"/>
      <c r="G32" s="270" t="s">
        <v>155</v>
      </c>
      <c r="H32" s="270"/>
      <c r="I32" s="270"/>
      <c r="J32" s="270"/>
    </row>
    <row r="33" spans="1:10" ht="30" customHeight="1" x14ac:dyDescent="0.2">
      <c r="A33" s="31" t="s">
        <v>42</v>
      </c>
      <c r="B33" s="264" t="s">
        <v>144</v>
      </c>
      <c r="C33" s="264"/>
      <c r="D33" s="265"/>
      <c r="E33" s="33" t="s">
        <v>41</v>
      </c>
      <c r="F33" s="33"/>
      <c r="G33" s="253">
        <v>150</v>
      </c>
      <c r="H33" s="253"/>
      <c r="I33" s="253"/>
      <c r="J33" s="253"/>
    </row>
    <row r="34" spans="1:10" ht="18.75" customHeight="1" x14ac:dyDescent="0.2">
      <c r="A34" s="31" t="s">
        <v>40</v>
      </c>
      <c r="B34" s="264" t="s">
        <v>145</v>
      </c>
      <c r="C34" s="264"/>
      <c r="D34" s="265"/>
      <c r="E34" s="33" t="s">
        <v>39</v>
      </c>
      <c r="F34" s="33"/>
      <c r="G34" s="253">
        <v>5910136600</v>
      </c>
      <c r="H34" s="253"/>
      <c r="I34" s="253"/>
      <c r="J34" s="253"/>
    </row>
    <row r="35" spans="1:10" ht="18.75" customHeight="1" x14ac:dyDescent="0.2">
      <c r="A35" s="31" t="s">
        <v>38</v>
      </c>
      <c r="B35" s="264" t="s">
        <v>146</v>
      </c>
      <c r="C35" s="264"/>
      <c r="D35" s="265"/>
      <c r="E35" s="33" t="s">
        <v>37</v>
      </c>
      <c r="F35" s="27"/>
      <c r="G35" s="253"/>
      <c r="H35" s="253"/>
      <c r="I35" s="253"/>
      <c r="J35" s="253"/>
    </row>
    <row r="36" spans="1:10" ht="18" customHeight="1" x14ac:dyDescent="0.2">
      <c r="A36" s="31" t="s">
        <v>36</v>
      </c>
      <c r="B36" s="264" t="s">
        <v>147</v>
      </c>
      <c r="C36" s="264"/>
      <c r="D36" s="265"/>
      <c r="E36" s="33" t="s">
        <v>35</v>
      </c>
      <c r="F36" s="27"/>
      <c r="G36" s="253"/>
      <c r="H36" s="253"/>
      <c r="I36" s="253"/>
      <c r="J36" s="253"/>
    </row>
    <row r="37" spans="1:10" ht="20.25" customHeight="1" x14ac:dyDescent="0.2">
      <c r="A37" s="31" t="s">
        <v>34</v>
      </c>
      <c r="B37" s="264" t="s">
        <v>148</v>
      </c>
      <c r="C37" s="264"/>
      <c r="D37" s="265"/>
      <c r="E37" s="32" t="s">
        <v>33</v>
      </c>
      <c r="F37" s="27"/>
      <c r="G37" s="253" t="s">
        <v>156</v>
      </c>
      <c r="H37" s="253"/>
      <c r="I37" s="253"/>
      <c r="J37" s="253"/>
    </row>
    <row r="38" spans="1:10" ht="18.75" customHeight="1" x14ac:dyDescent="0.2">
      <c r="A38" s="31" t="s">
        <v>32</v>
      </c>
      <c r="B38" s="266" t="s">
        <v>149</v>
      </c>
      <c r="C38" s="266"/>
      <c r="D38" s="267"/>
      <c r="E38" s="263" t="s">
        <v>31</v>
      </c>
      <c r="F38" s="263"/>
      <c r="G38" s="263"/>
      <c r="H38" s="123"/>
      <c r="I38" s="123"/>
      <c r="J38" s="20"/>
    </row>
    <row r="39" spans="1:10" ht="18.75" customHeight="1" x14ac:dyDescent="0.2">
      <c r="A39" s="31" t="s">
        <v>30</v>
      </c>
      <c r="B39" s="266" t="s">
        <v>150</v>
      </c>
      <c r="C39" s="266"/>
      <c r="D39" s="267"/>
      <c r="E39" s="263" t="s">
        <v>29</v>
      </c>
      <c r="F39" s="263"/>
      <c r="G39" s="263"/>
      <c r="H39" s="123"/>
      <c r="I39" s="123"/>
      <c r="J39" s="27"/>
    </row>
    <row r="40" spans="1:10" ht="18.75" customHeight="1" x14ac:dyDescent="0.2">
      <c r="A40" s="31" t="s">
        <v>28</v>
      </c>
      <c r="B40" s="243" t="s">
        <v>151</v>
      </c>
      <c r="C40" s="243"/>
      <c r="D40" s="243"/>
      <c r="E40" s="243"/>
      <c r="F40" s="243"/>
      <c r="G40" s="243"/>
      <c r="H40" s="243"/>
      <c r="I40" s="243"/>
      <c r="J40" s="244"/>
    </row>
    <row r="41" spans="1:10" ht="18.75" customHeight="1" x14ac:dyDescent="0.2">
      <c r="A41" s="31" t="s">
        <v>27</v>
      </c>
      <c r="B41" s="247" t="s">
        <v>152</v>
      </c>
      <c r="C41" s="247"/>
      <c r="D41" s="247"/>
      <c r="E41" s="247"/>
      <c r="F41" s="247"/>
      <c r="G41" s="247"/>
      <c r="H41" s="247"/>
      <c r="I41" s="247"/>
      <c r="J41" s="248"/>
    </row>
    <row r="42" spans="1:10" ht="18.75" customHeight="1" x14ac:dyDescent="0.2">
      <c r="A42" s="31" t="s">
        <v>26</v>
      </c>
      <c r="B42" s="243" t="s">
        <v>153</v>
      </c>
      <c r="C42" s="243"/>
      <c r="D42" s="243"/>
      <c r="E42" s="243"/>
      <c r="F42" s="243"/>
      <c r="G42" s="243"/>
      <c r="H42" s="243"/>
      <c r="I42" s="243"/>
      <c r="J42" s="244"/>
    </row>
    <row r="43" spans="1:10" x14ac:dyDescent="0.2">
      <c r="A43" s="251"/>
      <c r="B43" s="252"/>
      <c r="C43" s="252"/>
      <c r="D43" s="252"/>
      <c r="E43" s="252"/>
      <c r="F43" s="252"/>
      <c r="G43" s="252"/>
      <c r="H43" s="252"/>
      <c r="I43" s="252"/>
      <c r="J43" s="252"/>
    </row>
    <row r="44" spans="1:10" x14ac:dyDescent="0.2">
      <c r="A44" s="251" t="s">
        <v>60</v>
      </c>
      <c r="B44" s="251"/>
      <c r="C44" s="251"/>
      <c r="D44" s="251"/>
      <c r="E44" s="251"/>
      <c r="F44" s="251"/>
      <c r="G44" s="251"/>
      <c r="H44" s="251"/>
      <c r="I44" s="251"/>
      <c r="J44" s="251"/>
    </row>
    <row r="45" spans="1:10" x14ac:dyDescent="0.2">
      <c r="A45" s="255" t="s">
        <v>174</v>
      </c>
      <c r="B45" s="255"/>
      <c r="C45" s="255"/>
      <c r="D45" s="255"/>
      <c r="E45" s="255"/>
      <c r="F45" s="255"/>
      <c r="G45" s="255"/>
      <c r="H45" s="255"/>
      <c r="I45" s="255"/>
      <c r="J45" s="255"/>
    </row>
    <row r="46" spans="1:10" x14ac:dyDescent="0.2">
      <c r="A46" s="93"/>
      <c r="B46" s="30"/>
      <c r="C46" s="93"/>
      <c r="D46" s="93"/>
      <c r="E46" s="93"/>
      <c r="F46" s="93"/>
      <c r="G46" s="93"/>
      <c r="H46" s="122"/>
      <c r="I46" s="122"/>
      <c r="J46" s="93" t="s">
        <v>68</v>
      </c>
    </row>
    <row r="47" spans="1:10" s="28" customFormat="1" ht="18.75" customHeight="1" x14ac:dyDescent="0.2">
      <c r="A47" s="256" t="s">
        <v>25</v>
      </c>
      <c r="B47" s="254" t="s">
        <v>24</v>
      </c>
      <c r="C47" s="254" t="s">
        <v>61</v>
      </c>
      <c r="D47" s="245" t="s">
        <v>62</v>
      </c>
      <c r="E47" s="254" t="s">
        <v>63</v>
      </c>
      <c r="F47" s="254"/>
      <c r="G47" s="254"/>
      <c r="H47" s="254"/>
      <c r="I47" s="254"/>
      <c r="J47" s="254"/>
    </row>
    <row r="48" spans="1:10" s="28" customFormat="1" ht="63" customHeight="1" x14ac:dyDescent="0.2">
      <c r="A48" s="256"/>
      <c r="B48" s="254"/>
      <c r="C48" s="254"/>
      <c r="D48" s="246"/>
      <c r="E48" s="29" t="s">
        <v>64</v>
      </c>
      <c r="F48" s="29" t="s">
        <v>65</v>
      </c>
      <c r="G48" s="29" t="s">
        <v>66</v>
      </c>
      <c r="H48" s="29" t="s">
        <v>175</v>
      </c>
      <c r="I48" s="29" t="s">
        <v>176</v>
      </c>
      <c r="J48" s="29" t="s">
        <v>67</v>
      </c>
    </row>
    <row r="49" spans="1:15" x14ac:dyDescent="0.2">
      <c r="A49" s="22">
        <v>1</v>
      </c>
      <c r="B49" s="20">
        <v>2</v>
      </c>
      <c r="C49" s="20">
        <v>3</v>
      </c>
      <c r="D49" s="20">
        <v>4</v>
      </c>
      <c r="E49" s="20">
        <v>5</v>
      </c>
      <c r="F49" s="20">
        <v>6</v>
      </c>
      <c r="G49" s="20">
        <v>7</v>
      </c>
      <c r="H49" s="20"/>
      <c r="I49" s="20"/>
      <c r="J49" s="20">
        <v>8</v>
      </c>
    </row>
    <row r="50" spans="1:15" ht="25.5" customHeight="1" x14ac:dyDescent="0.2">
      <c r="A50" s="242" t="s">
        <v>23</v>
      </c>
      <c r="B50" s="242"/>
      <c r="C50" s="242"/>
      <c r="D50" s="242"/>
      <c r="E50" s="242"/>
      <c r="F50" s="242"/>
      <c r="G50" s="242"/>
      <c r="H50" s="242"/>
      <c r="I50" s="242"/>
      <c r="J50" s="242"/>
    </row>
    <row r="51" spans="1:15" s="26" customFormat="1" ht="23.25" customHeight="1" x14ac:dyDescent="0.2">
      <c r="A51" s="258" t="s">
        <v>22</v>
      </c>
      <c r="B51" s="258"/>
      <c r="C51" s="258"/>
      <c r="D51" s="258"/>
      <c r="E51" s="258"/>
      <c r="F51" s="258"/>
      <c r="G51" s="258"/>
      <c r="H51" s="258"/>
      <c r="I51" s="258"/>
      <c r="J51" s="258"/>
    </row>
    <row r="52" spans="1:15" s="26" customFormat="1" ht="27.75" customHeight="1" x14ac:dyDescent="0.2">
      <c r="A52" s="14" t="s">
        <v>84</v>
      </c>
      <c r="B52" s="17">
        <v>1000</v>
      </c>
      <c r="C52" s="52">
        <v>77534.600000000006</v>
      </c>
      <c r="D52" s="52">
        <f>E52+F52+G52+J52</f>
        <v>80660.2</v>
      </c>
      <c r="E52" s="54">
        <f t="shared" ref="E52:J52" si="0">E53+E54</f>
        <v>20758.8</v>
      </c>
      <c r="F52" s="52">
        <f t="shared" si="0"/>
        <v>23540.400000000001</v>
      </c>
      <c r="G52" s="52">
        <f t="shared" si="0"/>
        <v>12820.5</v>
      </c>
      <c r="H52" s="153">
        <f t="shared" si="0"/>
        <v>57119.7</v>
      </c>
      <c r="I52" s="132">
        <f t="shared" si="0"/>
        <v>55755.6</v>
      </c>
      <c r="J52" s="52">
        <f t="shared" si="0"/>
        <v>23540.5</v>
      </c>
    </row>
    <row r="53" spans="1:15" s="26" customFormat="1" ht="38.25" customHeight="1" x14ac:dyDescent="0.2">
      <c r="A53" s="49" t="s">
        <v>132</v>
      </c>
      <c r="B53" s="25">
        <v>1001</v>
      </c>
      <c r="C53" s="66">
        <v>77468.5</v>
      </c>
      <c r="D53" s="53">
        <f>E53+F53+G53+J53</f>
        <v>80599.199999999997</v>
      </c>
      <c r="E53" s="95">
        <v>20752.8</v>
      </c>
      <c r="F53" s="95">
        <v>23515.4</v>
      </c>
      <c r="G53" s="95">
        <v>12815.5</v>
      </c>
      <c r="H53" s="95">
        <f>E53+F53+G53</f>
        <v>57083.7</v>
      </c>
      <c r="I53" s="144">
        <v>55743.4</v>
      </c>
      <c r="J53" s="95">
        <v>23515.5</v>
      </c>
      <c r="K53" s="71"/>
      <c r="M53" s="71"/>
      <c r="O53" s="71"/>
    </row>
    <row r="54" spans="1:15" s="26" customFormat="1" ht="23.25" customHeight="1" x14ac:dyDescent="0.2">
      <c r="A54" s="24" t="s">
        <v>101</v>
      </c>
      <c r="B54" s="25">
        <v>1002</v>
      </c>
      <c r="C54" s="66">
        <v>66.099999999999994</v>
      </c>
      <c r="D54" s="53">
        <f>E54+F54+G54+J54</f>
        <v>61</v>
      </c>
      <c r="E54" s="95">
        <v>6</v>
      </c>
      <c r="F54" s="53">
        <v>25</v>
      </c>
      <c r="G54" s="53">
        <v>5</v>
      </c>
      <c r="H54" s="95">
        <f>E54+F54+G54</f>
        <v>36</v>
      </c>
      <c r="I54" s="53">
        <v>12.2</v>
      </c>
      <c r="J54" s="53">
        <v>25</v>
      </c>
      <c r="K54" s="71"/>
      <c r="M54" s="71"/>
    </row>
    <row r="55" spans="1:15" s="26" customFormat="1" x14ac:dyDescent="0.2">
      <c r="A55" s="14" t="s">
        <v>85</v>
      </c>
      <c r="B55" s="17">
        <v>1010</v>
      </c>
      <c r="C55" s="52">
        <v>32677.499999999996</v>
      </c>
      <c r="D55" s="153">
        <f t="shared" ref="D55:J55" si="1">SUM(D56:D67)</f>
        <v>104326.30000000002</v>
      </c>
      <c r="E55" s="153">
        <f t="shared" si="1"/>
        <v>31237.599999999999</v>
      </c>
      <c r="F55" s="153">
        <f t="shared" si="1"/>
        <v>27885.200000000001</v>
      </c>
      <c r="G55" s="153">
        <f t="shared" si="1"/>
        <v>34882.199999999997</v>
      </c>
      <c r="H55" s="153">
        <f t="shared" si="1"/>
        <v>94005</v>
      </c>
      <c r="I55" s="153">
        <f t="shared" si="1"/>
        <v>40159.100000000006</v>
      </c>
      <c r="J55" s="153">
        <f t="shared" si="1"/>
        <v>10321.300000000001</v>
      </c>
      <c r="K55" s="71"/>
      <c r="M55" s="71"/>
    </row>
    <row r="56" spans="1:15" s="26" customFormat="1" ht="37.5" x14ac:dyDescent="0.2">
      <c r="A56" s="91" t="s">
        <v>102</v>
      </c>
      <c r="B56" s="15">
        <v>1011</v>
      </c>
      <c r="C56" s="53">
        <v>1824.7</v>
      </c>
      <c r="D56" s="53">
        <f t="shared" ref="D56:D64" si="2">E56+F56+G56+J56</f>
        <v>1714</v>
      </c>
      <c r="E56" s="95">
        <v>240</v>
      </c>
      <c r="F56" s="53">
        <v>580</v>
      </c>
      <c r="G56" s="53">
        <v>322</v>
      </c>
      <c r="H56" s="53">
        <f t="shared" ref="H56:H64" si="3">E56+F56+G56</f>
        <v>1142</v>
      </c>
      <c r="I56" s="53">
        <v>1118.7</v>
      </c>
      <c r="J56" s="53">
        <v>572</v>
      </c>
      <c r="K56" s="71"/>
      <c r="M56" s="71"/>
    </row>
    <row r="57" spans="1:15" s="26" customFormat="1" x14ac:dyDescent="0.2">
      <c r="A57" s="91" t="s">
        <v>103</v>
      </c>
      <c r="B57" s="15">
        <v>1012</v>
      </c>
      <c r="C57" s="53">
        <v>0</v>
      </c>
      <c r="D57" s="53">
        <f t="shared" si="2"/>
        <v>0</v>
      </c>
      <c r="E57" s="55"/>
      <c r="F57" s="53"/>
      <c r="G57" s="56"/>
      <c r="H57" s="53">
        <f t="shared" si="3"/>
        <v>0</v>
      </c>
      <c r="I57" s="132"/>
      <c r="J57" s="53"/>
      <c r="K57" s="71"/>
      <c r="M57" s="71"/>
    </row>
    <row r="58" spans="1:15" s="26" customFormat="1" x14ac:dyDescent="0.2">
      <c r="A58" s="91" t="s">
        <v>104</v>
      </c>
      <c r="B58" s="15">
        <v>1013</v>
      </c>
      <c r="C58" s="53">
        <v>0</v>
      </c>
      <c r="D58" s="53">
        <f t="shared" si="2"/>
        <v>0</v>
      </c>
      <c r="E58" s="96"/>
      <c r="F58" s="96"/>
      <c r="G58" s="96"/>
      <c r="H58" s="53">
        <f t="shared" si="3"/>
        <v>0</v>
      </c>
      <c r="I58" s="133"/>
      <c r="J58" s="96"/>
      <c r="K58" s="71"/>
      <c r="L58" s="81"/>
      <c r="M58" s="71"/>
    </row>
    <row r="59" spans="1:15" s="80" customFormat="1" x14ac:dyDescent="0.2">
      <c r="A59" s="24" t="s">
        <v>105</v>
      </c>
      <c r="B59" s="25">
        <v>1014</v>
      </c>
      <c r="C59" s="53">
        <v>18851.8</v>
      </c>
      <c r="D59" s="119">
        <f t="shared" si="2"/>
        <v>77560.700000000012</v>
      </c>
      <c r="E59" s="145">
        <v>17855.599999999999</v>
      </c>
      <c r="F59" s="119">
        <v>22202.9</v>
      </c>
      <c r="G59" s="119">
        <f>30450.6+2100</f>
        <v>32550.6</v>
      </c>
      <c r="H59" s="119">
        <f t="shared" si="3"/>
        <v>72609.100000000006</v>
      </c>
      <c r="I59" s="119">
        <v>21888.1</v>
      </c>
      <c r="J59" s="119">
        <v>4951.6000000000004</v>
      </c>
      <c r="K59" s="71"/>
      <c r="L59" s="26"/>
      <c r="M59" s="71"/>
    </row>
    <row r="60" spans="1:15" s="26" customFormat="1" ht="37.5" x14ac:dyDescent="0.2">
      <c r="A60" s="24" t="s">
        <v>106</v>
      </c>
      <c r="B60" s="15">
        <v>1015</v>
      </c>
      <c r="C60" s="53">
        <v>10569.6</v>
      </c>
      <c r="D60" s="53">
        <f t="shared" si="2"/>
        <v>19276</v>
      </c>
      <c r="E60" s="95">
        <v>12000</v>
      </c>
      <c r="F60" s="53">
        <v>3827</v>
      </c>
      <c r="G60" s="53">
        <v>249</v>
      </c>
      <c r="H60" s="53">
        <f t="shared" si="3"/>
        <v>16076</v>
      </c>
      <c r="I60" s="53">
        <v>16075.5</v>
      </c>
      <c r="J60" s="53">
        <v>3200</v>
      </c>
      <c r="K60" s="71">
        <f>H60-I60</f>
        <v>0.5</v>
      </c>
      <c r="M60" s="71"/>
    </row>
    <row r="61" spans="1:15" s="26" customFormat="1" ht="20.25" customHeight="1" x14ac:dyDescent="0.2">
      <c r="A61" s="47" t="s">
        <v>107</v>
      </c>
      <c r="B61" s="15">
        <v>1016</v>
      </c>
      <c r="C61" s="56">
        <v>0</v>
      </c>
      <c r="D61" s="53">
        <f t="shared" si="2"/>
        <v>0</v>
      </c>
      <c r="E61" s="55"/>
      <c r="F61" s="53"/>
      <c r="G61" s="56"/>
      <c r="H61" s="153">
        <f t="shared" si="3"/>
        <v>0</v>
      </c>
      <c r="I61" s="138"/>
      <c r="J61" s="53"/>
      <c r="K61" s="71"/>
      <c r="M61" s="71"/>
    </row>
    <row r="62" spans="1:15" s="26" customFormat="1" ht="37.5" x14ac:dyDescent="0.2">
      <c r="A62" s="91" t="s">
        <v>108</v>
      </c>
      <c r="B62" s="15">
        <v>1017</v>
      </c>
      <c r="C62" s="56">
        <v>23.5</v>
      </c>
      <c r="D62" s="53">
        <f t="shared" si="2"/>
        <v>20.6</v>
      </c>
      <c r="E62" s="95">
        <v>0</v>
      </c>
      <c r="F62" s="53">
        <v>8.3000000000000007</v>
      </c>
      <c r="G62" s="53">
        <v>4.5999999999999996</v>
      </c>
      <c r="H62" s="53">
        <f t="shared" si="3"/>
        <v>12.9</v>
      </c>
      <c r="I62" s="132">
        <v>4.5999999999999996</v>
      </c>
      <c r="J62" s="53">
        <v>7.7</v>
      </c>
      <c r="K62" s="71"/>
      <c r="M62" s="71"/>
    </row>
    <row r="63" spans="1:15" s="26" customFormat="1" ht="37.5" x14ac:dyDescent="0.2">
      <c r="A63" s="91" t="s">
        <v>109</v>
      </c>
      <c r="B63" s="15">
        <v>1018</v>
      </c>
      <c r="C63" s="56">
        <v>27.8</v>
      </c>
      <c r="D63" s="53">
        <f t="shared" si="2"/>
        <v>35</v>
      </c>
      <c r="E63" s="95">
        <v>2</v>
      </c>
      <c r="F63" s="53">
        <v>7</v>
      </c>
      <c r="G63" s="53">
        <v>26</v>
      </c>
      <c r="H63" s="53">
        <f t="shared" si="3"/>
        <v>35</v>
      </c>
      <c r="I63" s="132">
        <v>33.299999999999997</v>
      </c>
      <c r="J63" s="53">
        <v>0</v>
      </c>
      <c r="K63" s="71"/>
      <c r="M63" s="71"/>
    </row>
    <row r="64" spans="1:15" s="26" customFormat="1" ht="75" x14ac:dyDescent="0.2">
      <c r="A64" s="68" t="s">
        <v>157</v>
      </c>
      <c r="B64" s="15">
        <v>1019</v>
      </c>
      <c r="C64" s="58">
        <v>0</v>
      </c>
      <c r="D64" s="53">
        <f t="shared" si="2"/>
        <v>4620</v>
      </c>
      <c r="E64" s="95">
        <v>840</v>
      </c>
      <c r="F64" s="53">
        <v>1260</v>
      </c>
      <c r="G64" s="53">
        <v>1680</v>
      </c>
      <c r="H64" s="53">
        <f t="shared" si="3"/>
        <v>3780</v>
      </c>
      <c r="I64" s="132">
        <v>718.1</v>
      </c>
      <c r="J64" s="53">
        <v>840</v>
      </c>
      <c r="K64" s="71"/>
      <c r="L64" s="80"/>
      <c r="M64" s="71"/>
    </row>
    <row r="65" spans="1:18" s="80" customFormat="1" x14ac:dyDescent="0.2">
      <c r="A65" s="164" t="s">
        <v>164</v>
      </c>
      <c r="B65" s="25" t="s">
        <v>165</v>
      </c>
      <c r="C65" s="45">
        <v>0</v>
      </c>
      <c r="D65" s="53">
        <f t="shared" ref="D65:D74" si="4">E65+F65+G65+J65</f>
        <v>0</v>
      </c>
      <c r="E65" s="95"/>
      <c r="F65" s="53"/>
      <c r="G65" s="53"/>
      <c r="H65" s="53"/>
      <c r="I65" s="53"/>
      <c r="J65" s="53"/>
      <c r="K65" s="71"/>
      <c r="L65" s="26"/>
      <c r="M65" s="71"/>
    </row>
    <row r="66" spans="1:18" s="26" customFormat="1" ht="37.5" x14ac:dyDescent="0.2">
      <c r="A66" s="68" t="s">
        <v>158</v>
      </c>
      <c r="B66" s="15" t="s">
        <v>166</v>
      </c>
      <c r="C66" s="58">
        <v>0</v>
      </c>
      <c r="D66" s="56">
        <f t="shared" si="4"/>
        <v>0</v>
      </c>
      <c r="E66" s="55"/>
      <c r="F66" s="53"/>
      <c r="G66" s="56"/>
      <c r="H66" s="53">
        <f>E66+F66+G66</f>
        <v>0</v>
      </c>
      <c r="I66" s="132"/>
      <c r="J66" s="53"/>
      <c r="K66" s="71"/>
      <c r="M66" s="71"/>
    </row>
    <row r="67" spans="1:18" s="26" customFormat="1" ht="37.5" x14ac:dyDescent="0.2">
      <c r="A67" s="68" t="s">
        <v>171</v>
      </c>
      <c r="B67" s="15" t="s">
        <v>172</v>
      </c>
      <c r="C67" s="58">
        <v>1380.1</v>
      </c>
      <c r="D67" s="56">
        <f t="shared" si="4"/>
        <v>1100</v>
      </c>
      <c r="E67" s="55">
        <v>300</v>
      </c>
      <c r="F67" s="53">
        <v>0</v>
      </c>
      <c r="G67" s="56">
        <v>50</v>
      </c>
      <c r="H67" s="53">
        <f>E67+F67+G67</f>
        <v>350</v>
      </c>
      <c r="I67" s="132">
        <v>320.8</v>
      </c>
      <c r="J67" s="53">
        <v>750</v>
      </c>
      <c r="K67" s="71"/>
      <c r="M67" s="71"/>
    </row>
    <row r="68" spans="1:18" s="26" customFormat="1" ht="23.25" customHeight="1" x14ac:dyDescent="0.2">
      <c r="A68" s="14" t="s">
        <v>82</v>
      </c>
      <c r="B68" s="17">
        <v>1020</v>
      </c>
      <c r="C68" s="52">
        <v>9449.9</v>
      </c>
      <c r="D68" s="52">
        <f t="shared" si="4"/>
        <v>5463.8</v>
      </c>
      <c r="E68" s="52">
        <f t="shared" ref="E68:J68" si="5">E69+E71</f>
        <v>702</v>
      </c>
      <c r="F68" s="52">
        <f t="shared" si="5"/>
        <v>4496.6000000000004</v>
      </c>
      <c r="G68" s="52">
        <f t="shared" si="5"/>
        <v>265.2</v>
      </c>
      <c r="H68" s="52">
        <f t="shared" si="5"/>
        <v>5463.8</v>
      </c>
      <c r="I68" s="52">
        <f t="shared" si="5"/>
        <v>2163.8000000000002</v>
      </c>
      <c r="J68" s="52">
        <f t="shared" si="5"/>
        <v>0</v>
      </c>
      <c r="K68" s="71"/>
      <c r="L68" s="1"/>
      <c r="M68" s="71"/>
    </row>
    <row r="69" spans="1:18" ht="41.25" customHeight="1" x14ac:dyDescent="0.3">
      <c r="A69" s="48" t="s">
        <v>128</v>
      </c>
      <c r="B69" s="25">
        <v>1021</v>
      </c>
      <c r="C69" s="53">
        <v>9443.9</v>
      </c>
      <c r="D69" s="53">
        <f t="shared" si="4"/>
        <v>5428.8</v>
      </c>
      <c r="E69" s="53">
        <v>700</v>
      </c>
      <c r="F69" s="53">
        <v>4490</v>
      </c>
      <c r="G69" s="53">
        <v>238.8</v>
      </c>
      <c r="H69" s="53">
        <f t="shared" ref="H69:H74" si="6">E69+F69+G69</f>
        <v>5428.8</v>
      </c>
      <c r="I69" s="132">
        <v>2130.5</v>
      </c>
      <c r="J69" s="53"/>
      <c r="K69" s="71"/>
      <c r="M69" s="71"/>
    </row>
    <row r="70" spans="1:18" ht="57.75" customHeight="1" x14ac:dyDescent="0.3">
      <c r="A70" s="48" t="s">
        <v>133</v>
      </c>
      <c r="B70" s="25" t="s">
        <v>134</v>
      </c>
      <c r="C70" s="53">
        <v>1350.9</v>
      </c>
      <c r="D70" s="53">
        <f t="shared" si="4"/>
        <v>1364</v>
      </c>
      <c r="E70" s="53">
        <v>1364</v>
      </c>
      <c r="F70" s="53"/>
      <c r="G70" s="53"/>
      <c r="H70" s="53">
        <f t="shared" si="6"/>
        <v>1364</v>
      </c>
      <c r="I70" s="132">
        <v>1364</v>
      </c>
      <c r="J70" s="53"/>
      <c r="K70" s="71"/>
      <c r="M70" s="71"/>
    </row>
    <row r="71" spans="1:18" ht="21" customHeight="1" x14ac:dyDescent="0.3">
      <c r="A71" s="44" t="s">
        <v>110</v>
      </c>
      <c r="B71" s="25">
        <v>1022</v>
      </c>
      <c r="C71" s="53">
        <v>6</v>
      </c>
      <c r="D71" s="53">
        <f t="shared" si="4"/>
        <v>35</v>
      </c>
      <c r="E71" s="53">
        <v>2</v>
      </c>
      <c r="F71" s="53">
        <v>6.6</v>
      </c>
      <c r="G71" s="53">
        <v>26.4</v>
      </c>
      <c r="H71" s="53">
        <f t="shared" si="6"/>
        <v>35</v>
      </c>
      <c r="I71" s="132">
        <v>33.299999999999997</v>
      </c>
      <c r="J71" s="53"/>
      <c r="K71" s="71"/>
      <c r="M71" s="71"/>
    </row>
    <row r="72" spans="1:18" ht="21" customHeight="1" x14ac:dyDescent="0.2">
      <c r="A72" s="49" t="s">
        <v>159</v>
      </c>
      <c r="B72" s="25">
        <v>1023</v>
      </c>
      <c r="C72" s="53">
        <v>0</v>
      </c>
      <c r="D72" s="53">
        <f t="shared" si="4"/>
        <v>0</v>
      </c>
      <c r="E72" s="53"/>
      <c r="F72" s="53"/>
      <c r="G72" s="53"/>
      <c r="H72" s="53">
        <f t="shared" si="6"/>
        <v>0</v>
      </c>
      <c r="I72" s="132"/>
      <c r="J72" s="53"/>
      <c r="K72" s="71"/>
      <c r="L72" s="26"/>
      <c r="M72" s="71"/>
    </row>
    <row r="73" spans="1:18" s="26" customFormat="1" ht="23.25" customHeight="1" x14ac:dyDescent="0.2">
      <c r="A73" s="14" t="s">
        <v>83</v>
      </c>
      <c r="B73" s="17">
        <v>1030</v>
      </c>
      <c r="C73" s="52">
        <v>0</v>
      </c>
      <c r="D73" s="52">
        <f t="shared" si="4"/>
        <v>331</v>
      </c>
      <c r="E73" s="52">
        <f>E74</f>
        <v>0</v>
      </c>
      <c r="F73" s="52">
        <v>119.2</v>
      </c>
      <c r="G73" s="52">
        <f>G74</f>
        <v>211.8</v>
      </c>
      <c r="H73" s="53">
        <f t="shared" si="6"/>
        <v>331</v>
      </c>
      <c r="I73" s="132">
        <f>I74</f>
        <v>330.4</v>
      </c>
      <c r="J73" s="52">
        <f>J74</f>
        <v>0</v>
      </c>
      <c r="K73" s="71"/>
      <c r="L73" s="1"/>
      <c r="M73" s="71"/>
    </row>
    <row r="74" spans="1:18" s="26" customFormat="1" ht="23.25" customHeight="1" x14ac:dyDescent="0.2">
      <c r="A74" s="49" t="s">
        <v>111</v>
      </c>
      <c r="B74" s="25">
        <v>1031</v>
      </c>
      <c r="C74" s="56"/>
      <c r="D74" s="53">
        <f t="shared" si="4"/>
        <v>331</v>
      </c>
      <c r="E74" s="56"/>
      <c r="F74" s="53">
        <v>119.2</v>
      </c>
      <c r="G74" s="53">
        <v>211.8</v>
      </c>
      <c r="H74" s="53">
        <f t="shared" si="6"/>
        <v>331</v>
      </c>
      <c r="I74" s="132">
        <v>330.4</v>
      </c>
      <c r="J74" s="53"/>
      <c r="K74" s="71"/>
      <c r="M74" s="71"/>
      <c r="N74" s="1"/>
      <c r="O74" s="1"/>
      <c r="P74" s="1"/>
      <c r="Q74" s="1"/>
    </row>
    <row r="75" spans="1:18" s="26" customFormat="1" ht="19.5" customHeight="1" x14ac:dyDescent="0.2">
      <c r="A75" s="100" t="s">
        <v>53</v>
      </c>
      <c r="B75" s="101">
        <v>1040</v>
      </c>
      <c r="C75" s="102">
        <v>119662</v>
      </c>
      <c r="D75" s="127">
        <f>D52+D55+D68+D73</f>
        <v>190781.3</v>
      </c>
      <c r="E75" s="102">
        <f>E52+E55+E68+E73+840</f>
        <v>53538.399999999994</v>
      </c>
      <c r="F75" s="102">
        <f>F52+F55+F68+F73+1260</f>
        <v>57301.4</v>
      </c>
      <c r="G75" s="102">
        <f>G52+G55+G68+G73-2100</f>
        <v>46079.7</v>
      </c>
      <c r="H75" s="130">
        <f>H52+H55+H68+H73</f>
        <v>156919.5</v>
      </c>
      <c r="I75" s="135">
        <f>I52+I55+I68+I73</f>
        <v>98408.900000000009</v>
      </c>
      <c r="J75" s="102">
        <f>J52+J55+J68+J73</f>
        <v>33861.800000000003</v>
      </c>
      <c r="K75" s="71"/>
      <c r="M75" s="71"/>
      <c r="R75" s="64"/>
    </row>
    <row r="76" spans="1:18" s="26" customFormat="1" ht="23.25" customHeight="1" x14ac:dyDescent="0.2">
      <c r="A76" s="14" t="s">
        <v>81</v>
      </c>
      <c r="B76" s="17">
        <v>1050</v>
      </c>
      <c r="C76" s="94">
        <v>78251.5</v>
      </c>
      <c r="D76" s="94">
        <f>E76+F76+G76+J76</f>
        <v>107281.94999999998</v>
      </c>
      <c r="E76" s="94">
        <f t="shared" ref="E76:J76" si="7">E77+E78+E79+E84+E85+E86+E87+E88+E83</f>
        <v>21203.899999999998</v>
      </c>
      <c r="F76" s="94">
        <f t="shared" si="7"/>
        <v>28052.1</v>
      </c>
      <c r="G76" s="94">
        <f t="shared" si="7"/>
        <v>34032.9</v>
      </c>
      <c r="H76" s="163">
        <f t="shared" si="7"/>
        <v>74570.3</v>
      </c>
      <c r="I76" s="130">
        <f t="shared" si="7"/>
        <v>72481.899999999994</v>
      </c>
      <c r="J76" s="94">
        <f t="shared" si="7"/>
        <v>23993.049999999996</v>
      </c>
      <c r="K76" s="71"/>
      <c r="L76" s="71"/>
      <c r="M76" s="71"/>
    </row>
    <row r="77" spans="1:18" ht="21" customHeight="1" x14ac:dyDescent="0.2">
      <c r="A77" s="49" t="s">
        <v>113</v>
      </c>
      <c r="B77" s="50">
        <v>1051</v>
      </c>
      <c r="C77" s="57">
        <v>45703.8</v>
      </c>
      <c r="D77" s="53">
        <f>E77+F77+G77+J77</f>
        <v>49767.7</v>
      </c>
      <c r="E77" s="57">
        <v>11755.2</v>
      </c>
      <c r="F77" s="57">
        <f>13257.6</f>
        <v>13257.6</v>
      </c>
      <c r="G77" s="57">
        <f>12362.1+1000-8.1-43</f>
        <v>13311</v>
      </c>
      <c r="H77" s="53">
        <f>E77+F77+G77</f>
        <v>38323.800000000003</v>
      </c>
      <c r="I77" s="132">
        <v>37415.5</v>
      </c>
      <c r="J77" s="57">
        <f>12344.3-901.6-78.7+79.9</f>
        <v>11443.899999999998</v>
      </c>
      <c r="K77" s="71"/>
      <c r="L77" s="108"/>
      <c r="M77" s="71"/>
      <c r="N77" s="26"/>
      <c r="O77" s="26"/>
      <c r="P77" s="26"/>
      <c r="Q77" s="26"/>
    </row>
    <row r="78" spans="1:18" ht="21.75" customHeight="1" x14ac:dyDescent="0.2">
      <c r="A78" s="49" t="s">
        <v>114</v>
      </c>
      <c r="B78" s="50">
        <v>1052</v>
      </c>
      <c r="C78" s="57">
        <v>10122.700000000001</v>
      </c>
      <c r="D78" s="53">
        <f>E78+F78+G78+J78</f>
        <v>10659.449999999999</v>
      </c>
      <c r="E78" s="57">
        <v>2549.9</v>
      </c>
      <c r="F78" s="57">
        <f>2883+0.1</f>
        <v>2883.1</v>
      </c>
      <c r="G78" s="57">
        <f>2729.8+220</f>
        <v>2949.8</v>
      </c>
      <c r="H78" s="53">
        <f>E78+F78+G78</f>
        <v>8382.7999999999993</v>
      </c>
      <c r="I78" s="132">
        <v>8117.5</v>
      </c>
      <c r="J78" s="57">
        <f>2816.1-330.45-209</f>
        <v>2276.65</v>
      </c>
      <c r="K78" s="71"/>
      <c r="L78" s="71"/>
      <c r="M78" s="71"/>
      <c r="N78" s="70"/>
      <c r="O78" s="70"/>
    </row>
    <row r="79" spans="1:18" s="109" customFormat="1" x14ac:dyDescent="0.2">
      <c r="A79" s="104" t="s">
        <v>129</v>
      </c>
      <c r="B79" s="105">
        <v>1053</v>
      </c>
      <c r="C79" s="106">
        <v>4611.2999999999993</v>
      </c>
      <c r="D79" s="106">
        <f t="shared" ref="D79:D88" si="8">E79+F79+G79+J79</f>
        <v>20716.099999999999</v>
      </c>
      <c r="E79" s="106">
        <f>E80+E81+E82</f>
        <v>2010</v>
      </c>
      <c r="F79" s="106">
        <f>F80+F81+F82</f>
        <v>6708.5999999999995</v>
      </c>
      <c r="G79" s="106">
        <f>1982.7+3311.3</f>
        <v>5294</v>
      </c>
      <c r="H79" s="106">
        <f>1982.7+3311.3</f>
        <v>5294</v>
      </c>
      <c r="I79" s="132">
        <f>1982.7+3311.3</f>
        <v>5294</v>
      </c>
      <c r="J79" s="106">
        <f>J80+J81+J82</f>
        <v>6703.5</v>
      </c>
      <c r="K79" s="71"/>
      <c r="L79" s="70"/>
      <c r="M79" s="71"/>
      <c r="N79" s="107"/>
      <c r="O79" s="107"/>
      <c r="P79" s="107"/>
      <c r="Q79" s="107"/>
    </row>
    <row r="80" spans="1:18" ht="59.25" customHeight="1" x14ac:dyDescent="0.2">
      <c r="A80" s="49" t="s">
        <v>100</v>
      </c>
      <c r="B80" s="20" t="s">
        <v>135</v>
      </c>
      <c r="C80" s="56">
        <v>379.2</v>
      </c>
      <c r="D80" s="53">
        <f t="shared" si="8"/>
        <v>392.90000000000003</v>
      </c>
      <c r="E80" s="97">
        <v>60</v>
      </c>
      <c r="F80" s="97">
        <v>206.8</v>
      </c>
      <c r="G80" s="97">
        <v>80.5</v>
      </c>
      <c r="H80" s="146">
        <f>E80+F80+G80</f>
        <v>347.3</v>
      </c>
      <c r="I80" s="136">
        <v>343</v>
      </c>
      <c r="J80" s="97">
        <v>45.6</v>
      </c>
      <c r="K80" s="71"/>
      <c r="L80" s="71"/>
      <c r="M80" s="71"/>
      <c r="N80" s="70"/>
    </row>
    <row r="81" spans="1:17" x14ac:dyDescent="0.2">
      <c r="A81" s="91" t="s">
        <v>79</v>
      </c>
      <c r="B81" s="20" t="s">
        <v>136</v>
      </c>
      <c r="C81" s="56">
        <v>3549.3</v>
      </c>
      <c r="D81" s="53">
        <f t="shared" si="8"/>
        <v>15035.699999999999</v>
      </c>
      <c r="E81" s="55">
        <v>1450</v>
      </c>
      <c r="F81" s="55">
        <f>2672.2+3470.6</f>
        <v>6142.7999999999993</v>
      </c>
      <c r="G81" s="56">
        <v>1300</v>
      </c>
      <c r="H81" s="146">
        <f t="shared" ref="H81:H88" si="9">E81+F81+G81</f>
        <v>8892.7999999999993</v>
      </c>
      <c r="I81" s="132">
        <v>4389.2</v>
      </c>
      <c r="J81" s="53">
        <f>2672.2+3470.7</f>
        <v>6142.9</v>
      </c>
      <c r="K81" s="71"/>
      <c r="M81" s="71"/>
      <c r="N81" s="26"/>
      <c r="O81" s="26"/>
      <c r="P81" s="26"/>
      <c r="Q81" s="26"/>
    </row>
    <row r="82" spans="1:17" x14ac:dyDescent="0.2">
      <c r="A82" s="91" t="s">
        <v>80</v>
      </c>
      <c r="B82" s="20" t="s">
        <v>137</v>
      </c>
      <c r="C82" s="56">
        <v>682.8</v>
      </c>
      <c r="D82" s="53">
        <f t="shared" si="8"/>
        <v>1554</v>
      </c>
      <c r="E82" s="55">
        <v>500</v>
      </c>
      <c r="F82" s="55">
        <v>359</v>
      </c>
      <c r="G82" s="56">
        <v>180</v>
      </c>
      <c r="H82" s="146">
        <f t="shared" si="9"/>
        <v>1039</v>
      </c>
      <c r="I82" s="132">
        <v>998.6</v>
      </c>
      <c r="J82" s="53">
        <v>515</v>
      </c>
      <c r="K82" s="71"/>
      <c r="L82" s="71"/>
      <c r="M82" s="71"/>
    </row>
    <row r="83" spans="1:17" ht="19.5" customHeight="1" x14ac:dyDescent="0.2">
      <c r="A83" s="91" t="s">
        <v>112</v>
      </c>
      <c r="B83" s="15">
        <v>1054</v>
      </c>
      <c r="C83" s="53">
        <v>6789.1</v>
      </c>
      <c r="D83" s="53">
        <f t="shared" si="8"/>
        <v>5817.0000000000009</v>
      </c>
      <c r="E83" s="95">
        <v>1900</v>
      </c>
      <c r="F83" s="69">
        <f>2132.8-405.1</f>
        <v>1727.7000000000003</v>
      </c>
      <c r="G83" s="69">
        <v>600</v>
      </c>
      <c r="H83" s="146">
        <f t="shared" si="9"/>
        <v>4227.7000000000007</v>
      </c>
      <c r="I83" s="69">
        <v>3335.3</v>
      </c>
      <c r="J83" s="69">
        <f>2132.8-405.1-138.4</f>
        <v>1589.3000000000002</v>
      </c>
      <c r="K83" s="71">
        <f>D83+D103+D93</f>
        <v>9263.340000000002</v>
      </c>
      <c r="L83" s="1">
        <v>9263.2999999999993</v>
      </c>
      <c r="M83" s="71">
        <f>K83-L83</f>
        <v>4.0000000002692104E-2</v>
      </c>
      <c r="O83" s="26"/>
      <c r="P83" s="26"/>
      <c r="Q83" s="26"/>
    </row>
    <row r="84" spans="1:17" ht="136.5" customHeight="1" x14ac:dyDescent="0.2">
      <c r="A84" s="49" t="s">
        <v>115</v>
      </c>
      <c r="B84" s="20">
        <v>1055</v>
      </c>
      <c r="C84" s="56">
        <v>3116.1000000000004</v>
      </c>
      <c r="D84" s="53">
        <f t="shared" si="8"/>
        <v>3987.8</v>
      </c>
      <c r="E84" s="55">
        <v>300</v>
      </c>
      <c r="F84" s="98">
        <v>522.6</v>
      </c>
      <c r="G84" s="56">
        <v>1202.5</v>
      </c>
      <c r="H84" s="146">
        <f t="shared" si="9"/>
        <v>2025.1</v>
      </c>
      <c r="I84" s="132">
        <v>2020.6</v>
      </c>
      <c r="J84" s="53">
        <v>1962.7</v>
      </c>
      <c r="K84" s="71"/>
      <c r="L84" s="26"/>
      <c r="M84" s="71"/>
    </row>
    <row r="85" spans="1:17" ht="37.5" x14ac:dyDescent="0.2">
      <c r="A85" s="91" t="s">
        <v>116</v>
      </c>
      <c r="B85" s="20">
        <v>1056</v>
      </c>
      <c r="C85" s="56">
        <v>7836.9</v>
      </c>
      <c r="D85" s="53">
        <f t="shared" si="8"/>
        <v>16268.400000000001</v>
      </c>
      <c r="E85" s="55">
        <v>2656.8</v>
      </c>
      <c r="F85" s="69">
        <v>2936</v>
      </c>
      <c r="G85" s="56">
        <v>10675.6</v>
      </c>
      <c r="H85" s="162">
        <f t="shared" si="9"/>
        <v>16268.400000000001</v>
      </c>
      <c r="I85" s="134">
        <v>16263.4</v>
      </c>
      <c r="J85" s="53"/>
      <c r="K85" s="71"/>
      <c r="M85" s="71"/>
      <c r="N85" s="26"/>
      <c r="O85" s="26"/>
      <c r="P85" s="26"/>
      <c r="Q85" s="26"/>
    </row>
    <row r="86" spans="1:17" x14ac:dyDescent="0.2">
      <c r="A86" s="91" t="s">
        <v>117</v>
      </c>
      <c r="B86" s="20">
        <v>1057</v>
      </c>
      <c r="C86" s="56">
        <v>47</v>
      </c>
      <c r="D86" s="53">
        <f t="shared" si="8"/>
        <v>36.700000000000003</v>
      </c>
      <c r="E86" s="55">
        <v>30</v>
      </c>
      <c r="F86" s="69">
        <v>3.1</v>
      </c>
      <c r="G86" s="56">
        <v>0</v>
      </c>
      <c r="H86" s="146">
        <f t="shared" si="9"/>
        <v>33.1</v>
      </c>
      <c r="I86" s="132">
        <v>29.9</v>
      </c>
      <c r="J86" s="53">
        <v>3.6</v>
      </c>
      <c r="K86" s="71"/>
      <c r="L86" s="26"/>
      <c r="M86" s="71"/>
    </row>
    <row r="87" spans="1:17" ht="39" customHeight="1" x14ac:dyDescent="0.2">
      <c r="A87" s="91" t="s">
        <v>118</v>
      </c>
      <c r="B87" s="20">
        <v>1058</v>
      </c>
      <c r="C87" s="56">
        <v>24.6</v>
      </c>
      <c r="D87" s="53">
        <f t="shared" si="8"/>
        <v>28.8</v>
      </c>
      <c r="E87" s="55">
        <v>2</v>
      </c>
      <c r="F87" s="69">
        <v>13.4</v>
      </c>
      <c r="G87" s="56">
        <v>0</v>
      </c>
      <c r="H87" s="146">
        <f t="shared" si="9"/>
        <v>15.4</v>
      </c>
      <c r="I87" s="132">
        <v>5.7</v>
      </c>
      <c r="J87" s="53">
        <v>13.4</v>
      </c>
      <c r="K87" s="71"/>
      <c r="M87" s="71"/>
      <c r="N87" s="26"/>
      <c r="O87" s="26"/>
      <c r="P87" s="26"/>
      <c r="Q87" s="26"/>
    </row>
    <row r="88" spans="1:17" ht="23.25" customHeight="1" x14ac:dyDescent="0.2">
      <c r="A88" s="91" t="s">
        <v>119</v>
      </c>
      <c r="B88" s="20">
        <v>1059</v>
      </c>
      <c r="C88" s="56">
        <v>0</v>
      </c>
      <c r="D88" s="53">
        <f t="shared" si="8"/>
        <v>0</v>
      </c>
      <c r="E88" s="55">
        <v>0</v>
      </c>
      <c r="F88" s="69"/>
      <c r="G88" s="56"/>
      <c r="H88" s="146">
        <f t="shared" si="9"/>
        <v>0</v>
      </c>
      <c r="I88" s="132"/>
      <c r="J88" s="53"/>
      <c r="K88" s="71"/>
      <c r="L88" s="71"/>
      <c r="M88" s="71"/>
    </row>
    <row r="89" spans="1:17" ht="24.75" customHeight="1" x14ac:dyDescent="0.2">
      <c r="A89" s="14" t="s">
        <v>86</v>
      </c>
      <c r="B89" s="17">
        <v>1060</v>
      </c>
      <c r="C89" s="52">
        <v>20496.600000000002</v>
      </c>
      <c r="D89" s="52">
        <f>E89+F89+G89+J89</f>
        <v>25380.89</v>
      </c>
      <c r="E89" s="52">
        <f>E90+E91+E92+E93+E94+E95+E96+E97+E98</f>
        <v>4916</v>
      </c>
      <c r="F89" s="52">
        <f>F90+F91+F92+F93+F94+F95+F96+F97+F98</f>
        <v>8595.82</v>
      </c>
      <c r="G89" s="52">
        <f>G90+G91+G92+G93+G94+G95+G96+G97+G98</f>
        <v>6054.8499999999995</v>
      </c>
      <c r="H89" s="128">
        <f>E89+F89+G89</f>
        <v>19566.669999999998</v>
      </c>
      <c r="I89" s="132"/>
      <c r="J89" s="52">
        <f>J90+J91+J92+J93+J94+J95+J96+J97+J98</f>
        <v>5814.2199999999993</v>
      </c>
      <c r="K89" s="71"/>
      <c r="M89" s="71"/>
      <c r="N89" s="26"/>
      <c r="O89" s="26"/>
      <c r="P89" s="26"/>
      <c r="Q89" s="26"/>
    </row>
    <row r="90" spans="1:17" ht="24.75" customHeight="1" x14ac:dyDescent="0.2">
      <c r="A90" s="24" t="s">
        <v>113</v>
      </c>
      <c r="B90" s="25">
        <v>1061</v>
      </c>
      <c r="C90" s="53">
        <v>12882.800000000001</v>
      </c>
      <c r="D90" s="53">
        <f>E90+F90+G90+J90</f>
        <v>14967</v>
      </c>
      <c r="E90" s="53">
        <v>3168.7</v>
      </c>
      <c r="F90" s="53">
        <v>4510.1000000000004</v>
      </c>
      <c r="G90" s="53">
        <v>3656.7</v>
      </c>
      <c r="H90" s="53">
        <f>E90+F90+G90</f>
        <v>11335.5</v>
      </c>
      <c r="I90" s="53">
        <v>11514.9</v>
      </c>
      <c r="J90" s="53">
        <v>3631.5</v>
      </c>
      <c r="K90" s="71"/>
      <c r="L90" s="26"/>
      <c r="M90" s="71"/>
    </row>
    <row r="91" spans="1:17" ht="24.75" customHeight="1" x14ac:dyDescent="0.2">
      <c r="A91" s="49" t="s">
        <v>114</v>
      </c>
      <c r="B91" s="50">
        <v>1062</v>
      </c>
      <c r="C91" s="57">
        <v>2856.2</v>
      </c>
      <c r="D91" s="53">
        <f t="shared" ref="D91:D98" si="10">E91+F91+G91+J91</f>
        <v>3371.8</v>
      </c>
      <c r="E91" s="57">
        <v>687.5</v>
      </c>
      <c r="F91" s="57">
        <v>980.4</v>
      </c>
      <c r="G91" s="57">
        <f>804.7+100</f>
        <v>904.7</v>
      </c>
      <c r="H91" s="53">
        <f t="shared" ref="H91:H98" si="11">E91+F91+G91</f>
        <v>2572.6000000000004</v>
      </c>
      <c r="I91" s="132">
        <v>2514.8000000000002</v>
      </c>
      <c r="J91" s="57">
        <v>799.2</v>
      </c>
      <c r="K91" s="71"/>
      <c r="L91" s="70"/>
      <c r="M91" s="71"/>
      <c r="N91" s="26"/>
      <c r="O91" s="71"/>
      <c r="P91" s="26"/>
      <c r="Q91" s="26"/>
    </row>
    <row r="92" spans="1:17" ht="101.25" customHeight="1" x14ac:dyDescent="0.2">
      <c r="A92" s="91" t="s">
        <v>120</v>
      </c>
      <c r="B92" s="15">
        <v>1063</v>
      </c>
      <c r="C92" s="56">
        <v>568.9</v>
      </c>
      <c r="D92" s="53">
        <f t="shared" si="10"/>
        <v>596.60000000000014</v>
      </c>
      <c r="E92" s="53">
        <v>85.9</v>
      </c>
      <c r="F92" s="53">
        <v>314.3</v>
      </c>
      <c r="G92" s="53">
        <f>68.2+60</f>
        <v>128.19999999999999</v>
      </c>
      <c r="H92" s="53">
        <f t="shared" si="11"/>
        <v>528.40000000000009</v>
      </c>
      <c r="I92" s="132">
        <v>514.5</v>
      </c>
      <c r="J92" s="53">
        <v>68.2</v>
      </c>
      <c r="K92" s="71"/>
      <c r="L92" s="71"/>
      <c r="M92" s="71"/>
    </row>
    <row r="93" spans="1:17" ht="27.75" customHeight="1" x14ac:dyDescent="0.2">
      <c r="A93" s="91" t="s">
        <v>112</v>
      </c>
      <c r="B93" s="15">
        <v>1064</v>
      </c>
      <c r="C93" s="56">
        <v>2027.8</v>
      </c>
      <c r="D93" s="53">
        <f t="shared" si="10"/>
        <v>1943.44</v>
      </c>
      <c r="E93" s="114">
        <v>556.6</v>
      </c>
      <c r="F93" s="115">
        <f>637.07-124.3</f>
        <v>512.7700000000001</v>
      </c>
      <c r="G93" s="114">
        <v>237</v>
      </c>
      <c r="H93" s="53">
        <f t="shared" si="11"/>
        <v>1306.3700000000001</v>
      </c>
      <c r="I93" s="137">
        <v>996.3</v>
      </c>
      <c r="J93" s="115">
        <v>637.07000000000005</v>
      </c>
      <c r="K93" s="71"/>
      <c r="M93" s="71"/>
      <c r="N93" s="26"/>
      <c r="O93" s="26"/>
      <c r="P93" s="26"/>
      <c r="Q93" s="26"/>
    </row>
    <row r="94" spans="1:17" ht="101.25" customHeight="1" x14ac:dyDescent="0.2">
      <c r="A94" s="24" t="s">
        <v>138</v>
      </c>
      <c r="B94" s="15">
        <v>1065</v>
      </c>
      <c r="C94" s="56">
        <v>1335.5</v>
      </c>
      <c r="D94" s="53">
        <f t="shared" si="10"/>
        <v>2155.5500000000002</v>
      </c>
      <c r="E94" s="114">
        <v>120.8</v>
      </c>
      <c r="F94" s="115">
        <v>678.25</v>
      </c>
      <c r="G94" s="114">
        <v>678.25</v>
      </c>
      <c r="H94" s="53">
        <f t="shared" si="11"/>
        <v>1477.3</v>
      </c>
      <c r="I94" s="137">
        <v>866</v>
      </c>
      <c r="J94" s="115">
        <v>678.25</v>
      </c>
      <c r="K94" s="71"/>
      <c r="L94" s="26"/>
      <c r="M94" s="71"/>
    </row>
    <row r="95" spans="1:17" ht="37.5" x14ac:dyDescent="0.2">
      <c r="A95" s="91" t="s">
        <v>121</v>
      </c>
      <c r="B95" s="15">
        <v>1066</v>
      </c>
      <c r="C95" s="56">
        <v>817.5</v>
      </c>
      <c r="D95" s="53">
        <f t="shared" si="10"/>
        <v>2341</v>
      </c>
      <c r="E95" s="56">
        <v>293</v>
      </c>
      <c r="F95" s="53">
        <v>1598</v>
      </c>
      <c r="G95" s="56">
        <v>450</v>
      </c>
      <c r="H95" s="53">
        <f t="shared" si="11"/>
        <v>2341</v>
      </c>
      <c r="I95" s="132">
        <v>2234.8000000000002</v>
      </c>
      <c r="J95" s="53"/>
      <c r="K95" s="71"/>
      <c r="M95" s="71"/>
      <c r="N95" s="26"/>
      <c r="O95" s="26"/>
      <c r="P95" s="26"/>
      <c r="Q95" s="26"/>
    </row>
    <row r="96" spans="1:17" ht="27.75" customHeight="1" x14ac:dyDescent="0.2">
      <c r="A96" s="24" t="s">
        <v>117</v>
      </c>
      <c r="B96" s="15">
        <v>1067</v>
      </c>
      <c r="C96" s="56">
        <v>5.2</v>
      </c>
      <c r="D96" s="53">
        <f t="shared" si="10"/>
        <v>4.9000000000000004</v>
      </c>
      <c r="E96" s="56">
        <v>3.3</v>
      </c>
      <c r="F96" s="53">
        <v>1.6</v>
      </c>
      <c r="G96" s="56"/>
      <c r="H96" s="53">
        <f t="shared" si="11"/>
        <v>4.9000000000000004</v>
      </c>
      <c r="I96" s="132">
        <v>3.3</v>
      </c>
      <c r="J96" s="53"/>
      <c r="K96" s="71"/>
      <c r="L96" s="26"/>
      <c r="M96" s="71"/>
    </row>
    <row r="97" spans="1:17" ht="36.75" customHeight="1" x14ac:dyDescent="0.2">
      <c r="A97" s="24" t="s">
        <v>118</v>
      </c>
      <c r="B97" s="15">
        <v>1068</v>
      </c>
      <c r="C97" s="56">
        <v>2.7</v>
      </c>
      <c r="D97" s="53">
        <f t="shared" si="10"/>
        <v>0.60000000000000009</v>
      </c>
      <c r="E97" s="56">
        <v>0.2</v>
      </c>
      <c r="F97" s="53">
        <v>0.4</v>
      </c>
      <c r="G97" s="56"/>
      <c r="H97" s="53">
        <f t="shared" si="11"/>
        <v>0.60000000000000009</v>
      </c>
      <c r="I97" s="132">
        <v>0.6</v>
      </c>
      <c r="J97" s="53"/>
      <c r="K97" s="71"/>
      <c r="M97" s="71"/>
      <c r="N97" s="26"/>
      <c r="O97" s="26"/>
      <c r="P97" s="26"/>
      <c r="Q97" s="26"/>
    </row>
    <row r="98" spans="1:17" ht="29.25" customHeight="1" x14ac:dyDescent="0.2">
      <c r="A98" s="24" t="s">
        <v>119</v>
      </c>
      <c r="B98" s="15">
        <v>1069</v>
      </c>
      <c r="C98" s="56">
        <v>0</v>
      </c>
      <c r="D98" s="53">
        <f t="shared" si="10"/>
        <v>0</v>
      </c>
      <c r="E98" s="56"/>
      <c r="F98" s="53"/>
      <c r="G98" s="56"/>
      <c r="H98" s="53">
        <f t="shared" si="11"/>
        <v>0</v>
      </c>
      <c r="I98" s="132"/>
      <c r="J98" s="53"/>
      <c r="K98" s="71"/>
      <c r="L98" s="26"/>
      <c r="M98" s="71"/>
    </row>
    <row r="99" spans="1:17" ht="26.25" customHeight="1" x14ac:dyDescent="0.2">
      <c r="A99" s="23" t="s">
        <v>87</v>
      </c>
      <c r="B99" s="17">
        <v>1070</v>
      </c>
      <c r="C99" s="52">
        <v>6870.5</v>
      </c>
      <c r="D99" s="52">
        <f t="shared" ref="D99:D113" si="12">E99+F99+G99+J99</f>
        <v>11659.300000000001</v>
      </c>
      <c r="E99" s="52">
        <f t="shared" ref="E99:J99" si="13">E100+E101+E102+E103+E104+E105+E106+E107</f>
        <v>556.50000000000011</v>
      </c>
      <c r="F99" s="52">
        <f t="shared" si="13"/>
        <v>8482.8000000000011</v>
      </c>
      <c r="G99" s="52">
        <f t="shared" si="13"/>
        <v>1736</v>
      </c>
      <c r="H99" s="52">
        <f t="shared" si="13"/>
        <v>10775.3</v>
      </c>
      <c r="I99" s="132">
        <f t="shared" si="13"/>
        <v>2027.4000000000003</v>
      </c>
      <c r="J99" s="52">
        <f t="shared" si="13"/>
        <v>884</v>
      </c>
      <c r="K99" s="71"/>
      <c r="L99" s="121"/>
      <c r="M99" s="71"/>
      <c r="N99" s="26"/>
      <c r="O99" s="26"/>
      <c r="P99" s="26"/>
      <c r="Q99" s="26"/>
    </row>
    <row r="100" spans="1:17" ht="27" customHeight="1" x14ac:dyDescent="0.2">
      <c r="A100" s="91" t="s">
        <v>122</v>
      </c>
      <c r="B100" s="15">
        <v>1071</v>
      </c>
      <c r="C100" s="56">
        <v>3009.3</v>
      </c>
      <c r="D100" s="53">
        <f t="shared" si="12"/>
        <v>9249.6</v>
      </c>
      <c r="E100" s="53">
        <v>230.1</v>
      </c>
      <c r="F100" s="53">
        <v>7783</v>
      </c>
      <c r="G100" s="53">
        <v>1140</v>
      </c>
      <c r="H100" s="53">
        <f>E100+F100+G100</f>
        <v>9153.1</v>
      </c>
      <c r="I100" s="132">
        <v>659.5</v>
      </c>
      <c r="J100" s="53">
        <v>96.5</v>
      </c>
      <c r="K100" s="71"/>
      <c r="L100" s="120"/>
      <c r="M100" s="71"/>
    </row>
    <row r="101" spans="1:17" s="121" customFormat="1" ht="39.75" customHeight="1" x14ac:dyDescent="0.2">
      <c r="A101" s="117" t="s">
        <v>123</v>
      </c>
      <c r="B101" s="118">
        <v>1072</v>
      </c>
      <c r="C101" s="119">
        <v>279.7</v>
      </c>
      <c r="D101" s="119">
        <f t="shared" si="12"/>
        <v>402.7</v>
      </c>
      <c r="E101" s="119">
        <v>95.2</v>
      </c>
      <c r="F101" s="119">
        <v>99.6</v>
      </c>
      <c r="G101" s="119">
        <f>50.7+43</f>
        <v>93.7</v>
      </c>
      <c r="H101" s="53">
        <f t="shared" ref="H101:H107" si="14">E101+F101+G101</f>
        <v>288.5</v>
      </c>
      <c r="I101" s="134">
        <v>287.5</v>
      </c>
      <c r="J101" s="119">
        <v>114.2</v>
      </c>
      <c r="K101" s="71"/>
      <c r="L101" s="1"/>
      <c r="M101" s="71"/>
      <c r="N101" s="120"/>
      <c r="O101" s="120"/>
      <c r="P101" s="120"/>
      <c r="Q101" s="120"/>
    </row>
    <row r="102" spans="1:17" s="121" customFormat="1" ht="41.25" customHeight="1" x14ac:dyDescent="0.2">
      <c r="A102" s="117" t="s">
        <v>139</v>
      </c>
      <c r="B102" s="118">
        <v>1073</v>
      </c>
      <c r="C102" s="119">
        <v>23.5</v>
      </c>
      <c r="D102" s="119">
        <f t="shared" si="12"/>
        <v>27.5</v>
      </c>
      <c r="E102" s="119">
        <v>0</v>
      </c>
      <c r="F102" s="119">
        <v>8.3000000000000007</v>
      </c>
      <c r="G102" s="119">
        <v>11.5</v>
      </c>
      <c r="H102" s="53">
        <f t="shared" si="14"/>
        <v>19.8</v>
      </c>
      <c r="I102" s="134">
        <v>4.5999999999999996</v>
      </c>
      <c r="J102" s="119">
        <v>7.7</v>
      </c>
      <c r="K102" s="71"/>
      <c r="L102" s="26"/>
      <c r="M102" s="71"/>
    </row>
    <row r="103" spans="1:17" ht="26.25" customHeight="1" x14ac:dyDescent="0.2">
      <c r="A103" s="91" t="s">
        <v>124</v>
      </c>
      <c r="B103" s="15">
        <v>1074</v>
      </c>
      <c r="C103" s="56">
        <v>1641.7</v>
      </c>
      <c r="D103" s="53">
        <f>E103+F103+G103+J103</f>
        <v>1502.9</v>
      </c>
      <c r="E103" s="56">
        <v>157.4</v>
      </c>
      <c r="F103" s="56">
        <v>431.2</v>
      </c>
      <c r="G103" s="56">
        <v>370.3</v>
      </c>
      <c r="H103" s="53">
        <f t="shared" si="14"/>
        <v>958.90000000000009</v>
      </c>
      <c r="I103" s="132">
        <v>915.2</v>
      </c>
      <c r="J103" s="53">
        <v>544</v>
      </c>
      <c r="K103" s="71"/>
      <c r="M103" s="71"/>
      <c r="N103" s="26"/>
      <c r="O103" s="26"/>
      <c r="P103" s="26"/>
      <c r="Q103" s="26"/>
    </row>
    <row r="104" spans="1:17" ht="26.25" customHeight="1" x14ac:dyDescent="0.2">
      <c r="A104" s="91" t="s">
        <v>140</v>
      </c>
      <c r="B104" s="15">
        <v>1075</v>
      </c>
      <c r="C104" s="56">
        <v>27.8</v>
      </c>
      <c r="D104" s="53">
        <f t="shared" si="12"/>
        <v>1.2</v>
      </c>
      <c r="E104" s="56">
        <v>0</v>
      </c>
      <c r="F104" s="56">
        <v>0</v>
      </c>
      <c r="G104" s="56"/>
      <c r="H104" s="53">
        <f t="shared" si="14"/>
        <v>0</v>
      </c>
      <c r="I104" s="132">
        <v>0</v>
      </c>
      <c r="J104" s="56">
        <v>1.2</v>
      </c>
      <c r="K104" s="71"/>
      <c r="L104" s="26"/>
      <c r="M104" s="71"/>
    </row>
    <row r="105" spans="1:17" ht="26.25" customHeight="1" x14ac:dyDescent="0.2">
      <c r="A105" s="91" t="s">
        <v>125</v>
      </c>
      <c r="B105" s="15">
        <v>1076</v>
      </c>
      <c r="C105" s="56">
        <v>136.70000000000002</v>
      </c>
      <c r="D105" s="53">
        <f t="shared" si="12"/>
        <v>82.300000000000011</v>
      </c>
      <c r="E105" s="56">
        <v>40.700000000000003</v>
      </c>
      <c r="F105" s="53">
        <v>40.700000000000003</v>
      </c>
      <c r="G105" s="56">
        <v>0.5</v>
      </c>
      <c r="H105" s="53">
        <f t="shared" si="14"/>
        <v>81.900000000000006</v>
      </c>
      <c r="I105" s="132">
        <v>60.7</v>
      </c>
      <c r="J105" s="53">
        <v>0.4</v>
      </c>
      <c r="K105" s="71"/>
      <c r="M105" s="71"/>
      <c r="N105" s="26"/>
      <c r="O105" s="26"/>
      <c r="P105" s="26"/>
      <c r="Q105" s="26"/>
    </row>
    <row r="106" spans="1:17" ht="26.25" customHeight="1" x14ac:dyDescent="0.2">
      <c r="A106" s="91" t="s">
        <v>141</v>
      </c>
      <c r="B106" s="15">
        <v>1077</v>
      </c>
      <c r="C106" s="56">
        <v>168</v>
      </c>
      <c r="D106" s="53">
        <f t="shared" si="12"/>
        <v>393.1</v>
      </c>
      <c r="E106" s="56">
        <v>33.1</v>
      </c>
      <c r="F106" s="56">
        <v>120</v>
      </c>
      <c r="G106" s="56">
        <v>120</v>
      </c>
      <c r="H106" s="53">
        <f t="shared" si="14"/>
        <v>273.10000000000002</v>
      </c>
      <c r="I106" s="132">
        <v>99.9</v>
      </c>
      <c r="J106" s="56">
        <v>120</v>
      </c>
      <c r="K106" s="71"/>
      <c r="M106" s="71"/>
    </row>
    <row r="107" spans="1:17" ht="26.25" customHeight="1" x14ac:dyDescent="0.2">
      <c r="A107" s="91" t="s">
        <v>126</v>
      </c>
      <c r="B107" s="15">
        <v>1078</v>
      </c>
      <c r="C107" s="56">
        <v>1583.8</v>
      </c>
      <c r="D107" s="53">
        <f t="shared" si="12"/>
        <v>0</v>
      </c>
      <c r="E107" s="56">
        <v>0</v>
      </c>
      <c r="F107" s="53">
        <v>0</v>
      </c>
      <c r="G107" s="56">
        <v>0</v>
      </c>
      <c r="H107" s="53">
        <f t="shared" si="14"/>
        <v>0</v>
      </c>
      <c r="I107" s="132"/>
      <c r="J107" s="53"/>
      <c r="K107" s="71"/>
      <c r="L107" s="26"/>
      <c r="M107" s="71"/>
      <c r="N107" s="26"/>
      <c r="O107" s="26"/>
      <c r="P107" s="26"/>
      <c r="Q107" s="26"/>
    </row>
    <row r="108" spans="1:17" ht="23.25" customHeight="1" x14ac:dyDescent="0.2">
      <c r="A108" s="14" t="s">
        <v>88</v>
      </c>
      <c r="B108" s="17">
        <v>1080</v>
      </c>
      <c r="C108" s="52">
        <v>1102.5</v>
      </c>
      <c r="D108" s="52">
        <f t="shared" si="12"/>
        <v>22.599999999999998</v>
      </c>
      <c r="E108" s="52">
        <f t="shared" ref="E108:J108" si="15">SUM(E109:E112)</f>
        <v>18.7</v>
      </c>
      <c r="F108" s="52">
        <f t="shared" si="15"/>
        <v>3.9</v>
      </c>
      <c r="G108" s="52">
        <f t="shared" si="15"/>
        <v>0</v>
      </c>
      <c r="H108" s="52">
        <f t="shared" si="15"/>
        <v>22.599999999999998</v>
      </c>
      <c r="I108" s="132">
        <f t="shared" si="15"/>
        <v>22.6</v>
      </c>
      <c r="J108" s="52">
        <f t="shared" si="15"/>
        <v>0</v>
      </c>
      <c r="K108" s="71"/>
      <c r="L108" s="26"/>
      <c r="M108" s="71"/>
      <c r="N108" s="26"/>
      <c r="O108" s="26"/>
      <c r="P108" s="26"/>
      <c r="Q108" s="26"/>
    </row>
    <row r="109" spans="1:17" ht="26.25" customHeight="1" x14ac:dyDescent="0.2">
      <c r="A109" s="91" t="s">
        <v>127</v>
      </c>
      <c r="B109" s="15" t="s">
        <v>21</v>
      </c>
      <c r="C109" s="56">
        <v>1102.5</v>
      </c>
      <c r="D109" s="53">
        <f t="shared" si="12"/>
        <v>22.599999999999998</v>
      </c>
      <c r="E109" s="56">
        <v>18.7</v>
      </c>
      <c r="F109" s="56">
        <v>3.9</v>
      </c>
      <c r="G109" s="56"/>
      <c r="H109" s="53">
        <f>E109+F109+G109</f>
        <v>22.599999999999998</v>
      </c>
      <c r="I109" s="132">
        <v>22.6</v>
      </c>
      <c r="J109" s="56"/>
      <c r="K109" s="71"/>
      <c r="L109" s="80"/>
      <c r="M109" s="71"/>
    </row>
    <row r="110" spans="1:17" ht="26.25" customHeight="1" x14ac:dyDescent="0.2">
      <c r="A110" s="91" t="s">
        <v>161</v>
      </c>
      <c r="B110" s="15" t="s">
        <v>163</v>
      </c>
      <c r="C110" s="56">
        <v>0</v>
      </c>
      <c r="D110" s="53">
        <f t="shared" si="12"/>
        <v>0</v>
      </c>
      <c r="E110" s="56"/>
      <c r="F110" s="56"/>
      <c r="G110" s="56"/>
      <c r="H110" s="53">
        <f>E110+F110+G110</f>
        <v>0</v>
      </c>
      <c r="I110" s="132"/>
      <c r="J110" s="56"/>
      <c r="K110" s="71"/>
      <c r="L110" s="80"/>
      <c r="M110" s="71"/>
    </row>
    <row r="111" spans="1:17" s="85" customFormat="1" ht="26.25" customHeight="1" x14ac:dyDescent="0.2">
      <c r="A111" s="24" t="s">
        <v>169</v>
      </c>
      <c r="B111" s="25" t="s">
        <v>168</v>
      </c>
      <c r="C111" s="53">
        <v>0</v>
      </c>
      <c r="D111" s="53">
        <f t="shared" si="12"/>
        <v>0</v>
      </c>
      <c r="E111" s="53"/>
      <c r="F111" s="53"/>
      <c r="G111" s="53"/>
      <c r="H111" s="53">
        <f>E111+F111+G111</f>
        <v>0</v>
      </c>
      <c r="I111" s="53"/>
      <c r="J111" s="53"/>
      <c r="K111" s="71"/>
      <c r="L111" s="1"/>
      <c r="M111" s="71"/>
    </row>
    <row r="112" spans="1:17" s="85" customFormat="1" ht="21.75" customHeight="1" x14ac:dyDescent="0.2">
      <c r="A112" s="24" t="s">
        <v>167</v>
      </c>
      <c r="B112" s="25" t="s">
        <v>170</v>
      </c>
      <c r="C112" s="53">
        <v>0</v>
      </c>
      <c r="D112" s="53">
        <f t="shared" si="12"/>
        <v>0</v>
      </c>
      <c r="E112" s="53"/>
      <c r="F112" s="53"/>
      <c r="G112" s="53"/>
      <c r="H112" s="53">
        <f>E112+F112+G112</f>
        <v>0</v>
      </c>
      <c r="I112" s="53"/>
      <c r="J112" s="53"/>
      <c r="K112" s="71"/>
      <c r="L112" s="26"/>
      <c r="M112" s="71"/>
    </row>
    <row r="113" spans="1:17" ht="19.5" customHeight="1" x14ac:dyDescent="0.2">
      <c r="A113" s="100" t="s">
        <v>54</v>
      </c>
      <c r="B113" s="101">
        <v>1090</v>
      </c>
      <c r="C113" s="103">
        <v>106721.1</v>
      </c>
      <c r="D113" s="103">
        <f t="shared" si="12"/>
        <v>144344.74</v>
      </c>
      <c r="E113" s="103">
        <f>E76+E89+E99+E108</f>
        <v>26695.1</v>
      </c>
      <c r="F113" s="103">
        <f>F76+F89+F99+F108</f>
        <v>45134.62</v>
      </c>
      <c r="G113" s="103">
        <f>G76+G89+G99+G108</f>
        <v>41823.75</v>
      </c>
      <c r="H113" s="103">
        <f>H76+H89+H99+H108</f>
        <v>104934.87000000001</v>
      </c>
      <c r="I113" s="103"/>
      <c r="J113" s="103">
        <f>J76+J89+J99+J108</f>
        <v>30691.269999999997</v>
      </c>
      <c r="K113" s="71"/>
      <c r="M113" s="71"/>
      <c r="N113" s="26"/>
      <c r="O113" s="26"/>
      <c r="P113" s="26"/>
      <c r="Q113" s="26"/>
    </row>
    <row r="114" spans="1:17" s="26" customFormat="1" ht="19.5" customHeight="1" x14ac:dyDescent="0.2">
      <c r="A114" s="14" t="s">
        <v>142</v>
      </c>
      <c r="B114" s="17">
        <v>1100</v>
      </c>
      <c r="C114" s="94">
        <v>12940.899999999994</v>
      </c>
      <c r="D114" s="94">
        <f t="shared" ref="D114:J114" si="16">D75-D113</f>
        <v>46436.56</v>
      </c>
      <c r="E114" s="94">
        <f t="shared" si="16"/>
        <v>26843.299999999996</v>
      </c>
      <c r="F114" s="94">
        <f t="shared" si="16"/>
        <v>12166.779999999999</v>
      </c>
      <c r="G114" s="94">
        <f t="shared" si="16"/>
        <v>4255.9499999999971</v>
      </c>
      <c r="H114" s="94">
        <f t="shared" si="16"/>
        <v>51984.62999999999</v>
      </c>
      <c r="I114" s="94"/>
      <c r="J114" s="94">
        <f t="shared" si="16"/>
        <v>3170.5300000000061</v>
      </c>
      <c r="K114" s="71"/>
      <c r="L114" s="1"/>
      <c r="M114" s="71"/>
    </row>
    <row r="115" spans="1:17" ht="32.25" customHeight="1" x14ac:dyDescent="0.2">
      <c r="A115" s="242" t="s">
        <v>55</v>
      </c>
      <c r="B115" s="242"/>
      <c r="C115" s="242"/>
      <c r="D115" s="242"/>
      <c r="E115" s="242"/>
      <c r="F115" s="242"/>
      <c r="G115" s="242"/>
      <c r="H115" s="242"/>
      <c r="I115" s="242"/>
      <c r="J115" s="242"/>
      <c r="K115" s="71"/>
      <c r="M115" s="71"/>
      <c r="N115" s="26"/>
      <c r="O115" s="26"/>
      <c r="P115" s="26"/>
      <c r="Q115" s="26"/>
    </row>
    <row r="116" spans="1:17" ht="27" customHeight="1" x14ac:dyDescent="0.2">
      <c r="A116" s="14" t="s">
        <v>89</v>
      </c>
      <c r="B116" s="18">
        <v>2000</v>
      </c>
      <c r="C116" s="40">
        <v>7632.6</v>
      </c>
      <c r="D116" s="40">
        <f>E116+F116+G116+J116</f>
        <v>59283.580999999998</v>
      </c>
      <c r="E116" s="40">
        <f t="shared" ref="E116:J116" si="17">SUM(E117:E122)</f>
        <v>14560.778000000002</v>
      </c>
      <c r="F116" s="40">
        <f t="shared" si="17"/>
        <v>13156.770000000002</v>
      </c>
      <c r="G116" s="40">
        <f t="shared" si="17"/>
        <v>30035.080999999998</v>
      </c>
      <c r="H116" s="40">
        <f t="shared" si="17"/>
        <v>57752.629000000001</v>
      </c>
      <c r="I116" s="40">
        <f t="shared" si="17"/>
        <v>10050.299999999999</v>
      </c>
      <c r="J116" s="40">
        <f t="shared" si="17"/>
        <v>1530.952</v>
      </c>
      <c r="K116" s="71"/>
      <c r="M116" s="71"/>
    </row>
    <row r="117" spans="1:17" ht="24.75" customHeight="1" x14ac:dyDescent="0.2">
      <c r="A117" s="91" t="s">
        <v>91</v>
      </c>
      <c r="B117" s="20">
        <v>2010</v>
      </c>
      <c r="C117" s="41">
        <v>0</v>
      </c>
      <c r="D117" s="42">
        <f t="shared" ref="D117:D122" si="18">E117+F117+G117+J117</f>
        <v>0</v>
      </c>
      <c r="E117" s="41"/>
      <c r="F117" s="41"/>
      <c r="G117" s="41"/>
      <c r="H117" s="42">
        <f t="shared" ref="H117:H122" si="19">E117+F117+G117</f>
        <v>0</v>
      </c>
      <c r="I117" s="139"/>
      <c r="J117" s="45"/>
      <c r="K117" s="71"/>
      <c r="L117" s="26"/>
      <c r="M117" s="71"/>
      <c r="N117" s="26"/>
      <c r="O117" s="26"/>
      <c r="P117" s="26"/>
      <c r="Q117" s="26"/>
    </row>
    <row r="118" spans="1:17" s="85" customFormat="1" x14ac:dyDescent="0.2">
      <c r="A118" s="77" t="s">
        <v>92</v>
      </c>
      <c r="B118" s="86">
        <v>2020</v>
      </c>
      <c r="C118" s="87">
        <v>856.8</v>
      </c>
      <c r="D118" s="88">
        <f t="shared" si="18"/>
        <v>4485.2000000000007</v>
      </c>
      <c r="E118" s="83">
        <f>71.3+3500+58.8</f>
        <v>3630.1000000000004</v>
      </c>
      <c r="F118" s="83">
        <v>55.1</v>
      </c>
      <c r="G118" s="83">
        <f>800</f>
        <v>800</v>
      </c>
      <c r="H118" s="42">
        <f t="shared" si="19"/>
        <v>4485.2000000000007</v>
      </c>
      <c r="I118" s="140">
        <v>3672.6</v>
      </c>
      <c r="J118" s="83">
        <v>0</v>
      </c>
      <c r="K118" s="71"/>
      <c r="M118" s="71"/>
    </row>
    <row r="119" spans="1:17" ht="37.5" x14ac:dyDescent="0.2">
      <c r="A119" s="91" t="s">
        <v>93</v>
      </c>
      <c r="B119" s="20">
        <v>2030</v>
      </c>
      <c r="C119" s="41">
        <v>545.9</v>
      </c>
      <c r="D119" s="42">
        <f t="shared" si="18"/>
        <v>0</v>
      </c>
      <c r="E119" s="41"/>
      <c r="F119" s="41"/>
      <c r="G119" s="41"/>
      <c r="H119" s="42">
        <f t="shared" si="19"/>
        <v>0</v>
      </c>
      <c r="I119" s="139"/>
      <c r="J119" s="59">
        <v>0</v>
      </c>
      <c r="K119" s="71"/>
      <c r="L119" s="26"/>
      <c r="M119" s="71"/>
      <c r="N119" s="26"/>
      <c r="O119" s="26"/>
      <c r="P119" s="26"/>
      <c r="Q119" s="26"/>
    </row>
    <row r="120" spans="1:17" ht="22.5" customHeight="1" x14ac:dyDescent="0.2">
      <c r="A120" s="91" t="s">
        <v>94</v>
      </c>
      <c r="B120" s="20">
        <v>2040</v>
      </c>
      <c r="C120" s="43">
        <v>0</v>
      </c>
      <c r="D120" s="42">
        <f t="shared" si="18"/>
        <v>0</v>
      </c>
      <c r="E120" s="41"/>
      <c r="F120" s="41"/>
      <c r="G120" s="41"/>
      <c r="H120" s="42">
        <f t="shared" si="19"/>
        <v>0</v>
      </c>
      <c r="I120" s="139"/>
      <c r="J120" s="59">
        <v>0</v>
      </c>
      <c r="K120" s="71"/>
      <c r="M120" s="71"/>
    </row>
    <row r="121" spans="1:17" ht="39" customHeight="1" x14ac:dyDescent="0.2">
      <c r="A121" s="91" t="s">
        <v>95</v>
      </c>
      <c r="B121" s="20">
        <v>2050</v>
      </c>
      <c r="C121" s="41">
        <v>0</v>
      </c>
      <c r="D121" s="42">
        <f t="shared" si="18"/>
        <v>0</v>
      </c>
      <c r="E121" s="41"/>
      <c r="F121" s="41"/>
      <c r="G121" s="41"/>
      <c r="H121" s="42">
        <f t="shared" si="19"/>
        <v>0</v>
      </c>
      <c r="I121" s="139"/>
      <c r="J121" s="59"/>
      <c r="K121" s="71"/>
      <c r="L121" s="26"/>
      <c r="M121" s="71"/>
      <c r="N121" s="26"/>
      <c r="O121" s="26"/>
      <c r="P121" s="26"/>
      <c r="Q121" s="26"/>
    </row>
    <row r="122" spans="1:17" s="85" customFormat="1" ht="22.5" customHeight="1" x14ac:dyDescent="0.2">
      <c r="A122" s="77" t="s">
        <v>96</v>
      </c>
      <c r="B122" s="86">
        <v>2060</v>
      </c>
      <c r="C122" s="88">
        <v>6229.9000000000005</v>
      </c>
      <c r="D122" s="88">
        <f t="shared" si="18"/>
        <v>54798.381000000001</v>
      </c>
      <c r="E122" s="88">
        <v>10930.678000000002</v>
      </c>
      <c r="F122" s="88">
        <v>13101.670000000002</v>
      </c>
      <c r="G122" s="88">
        <v>29235.080999999998</v>
      </c>
      <c r="H122" s="42">
        <f t="shared" si="19"/>
        <v>53267.429000000004</v>
      </c>
      <c r="I122" s="139">
        <v>6377.7</v>
      </c>
      <c r="J122" s="83">
        <v>1530.952</v>
      </c>
      <c r="K122" s="71"/>
      <c r="M122" s="71"/>
    </row>
    <row r="123" spans="1:17" ht="22.5" customHeight="1" x14ac:dyDescent="0.2">
      <c r="A123" s="91" t="s">
        <v>20</v>
      </c>
      <c r="B123" s="20">
        <v>2100</v>
      </c>
      <c r="C123" s="41">
        <v>141273.79999999999</v>
      </c>
      <c r="D123" s="42">
        <f>J123</f>
        <v>154082.79999999999</v>
      </c>
      <c r="E123" s="41">
        <v>143475.9</v>
      </c>
      <c r="F123" s="42">
        <v>147609.70000000001</v>
      </c>
      <c r="G123" s="41">
        <v>154082.79999999999</v>
      </c>
      <c r="H123" s="42"/>
      <c r="I123" s="139"/>
      <c r="J123" s="59">
        <v>154082.79999999999</v>
      </c>
      <c r="K123" s="71"/>
      <c r="L123" s="26"/>
      <c r="M123" s="71"/>
      <c r="N123" s="26"/>
      <c r="O123" s="26"/>
      <c r="P123" s="26"/>
      <c r="Q123" s="26"/>
    </row>
    <row r="124" spans="1:17" ht="22.5" customHeight="1" x14ac:dyDescent="0.2">
      <c r="A124" s="91" t="s">
        <v>19</v>
      </c>
      <c r="B124" s="20">
        <v>2200</v>
      </c>
      <c r="C124" s="41">
        <v>63884.9</v>
      </c>
      <c r="D124" s="42">
        <f>J124</f>
        <v>72767.399999999994</v>
      </c>
      <c r="E124" s="41">
        <v>66776</v>
      </c>
      <c r="F124" s="42">
        <v>69787</v>
      </c>
      <c r="G124" s="41">
        <v>72767.399999999994</v>
      </c>
      <c r="H124" s="42"/>
      <c r="I124" s="139"/>
      <c r="J124" s="59">
        <v>72767.399999999994</v>
      </c>
      <c r="K124" s="71"/>
      <c r="M124" s="71"/>
    </row>
    <row r="125" spans="1:17" ht="25.5" customHeight="1" x14ac:dyDescent="0.2">
      <c r="A125" s="242" t="s">
        <v>56</v>
      </c>
      <c r="B125" s="242"/>
      <c r="C125" s="242"/>
      <c r="D125" s="242"/>
      <c r="E125" s="242"/>
      <c r="F125" s="242"/>
      <c r="G125" s="242"/>
      <c r="H125" s="242"/>
      <c r="I125" s="242"/>
      <c r="J125" s="242"/>
      <c r="K125" s="71"/>
      <c r="M125" s="71"/>
      <c r="N125" s="26"/>
      <c r="O125" s="26"/>
      <c r="P125" s="26"/>
      <c r="Q125" s="26"/>
    </row>
    <row r="126" spans="1:17" ht="46.5" customHeight="1" x14ac:dyDescent="0.2">
      <c r="A126" s="21" t="s">
        <v>90</v>
      </c>
      <c r="B126" s="20">
        <v>3010</v>
      </c>
      <c r="C126" s="60">
        <v>0.15754207684979357</v>
      </c>
      <c r="D126" s="60">
        <f t="shared" ref="D126:J126" si="20">(D59/D75)</f>
        <v>0.40654246511581593</v>
      </c>
      <c r="E126" s="60">
        <v>0.34899999999999998</v>
      </c>
      <c r="F126" s="60">
        <v>0.40899999999999997</v>
      </c>
      <c r="G126" s="60">
        <f t="shared" si="20"/>
        <v>0.70639782811086016</v>
      </c>
      <c r="H126" s="60">
        <f t="shared" si="20"/>
        <v>0.46271559621334507</v>
      </c>
      <c r="I126" s="60">
        <f t="shared" si="20"/>
        <v>0.22241992340123704</v>
      </c>
      <c r="J126" s="60">
        <f t="shared" si="20"/>
        <v>0.14622967473672396</v>
      </c>
      <c r="K126" s="71"/>
      <c r="L126" s="26"/>
      <c r="M126" s="71"/>
    </row>
    <row r="127" spans="1:17" ht="37.5" x14ac:dyDescent="0.2">
      <c r="A127" s="91" t="s">
        <v>18</v>
      </c>
      <c r="B127" s="20">
        <v>3020</v>
      </c>
      <c r="C127" s="60">
        <v>8.2616277380949024E-2</v>
      </c>
      <c r="D127" s="60">
        <f t="shared" ref="D127:J127" si="21">(D83+D93)/D113</f>
        <v>5.3763233769377403E-2</v>
      </c>
      <c r="E127" s="60">
        <f t="shared" si="21"/>
        <v>9.2024379005884976E-2</v>
      </c>
      <c r="F127" s="60">
        <f t="shared" si="21"/>
        <v>4.9639722235392703E-2</v>
      </c>
      <c r="G127" s="60">
        <f t="shared" si="21"/>
        <v>2.0012552676409934E-2</v>
      </c>
      <c r="H127" s="60">
        <f t="shared" si="21"/>
        <v>5.2738141287066921E-2</v>
      </c>
      <c r="I127" s="60" t="e">
        <f t="shared" si="21"/>
        <v>#DIV/0!</v>
      </c>
      <c r="J127" s="60">
        <f t="shared" si="21"/>
        <v>7.2540823498017534E-2</v>
      </c>
      <c r="K127" s="71"/>
      <c r="M127" s="71"/>
      <c r="N127" s="26"/>
      <c r="O127" s="26"/>
      <c r="P127" s="26"/>
      <c r="Q127" s="26"/>
    </row>
    <row r="128" spans="1:17" ht="37.5" x14ac:dyDescent="0.2">
      <c r="A128" s="91" t="s">
        <v>59</v>
      </c>
      <c r="B128" s="20">
        <v>3030</v>
      </c>
      <c r="C128" s="60">
        <v>7.1519127895046053E-2</v>
      </c>
      <c r="D128" s="60">
        <f>(D116/D113)</f>
        <v>0.41070828767296957</v>
      </c>
      <c r="E128" s="60">
        <f>(E116/E113)</f>
        <v>0.54544759150555733</v>
      </c>
      <c r="F128" s="60">
        <f>(F116/F113)</f>
        <v>0.29150062634846602</v>
      </c>
      <c r="G128" s="60">
        <f>(G116/G113)</f>
        <v>0.71813457664604441</v>
      </c>
      <c r="H128" s="60">
        <f t="shared" ref="H128:I131" si="22">(H84+H94)/H114</f>
        <v>6.737376028260661E-2</v>
      </c>
      <c r="I128" s="60" t="e">
        <f t="shared" si="22"/>
        <v>#DIV/0!</v>
      </c>
      <c r="J128" s="60">
        <f>(J116/J113)</f>
        <v>4.9882328101769659E-2</v>
      </c>
      <c r="K128" s="71"/>
      <c r="L128" s="26"/>
      <c r="M128" s="71"/>
    </row>
    <row r="129" spans="1:17" ht="37.5" x14ac:dyDescent="0.2">
      <c r="A129" s="91" t="s">
        <v>17</v>
      </c>
      <c r="B129" s="20">
        <v>3040</v>
      </c>
      <c r="C129" s="60">
        <v>0.67342540509796101</v>
      </c>
      <c r="D129" s="60">
        <f>(D157/D113)</f>
        <v>0.54865985417965346</v>
      </c>
      <c r="E129" s="60">
        <f>(E157/E113)</f>
        <v>0.68388955276436503</v>
      </c>
      <c r="F129" s="60">
        <f>(F157/F113)</f>
        <v>0.4814641177880748</v>
      </c>
      <c r="G129" s="60">
        <f>(G157/G113)</f>
        <v>0.50057161301891862</v>
      </c>
      <c r="H129" s="60" t="e">
        <f t="shared" si="22"/>
        <v>#DIV/0!</v>
      </c>
      <c r="I129" s="60" t="e">
        <f t="shared" si="22"/>
        <v>#DIV/0!</v>
      </c>
      <c r="J129" s="60">
        <f>(J157/J113)</f>
        <v>0.5953869618298625</v>
      </c>
      <c r="K129" s="71"/>
      <c r="M129" s="71"/>
      <c r="N129" s="26"/>
      <c r="O129" s="26"/>
      <c r="P129" s="26"/>
      <c r="Q129" s="26"/>
    </row>
    <row r="130" spans="1:17" ht="27.75" customHeight="1" x14ac:dyDescent="0.2">
      <c r="A130" s="21" t="s">
        <v>16</v>
      </c>
      <c r="B130" s="20">
        <v>3050</v>
      </c>
      <c r="C130" s="41">
        <v>0.45220628311831357</v>
      </c>
      <c r="D130" s="41">
        <f t="shared" ref="D130:J130" si="23">D124/D123</f>
        <v>0.47226166710366113</v>
      </c>
      <c r="E130" s="41">
        <f t="shared" si="23"/>
        <v>0.46541614305956613</v>
      </c>
      <c r="F130" s="41">
        <f t="shared" si="23"/>
        <v>0.47278058284787516</v>
      </c>
      <c r="G130" s="41">
        <f t="shared" si="23"/>
        <v>0.47226166710366113</v>
      </c>
      <c r="H130" s="60">
        <f t="shared" si="22"/>
        <v>6.5797870431145219E-4</v>
      </c>
      <c r="I130" s="60">
        <f t="shared" si="22"/>
        <v>3.3033839785877035E-3</v>
      </c>
      <c r="J130" s="41">
        <f t="shared" si="23"/>
        <v>0.47226166710366113</v>
      </c>
      <c r="K130" s="71"/>
      <c r="L130" s="26"/>
      <c r="M130" s="71"/>
    </row>
    <row r="131" spans="1:17" ht="37.5" x14ac:dyDescent="0.2">
      <c r="A131" s="21" t="s">
        <v>15</v>
      </c>
      <c r="B131" s="20">
        <v>3060</v>
      </c>
      <c r="C131" s="41">
        <v>0.18377748080601627</v>
      </c>
      <c r="D131" s="41">
        <f>(D118+D119)/D116</f>
        <v>7.5656698268615069E-2</v>
      </c>
      <c r="E131" s="41">
        <f>(E118+E119)/E116</f>
        <v>0.24930673347262075</v>
      </c>
      <c r="F131" s="41">
        <f>(F118+F119)/F116</f>
        <v>4.1879579866486985E-3</v>
      </c>
      <c r="G131" s="41">
        <f>(G118+G119)/G116</f>
        <v>2.6635519977455696E-2</v>
      </c>
      <c r="H131" s="60" t="e">
        <f t="shared" si="22"/>
        <v>#DIV/0!</v>
      </c>
      <c r="I131" s="60" t="e">
        <f t="shared" si="22"/>
        <v>#DIV/0!</v>
      </c>
      <c r="J131" s="41">
        <v>0</v>
      </c>
      <c r="K131" s="71"/>
      <c r="M131" s="71"/>
      <c r="N131" s="26"/>
      <c r="O131" s="26"/>
      <c r="P131" s="26"/>
      <c r="Q131" s="26"/>
    </row>
    <row r="132" spans="1:17" ht="22.5" customHeight="1" x14ac:dyDescent="0.2">
      <c r="A132" s="257" t="s">
        <v>57</v>
      </c>
      <c r="B132" s="257"/>
      <c r="C132" s="257"/>
      <c r="D132" s="257"/>
      <c r="E132" s="257"/>
      <c r="F132" s="257"/>
      <c r="G132" s="257"/>
      <c r="H132" s="257"/>
      <c r="I132" s="257"/>
      <c r="J132" s="257"/>
      <c r="L132" s="26"/>
      <c r="M132" s="71"/>
    </row>
    <row r="133" spans="1:17" ht="21.75" customHeight="1" x14ac:dyDescent="0.2">
      <c r="A133" s="21" t="s">
        <v>14</v>
      </c>
      <c r="B133" s="20">
        <v>4010</v>
      </c>
      <c r="C133" s="41">
        <v>81579.600000000006</v>
      </c>
      <c r="D133" s="41">
        <f t="shared" ref="D133:D139" si="24">J133</f>
        <v>111009</v>
      </c>
      <c r="E133" s="41">
        <v>105546.2</v>
      </c>
      <c r="F133" s="41">
        <v>110156.3</v>
      </c>
      <c r="G133" s="41">
        <v>111009</v>
      </c>
      <c r="H133" s="131"/>
      <c r="I133" s="41">
        <v>111009</v>
      </c>
      <c r="J133" s="41">
        <v>111009</v>
      </c>
      <c r="K133" s="26"/>
      <c r="M133" s="71"/>
      <c r="N133" s="26"/>
      <c r="O133" s="26"/>
      <c r="P133" s="26"/>
      <c r="Q133" s="26"/>
    </row>
    <row r="134" spans="1:17" ht="21.75" customHeight="1" x14ac:dyDescent="0.2">
      <c r="A134" s="51" t="s">
        <v>130</v>
      </c>
      <c r="B134" s="20">
        <v>4020</v>
      </c>
      <c r="C134" s="41">
        <v>38938</v>
      </c>
      <c r="D134" s="41">
        <f t="shared" si="24"/>
        <v>42925.9</v>
      </c>
      <c r="E134" s="41">
        <v>45342.5</v>
      </c>
      <c r="F134" s="41">
        <v>47130.2</v>
      </c>
      <c r="G134" s="41">
        <v>42925.9</v>
      </c>
      <c r="H134" s="131"/>
      <c r="I134" s="41">
        <v>42925.9</v>
      </c>
      <c r="J134" s="41">
        <v>42925.9</v>
      </c>
      <c r="L134" s="26"/>
      <c r="M134" s="71"/>
    </row>
    <row r="135" spans="1:17" ht="21.75" customHeight="1" x14ac:dyDescent="0.2">
      <c r="A135" s="51" t="s">
        <v>97</v>
      </c>
      <c r="B135" s="20">
        <v>4021</v>
      </c>
      <c r="C135" s="41">
        <v>6514.2</v>
      </c>
      <c r="D135" s="41">
        <f t="shared" si="24"/>
        <v>5405.5</v>
      </c>
      <c r="E135" s="42">
        <v>9910</v>
      </c>
      <c r="F135" s="42">
        <v>10082.299999999999</v>
      </c>
      <c r="G135" s="42">
        <v>5405.5</v>
      </c>
      <c r="H135" s="131"/>
      <c r="I135" s="42">
        <v>5405.5</v>
      </c>
      <c r="J135" s="42">
        <v>5405.5</v>
      </c>
      <c r="K135" s="26"/>
      <c r="L135" s="70"/>
      <c r="M135" s="71"/>
      <c r="N135" s="26"/>
      <c r="O135" s="26"/>
      <c r="P135" s="26"/>
      <c r="Q135" s="26"/>
    </row>
    <row r="136" spans="1:17" ht="21.75" customHeight="1" x14ac:dyDescent="0.2">
      <c r="A136" s="14" t="s">
        <v>13</v>
      </c>
      <c r="B136" s="18">
        <v>4030</v>
      </c>
      <c r="C136" s="40">
        <v>120517.6</v>
      </c>
      <c r="D136" s="40">
        <f t="shared" si="24"/>
        <v>153934.9</v>
      </c>
      <c r="E136" s="40">
        <f>E133+E134</f>
        <v>150888.70000000001</v>
      </c>
      <c r="F136" s="40">
        <v>157286.5</v>
      </c>
      <c r="G136" s="40">
        <f>G133+G134</f>
        <v>153934.9</v>
      </c>
      <c r="H136" s="40">
        <f>H133+H134</f>
        <v>0</v>
      </c>
      <c r="I136" s="40">
        <f>I133+I134</f>
        <v>153934.9</v>
      </c>
      <c r="J136" s="40">
        <f>J133+J134</f>
        <v>153934.9</v>
      </c>
      <c r="L136" s="71"/>
      <c r="M136" s="71"/>
    </row>
    <row r="137" spans="1:17" ht="21.75" customHeight="1" x14ac:dyDescent="0.2">
      <c r="A137" s="21" t="s">
        <v>12</v>
      </c>
      <c r="B137" s="20">
        <v>4040</v>
      </c>
      <c r="C137" s="41">
        <v>11807.6</v>
      </c>
      <c r="D137" s="41">
        <f t="shared" si="24"/>
        <v>39807.800000000003</v>
      </c>
      <c r="E137" s="41">
        <v>38401.300000000003</v>
      </c>
      <c r="F137" s="41">
        <v>41005.199999999997</v>
      </c>
      <c r="G137" s="41">
        <v>39807.800000000003</v>
      </c>
      <c r="H137" s="131"/>
      <c r="I137" s="41">
        <v>39807.800000000003</v>
      </c>
      <c r="J137" s="41">
        <v>39807.800000000003</v>
      </c>
      <c r="K137" s="26"/>
      <c r="L137" s="70"/>
      <c r="M137" s="71"/>
      <c r="N137" s="71"/>
      <c r="O137" s="71"/>
      <c r="P137" s="26"/>
      <c r="Q137" s="71"/>
    </row>
    <row r="138" spans="1:17" ht="21.75" customHeight="1" x14ac:dyDescent="0.2">
      <c r="A138" s="21" t="s">
        <v>11</v>
      </c>
      <c r="B138" s="20">
        <v>4050</v>
      </c>
      <c r="C138" s="41">
        <v>37989.199999999997</v>
      </c>
      <c r="D138" s="41">
        <f t="shared" si="24"/>
        <v>43453.7</v>
      </c>
      <c r="E138" s="41">
        <v>37617.199999999997</v>
      </c>
      <c r="F138" s="41">
        <v>36807.599999999999</v>
      </c>
      <c r="G138" s="41">
        <v>43453.7</v>
      </c>
      <c r="H138" s="131"/>
      <c r="I138" s="41">
        <v>43453.7</v>
      </c>
      <c r="J138" s="41">
        <v>43453.7</v>
      </c>
      <c r="L138" s="26"/>
      <c r="M138" s="71"/>
    </row>
    <row r="139" spans="1:17" ht="37.5" x14ac:dyDescent="0.2">
      <c r="A139" s="19" t="s">
        <v>131</v>
      </c>
      <c r="B139" s="18">
        <v>4060</v>
      </c>
      <c r="C139" s="40">
        <v>49796.799999999996</v>
      </c>
      <c r="D139" s="40">
        <f t="shared" si="24"/>
        <v>83261.5</v>
      </c>
      <c r="E139" s="40">
        <f>E137+E138</f>
        <v>76018.5</v>
      </c>
      <c r="F139" s="40">
        <v>77812.799999999988</v>
      </c>
      <c r="G139" s="40">
        <f>G137+G138</f>
        <v>83261.5</v>
      </c>
      <c r="H139" s="40">
        <f>H137+H138</f>
        <v>0</v>
      </c>
      <c r="I139" s="40">
        <f>I137+I138</f>
        <v>83261.5</v>
      </c>
      <c r="J139" s="40">
        <f>J137+J138</f>
        <v>83261.5</v>
      </c>
      <c r="K139" s="26"/>
      <c r="M139" s="71"/>
      <c r="N139" s="26"/>
      <c r="O139" s="26"/>
      <c r="P139" s="26"/>
      <c r="Q139" s="26"/>
    </row>
    <row r="140" spans="1:17" ht="22.5" customHeight="1" x14ac:dyDescent="0.2">
      <c r="A140" s="21" t="s">
        <v>98</v>
      </c>
      <c r="B140" s="20">
        <v>4070</v>
      </c>
      <c r="C140" s="41">
        <v>0</v>
      </c>
      <c r="D140" s="41">
        <f>E140+F140+G140+J140</f>
        <v>0</v>
      </c>
      <c r="E140" s="41">
        <v>0</v>
      </c>
      <c r="F140" s="41">
        <v>0</v>
      </c>
      <c r="G140" s="41"/>
      <c r="H140" s="131"/>
      <c r="I140" s="41"/>
      <c r="J140" s="45"/>
      <c r="L140" s="26"/>
      <c r="M140" s="71"/>
    </row>
    <row r="141" spans="1:17" s="85" customFormat="1" ht="22.5" customHeight="1" x14ac:dyDescent="0.2">
      <c r="A141" s="89" t="s">
        <v>99</v>
      </c>
      <c r="B141" s="86">
        <v>4080</v>
      </c>
      <c r="C141" s="88">
        <v>0</v>
      </c>
      <c r="D141" s="88">
        <f>E141+F141+G141+J141</f>
        <v>0</v>
      </c>
      <c r="E141" s="88">
        <v>0</v>
      </c>
      <c r="F141" s="88">
        <v>0</v>
      </c>
      <c r="G141" s="88">
        <v>0</v>
      </c>
      <c r="H141" s="131"/>
      <c r="I141" s="88"/>
      <c r="J141" s="83">
        <v>0</v>
      </c>
      <c r="K141" s="80"/>
      <c r="M141" s="71"/>
      <c r="N141" s="80"/>
      <c r="O141" s="80"/>
      <c r="P141" s="80"/>
      <c r="Q141" s="80"/>
    </row>
    <row r="142" spans="1:17" ht="21" customHeight="1" x14ac:dyDescent="0.2">
      <c r="A142" s="19" t="s">
        <v>10</v>
      </c>
      <c r="B142" s="18">
        <v>4090</v>
      </c>
      <c r="C142" s="40">
        <v>70720.800000000003</v>
      </c>
      <c r="D142" s="40">
        <f>J142</f>
        <v>70673.399999999994</v>
      </c>
      <c r="E142" s="40">
        <v>74870.2</v>
      </c>
      <c r="F142" s="40">
        <v>79202</v>
      </c>
      <c r="G142" s="40">
        <v>70673.399999999994</v>
      </c>
      <c r="H142" s="131"/>
      <c r="I142" s="40">
        <v>70673.399999999994</v>
      </c>
      <c r="J142" s="40">
        <v>70673.399999999994</v>
      </c>
      <c r="L142" s="26"/>
      <c r="M142" s="71"/>
    </row>
    <row r="143" spans="1:17" ht="36.75" customHeight="1" x14ac:dyDescent="0.2">
      <c r="A143" s="242" t="s">
        <v>58</v>
      </c>
      <c r="B143" s="242"/>
      <c r="C143" s="242"/>
      <c r="D143" s="242"/>
      <c r="E143" s="242"/>
      <c r="F143" s="242"/>
      <c r="G143" s="242"/>
      <c r="H143" s="242"/>
      <c r="I143" s="242"/>
      <c r="J143" s="242"/>
      <c r="K143" s="26"/>
      <c r="M143" s="71"/>
      <c r="N143" s="26"/>
      <c r="O143" s="26"/>
      <c r="P143" s="26"/>
      <c r="Q143" s="26"/>
    </row>
    <row r="144" spans="1:17" ht="37.5" customHeight="1" x14ac:dyDescent="0.2">
      <c r="A144" s="73" t="s">
        <v>76</v>
      </c>
      <c r="B144" s="74">
        <v>5000</v>
      </c>
      <c r="C144" s="75">
        <v>412</v>
      </c>
      <c r="D144" s="75">
        <f t="shared" ref="D144:J144" si="25">SUM(D145:D150)</f>
        <v>390</v>
      </c>
      <c r="E144" s="75">
        <f t="shared" si="25"/>
        <v>382</v>
      </c>
      <c r="F144" s="75">
        <f t="shared" si="25"/>
        <v>395</v>
      </c>
      <c r="G144" s="75">
        <f t="shared" si="25"/>
        <v>393</v>
      </c>
      <c r="H144" s="75">
        <f t="shared" si="25"/>
        <v>390.00000000000006</v>
      </c>
      <c r="I144" s="131">
        <f t="shared" si="25"/>
        <v>390</v>
      </c>
      <c r="J144" s="75">
        <f t="shared" si="25"/>
        <v>389</v>
      </c>
      <c r="K144" s="71"/>
      <c r="M144" s="71"/>
    </row>
    <row r="145" spans="1:17" x14ac:dyDescent="0.2">
      <c r="A145" s="91" t="s">
        <v>9</v>
      </c>
      <c r="B145" s="15">
        <v>5010</v>
      </c>
      <c r="C145" s="41">
        <v>1</v>
      </c>
      <c r="D145" s="42">
        <f t="shared" ref="D145:D150" si="26">ROUND((E145+F145+G145+J145)/4,0)</f>
        <v>1</v>
      </c>
      <c r="E145" s="112">
        <v>1</v>
      </c>
      <c r="F145" s="112">
        <v>1</v>
      </c>
      <c r="G145" s="112">
        <v>1</v>
      </c>
      <c r="H145" s="151">
        <f t="shared" ref="H145:H150" si="27">(E145+F145+G145)/3</f>
        <v>1</v>
      </c>
      <c r="I145" s="112">
        <v>1</v>
      </c>
      <c r="J145" s="112">
        <v>1</v>
      </c>
      <c r="K145" s="71"/>
      <c r="M145" s="26"/>
      <c r="N145" s="26"/>
      <c r="O145" s="26"/>
      <c r="P145" s="26"/>
      <c r="Q145" s="26"/>
    </row>
    <row r="146" spans="1:17" x14ac:dyDescent="0.2">
      <c r="A146" s="91" t="s">
        <v>8</v>
      </c>
      <c r="B146" s="15">
        <v>5020</v>
      </c>
      <c r="C146" s="41">
        <v>39</v>
      </c>
      <c r="D146" s="42">
        <f t="shared" si="26"/>
        <v>37</v>
      </c>
      <c r="E146" s="112">
        <v>38</v>
      </c>
      <c r="F146" s="112">
        <v>37</v>
      </c>
      <c r="G146" s="112">
        <v>37</v>
      </c>
      <c r="H146" s="151">
        <f t="shared" si="27"/>
        <v>37.333333333333336</v>
      </c>
      <c r="I146" s="112">
        <v>37</v>
      </c>
      <c r="J146" s="112">
        <v>37</v>
      </c>
      <c r="K146" s="71"/>
      <c r="M146" s="26"/>
    </row>
    <row r="147" spans="1:17" x14ac:dyDescent="0.2">
      <c r="A147" s="91" t="s">
        <v>7</v>
      </c>
      <c r="B147" s="15">
        <v>5030</v>
      </c>
      <c r="C147" s="41">
        <v>75</v>
      </c>
      <c r="D147" s="42">
        <f t="shared" si="26"/>
        <v>75</v>
      </c>
      <c r="E147" s="113">
        <v>74</v>
      </c>
      <c r="F147" s="113">
        <v>78</v>
      </c>
      <c r="G147" s="113">
        <v>73</v>
      </c>
      <c r="H147" s="151">
        <f t="shared" si="27"/>
        <v>75</v>
      </c>
      <c r="I147" s="113">
        <v>75</v>
      </c>
      <c r="J147" s="113">
        <v>75</v>
      </c>
      <c r="K147" s="71"/>
      <c r="M147" s="26"/>
      <c r="N147" s="26"/>
      <c r="O147" s="26"/>
      <c r="P147" s="26"/>
      <c r="Q147" s="26"/>
    </row>
    <row r="148" spans="1:17" x14ac:dyDescent="0.2">
      <c r="A148" s="91" t="s">
        <v>6</v>
      </c>
      <c r="B148" s="15">
        <v>5040</v>
      </c>
      <c r="C148" s="41">
        <v>154</v>
      </c>
      <c r="D148" s="42">
        <f t="shared" si="26"/>
        <v>147</v>
      </c>
      <c r="E148" s="113">
        <v>147</v>
      </c>
      <c r="F148" s="113">
        <v>146</v>
      </c>
      <c r="G148" s="113">
        <v>149</v>
      </c>
      <c r="H148" s="151">
        <f t="shared" si="27"/>
        <v>147.33333333333334</v>
      </c>
      <c r="I148" s="113">
        <v>147</v>
      </c>
      <c r="J148" s="113">
        <v>147</v>
      </c>
      <c r="K148" s="71"/>
      <c r="M148" s="26"/>
    </row>
    <row r="149" spans="1:17" x14ac:dyDescent="0.2">
      <c r="A149" s="91" t="s">
        <v>5</v>
      </c>
      <c r="B149" s="15">
        <v>5050</v>
      </c>
      <c r="C149" s="41">
        <v>89</v>
      </c>
      <c r="D149" s="42">
        <f t="shared" si="26"/>
        <v>73</v>
      </c>
      <c r="E149" s="113">
        <v>74</v>
      </c>
      <c r="F149" s="113">
        <v>73</v>
      </c>
      <c r="G149" s="113">
        <v>71</v>
      </c>
      <c r="H149" s="151">
        <f t="shared" si="27"/>
        <v>72.666666666666671</v>
      </c>
      <c r="I149" s="113">
        <v>73</v>
      </c>
      <c r="J149" s="113">
        <v>72</v>
      </c>
      <c r="K149" s="71"/>
      <c r="M149" s="26"/>
      <c r="N149" s="26"/>
      <c r="O149" s="26"/>
      <c r="P149" s="26"/>
      <c r="Q149" s="26"/>
    </row>
    <row r="150" spans="1:17" x14ac:dyDescent="0.2">
      <c r="A150" s="91" t="s">
        <v>4</v>
      </c>
      <c r="B150" s="15">
        <v>5060</v>
      </c>
      <c r="C150" s="41">
        <v>54</v>
      </c>
      <c r="D150" s="42">
        <f t="shared" si="26"/>
        <v>57</v>
      </c>
      <c r="E150" s="113">
        <v>48</v>
      </c>
      <c r="F150" s="113">
        <v>60</v>
      </c>
      <c r="G150" s="165">
        <v>62</v>
      </c>
      <c r="H150" s="152">
        <f t="shared" si="27"/>
        <v>56.666666666666664</v>
      </c>
      <c r="I150" s="113">
        <v>57</v>
      </c>
      <c r="J150" s="113">
        <v>57</v>
      </c>
      <c r="K150" s="71"/>
      <c r="M150" s="26"/>
    </row>
    <row r="151" spans="1:17" hidden="1" x14ac:dyDescent="0.2">
      <c r="A151" s="155" t="s">
        <v>177</v>
      </c>
      <c r="B151" s="156"/>
      <c r="C151" s="157">
        <f>E151+F151+G151</f>
        <v>60923.000000000007</v>
      </c>
      <c r="D151" s="157">
        <f>E151+F151+G151+J151</f>
        <v>79196.150000000009</v>
      </c>
      <c r="E151" s="158">
        <f>E77+E78+E90+E91+E101+E102</f>
        <v>18256.5</v>
      </c>
      <c r="F151" s="158">
        <f>F77+F78+F90+F91+F101+F102</f>
        <v>21739.100000000002</v>
      </c>
      <c r="G151" s="158">
        <f>G77+G78+G90+G91+G101+G102</f>
        <v>20927.400000000001</v>
      </c>
      <c r="H151" s="152"/>
      <c r="I151" s="113"/>
      <c r="J151" s="160">
        <f>J77+J78+J90+J91+J101+J102</f>
        <v>18273.149999999998</v>
      </c>
      <c r="K151" s="71"/>
      <c r="M151" s="26"/>
    </row>
    <row r="152" spans="1:17" hidden="1" x14ac:dyDescent="0.2">
      <c r="A152" s="155"/>
      <c r="B152" s="156"/>
      <c r="C152" s="157"/>
      <c r="D152" s="157"/>
      <c r="E152" s="158"/>
      <c r="F152" s="158"/>
      <c r="G152" s="159"/>
      <c r="H152" s="152"/>
      <c r="I152" s="113"/>
      <c r="J152" s="113"/>
      <c r="K152" s="71"/>
      <c r="M152" s="26"/>
    </row>
    <row r="153" spans="1:17" hidden="1" x14ac:dyDescent="0.2">
      <c r="A153" s="155"/>
      <c r="B153" s="15"/>
      <c r="C153" s="41">
        <f>C155-C151</f>
        <v>-1.0000000009313226E-2</v>
      </c>
      <c r="D153" s="42"/>
      <c r="E153" s="113"/>
      <c r="F153" s="113"/>
      <c r="G153" s="143"/>
      <c r="H153" s="152"/>
      <c r="I153" s="113"/>
      <c r="J153" s="113">
        <f>J151-J157</f>
        <v>-3.2000000002881279E-2</v>
      </c>
      <c r="K153" s="71"/>
      <c r="M153" s="26"/>
    </row>
    <row r="154" spans="1:17" hidden="1" x14ac:dyDescent="0.2">
      <c r="A154" s="124"/>
      <c r="B154" s="15"/>
      <c r="C154" s="41">
        <f>C156-C155</f>
        <v>-8.0000000016298145E-3</v>
      </c>
      <c r="D154" s="42"/>
      <c r="E154" s="113"/>
      <c r="F154" s="113"/>
      <c r="G154" s="143">
        <f>G157-G156</f>
        <v>8.3819999999977881</v>
      </c>
      <c r="H154" s="152"/>
      <c r="I154" s="113"/>
      <c r="J154" s="113"/>
      <c r="K154" s="71"/>
      <c r="M154" s="26"/>
    </row>
    <row r="155" spans="1:17" hidden="1" x14ac:dyDescent="0.2">
      <c r="A155" s="124"/>
      <c r="B155" s="15"/>
      <c r="C155" s="41">
        <v>60922.99</v>
      </c>
      <c r="D155" s="42"/>
      <c r="E155" s="113">
        <v>18847.099999999999</v>
      </c>
      <c r="F155" s="113"/>
      <c r="G155" s="143"/>
      <c r="H155" s="152"/>
      <c r="I155" s="113"/>
      <c r="J155" s="113"/>
      <c r="K155" s="71"/>
      <c r="M155" s="26"/>
    </row>
    <row r="156" spans="1:17" hidden="1" x14ac:dyDescent="0.2">
      <c r="A156" s="124"/>
      <c r="B156" s="15"/>
      <c r="C156" s="41">
        <f>E157+F157+G157</f>
        <v>60922.981999999996</v>
      </c>
      <c r="D156" s="42">
        <f>D77+D78+D90+D91+D101+D102</f>
        <v>79196.149999999994</v>
      </c>
      <c r="E156" s="42">
        <f>E77+E78+E90+E91+E101+E102</f>
        <v>18256.5</v>
      </c>
      <c r="F156" s="42">
        <f>F77+F78+F90+F91+F101+F102</f>
        <v>21739.100000000002</v>
      </c>
      <c r="G156" s="42">
        <f>G77+G78+G90+G91+G101+G102</f>
        <v>20927.400000000001</v>
      </c>
      <c r="H156" s="152"/>
      <c r="I156" s="113"/>
      <c r="J156" s="42">
        <f>J77+J78+J90+J91+J101+J102</f>
        <v>18273.149999999998</v>
      </c>
      <c r="K156" s="71"/>
      <c r="L156" s="72"/>
      <c r="M156" s="26"/>
    </row>
    <row r="157" spans="1:17" x14ac:dyDescent="0.2">
      <c r="A157" s="73" t="s">
        <v>77</v>
      </c>
      <c r="B157" s="76">
        <v>5100</v>
      </c>
      <c r="C157" s="75">
        <v>71868.700000000012</v>
      </c>
      <c r="D157" s="75">
        <f>E157+F157+G157+J157</f>
        <v>79196.16399999999</v>
      </c>
      <c r="E157" s="75">
        <f t="shared" ref="E157:J157" si="28">SUM(E158:E163)</f>
        <v>18256.5</v>
      </c>
      <c r="F157" s="75">
        <f t="shared" si="28"/>
        <v>21730.699999999997</v>
      </c>
      <c r="G157" s="75">
        <f t="shared" si="28"/>
        <v>20935.781999999999</v>
      </c>
      <c r="H157" s="131">
        <f t="shared" si="28"/>
        <v>60922.981999999996</v>
      </c>
      <c r="I157" s="75">
        <f t="shared" si="28"/>
        <v>59854.9</v>
      </c>
      <c r="J157" s="75">
        <f t="shared" si="28"/>
        <v>18273.182000000001</v>
      </c>
      <c r="K157" s="71"/>
      <c r="L157" s="71"/>
      <c r="M157" s="26"/>
      <c r="N157" s="71"/>
      <c r="O157" s="71"/>
      <c r="P157" s="71"/>
      <c r="Q157" s="26"/>
    </row>
    <row r="158" spans="1:17" x14ac:dyDescent="0.2">
      <c r="A158" s="91" t="s">
        <v>9</v>
      </c>
      <c r="B158" s="15">
        <v>5110</v>
      </c>
      <c r="C158" s="41">
        <v>461.90000000000003</v>
      </c>
      <c r="D158" s="42">
        <f t="shared" ref="D158:D163" si="29">(E158+F158+G158+J158)</f>
        <v>637.9</v>
      </c>
      <c r="E158" s="42">
        <v>167.2</v>
      </c>
      <c r="F158" s="42">
        <v>177.7</v>
      </c>
      <c r="G158" s="99">
        <v>146.5</v>
      </c>
      <c r="H158" s="141">
        <f t="shared" ref="H158:H163" si="30">E158+F158+G158</f>
        <v>491.4</v>
      </c>
      <c r="I158" s="99">
        <v>457.6</v>
      </c>
      <c r="J158" s="42">
        <v>146.5</v>
      </c>
      <c r="K158" s="71"/>
      <c r="L158" s="71"/>
      <c r="M158" s="71"/>
    </row>
    <row r="159" spans="1:17" x14ac:dyDescent="0.2">
      <c r="A159" s="91" t="s">
        <v>8</v>
      </c>
      <c r="B159" s="15">
        <v>5120</v>
      </c>
      <c r="C159" s="41">
        <v>8857.5</v>
      </c>
      <c r="D159" s="42">
        <f t="shared" si="29"/>
        <v>10464.800000000001</v>
      </c>
      <c r="E159" s="42">
        <v>2144.6999999999998</v>
      </c>
      <c r="F159" s="42">
        <v>3559.8</v>
      </c>
      <c r="G159" s="99">
        <f>1914.2+698.9+300</f>
        <v>2913.1</v>
      </c>
      <c r="H159" s="141">
        <f t="shared" si="30"/>
        <v>8617.6</v>
      </c>
      <c r="I159" s="99">
        <v>8317.6</v>
      </c>
      <c r="J159" s="42">
        <f>1914.2-67</f>
        <v>1847.2</v>
      </c>
      <c r="K159" s="71"/>
      <c r="M159" s="71"/>
      <c r="N159" s="26"/>
      <c r="O159" s="26"/>
      <c r="P159" s="26"/>
      <c r="Q159" s="26"/>
    </row>
    <row r="160" spans="1:17" x14ac:dyDescent="0.2">
      <c r="A160" s="91" t="s">
        <v>7</v>
      </c>
      <c r="B160" s="15">
        <v>5130</v>
      </c>
      <c r="C160" s="41">
        <v>18717.400000000001</v>
      </c>
      <c r="D160" s="42">
        <f t="shared" si="29"/>
        <v>21761.3</v>
      </c>
      <c r="E160" s="42">
        <v>4853.7</v>
      </c>
      <c r="F160" s="42">
        <v>5705.1</v>
      </c>
      <c r="G160" s="99">
        <f>5509.6+171.9</f>
        <v>5681.5</v>
      </c>
      <c r="H160" s="141">
        <f t="shared" si="30"/>
        <v>16240.3</v>
      </c>
      <c r="I160" s="99">
        <v>15782.6</v>
      </c>
      <c r="J160" s="42">
        <v>5521</v>
      </c>
      <c r="K160" s="71"/>
      <c r="L160" s="26"/>
      <c r="M160" s="71"/>
    </row>
    <row r="161" spans="1:17" x14ac:dyDescent="0.2">
      <c r="A161" s="91" t="s">
        <v>6</v>
      </c>
      <c r="B161" s="15">
        <v>5140</v>
      </c>
      <c r="C161" s="41">
        <v>29349.200000000001</v>
      </c>
      <c r="D161" s="42">
        <f t="shared" si="29"/>
        <v>31813.999999999996</v>
      </c>
      <c r="E161" s="42">
        <v>7628.2</v>
      </c>
      <c r="F161" s="42">
        <f>8591.9</f>
        <v>8591.9</v>
      </c>
      <c r="G161" s="99">
        <f>7713.6-229.85+623.3</f>
        <v>8107.05</v>
      </c>
      <c r="H161" s="141">
        <f t="shared" si="30"/>
        <v>24327.149999999998</v>
      </c>
      <c r="I161" s="99">
        <v>24327.1</v>
      </c>
      <c r="J161" s="42">
        <f>7716.7-229.85</f>
        <v>7486.8499999999995</v>
      </c>
      <c r="K161" s="71"/>
      <c r="M161" s="71"/>
      <c r="N161" s="26"/>
      <c r="O161" s="26"/>
      <c r="P161" s="26"/>
      <c r="Q161" s="26"/>
    </row>
    <row r="162" spans="1:17" x14ac:dyDescent="0.2">
      <c r="A162" s="91" t="s">
        <v>5</v>
      </c>
      <c r="B162" s="15">
        <v>5150</v>
      </c>
      <c r="C162" s="41">
        <v>7984.7000000000007</v>
      </c>
      <c r="D162" s="42">
        <f t="shared" si="29"/>
        <v>7403.2199999999993</v>
      </c>
      <c r="E162" s="42">
        <v>1889.8</v>
      </c>
      <c r="F162" s="42">
        <v>1924.1</v>
      </c>
      <c r="G162" s="99">
        <v>1894.6599999999999</v>
      </c>
      <c r="H162" s="141">
        <f t="shared" si="30"/>
        <v>5708.5599999999995</v>
      </c>
      <c r="I162" s="99">
        <v>5632</v>
      </c>
      <c r="J162" s="42">
        <v>1694.66</v>
      </c>
      <c r="K162" s="71"/>
      <c r="L162" s="26"/>
      <c r="M162" s="71"/>
    </row>
    <row r="163" spans="1:17" x14ac:dyDescent="0.2">
      <c r="A163" s="91" t="s">
        <v>4</v>
      </c>
      <c r="B163" s="15">
        <v>5160</v>
      </c>
      <c r="C163" s="41">
        <v>6498</v>
      </c>
      <c r="D163" s="42">
        <f t="shared" si="29"/>
        <v>7114.9439999999995</v>
      </c>
      <c r="E163" s="42">
        <v>1572.9</v>
      </c>
      <c r="F163" s="42">
        <v>1772.1</v>
      </c>
      <c r="G163" s="99">
        <f>1576.972+416+200</f>
        <v>2192.9719999999998</v>
      </c>
      <c r="H163" s="141">
        <f t="shared" si="30"/>
        <v>5537.9719999999998</v>
      </c>
      <c r="I163" s="99">
        <v>5338</v>
      </c>
      <c r="J163" s="42">
        <v>1576.9719999999998</v>
      </c>
      <c r="K163" s="71"/>
      <c r="M163" s="71"/>
      <c r="N163" s="26"/>
      <c r="O163" s="26"/>
      <c r="P163" s="26"/>
      <c r="Q163" s="26"/>
    </row>
    <row r="164" spans="1:17" hidden="1" x14ac:dyDescent="0.2">
      <c r="A164" s="155"/>
      <c r="B164" s="156"/>
      <c r="C164" s="157"/>
      <c r="D164" s="157">
        <f>E164+F164+G164+J164</f>
        <v>65014.799999999996</v>
      </c>
      <c r="E164" s="157">
        <f>E77+E90+78</f>
        <v>15001.900000000001</v>
      </c>
      <c r="F164" s="157">
        <f>F77+F90+88.4+43</f>
        <v>17899.100000000002</v>
      </c>
      <c r="G164" s="157">
        <f>G77+G90</f>
        <v>16967.7</v>
      </c>
      <c r="H164" s="161"/>
      <c r="I164" s="161"/>
      <c r="J164" s="157">
        <f>J77+J90+70.7</f>
        <v>15146.099999999999</v>
      </c>
      <c r="K164" s="71"/>
      <c r="M164" s="71"/>
      <c r="N164" s="26"/>
      <c r="O164" s="26"/>
      <c r="P164" s="26"/>
      <c r="Q164" s="26"/>
    </row>
    <row r="165" spans="1:17" hidden="1" x14ac:dyDescent="0.2">
      <c r="A165" s="155"/>
      <c r="B165" s="156"/>
      <c r="C165" s="157"/>
      <c r="D165" s="157"/>
      <c r="E165" s="157"/>
      <c r="F165" s="157"/>
      <c r="G165" s="161"/>
      <c r="H165" s="161"/>
      <c r="I165" s="161"/>
      <c r="J165" s="157"/>
      <c r="K165" s="71"/>
      <c r="M165" s="71"/>
      <c r="N165" s="26"/>
      <c r="O165" s="26"/>
      <c r="P165" s="26"/>
      <c r="Q165" s="26"/>
    </row>
    <row r="166" spans="1:17" hidden="1" x14ac:dyDescent="0.2">
      <c r="A166" s="150"/>
      <c r="B166" s="15"/>
      <c r="C166" s="41">
        <f>C167-C168</f>
        <v>-2.3999999997613486E-2</v>
      </c>
      <c r="D166" s="42">
        <f>D164-D168</f>
        <v>-1.1000000000058208</v>
      </c>
      <c r="E166" s="42"/>
      <c r="F166" s="42"/>
      <c r="G166" s="99"/>
      <c r="H166" s="141"/>
      <c r="I166" s="99"/>
      <c r="J166" s="42">
        <f>J164-J168</f>
        <v>168.02399999999761</v>
      </c>
      <c r="K166" s="71"/>
      <c r="M166" s="71"/>
      <c r="N166" s="26"/>
      <c r="O166" s="26"/>
      <c r="P166" s="26"/>
      <c r="Q166" s="26"/>
    </row>
    <row r="167" spans="1:17" hidden="1" x14ac:dyDescent="0.2">
      <c r="A167" s="150"/>
      <c r="B167" s="15"/>
      <c r="C167" s="41">
        <f>H169</f>
        <v>50037.8</v>
      </c>
      <c r="D167" s="42"/>
      <c r="E167" s="42"/>
      <c r="F167" s="42"/>
      <c r="G167" s="99"/>
      <c r="H167" s="141"/>
      <c r="I167" s="99"/>
      <c r="J167" s="42"/>
      <c r="K167" s="71"/>
      <c r="M167" s="71"/>
      <c r="N167" s="26"/>
      <c r="O167" s="26"/>
      <c r="P167" s="26"/>
      <c r="Q167" s="26"/>
    </row>
    <row r="168" spans="1:17" hidden="1" x14ac:dyDescent="0.2">
      <c r="A168" s="150"/>
      <c r="B168" s="15"/>
      <c r="C168" s="41">
        <f>E168+F168+G168</f>
        <v>50037.824000000001</v>
      </c>
      <c r="D168" s="72">
        <f>E168+F168+G168+J168</f>
        <v>65015.9</v>
      </c>
      <c r="E168" s="42">
        <v>15486.35</v>
      </c>
      <c r="F168" s="42">
        <v>17990.491000000002</v>
      </c>
      <c r="G168" s="42">
        <v>16560.983</v>
      </c>
      <c r="H168" s="99"/>
      <c r="I168" s="141"/>
      <c r="J168" s="99">
        <v>14978.076000000001</v>
      </c>
      <c r="K168" s="71"/>
      <c r="M168" s="71"/>
      <c r="N168" s="26"/>
      <c r="O168" s="26"/>
      <c r="P168" s="26"/>
      <c r="Q168" s="26"/>
    </row>
    <row r="169" spans="1:17" ht="37.5" x14ac:dyDescent="0.2">
      <c r="A169" s="73" t="s">
        <v>78</v>
      </c>
      <c r="B169" s="76">
        <v>5200</v>
      </c>
      <c r="C169" s="75">
        <v>58855.899999999994</v>
      </c>
      <c r="D169" s="75">
        <f>E169+F169+G169+J169</f>
        <v>65015.899999999994</v>
      </c>
      <c r="E169" s="75">
        <f t="shared" ref="E169:J169" si="31">SUM(E170:E175)</f>
        <v>15003.2</v>
      </c>
      <c r="F169" s="75">
        <f t="shared" si="31"/>
        <v>17895</v>
      </c>
      <c r="G169" s="75">
        <f t="shared" si="31"/>
        <v>17139.599999999999</v>
      </c>
      <c r="H169" s="131">
        <f t="shared" si="31"/>
        <v>50037.8</v>
      </c>
      <c r="I169" s="75">
        <f t="shared" si="31"/>
        <v>49174.899999999994</v>
      </c>
      <c r="J169" s="75">
        <f t="shared" si="31"/>
        <v>14978.1</v>
      </c>
      <c r="K169" s="71"/>
      <c r="L169" s="71"/>
      <c r="M169" s="71"/>
      <c r="N169" s="72"/>
    </row>
    <row r="170" spans="1:17" x14ac:dyDescent="0.2">
      <c r="A170" s="91" t="s">
        <v>9</v>
      </c>
      <c r="B170" s="15">
        <v>5210</v>
      </c>
      <c r="C170" s="41">
        <v>378.2</v>
      </c>
      <c r="D170" s="42">
        <f t="shared" ref="D170:D175" si="32">(E170+F170+G170+J170)</f>
        <v>523.6</v>
      </c>
      <c r="E170" s="41">
        <v>137.4</v>
      </c>
      <c r="F170" s="41">
        <v>146</v>
      </c>
      <c r="G170" s="41">
        <v>120.1</v>
      </c>
      <c r="H170" s="131">
        <f t="shared" ref="H170:H175" si="33">E170+F170+G170</f>
        <v>403.5</v>
      </c>
      <c r="I170" s="41">
        <v>375.7</v>
      </c>
      <c r="J170" s="41">
        <v>120.1</v>
      </c>
      <c r="K170" s="71"/>
      <c r="M170" s="71"/>
      <c r="N170" s="26"/>
      <c r="O170" s="26"/>
      <c r="P170" s="26"/>
      <c r="Q170" s="26"/>
    </row>
    <row r="171" spans="1:17" x14ac:dyDescent="0.2">
      <c r="A171" s="91" t="s">
        <v>8</v>
      </c>
      <c r="B171" s="15">
        <v>5220</v>
      </c>
      <c r="C171" s="41">
        <v>7252</v>
      </c>
      <c r="D171" s="42">
        <f t="shared" si="32"/>
        <v>8416.1</v>
      </c>
      <c r="E171" s="41">
        <v>1762.5</v>
      </c>
      <c r="F171" s="41">
        <v>2924.3</v>
      </c>
      <c r="G171" s="41">
        <f>2387.8-172.6</f>
        <v>2215.2000000000003</v>
      </c>
      <c r="H171" s="131">
        <f t="shared" si="33"/>
        <v>6902</v>
      </c>
      <c r="I171" s="41">
        <v>6827.8</v>
      </c>
      <c r="J171" s="41">
        <v>1514.1</v>
      </c>
      <c r="K171" s="71"/>
      <c r="L171" s="26"/>
      <c r="M171" s="71"/>
    </row>
    <row r="172" spans="1:17" x14ac:dyDescent="0.2">
      <c r="A172" s="91" t="s">
        <v>7</v>
      </c>
      <c r="B172" s="15">
        <v>5230</v>
      </c>
      <c r="C172" s="41">
        <v>15324.7</v>
      </c>
      <c r="D172" s="42">
        <f t="shared" si="32"/>
        <v>18053.599999999999</v>
      </c>
      <c r="E172" s="111">
        <v>3988.8</v>
      </c>
      <c r="F172" s="111">
        <f>4686.4+44.4</f>
        <v>4730.7999999999993</v>
      </c>
      <c r="G172" s="111">
        <f>4656.9+120.9+30.8</f>
        <v>4808.5999999999995</v>
      </c>
      <c r="H172" s="131">
        <f t="shared" si="33"/>
        <v>13528.199999999997</v>
      </c>
      <c r="I172" s="111">
        <v>12998.1</v>
      </c>
      <c r="J172" s="111">
        <v>4525.3999999999996</v>
      </c>
      <c r="K172" s="71"/>
      <c r="M172" s="71"/>
      <c r="N172" s="26"/>
      <c r="O172" s="26"/>
      <c r="P172" s="26"/>
      <c r="Q172" s="26"/>
    </row>
    <row r="173" spans="1:17" x14ac:dyDescent="0.2">
      <c r="A173" s="91" t="s">
        <v>6</v>
      </c>
      <c r="B173" s="15">
        <v>5240</v>
      </c>
      <c r="C173" s="41">
        <v>24029.4</v>
      </c>
      <c r="D173" s="42">
        <f t="shared" si="32"/>
        <v>26108.6</v>
      </c>
      <c r="E173" s="111">
        <v>6268.9</v>
      </c>
      <c r="F173" s="111">
        <v>7057.7</v>
      </c>
      <c r="G173" s="111">
        <v>6645.2</v>
      </c>
      <c r="H173" s="131">
        <f t="shared" si="33"/>
        <v>19971.8</v>
      </c>
      <c r="I173" s="1">
        <v>19969</v>
      </c>
      <c r="J173" s="111">
        <v>6136.8</v>
      </c>
      <c r="K173" s="71"/>
      <c r="L173" s="26"/>
      <c r="M173" s="71"/>
    </row>
    <row r="174" spans="1:17" x14ac:dyDescent="0.2">
      <c r="A174" s="91" t="s">
        <v>5</v>
      </c>
      <c r="B174" s="15">
        <v>5250</v>
      </c>
      <c r="C174" s="41">
        <v>6535.1</v>
      </c>
      <c r="D174" s="42">
        <f t="shared" si="32"/>
        <v>6175.6</v>
      </c>
      <c r="E174" s="111">
        <v>1553</v>
      </c>
      <c r="F174" s="111">
        <v>1580.5</v>
      </c>
      <c r="G174" s="111">
        <v>1553</v>
      </c>
      <c r="H174" s="131">
        <f t="shared" si="33"/>
        <v>4686.5</v>
      </c>
      <c r="I174" s="111">
        <v>4623.1000000000004</v>
      </c>
      <c r="J174" s="111">
        <v>1489.1</v>
      </c>
      <c r="K174" s="71"/>
      <c r="M174" s="71"/>
      <c r="N174" s="26"/>
      <c r="O174" s="26"/>
      <c r="P174" s="26"/>
      <c r="Q174" s="26"/>
    </row>
    <row r="175" spans="1:17" x14ac:dyDescent="0.2">
      <c r="A175" s="91" t="s">
        <v>4</v>
      </c>
      <c r="B175" s="15">
        <v>5260</v>
      </c>
      <c r="C175" s="41">
        <v>5336.5</v>
      </c>
      <c r="D175" s="42">
        <f t="shared" si="32"/>
        <v>5738.4</v>
      </c>
      <c r="E175" s="111">
        <v>1292.5999999999999</v>
      </c>
      <c r="F175" s="111">
        <v>1455.7</v>
      </c>
      <c r="G175" s="111">
        <v>1797.5</v>
      </c>
      <c r="H175" s="131">
        <f t="shared" si="33"/>
        <v>4545.8</v>
      </c>
      <c r="I175" s="110">
        <v>4381.2</v>
      </c>
      <c r="J175" s="111">
        <v>1192.5999999999999</v>
      </c>
      <c r="K175" s="71"/>
      <c r="L175" s="26"/>
      <c r="M175" s="71"/>
    </row>
    <row r="176" spans="1:17" ht="42" customHeight="1" x14ac:dyDescent="0.2">
      <c r="A176" s="16" t="s">
        <v>74</v>
      </c>
      <c r="B176" s="13">
        <v>5300</v>
      </c>
      <c r="C176" s="62">
        <v>11904.510833333334</v>
      </c>
      <c r="D176" s="62">
        <f t="shared" ref="D176:D181" si="34">ROUND(D169/D144*1000,2)/12</f>
        <v>13892.286666666667</v>
      </c>
      <c r="E176" s="62">
        <f t="shared" ref="E176:G181" si="35">ROUND(E169/E144*1000,2)/3</f>
        <v>13091.796666666667</v>
      </c>
      <c r="F176" s="62">
        <f t="shared" si="35"/>
        <v>15101.266666666668</v>
      </c>
      <c r="G176" s="62">
        <f t="shared" si="35"/>
        <v>14537.403333333334</v>
      </c>
      <c r="H176" s="142">
        <f t="shared" ref="H176:I181" si="36">H169/H144/9*1000</f>
        <v>14255.783475783475</v>
      </c>
      <c r="I176" s="62">
        <f t="shared" si="36"/>
        <v>14009.943019943017</v>
      </c>
      <c r="J176" s="62">
        <f t="shared" ref="J176:J181" si="37">ROUND(J169/J144*1000,2)/3</f>
        <v>12834.703333333333</v>
      </c>
      <c r="K176" s="71"/>
      <c r="M176" s="71"/>
      <c r="N176" s="26"/>
      <c r="O176" s="26"/>
      <c r="P176" s="26"/>
      <c r="Q176" s="26"/>
    </row>
    <row r="177" spans="1:17" x14ac:dyDescent="0.2">
      <c r="A177" s="91" t="s">
        <v>9</v>
      </c>
      <c r="B177" s="15">
        <v>5310</v>
      </c>
      <c r="C177" s="61">
        <v>31516.666666666668</v>
      </c>
      <c r="D177" s="61">
        <f t="shared" si="34"/>
        <v>43633.333333333336</v>
      </c>
      <c r="E177" s="63">
        <f t="shared" si="35"/>
        <v>45800</v>
      </c>
      <c r="F177" s="61">
        <f t="shared" si="35"/>
        <v>48666.666666666664</v>
      </c>
      <c r="G177" s="61">
        <f t="shared" si="35"/>
        <v>40033.333333333336</v>
      </c>
      <c r="H177" s="142">
        <f t="shared" si="36"/>
        <v>44833.333333333336</v>
      </c>
      <c r="I177" s="61">
        <f t="shared" si="36"/>
        <v>41744.444444444438</v>
      </c>
      <c r="J177" s="63">
        <f t="shared" si="37"/>
        <v>40033.333333333336</v>
      </c>
      <c r="K177" s="71"/>
      <c r="L177" s="26"/>
      <c r="M177" s="71"/>
    </row>
    <row r="178" spans="1:17" x14ac:dyDescent="0.2">
      <c r="A178" s="91" t="s">
        <v>8</v>
      </c>
      <c r="B178" s="15">
        <v>5320</v>
      </c>
      <c r="C178" s="61">
        <v>15495.726666666667</v>
      </c>
      <c r="D178" s="61">
        <f t="shared" si="34"/>
        <v>18955.18</v>
      </c>
      <c r="E178" s="63">
        <f t="shared" si="35"/>
        <v>15460.526666666667</v>
      </c>
      <c r="F178" s="61">
        <f t="shared" si="35"/>
        <v>26345.046666666665</v>
      </c>
      <c r="G178" s="61">
        <f t="shared" si="35"/>
        <v>19956.756666666664</v>
      </c>
      <c r="H178" s="142">
        <f t="shared" si="36"/>
        <v>20541.666666666668</v>
      </c>
      <c r="I178" s="61">
        <f t="shared" si="36"/>
        <v>20503.903903903905</v>
      </c>
      <c r="J178" s="63">
        <f t="shared" si="37"/>
        <v>13640.54</v>
      </c>
      <c r="K178" s="71"/>
      <c r="M178" s="71"/>
      <c r="N178" s="26"/>
      <c r="O178" s="26"/>
      <c r="P178" s="26"/>
      <c r="Q178" s="26"/>
    </row>
    <row r="179" spans="1:17" x14ac:dyDescent="0.2">
      <c r="A179" s="91" t="s">
        <v>7</v>
      </c>
      <c r="B179" s="15">
        <v>5330</v>
      </c>
      <c r="C179" s="61">
        <v>17027.444166666664</v>
      </c>
      <c r="D179" s="61">
        <f t="shared" si="34"/>
        <v>20059.555833333336</v>
      </c>
      <c r="E179" s="63">
        <f t="shared" si="35"/>
        <v>17967.566666666666</v>
      </c>
      <c r="F179" s="61">
        <f t="shared" si="35"/>
        <v>20217.093333333334</v>
      </c>
      <c r="G179" s="61">
        <f t="shared" si="35"/>
        <v>21957.076666666664</v>
      </c>
      <c r="H179" s="142">
        <f t="shared" si="36"/>
        <v>20041.77777777777</v>
      </c>
      <c r="I179" s="61">
        <f t="shared" si="36"/>
        <v>19256.444444444445</v>
      </c>
      <c r="J179" s="63">
        <f t="shared" si="37"/>
        <v>20112.89</v>
      </c>
      <c r="K179" s="71"/>
      <c r="L179" s="26"/>
      <c r="M179" s="71"/>
    </row>
    <row r="180" spans="1:17" x14ac:dyDescent="0.2">
      <c r="A180" s="91" t="s">
        <v>6</v>
      </c>
      <c r="B180" s="15">
        <v>5340</v>
      </c>
      <c r="C180" s="61">
        <v>13002.921666666667</v>
      </c>
      <c r="D180" s="61">
        <f t="shared" si="34"/>
        <v>14800.793333333333</v>
      </c>
      <c r="E180" s="63">
        <f t="shared" si="35"/>
        <v>14215.193333333335</v>
      </c>
      <c r="F180" s="61">
        <f t="shared" si="35"/>
        <v>16113.470000000001</v>
      </c>
      <c r="G180" s="61">
        <f t="shared" si="35"/>
        <v>14866.220000000001</v>
      </c>
      <c r="H180" s="142">
        <f t="shared" si="36"/>
        <v>15061.689291101055</v>
      </c>
      <c r="I180" s="61">
        <f t="shared" si="36"/>
        <v>15093.726379440666</v>
      </c>
      <c r="J180" s="63">
        <f t="shared" si="37"/>
        <v>13915.646666666667</v>
      </c>
      <c r="K180" s="71"/>
      <c r="M180" s="71"/>
      <c r="N180" s="26"/>
      <c r="O180" s="26"/>
      <c r="P180" s="26"/>
      <c r="Q180" s="26"/>
    </row>
    <row r="181" spans="1:17" x14ac:dyDescent="0.2">
      <c r="A181" s="91" t="s">
        <v>5</v>
      </c>
      <c r="B181" s="15">
        <v>5350</v>
      </c>
      <c r="C181" s="61">
        <v>6119.0074999999997</v>
      </c>
      <c r="D181" s="61">
        <f t="shared" si="34"/>
        <v>7049.7716666666665</v>
      </c>
      <c r="E181" s="63">
        <f t="shared" si="35"/>
        <v>6995.4966666666669</v>
      </c>
      <c r="F181" s="61">
        <f t="shared" si="35"/>
        <v>7216.8933333333334</v>
      </c>
      <c r="G181" s="61">
        <f t="shared" si="35"/>
        <v>7291.0800000000008</v>
      </c>
      <c r="H181" s="142">
        <f t="shared" si="36"/>
        <v>7165.9021406727825</v>
      </c>
      <c r="I181" s="61">
        <f t="shared" si="36"/>
        <v>7036.6818873668199</v>
      </c>
      <c r="J181" s="63">
        <f t="shared" si="37"/>
        <v>6893.98</v>
      </c>
      <c r="K181" s="71"/>
      <c r="L181" s="26"/>
      <c r="M181" s="71"/>
    </row>
    <row r="182" spans="1:17" x14ac:dyDescent="0.2">
      <c r="A182" s="91" t="s">
        <v>4</v>
      </c>
      <c r="B182" s="15">
        <v>5360</v>
      </c>
      <c r="C182" s="61">
        <v>8235.3391666666666</v>
      </c>
      <c r="D182" s="61">
        <f>ROUND(D175/D150*1000,2)/12</f>
        <v>8389.4733333333334</v>
      </c>
      <c r="E182" s="63">
        <f t="shared" ref="E182:J182" si="38">ROUND(E175/E150*1000,2)/3</f>
        <v>8976.39</v>
      </c>
      <c r="F182" s="61">
        <f t="shared" si="38"/>
        <v>8087.2233333333324</v>
      </c>
      <c r="G182" s="61">
        <f t="shared" si="38"/>
        <v>9663.98</v>
      </c>
      <c r="H182" s="142">
        <f>H175/H150/9*1000</f>
        <v>8913.3333333333339</v>
      </c>
      <c r="I182" s="61">
        <f>I175/I150/9*1000</f>
        <v>8540.3508771929828</v>
      </c>
      <c r="J182" s="63">
        <f t="shared" si="38"/>
        <v>6974.27</v>
      </c>
      <c r="K182" s="71"/>
      <c r="M182" s="71"/>
      <c r="N182" s="26"/>
      <c r="O182" s="26"/>
      <c r="P182" s="26"/>
      <c r="Q182" s="26"/>
    </row>
    <row r="183" spans="1:17" ht="40.700000000000003" customHeight="1" x14ac:dyDescent="0.2">
      <c r="A183" s="14" t="s">
        <v>75</v>
      </c>
      <c r="B183" s="13">
        <v>5400</v>
      </c>
      <c r="C183" s="40"/>
      <c r="D183" s="40"/>
      <c r="E183" s="40"/>
      <c r="F183" s="40"/>
      <c r="G183" s="40"/>
      <c r="H183" s="40"/>
      <c r="I183" s="40"/>
      <c r="J183" s="40"/>
      <c r="K183" s="71"/>
      <c r="L183" s="26"/>
      <c r="M183" s="71"/>
    </row>
    <row r="184" spans="1:17" ht="18.75" customHeight="1" x14ac:dyDescent="0.2">
      <c r="A184" s="12" t="s">
        <v>173</v>
      </c>
      <c r="B184" s="11"/>
      <c r="C184" s="10" t="s">
        <v>3</v>
      </c>
      <c r="D184" s="10"/>
      <c r="E184" s="9"/>
      <c r="F184" s="250" t="s">
        <v>160</v>
      </c>
      <c r="G184" s="250"/>
      <c r="H184" s="250"/>
      <c r="I184" s="250"/>
      <c r="J184" s="250"/>
      <c r="L184" s="6"/>
      <c r="M184" s="71"/>
    </row>
    <row r="185" spans="1:17" s="6" customFormat="1" ht="32.25" customHeight="1" x14ac:dyDescent="0.2">
      <c r="A185" s="8" t="s">
        <v>2</v>
      </c>
      <c r="C185" s="7" t="s">
        <v>1</v>
      </c>
      <c r="D185" s="8"/>
      <c r="E185" s="7"/>
      <c r="F185" s="249" t="s">
        <v>0</v>
      </c>
      <c r="G185" s="249"/>
      <c r="H185" s="249"/>
      <c r="I185" s="249"/>
      <c r="J185" s="249"/>
      <c r="L185" s="1"/>
      <c r="M185" s="71"/>
    </row>
    <row r="186" spans="1:17" x14ac:dyDescent="0.2">
      <c r="A186" s="5"/>
      <c r="C186" s="4"/>
      <c r="D186" s="4"/>
      <c r="E186" s="3"/>
      <c r="F186" s="3"/>
      <c r="G186" s="3"/>
      <c r="H186" s="3"/>
      <c r="I186" s="3"/>
      <c r="J186" s="3"/>
      <c r="M186" s="71"/>
    </row>
    <row r="187" spans="1:17" x14ac:dyDescent="0.2">
      <c r="A187" s="5"/>
      <c r="C187" s="4"/>
      <c r="D187" s="4"/>
      <c r="E187" s="3"/>
      <c r="F187" s="3"/>
      <c r="G187" s="3"/>
      <c r="H187" s="3"/>
      <c r="I187" s="3"/>
      <c r="J187" s="3"/>
    </row>
    <row r="188" spans="1:17" x14ac:dyDescent="0.2">
      <c r="A188" s="5"/>
      <c r="C188" s="4"/>
      <c r="D188" s="4"/>
      <c r="E188" s="3"/>
      <c r="F188" s="3"/>
      <c r="G188" s="3"/>
      <c r="H188" s="3"/>
      <c r="I188" s="3"/>
      <c r="J188" s="3"/>
    </row>
    <row r="189" spans="1:17" x14ac:dyDescent="0.2">
      <c r="A189" s="5"/>
      <c r="C189" s="4"/>
      <c r="D189" s="4"/>
      <c r="E189" s="3"/>
      <c r="F189" s="3"/>
      <c r="G189" s="3"/>
      <c r="H189" s="3"/>
      <c r="I189" s="3"/>
      <c r="J189" s="3"/>
    </row>
    <row r="190" spans="1:17" x14ac:dyDescent="0.2">
      <c r="A190" s="5"/>
      <c r="C190" s="4"/>
      <c r="D190" s="4"/>
      <c r="E190" s="3"/>
      <c r="F190" s="3"/>
      <c r="G190" s="3"/>
      <c r="H190" s="3"/>
      <c r="I190" s="3"/>
      <c r="J190" s="3"/>
    </row>
    <row r="191" spans="1:17" x14ac:dyDescent="0.2">
      <c r="A191" s="5"/>
      <c r="C191" s="4"/>
      <c r="D191" s="4"/>
      <c r="E191" s="3"/>
      <c r="F191" s="3"/>
      <c r="G191" s="3"/>
      <c r="H191" s="3"/>
      <c r="I191" s="3"/>
      <c r="J191" s="3"/>
    </row>
    <row r="192" spans="1:17" x14ac:dyDescent="0.2">
      <c r="A192" s="5"/>
      <c r="C192" s="4"/>
      <c r="D192" s="4"/>
      <c r="E192" s="3"/>
      <c r="F192" s="3"/>
      <c r="G192" s="3"/>
      <c r="H192" s="3"/>
      <c r="I192" s="3"/>
      <c r="J192" s="3"/>
    </row>
    <row r="193" spans="1:10" x14ac:dyDescent="0.2">
      <c r="A193" s="5"/>
      <c r="C193" s="4"/>
      <c r="D193" s="4"/>
      <c r="E193" s="3"/>
      <c r="F193" s="3"/>
      <c r="G193" s="3"/>
      <c r="H193" s="3"/>
      <c r="I193" s="3"/>
      <c r="J193" s="3"/>
    </row>
    <row r="194" spans="1:10" x14ac:dyDescent="0.2">
      <c r="A194" s="5"/>
      <c r="C194" s="4"/>
      <c r="D194" s="4"/>
      <c r="E194" s="3"/>
      <c r="F194" s="3"/>
      <c r="G194" s="3"/>
      <c r="H194" s="3"/>
      <c r="I194" s="3"/>
      <c r="J194" s="3"/>
    </row>
    <row r="195" spans="1:10" x14ac:dyDescent="0.2">
      <c r="A195" s="5"/>
      <c r="C195" s="4"/>
      <c r="D195" s="4"/>
      <c r="E195" s="3"/>
      <c r="F195" s="3"/>
      <c r="G195" s="3"/>
      <c r="H195" s="3"/>
      <c r="I195" s="3"/>
      <c r="J195" s="3"/>
    </row>
    <row r="196" spans="1:10" x14ac:dyDescent="0.2">
      <c r="A196" s="5"/>
      <c r="C196" s="4"/>
      <c r="D196" s="4"/>
      <c r="E196" s="3"/>
      <c r="F196" s="3"/>
      <c r="G196" s="3"/>
      <c r="H196" s="3"/>
      <c r="I196" s="3"/>
      <c r="J196" s="3"/>
    </row>
    <row r="197" spans="1:10" x14ac:dyDescent="0.2">
      <c r="A197" s="5"/>
      <c r="C197" s="4"/>
      <c r="D197" s="4"/>
      <c r="E197" s="3"/>
      <c r="F197" s="3"/>
      <c r="G197" s="3"/>
      <c r="H197" s="3"/>
      <c r="I197" s="3"/>
      <c r="J197" s="3"/>
    </row>
    <row r="198" spans="1:10" x14ac:dyDescent="0.2">
      <c r="A198" s="5"/>
      <c r="C198" s="4"/>
      <c r="D198" s="4"/>
      <c r="E198" s="3"/>
      <c r="F198" s="3"/>
      <c r="G198" s="3"/>
      <c r="H198" s="3"/>
      <c r="I198" s="3"/>
      <c r="J198" s="3"/>
    </row>
    <row r="199" spans="1:10" x14ac:dyDescent="0.2">
      <c r="A199" s="5"/>
      <c r="C199" s="4"/>
      <c r="D199" s="4"/>
      <c r="E199" s="3"/>
      <c r="F199" s="3"/>
      <c r="G199" s="3"/>
      <c r="H199" s="3"/>
      <c r="I199" s="3"/>
      <c r="J199" s="3"/>
    </row>
    <row r="200" spans="1:10" x14ac:dyDescent="0.2">
      <c r="A200" s="5"/>
      <c r="C200" s="4"/>
      <c r="D200" s="4"/>
      <c r="E200" s="3"/>
      <c r="F200" s="3"/>
      <c r="G200" s="3"/>
      <c r="H200" s="3"/>
      <c r="I200" s="3"/>
      <c r="J200" s="3"/>
    </row>
    <row r="201" spans="1:10" x14ac:dyDescent="0.2">
      <c r="A201" s="5"/>
      <c r="C201" s="4"/>
      <c r="D201" s="4"/>
      <c r="E201" s="3"/>
      <c r="F201" s="3"/>
      <c r="G201" s="3"/>
      <c r="H201" s="3"/>
      <c r="I201" s="3"/>
      <c r="J201" s="3"/>
    </row>
    <row r="202" spans="1:10" x14ac:dyDescent="0.2">
      <c r="A202" s="5"/>
      <c r="C202" s="4"/>
      <c r="D202" s="4"/>
      <c r="E202" s="3"/>
      <c r="F202" s="3"/>
      <c r="G202" s="3"/>
      <c r="H202" s="3"/>
      <c r="I202" s="3"/>
      <c r="J202" s="3"/>
    </row>
    <row r="203" spans="1:10" x14ac:dyDescent="0.2">
      <c r="A203" s="5"/>
      <c r="C203" s="4"/>
      <c r="D203" s="4"/>
      <c r="E203" s="3"/>
      <c r="F203" s="3"/>
      <c r="G203" s="3"/>
      <c r="H203" s="3"/>
      <c r="I203" s="3"/>
      <c r="J203" s="3"/>
    </row>
    <row r="204" spans="1:10" x14ac:dyDescent="0.2">
      <c r="A204" s="5"/>
      <c r="C204" s="4"/>
      <c r="D204" s="4"/>
      <c r="E204" s="3"/>
      <c r="F204" s="3"/>
      <c r="G204" s="3"/>
      <c r="H204" s="3"/>
      <c r="I204" s="3"/>
      <c r="J204" s="3"/>
    </row>
    <row r="205" spans="1:10" x14ac:dyDescent="0.2">
      <c r="A205" s="5"/>
      <c r="C205" s="4"/>
      <c r="D205" s="4"/>
      <c r="E205" s="3"/>
      <c r="F205" s="3"/>
      <c r="G205" s="3"/>
      <c r="H205" s="3"/>
      <c r="I205" s="3"/>
      <c r="J205" s="3"/>
    </row>
    <row r="206" spans="1:10" x14ac:dyDescent="0.2">
      <c r="A206" s="5"/>
      <c r="C206" s="4"/>
      <c r="D206" s="4"/>
      <c r="E206" s="3"/>
      <c r="F206" s="3"/>
      <c r="G206" s="3"/>
      <c r="H206" s="3"/>
      <c r="I206" s="3"/>
      <c r="J206" s="3"/>
    </row>
    <row r="207" spans="1:10" x14ac:dyDescent="0.2">
      <c r="A207" s="5"/>
      <c r="C207" s="4"/>
      <c r="D207" s="4"/>
      <c r="E207" s="3"/>
      <c r="F207" s="3"/>
      <c r="G207" s="3"/>
      <c r="H207" s="3"/>
      <c r="I207" s="3"/>
      <c r="J207" s="3"/>
    </row>
    <row r="208" spans="1:10" x14ac:dyDescent="0.2">
      <c r="A208" s="5"/>
      <c r="C208" s="4"/>
      <c r="D208" s="4"/>
      <c r="E208" s="3"/>
      <c r="F208" s="3"/>
      <c r="G208" s="3"/>
      <c r="H208" s="3"/>
      <c r="I208" s="3"/>
      <c r="J208" s="3"/>
    </row>
    <row r="209" spans="1:10" x14ac:dyDescent="0.2">
      <c r="A209" s="5"/>
      <c r="C209" s="4"/>
      <c r="D209" s="4"/>
      <c r="E209" s="3"/>
      <c r="F209" s="3"/>
      <c r="G209" s="3"/>
      <c r="H209" s="3"/>
      <c r="I209" s="3"/>
      <c r="J209" s="3"/>
    </row>
    <row r="210" spans="1:10" x14ac:dyDescent="0.2">
      <c r="A210" s="5"/>
      <c r="C210" s="4"/>
      <c r="D210" s="4"/>
      <c r="E210" s="3"/>
      <c r="F210" s="3"/>
      <c r="G210" s="3"/>
      <c r="H210" s="3"/>
      <c r="I210" s="3"/>
      <c r="J210" s="3"/>
    </row>
    <row r="211" spans="1:10" x14ac:dyDescent="0.2">
      <c r="A211" s="5"/>
      <c r="C211" s="4"/>
      <c r="D211" s="4"/>
      <c r="E211" s="3"/>
      <c r="F211" s="3"/>
      <c r="G211" s="3"/>
      <c r="H211" s="3"/>
      <c r="I211" s="3"/>
      <c r="J211" s="3"/>
    </row>
    <row r="212" spans="1:10" x14ac:dyDescent="0.2">
      <c r="A212" s="5"/>
      <c r="C212" s="4"/>
      <c r="D212" s="4"/>
      <c r="E212" s="3"/>
      <c r="F212" s="3"/>
      <c r="G212" s="3"/>
      <c r="H212" s="3"/>
      <c r="I212" s="3"/>
      <c r="J212" s="3"/>
    </row>
    <row r="213" spans="1:10" x14ac:dyDescent="0.2">
      <c r="A213" s="5"/>
      <c r="C213" s="4"/>
      <c r="D213" s="4"/>
      <c r="E213" s="3"/>
      <c r="F213" s="3"/>
      <c r="G213" s="3"/>
      <c r="H213" s="3"/>
      <c r="I213" s="3"/>
      <c r="J213" s="3"/>
    </row>
    <row r="214" spans="1:10" x14ac:dyDescent="0.2">
      <c r="A214" s="5"/>
      <c r="C214" s="4"/>
      <c r="D214" s="4"/>
      <c r="E214" s="3"/>
      <c r="F214" s="3"/>
      <c r="G214" s="3"/>
      <c r="H214" s="3"/>
      <c r="I214" s="3"/>
      <c r="J214" s="3"/>
    </row>
    <row r="215" spans="1:10" x14ac:dyDescent="0.2">
      <c r="A215" s="5"/>
      <c r="C215" s="4"/>
      <c r="D215" s="4"/>
      <c r="E215" s="3"/>
      <c r="F215" s="3"/>
      <c r="G215" s="3"/>
      <c r="H215" s="3"/>
      <c r="I215" s="3"/>
      <c r="J215" s="3"/>
    </row>
    <row r="216" spans="1:10" x14ac:dyDescent="0.2">
      <c r="A216" s="5"/>
      <c r="C216" s="4"/>
      <c r="D216" s="4"/>
      <c r="E216" s="3"/>
      <c r="F216" s="3"/>
      <c r="G216" s="3"/>
      <c r="H216" s="3"/>
      <c r="I216" s="3"/>
      <c r="J216" s="3"/>
    </row>
    <row r="217" spans="1:10" x14ac:dyDescent="0.2">
      <c r="A217" s="5"/>
      <c r="C217" s="4"/>
      <c r="D217" s="4"/>
      <c r="E217" s="3"/>
      <c r="F217" s="3"/>
      <c r="G217" s="3"/>
      <c r="H217" s="3"/>
      <c r="I217" s="3"/>
      <c r="J217" s="3"/>
    </row>
    <row r="218" spans="1:10" x14ac:dyDescent="0.2">
      <c r="A218" s="5"/>
      <c r="C218" s="4"/>
      <c r="D218" s="4"/>
      <c r="E218" s="3"/>
      <c r="F218" s="3"/>
      <c r="G218" s="3"/>
      <c r="H218" s="3"/>
      <c r="I218" s="3"/>
      <c r="J218" s="3"/>
    </row>
    <row r="219" spans="1:10" x14ac:dyDescent="0.2">
      <c r="A219" s="5"/>
      <c r="C219" s="4"/>
      <c r="D219" s="4"/>
      <c r="E219" s="3"/>
      <c r="F219" s="3"/>
      <c r="G219" s="3"/>
      <c r="H219" s="3"/>
      <c r="I219" s="3"/>
      <c r="J219" s="3"/>
    </row>
    <row r="220" spans="1:10" x14ac:dyDescent="0.2">
      <c r="A220" s="5"/>
      <c r="C220" s="4"/>
      <c r="D220" s="4"/>
      <c r="E220" s="3"/>
      <c r="F220" s="3"/>
      <c r="G220" s="3"/>
      <c r="H220" s="3"/>
      <c r="I220" s="3"/>
      <c r="J220" s="3"/>
    </row>
    <row r="221" spans="1:10" x14ac:dyDescent="0.2">
      <c r="A221" s="5"/>
      <c r="C221" s="4"/>
      <c r="D221" s="4"/>
      <c r="E221" s="3"/>
      <c r="F221" s="3"/>
      <c r="G221" s="3"/>
      <c r="H221" s="3"/>
      <c r="I221" s="3"/>
      <c r="J221" s="3"/>
    </row>
    <row r="222" spans="1:10" x14ac:dyDescent="0.2">
      <c r="A222" s="5"/>
      <c r="C222" s="4"/>
      <c r="D222" s="4"/>
      <c r="E222" s="3"/>
      <c r="F222" s="3"/>
      <c r="G222" s="3"/>
      <c r="H222" s="3"/>
      <c r="I222" s="3"/>
      <c r="J222" s="3"/>
    </row>
    <row r="223" spans="1:10" x14ac:dyDescent="0.2">
      <c r="A223" s="5"/>
      <c r="C223" s="4"/>
      <c r="D223" s="4"/>
      <c r="E223" s="3"/>
      <c r="F223" s="3"/>
      <c r="G223" s="3"/>
      <c r="H223" s="3"/>
      <c r="I223" s="3"/>
      <c r="J223" s="3"/>
    </row>
    <row r="224" spans="1:10" x14ac:dyDescent="0.2">
      <c r="A224" s="5"/>
      <c r="C224" s="4"/>
      <c r="D224" s="4"/>
      <c r="E224" s="3"/>
      <c r="F224" s="3"/>
      <c r="G224" s="3"/>
      <c r="H224" s="3"/>
      <c r="I224" s="3"/>
      <c r="J224" s="3"/>
    </row>
    <row r="225" spans="1:10" x14ac:dyDescent="0.2">
      <c r="A225" s="5"/>
      <c r="C225" s="4"/>
      <c r="D225" s="4"/>
      <c r="E225" s="3"/>
      <c r="F225" s="3"/>
      <c r="G225" s="3"/>
      <c r="H225" s="3"/>
      <c r="I225" s="3"/>
      <c r="J225" s="3"/>
    </row>
    <row r="226" spans="1:10" x14ac:dyDescent="0.2">
      <c r="A226" s="5"/>
      <c r="C226" s="4"/>
      <c r="D226" s="4"/>
      <c r="E226" s="3"/>
      <c r="F226" s="3"/>
      <c r="G226" s="3"/>
      <c r="H226" s="3"/>
      <c r="I226" s="3"/>
      <c r="J226" s="3"/>
    </row>
    <row r="227" spans="1:10" x14ac:dyDescent="0.2">
      <c r="A227" s="2"/>
    </row>
    <row r="228" spans="1:10" x14ac:dyDescent="0.2">
      <c r="A228" s="2"/>
    </row>
    <row r="229" spans="1:10" x14ac:dyDescent="0.2">
      <c r="A229" s="2"/>
    </row>
    <row r="230" spans="1:10" x14ac:dyDescent="0.2">
      <c r="A230" s="2"/>
    </row>
    <row r="231" spans="1:10" x14ac:dyDescent="0.2">
      <c r="A231" s="2"/>
    </row>
    <row r="232" spans="1:10" x14ac:dyDescent="0.2">
      <c r="A232" s="2"/>
    </row>
    <row r="233" spans="1:10" x14ac:dyDescent="0.2">
      <c r="A233" s="2"/>
    </row>
    <row r="234" spans="1:10" x14ac:dyDescent="0.2">
      <c r="A234" s="2"/>
    </row>
    <row r="235" spans="1:10" x14ac:dyDescent="0.2">
      <c r="A235" s="2"/>
    </row>
    <row r="236" spans="1:10" x14ac:dyDescent="0.2">
      <c r="A236" s="2"/>
    </row>
    <row r="237" spans="1:10" x14ac:dyDescent="0.2">
      <c r="A237" s="2"/>
    </row>
    <row r="238" spans="1:10" x14ac:dyDescent="0.2">
      <c r="A238" s="2"/>
    </row>
    <row r="239" spans="1:10" x14ac:dyDescent="0.2">
      <c r="A239" s="2"/>
    </row>
    <row r="240" spans="1:10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</sheetData>
  <mergeCells count="40">
    <mergeCell ref="F5:J5"/>
    <mergeCell ref="G1:J1"/>
    <mergeCell ref="G32:J32"/>
    <mergeCell ref="G33:J33"/>
    <mergeCell ref="G29:J29"/>
    <mergeCell ref="G34:J34"/>
    <mergeCell ref="C47:C48"/>
    <mergeCell ref="B31:C31"/>
    <mergeCell ref="G31:J31"/>
    <mergeCell ref="E38:G38"/>
    <mergeCell ref="E39:G39"/>
    <mergeCell ref="B32:D32"/>
    <mergeCell ref="B33:D33"/>
    <mergeCell ref="B34:D34"/>
    <mergeCell ref="B35:D35"/>
    <mergeCell ref="B36:D36"/>
    <mergeCell ref="B37:D37"/>
    <mergeCell ref="B38:D38"/>
    <mergeCell ref="B39:D39"/>
    <mergeCell ref="F185:J185"/>
    <mergeCell ref="F184:J184"/>
    <mergeCell ref="A43:J43"/>
    <mergeCell ref="G35:J35"/>
    <mergeCell ref="G36:J36"/>
    <mergeCell ref="A50:J50"/>
    <mergeCell ref="E47:J47"/>
    <mergeCell ref="A143:J143"/>
    <mergeCell ref="A44:J44"/>
    <mergeCell ref="A45:J45"/>
    <mergeCell ref="A47:A48"/>
    <mergeCell ref="B47:B48"/>
    <mergeCell ref="G37:J37"/>
    <mergeCell ref="A125:J125"/>
    <mergeCell ref="A132:J132"/>
    <mergeCell ref="A51:J51"/>
    <mergeCell ref="A115:J115"/>
    <mergeCell ref="B40:J40"/>
    <mergeCell ref="D47:D48"/>
    <mergeCell ref="B41:J41"/>
    <mergeCell ref="B42:J42"/>
  </mergeCells>
  <phoneticPr fontId="9" type="noConversion"/>
  <pageMargins left="0.78740157480314965" right="0.39370078740157483" top="0.39370078740157483" bottom="0.39370078740157483" header="0.39370078740157483" footer="0.39370078740157483"/>
  <pageSetup paperSize="9" scale="48" fitToHeight="3" orientation="portrait" r:id="rId1"/>
  <rowBreaks count="1" manualBreakCount="1">
    <brk id="17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3"/>
  <sheetViews>
    <sheetView view="pageBreakPreview" topLeftCell="A148" zoomScale="85" zoomScaleNormal="100" zoomScaleSheetLayoutView="85" workbookViewId="0">
      <selection activeCell="H178" sqref="H178"/>
    </sheetView>
  </sheetViews>
  <sheetFormatPr defaultColWidth="8.85546875" defaultRowHeight="18.75" x14ac:dyDescent="0.2"/>
  <cols>
    <col min="1" max="1" width="60" style="1" customWidth="1"/>
    <col min="2" max="2" width="10.85546875" style="147" customWidth="1"/>
    <col min="3" max="4" width="16.42578125" style="147" customWidth="1"/>
    <col min="5" max="5" width="16" style="1" customWidth="1"/>
    <col min="6" max="6" width="15.42578125" style="1" customWidth="1"/>
    <col min="7" max="9" width="18.140625" style="1" customWidth="1"/>
    <col min="10" max="10" width="19.5703125" style="1" customWidth="1"/>
    <col min="11" max="11" width="12.85546875" style="1" bestFit="1" customWidth="1"/>
    <col min="12" max="12" width="20.7109375" style="1" customWidth="1"/>
    <col min="13" max="13" width="12.140625" style="1" bestFit="1" customWidth="1"/>
    <col min="14" max="14" width="11.42578125" style="1" bestFit="1" customWidth="1"/>
    <col min="15" max="15" width="11.28515625" style="1" bestFit="1" customWidth="1"/>
    <col min="16" max="16" width="9.85546875" style="1" bestFit="1" customWidth="1"/>
    <col min="17" max="18" width="9.28515625" style="1" bestFit="1" customWidth="1"/>
    <col min="19" max="16384" width="8.85546875" style="1"/>
  </cols>
  <sheetData>
    <row r="1" spans="5:10" x14ac:dyDescent="0.2">
      <c r="G1" s="269" t="s">
        <v>73</v>
      </c>
      <c r="H1" s="269"/>
      <c r="I1" s="269"/>
      <c r="J1" s="269"/>
    </row>
    <row r="2" spans="5:10" x14ac:dyDescent="0.2">
      <c r="G2" s="38"/>
      <c r="H2" s="38"/>
      <c r="I2" s="38"/>
      <c r="J2" s="38"/>
    </row>
    <row r="3" spans="5:10" x14ac:dyDescent="0.2">
      <c r="F3" s="1" t="s">
        <v>52</v>
      </c>
      <c r="J3" s="38"/>
    </row>
    <row r="4" spans="5:10" x14ac:dyDescent="0.2">
      <c r="F4" s="36"/>
      <c r="G4" s="36"/>
      <c r="H4" s="36"/>
      <c r="I4" s="36"/>
      <c r="J4" s="39"/>
    </row>
    <row r="5" spans="5:10" x14ac:dyDescent="0.2">
      <c r="F5" s="268" t="s">
        <v>51</v>
      </c>
      <c r="G5" s="268"/>
      <c r="H5" s="268"/>
      <c r="I5" s="268"/>
      <c r="J5" s="268"/>
    </row>
    <row r="6" spans="5:10" x14ac:dyDescent="0.2">
      <c r="F6" s="36"/>
      <c r="G6" s="36"/>
      <c r="H6" s="36"/>
      <c r="I6" s="36"/>
      <c r="J6" s="39"/>
    </row>
    <row r="7" spans="5:10" x14ac:dyDescent="0.2">
      <c r="F7" s="35" t="s">
        <v>50</v>
      </c>
      <c r="J7" s="38"/>
    </row>
    <row r="8" spans="5:10" x14ac:dyDescent="0.2">
      <c r="F8" s="36"/>
      <c r="G8" s="36"/>
      <c r="H8" s="36"/>
      <c r="I8" s="36"/>
      <c r="J8" s="39"/>
    </row>
    <row r="9" spans="5:10" x14ac:dyDescent="0.2">
      <c r="F9" s="35" t="s">
        <v>45</v>
      </c>
      <c r="J9" s="38"/>
    </row>
    <row r="10" spans="5:10" x14ac:dyDescent="0.2">
      <c r="F10" s="35"/>
      <c r="J10" s="38"/>
    </row>
    <row r="11" spans="5:10" ht="23.25" customHeight="1" x14ac:dyDescent="0.2">
      <c r="E11" s="147"/>
      <c r="F11" s="1" t="s">
        <v>48</v>
      </c>
      <c r="J11" s="38"/>
    </row>
    <row r="12" spans="5:10" ht="23.25" customHeight="1" x14ac:dyDescent="0.2">
      <c r="E12" s="147"/>
      <c r="F12" s="36"/>
      <c r="G12" s="36"/>
      <c r="H12" s="36"/>
      <c r="I12" s="36"/>
      <c r="J12" s="39"/>
    </row>
    <row r="13" spans="5:10" ht="23.25" customHeight="1" x14ac:dyDescent="0.2">
      <c r="E13" s="147"/>
      <c r="F13" s="35" t="s">
        <v>49</v>
      </c>
      <c r="J13" s="38"/>
    </row>
    <row r="14" spans="5:10" ht="23.25" customHeight="1" x14ac:dyDescent="0.2">
      <c r="E14" s="147"/>
      <c r="F14" s="36"/>
      <c r="G14" s="36"/>
      <c r="H14" s="36"/>
      <c r="I14" s="36"/>
      <c r="J14" s="39"/>
    </row>
    <row r="15" spans="5:10" ht="23.25" customHeight="1" x14ac:dyDescent="0.2">
      <c r="E15" s="147"/>
      <c r="F15" s="35" t="s">
        <v>46</v>
      </c>
      <c r="J15" s="38"/>
    </row>
    <row r="16" spans="5:10" ht="23.25" customHeight="1" x14ac:dyDescent="0.2">
      <c r="E16" s="147"/>
      <c r="F16" s="36"/>
      <c r="G16" s="36"/>
      <c r="H16" s="36"/>
      <c r="I16" s="36"/>
      <c r="J16" s="39"/>
    </row>
    <row r="17" spans="1:10" ht="23.25" customHeight="1" x14ac:dyDescent="0.2">
      <c r="E17" s="147"/>
      <c r="F17" s="35" t="s">
        <v>45</v>
      </c>
      <c r="J17" s="38"/>
    </row>
    <row r="18" spans="1:10" ht="23.25" customHeight="1" x14ac:dyDescent="0.2">
      <c r="E18" s="147"/>
      <c r="J18" s="38"/>
    </row>
    <row r="19" spans="1:10" x14ac:dyDescent="0.2">
      <c r="E19" s="147"/>
      <c r="F19" s="1" t="s">
        <v>48</v>
      </c>
    </row>
    <row r="20" spans="1:10" x14ac:dyDescent="0.2">
      <c r="B20" s="1"/>
      <c r="C20" s="1"/>
      <c r="D20" s="1"/>
      <c r="F20" s="37"/>
      <c r="G20" s="37"/>
      <c r="H20" s="37"/>
      <c r="I20" s="37"/>
      <c r="J20" s="37"/>
    </row>
    <row r="21" spans="1:10" x14ac:dyDescent="0.2">
      <c r="A21" s="35"/>
      <c r="B21" s="1"/>
      <c r="C21" s="1"/>
      <c r="D21" s="1"/>
      <c r="F21" s="35" t="s">
        <v>47</v>
      </c>
    </row>
    <row r="22" spans="1:10" x14ac:dyDescent="0.2">
      <c r="B22" s="1"/>
      <c r="C22" s="1"/>
      <c r="D22" s="1"/>
      <c r="F22" s="36"/>
      <c r="G22" s="36"/>
      <c r="H22" s="36"/>
      <c r="I22" s="36"/>
      <c r="J22" s="36"/>
    </row>
    <row r="23" spans="1:10" x14ac:dyDescent="0.2">
      <c r="A23" s="35"/>
      <c r="B23" s="1"/>
      <c r="C23" s="1"/>
      <c r="D23" s="1"/>
      <c r="F23" s="35" t="s">
        <v>46</v>
      </c>
      <c r="G23" s="35"/>
      <c r="H23" s="35"/>
      <c r="I23" s="35"/>
      <c r="J23" s="35"/>
    </row>
    <row r="24" spans="1:10" x14ac:dyDescent="0.2">
      <c r="B24" s="1"/>
      <c r="C24" s="1"/>
      <c r="D24" s="1"/>
      <c r="F24" s="36"/>
      <c r="G24" s="36"/>
      <c r="H24" s="36"/>
      <c r="I24" s="36"/>
      <c r="J24" s="36"/>
    </row>
    <row r="25" spans="1:10" x14ac:dyDescent="0.2">
      <c r="A25" s="35"/>
      <c r="B25" s="1"/>
      <c r="C25" s="1"/>
      <c r="D25" s="1"/>
      <c r="F25" s="35" t="s">
        <v>45</v>
      </c>
      <c r="G25" s="35"/>
      <c r="H25" s="35"/>
      <c r="I25" s="35"/>
      <c r="J25" s="35"/>
    </row>
    <row r="26" spans="1:10" x14ac:dyDescent="0.2">
      <c r="A26" s="35"/>
      <c r="B26" s="1"/>
      <c r="C26" s="1"/>
      <c r="D26" s="1"/>
      <c r="F26" s="35"/>
      <c r="G26" s="46" t="s">
        <v>69</v>
      </c>
      <c r="H26" s="46"/>
      <c r="I26" s="46"/>
      <c r="J26" s="65"/>
    </row>
    <row r="27" spans="1:10" x14ac:dyDescent="0.2">
      <c r="A27" s="35"/>
      <c r="B27" s="1"/>
      <c r="C27" s="1"/>
      <c r="D27" s="1"/>
      <c r="F27" s="35"/>
      <c r="G27" s="46" t="s">
        <v>70</v>
      </c>
      <c r="H27" s="46"/>
      <c r="I27" s="46"/>
      <c r="J27" s="46"/>
    </row>
    <row r="28" spans="1:10" x14ac:dyDescent="0.2">
      <c r="A28" s="35"/>
      <c r="B28" s="1"/>
      <c r="C28" s="1"/>
      <c r="D28" s="1"/>
      <c r="F28" s="35"/>
      <c r="G28" s="46" t="s">
        <v>72</v>
      </c>
      <c r="H28" s="46"/>
      <c r="I28" s="46"/>
      <c r="J28" s="65" t="s">
        <v>162</v>
      </c>
    </row>
    <row r="29" spans="1:10" ht="20.25" customHeight="1" x14ac:dyDescent="0.2">
      <c r="A29" s="35"/>
      <c r="B29" s="1"/>
      <c r="C29" s="1"/>
      <c r="D29" s="1"/>
      <c r="F29" s="35"/>
      <c r="G29" s="271" t="s">
        <v>71</v>
      </c>
      <c r="H29" s="272"/>
      <c r="I29" s="272"/>
      <c r="J29" s="273"/>
    </row>
    <row r="31" spans="1:10" x14ac:dyDescent="0.2">
      <c r="B31" s="259"/>
      <c r="C31" s="259"/>
      <c r="D31" s="149"/>
      <c r="E31" s="34"/>
      <c r="F31" s="67"/>
      <c r="G31" s="260" t="s">
        <v>44</v>
      </c>
      <c r="H31" s="261"/>
      <c r="I31" s="261"/>
      <c r="J31" s="262"/>
    </row>
    <row r="32" spans="1:10" ht="81" customHeight="1" x14ac:dyDescent="0.2">
      <c r="A32" s="31" t="s">
        <v>43</v>
      </c>
      <c r="B32" s="264" t="s">
        <v>143</v>
      </c>
      <c r="C32" s="264"/>
      <c r="D32" s="265"/>
      <c r="E32" s="33" t="s">
        <v>154</v>
      </c>
      <c r="F32" s="150"/>
      <c r="G32" s="270" t="s">
        <v>155</v>
      </c>
      <c r="H32" s="270"/>
      <c r="I32" s="270"/>
      <c r="J32" s="270"/>
    </row>
    <row r="33" spans="1:10" ht="30" customHeight="1" x14ac:dyDescent="0.2">
      <c r="A33" s="31" t="s">
        <v>42</v>
      </c>
      <c r="B33" s="264" t="s">
        <v>144</v>
      </c>
      <c r="C33" s="264"/>
      <c r="D33" s="265"/>
      <c r="E33" s="33" t="s">
        <v>41</v>
      </c>
      <c r="F33" s="33"/>
      <c r="G33" s="253">
        <v>150</v>
      </c>
      <c r="H33" s="253"/>
      <c r="I33" s="253"/>
      <c r="J33" s="253"/>
    </row>
    <row r="34" spans="1:10" ht="18.75" customHeight="1" x14ac:dyDescent="0.2">
      <c r="A34" s="31" t="s">
        <v>40</v>
      </c>
      <c r="B34" s="264" t="s">
        <v>145</v>
      </c>
      <c r="C34" s="264"/>
      <c r="D34" s="265"/>
      <c r="E34" s="33" t="s">
        <v>39</v>
      </c>
      <c r="F34" s="33"/>
      <c r="G34" s="253">
        <v>5910136600</v>
      </c>
      <c r="H34" s="253"/>
      <c r="I34" s="253"/>
      <c r="J34" s="253"/>
    </row>
    <row r="35" spans="1:10" ht="18.75" customHeight="1" x14ac:dyDescent="0.2">
      <c r="A35" s="31" t="s">
        <v>38</v>
      </c>
      <c r="B35" s="264" t="s">
        <v>146</v>
      </c>
      <c r="C35" s="264"/>
      <c r="D35" s="265"/>
      <c r="E35" s="33" t="s">
        <v>37</v>
      </c>
      <c r="F35" s="27"/>
      <c r="G35" s="253"/>
      <c r="H35" s="253"/>
      <c r="I35" s="253"/>
      <c r="J35" s="253"/>
    </row>
    <row r="36" spans="1:10" ht="18" customHeight="1" x14ac:dyDescent="0.2">
      <c r="A36" s="31" t="s">
        <v>36</v>
      </c>
      <c r="B36" s="264" t="s">
        <v>147</v>
      </c>
      <c r="C36" s="264"/>
      <c r="D36" s="265"/>
      <c r="E36" s="33" t="s">
        <v>35</v>
      </c>
      <c r="F36" s="27"/>
      <c r="G36" s="253"/>
      <c r="H36" s="253"/>
      <c r="I36" s="253"/>
      <c r="J36" s="253"/>
    </row>
    <row r="37" spans="1:10" ht="20.25" customHeight="1" x14ac:dyDescent="0.2">
      <c r="A37" s="31" t="s">
        <v>34</v>
      </c>
      <c r="B37" s="264" t="s">
        <v>148</v>
      </c>
      <c r="C37" s="264"/>
      <c r="D37" s="265"/>
      <c r="E37" s="32" t="s">
        <v>33</v>
      </c>
      <c r="F37" s="27"/>
      <c r="G37" s="253" t="s">
        <v>156</v>
      </c>
      <c r="H37" s="253"/>
      <c r="I37" s="253"/>
      <c r="J37" s="253"/>
    </row>
    <row r="38" spans="1:10" ht="18.75" customHeight="1" x14ac:dyDescent="0.2">
      <c r="A38" s="31" t="s">
        <v>32</v>
      </c>
      <c r="B38" s="266" t="s">
        <v>149</v>
      </c>
      <c r="C38" s="266"/>
      <c r="D38" s="267"/>
      <c r="E38" s="263" t="s">
        <v>31</v>
      </c>
      <c r="F38" s="263"/>
      <c r="G38" s="263"/>
      <c r="H38" s="150"/>
      <c r="I38" s="150"/>
      <c r="J38" s="20"/>
    </row>
    <row r="39" spans="1:10" ht="18.75" customHeight="1" x14ac:dyDescent="0.2">
      <c r="A39" s="31" t="s">
        <v>30</v>
      </c>
      <c r="B39" s="266" t="s">
        <v>150</v>
      </c>
      <c r="C39" s="266"/>
      <c r="D39" s="267"/>
      <c r="E39" s="263" t="s">
        <v>29</v>
      </c>
      <c r="F39" s="263"/>
      <c r="G39" s="263"/>
      <c r="H39" s="150"/>
      <c r="I39" s="150"/>
      <c r="J39" s="27"/>
    </row>
    <row r="40" spans="1:10" ht="18.75" customHeight="1" x14ac:dyDescent="0.2">
      <c r="A40" s="31" t="s">
        <v>28</v>
      </c>
      <c r="B40" s="243" t="s">
        <v>151</v>
      </c>
      <c r="C40" s="243"/>
      <c r="D40" s="243"/>
      <c r="E40" s="243"/>
      <c r="F40" s="243"/>
      <c r="G40" s="243"/>
      <c r="H40" s="243"/>
      <c r="I40" s="243"/>
      <c r="J40" s="244"/>
    </row>
    <row r="41" spans="1:10" ht="18.75" customHeight="1" x14ac:dyDescent="0.2">
      <c r="A41" s="31" t="s">
        <v>27</v>
      </c>
      <c r="B41" s="247" t="s">
        <v>152</v>
      </c>
      <c r="C41" s="247"/>
      <c r="D41" s="247"/>
      <c r="E41" s="247"/>
      <c r="F41" s="247"/>
      <c r="G41" s="247"/>
      <c r="H41" s="247"/>
      <c r="I41" s="247"/>
      <c r="J41" s="248"/>
    </row>
    <row r="42" spans="1:10" ht="18.75" customHeight="1" x14ac:dyDescent="0.2">
      <c r="A42" s="31" t="s">
        <v>26</v>
      </c>
      <c r="B42" s="243" t="s">
        <v>153</v>
      </c>
      <c r="C42" s="243"/>
      <c r="D42" s="243"/>
      <c r="E42" s="243"/>
      <c r="F42" s="243"/>
      <c r="G42" s="243"/>
      <c r="H42" s="243"/>
      <c r="I42" s="243"/>
      <c r="J42" s="244"/>
    </row>
    <row r="43" spans="1:10" x14ac:dyDescent="0.2">
      <c r="A43" s="251"/>
      <c r="B43" s="252"/>
      <c r="C43" s="252"/>
      <c r="D43" s="252"/>
      <c r="E43" s="252"/>
      <c r="F43" s="252"/>
      <c r="G43" s="252"/>
      <c r="H43" s="252"/>
      <c r="I43" s="252"/>
      <c r="J43" s="252"/>
    </row>
    <row r="44" spans="1:10" x14ac:dyDescent="0.2">
      <c r="A44" s="251" t="s">
        <v>60</v>
      </c>
      <c r="B44" s="251"/>
      <c r="C44" s="251"/>
      <c r="D44" s="251"/>
      <c r="E44" s="251"/>
      <c r="F44" s="251"/>
      <c r="G44" s="251"/>
      <c r="H44" s="251"/>
      <c r="I44" s="251"/>
      <c r="J44" s="251"/>
    </row>
    <row r="45" spans="1:10" x14ac:dyDescent="0.2">
      <c r="A45" s="255" t="s">
        <v>174</v>
      </c>
      <c r="B45" s="255"/>
      <c r="C45" s="255"/>
      <c r="D45" s="255"/>
      <c r="E45" s="255"/>
      <c r="F45" s="255"/>
      <c r="G45" s="255"/>
      <c r="H45" s="255"/>
      <c r="I45" s="255"/>
      <c r="J45" s="255"/>
    </row>
    <row r="46" spans="1:10" x14ac:dyDescent="0.2">
      <c r="A46" s="148"/>
      <c r="B46" s="30"/>
      <c r="C46" s="148"/>
      <c r="D46" s="148"/>
      <c r="E46" s="148"/>
      <c r="F46" s="148"/>
      <c r="G46" s="148"/>
      <c r="H46" s="148"/>
      <c r="I46" s="148"/>
      <c r="J46" s="148" t="s">
        <v>68</v>
      </c>
    </row>
    <row r="47" spans="1:10" s="28" customFormat="1" ht="18.75" customHeight="1" x14ac:dyDescent="0.2">
      <c r="A47" s="256" t="s">
        <v>25</v>
      </c>
      <c r="B47" s="254" t="s">
        <v>24</v>
      </c>
      <c r="C47" s="254" t="s">
        <v>61</v>
      </c>
      <c r="D47" s="245" t="s">
        <v>62</v>
      </c>
      <c r="E47" s="254" t="s">
        <v>63</v>
      </c>
      <c r="F47" s="254"/>
      <c r="G47" s="254"/>
      <c r="H47" s="254"/>
      <c r="I47" s="254"/>
      <c r="J47" s="254"/>
    </row>
    <row r="48" spans="1:10" s="28" customFormat="1" ht="63" customHeight="1" x14ac:dyDescent="0.2">
      <c r="A48" s="256"/>
      <c r="B48" s="254"/>
      <c r="C48" s="254"/>
      <c r="D48" s="246"/>
      <c r="E48" s="29" t="s">
        <v>64</v>
      </c>
      <c r="F48" s="29" t="s">
        <v>65</v>
      </c>
      <c r="G48" s="29" t="s">
        <v>66</v>
      </c>
      <c r="H48" s="29" t="s">
        <v>175</v>
      </c>
      <c r="I48" s="29" t="s">
        <v>176</v>
      </c>
      <c r="J48" s="29" t="s">
        <v>67</v>
      </c>
    </row>
    <row r="49" spans="1:15" x14ac:dyDescent="0.2">
      <c r="A49" s="22">
        <v>1</v>
      </c>
      <c r="B49" s="20">
        <v>2</v>
      </c>
      <c r="C49" s="20">
        <v>3</v>
      </c>
      <c r="D49" s="20">
        <v>4</v>
      </c>
      <c r="E49" s="20">
        <v>5</v>
      </c>
      <c r="F49" s="20">
        <v>6</v>
      </c>
      <c r="G49" s="20">
        <v>7</v>
      </c>
      <c r="H49" s="20"/>
      <c r="I49" s="20"/>
      <c r="J49" s="20">
        <v>8</v>
      </c>
    </row>
    <row r="50" spans="1:15" ht="25.5" customHeight="1" x14ac:dyDescent="0.2">
      <c r="A50" s="242" t="s">
        <v>23</v>
      </c>
      <c r="B50" s="242"/>
      <c r="C50" s="242"/>
      <c r="D50" s="242"/>
      <c r="E50" s="242"/>
      <c r="F50" s="242"/>
      <c r="G50" s="242"/>
      <c r="H50" s="242"/>
      <c r="I50" s="242"/>
      <c r="J50" s="242"/>
    </row>
    <row r="51" spans="1:15" s="26" customFormat="1" ht="23.25" customHeight="1" x14ac:dyDescent="0.2">
      <c r="A51" s="258" t="s">
        <v>22</v>
      </c>
      <c r="B51" s="258"/>
      <c r="C51" s="258"/>
      <c r="D51" s="258"/>
      <c r="E51" s="258"/>
      <c r="F51" s="258"/>
      <c r="G51" s="258"/>
      <c r="H51" s="258"/>
      <c r="I51" s="258"/>
      <c r="J51" s="258"/>
    </row>
    <row r="52" spans="1:15" s="26" customFormat="1" ht="27.75" customHeight="1" x14ac:dyDescent="0.2">
      <c r="A52" s="14" t="s">
        <v>84</v>
      </c>
      <c r="B52" s="17">
        <v>1000</v>
      </c>
      <c r="C52" s="52">
        <v>77534.600000000006</v>
      </c>
      <c r="D52" s="52">
        <f>E52+F52+G52+J52</f>
        <v>80660.2</v>
      </c>
      <c r="E52" s="54">
        <f t="shared" ref="E52:J52" si="0">E53+E54</f>
        <v>20758.8</v>
      </c>
      <c r="F52" s="52">
        <f t="shared" si="0"/>
        <v>23540.400000000001</v>
      </c>
      <c r="G52" s="52">
        <f t="shared" si="0"/>
        <v>12820.5</v>
      </c>
      <c r="H52" s="153">
        <f t="shared" si="0"/>
        <v>57119.7</v>
      </c>
      <c r="I52" s="132">
        <f t="shared" si="0"/>
        <v>55755.6</v>
      </c>
      <c r="J52" s="52">
        <f t="shared" si="0"/>
        <v>23540.5</v>
      </c>
    </row>
    <row r="53" spans="1:15" s="26" customFormat="1" ht="38.25" customHeight="1" x14ac:dyDescent="0.2">
      <c r="A53" s="49" t="s">
        <v>132</v>
      </c>
      <c r="B53" s="25">
        <v>1001</v>
      </c>
      <c r="C53" s="66">
        <v>77468.5</v>
      </c>
      <c r="D53" s="53">
        <f>E53+F53+G53+J53</f>
        <v>80599.199999999997</v>
      </c>
      <c r="E53" s="95">
        <v>20752.8</v>
      </c>
      <c r="F53" s="95">
        <v>23515.4</v>
      </c>
      <c r="G53" s="95">
        <v>12815.5</v>
      </c>
      <c r="H53" s="95">
        <f>E53+F53+G53</f>
        <v>57083.7</v>
      </c>
      <c r="I53" s="144">
        <v>55743.4</v>
      </c>
      <c r="J53" s="95">
        <v>23515.5</v>
      </c>
      <c r="K53" s="71"/>
      <c r="M53" s="71"/>
      <c r="O53" s="71"/>
    </row>
    <row r="54" spans="1:15" s="26" customFormat="1" ht="23.25" customHeight="1" x14ac:dyDescent="0.2">
      <c r="A54" s="24" t="s">
        <v>101</v>
      </c>
      <c r="B54" s="25">
        <v>1002</v>
      </c>
      <c r="C54" s="66">
        <v>66.099999999999994</v>
      </c>
      <c r="D54" s="53">
        <f>E54+F54+G54+J54</f>
        <v>61</v>
      </c>
      <c r="E54" s="95">
        <v>6</v>
      </c>
      <c r="F54" s="53">
        <v>25</v>
      </c>
      <c r="G54" s="53">
        <v>5</v>
      </c>
      <c r="H54" s="95">
        <f>E54+F54+G54</f>
        <v>36</v>
      </c>
      <c r="I54" s="53">
        <v>12.2</v>
      </c>
      <c r="J54" s="53">
        <v>25</v>
      </c>
      <c r="K54" s="71"/>
      <c r="M54" s="71"/>
    </row>
    <row r="55" spans="1:15" s="26" customFormat="1" x14ac:dyDescent="0.2">
      <c r="A55" s="14" t="s">
        <v>85</v>
      </c>
      <c r="B55" s="17">
        <v>1010</v>
      </c>
      <c r="C55" s="52">
        <v>32677.499999999996</v>
      </c>
      <c r="D55" s="53">
        <f t="shared" ref="D55:J55" si="1">SUM(D56:D67)</f>
        <v>104326.30000000002</v>
      </c>
      <c r="E55" s="53">
        <f t="shared" si="1"/>
        <v>31237.599999999999</v>
      </c>
      <c r="F55" s="53">
        <f t="shared" si="1"/>
        <v>27885.200000000001</v>
      </c>
      <c r="G55" s="53">
        <f t="shared" si="1"/>
        <v>34882.199999999997</v>
      </c>
      <c r="H55" s="53">
        <f t="shared" si="1"/>
        <v>94005</v>
      </c>
      <c r="I55" s="53">
        <f t="shared" si="1"/>
        <v>40159.100000000006</v>
      </c>
      <c r="J55" s="53">
        <f t="shared" si="1"/>
        <v>10321.300000000001</v>
      </c>
      <c r="K55" s="71"/>
      <c r="M55" s="71"/>
    </row>
    <row r="56" spans="1:15" s="26" customFormat="1" ht="37.5" x14ac:dyDescent="0.2">
      <c r="A56" s="150" t="s">
        <v>102</v>
      </c>
      <c r="B56" s="15">
        <v>1011</v>
      </c>
      <c r="C56" s="53">
        <v>1824.7</v>
      </c>
      <c r="D56" s="53">
        <f t="shared" ref="D56:D64" si="2">E56+F56+G56+J56</f>
        <v>1714</v>
      </c>
      <c r="E56" s="95">
        <v>240</v>
      </c>
      <c r="F56" s="53">
        <v>580</v>
      </c>
      <c r="G56" s="53">
        <v>322</v>
      </c>
      <c r="H56" s="53">
        <f t="shared" ref="H56:H64" si="3">E56+F56+G56</f>
        <v>1142</v>
      </c>
      <c r="I56" s="53">
        <v>1118.7</v>
      </c>
      <c r="J56" s="53">
        <v>572</v>
      </c>
      <c r="K56" s="71"/>
      <c r="M56" s="71"/>
    </row>
    <row r="57" spans="1:15" s="26" customFormat="1" x14ac:dyDescent="0.2">
      <c r="A57" s="150" t="s">
        <v>103</v>
      </c>
      <c r="B57" s="15">
        <v>1012</v>
      </c>
      <c r="C57" s="53">
        <v>0</v>
      </c>
      <c r="D57" s="53">
        <f t="shared" si="2"/>
        <v>0</v>
      </c>
      <c r="E57" s="55"/>
      <c r="F57" s="53"/>
      <c r="G57" s="56"/>
      <c r="H57" s="53">
        <f t="shared" si="3"/>
        <v>0</v>
      </c>
      <c r="I57" s="132"/>
      <c r="J57" s="53"/>
      <c r="K57" s="71"/>
      <c r="M57" s="71"/>
    </row>
    <row r="58" spans="1:15" s="26" customFormat="1" x14ac:dyDescent="0.2">
      <c r="A58" s="150" t="s">
        <v>104</v>
      </c>
      <c r="B58" s="15">
        <v>1013</v>
      </c>
      <c r="C58" s="53">
        <v>0</v>
      </c>
      <c r="D58" s="53">
        <f t="shared" si="2"/>
        <v>0</v>
      </c>
      <c r="E58" s="96"/>
      <c r="F58" s="96"/>
      <c r="G58" s="96"/>
      <c r="H58" s="53">
        <f t="shared" si="3"/>
        <v>0</v>
      </c>
      <c r="I58" s="133"/>
      <c r="J58" s="96"/>
      <c r="K58" s="71"/>
      <c r="L58" s="81"/>
      <c r="M58" s="71"/>
    </row>
    <row r="59" spans="1:15" s="80" customFormat="1" x14ac:dyDescent="0.2">
      <c r="A59" s="77" t="s">
        <v>105</v>
      </c>
      <c r="B59" s="78">
        <v>1014</v>
      </c>
      <c r="C59" s="79">
        <v>18851.8</v>
      </c>
      <c r="D59" s="125">
        <f t="shared" si="2"/>
        <v>77560.700000000012</v>
      </c>
      <c r="E59" s="126">
        <v>17855.599999999999</v>
      </c>
      <c r="F59" s="125">
        <v>22202.9</v>
      </c>
      <c r="G59" s="125">
        <f>30450.6+2100</f>
        <v>32550.6</v>
      </c>
      <c r="H59" s="129">
        <f t="shared" si="3"/>
        <v>72609.100000000006</v>
      </c>
      <c r="I59" s="134">
        <v>21888.1</v>
      </c>
      <c r="J59" s="125">
        <v>4951.6000000000004</v>
      </c>
      <c r="K59" s="71"/>
      <c r="L59" s="26"/>
      <c r="M59" s="71"/>
    </row>
    <row r="60" spans="1:15" s="26" customFormat="1" ht="37.5" x14ac:dyDescent="0.2">
      <c r="A60" s="24" t="s">
        <v>106</v>
      </c>
      <c r="B60" s="15">
        <v>1015</v>
      </c>
      <c r="C60" s="53">
        <v>10569.6</v>
      </c>
      <c r="D60" s="125">
        <f t="shared" si="2"/>
        <v>19276</v>
      </c>
      <c r="E60" s="95">
        <v>12000</v>
      </c>
      <c r="F60" s="53">
        <v>3827</v>
      </c>
      <c r="G60" s="53">
        <v>249</v>
      </c>
      <c r="H60" s="53">
        <f t="shared" si="3"/>
        <v>16076</v>
      </c>
      <c r="I60" s="53">
        <v>16075.5</v>
      </c>
      <c r="J60" s="53">
        <v>3200</v>
      </c>
      <c r="K60" s="71">
        <f>H60-I60</f>
        <v>0.5</v>
      </c>
      <c r="M60" s="71"/>
    </row>
    <row r="61" spans="1:15" s="26" customFormat="1" ht="20.25" customHeight="1" x14ac:dyDescent="0.2">
      <c r="A61" s="47" t="s">
        <v>107</v>
      </c>
      <c r="B61" s="15">
        <v>1016</v>
      </c>
      <c r="C61" s="56">
        <v>0</v>
      </c>
      <c r="D61" s="125">
        <f t="shared" si="2"/>
        <v>0</v>
      </c>
      <c r="E61" s="55"/>
      <c r="F61" s="53"/>
      <c r="G61" s="56"/>
      <c r="H61" s="153">
        <f t="shared" si="3"/>
        <v>0</v>
      </c>
      <c r="I61" s="138"/>
      <c r="J61" s="53"/>
      <c r="K61" s="71"/>
      <c r="M61" s="71"/>
    </row>
    <row r="62" spans="1:15" s="26" customFormat="1" ht="37.5" x14ac:dyDescent="0.2">
      <c r="A62" s="150" t="s">
        <v>108</v>
      </c>
      <c r="B62" s="15">
        <v>1017</v>
      </c>
      <c r="C62" s="56">
        <v>23.5</v>
      </c>
      <c r="D62" s="125">
        <f t="shared" si="2"/>
        <v>20.6</v>
      </c>
      <c r="E62" s="95">
        <v>0</v>
      </c>
      <c r="F62" s="53">
        <v>8.3000000000000007</v>
      </c>
      <c r="G62" s="53">
        <v>4.5999999999999996</v>
      </c>
      <c r="H62" s="53">
        <f t="shared" si="3"/>
        <v>12.9</v>
      </c>
      <c r="I62" s="132">
        <v>4.5999999999999996</v>
      </c>
      <c r="J62" s="53">
        <v>7.7</v>
      </c>
      <c r="K62" s="71"/>
      <c r="M62" s="71"/>
    </row>
    <row r="63" spans="1:15" s="26" customFormat="1" ht="37.5" x14ac:dyDescent="0.2">
      <c r="A63" s="150" t="s">
        <v>109</v>
      </c>
      <c r="B63" s="15">
        <v>1018</v>
      </c>
      <c r="C63" s="56">
        <v>27.8</v>
      </c>
      <c r="D63" s="125">
        <f t="shared" si="2"/>
        <v>35</v>
      </c>
      <c r="E63" s="95">
        <v>2</v>
      </c>
      <c r="F63" s="53">
        <v>7</v>
      </c>
      <c r="G63" s="53">
        <v>26</v>
      </c>
      <c r="H63" s="53">
        <f t="shared" si="3"/>
        <v>35</v>
      </c>
      <c r="I63" s="132">
        <v>33.299999999999997</v>
      </c>
      <c r="J63" s="53">
        <v>0</v>
      </c>
      <c r="K63" s="71"/>
      <c r="M63" s="71"/>
    </row>
    <row r="64" spans="1:15" s="26" customFormat="1" ht="75" x14ac:dyDescent="0.2">
      <c r="A64" s="68" t="s">
        <v>157</v>
      </c>
      <c r="B64" s="15">
        <v>1019</v>
      </c>
      <c r="C64" s="58">
        <v>0</v>
      </c>
      <c r="D64" s="125">
        <f t="shared" si="2"/>
        <v>4620</v>
      </c>
      <c r="E64" s="95">
        <v>840</v>
      </c>
      <c r="F64" s="53">
        <v>1260</v>
      </c>
      <c r="G64" s="53">
        <v>1680</v>
      </c>
      <c r="H64" s="53">
        <f t="shared" si="3"/>
        <v>3780</v>
      </c>
      <c r="I64" s="132">
        <v>718.1</v>
      </c>
      <c r="J64" s="53">
        <v>840</v>
      </c>
      <c r="K64" s="71"/>
      <c r="L64" s="80"/>
      <c r="M64" s="71"/>
    </row>
    <row r="65" spans="1:18" s="80" customFormat="1" x14ac:dyDescent="0.2">
      <c r="A65" s="82" t="s">
        <v>164</v>
      </c>
      <c r="B65" s="78" t="s">
        <v>165</v>
      </c>
      <c r="C65" s="83">
        <v>0</v>
      </c>
      <c r="D65" s="79">
        <f t="shared" ref="D65:D74" si="4">E65+F65+G65+J65</f>
        <v>0</v>
      </c>
      <c r="E65" s="84"/>
      <c r="F65" s="79"/>
      <c r="G65" s="79"/>
      <c r="H65" s="79"/>
      <c r="I65" s="132"/>
      <c r="J65" s="79"/>
      <c r="K65" s="71"/>
      <c r="L65" s="26"/>
      <c r="M65" s="71"/>
    </row>
    <row r="66" spans="1:18" s="26" customFormat="1" ht="37.5" x14ac:dyDescent="0.2">
      <c r="A66" s="68" t="s">
        <v>158</v>
      </c>
      <c r="B66" s="15" t="s">
        <v>166</v>
      </c>
      <c r="C66" s="58">
        <v>0</v>
      </c>
      <c r="D66" s="56">
        <f t="shared" si="4"/>
        <v>0</v>
      </c>
      <c r="E66" s="55"/>
      <c r="F66" s="53"/>
      <c r="G66" s="56"/>
      <c r="H66" s="53">
        <f>E66+F66+G66</f>
        <v>0</v>
      </c>
      <c r="I66" s="132"/>
      <c r="J66" s="53"/>
      <c r="K66" s="71"/>
      <c r="M66" s="71"/>
    </row>
    <row r="67" spans="1:18" s="26" customFormat="1" ht="37.5" x14ac:dyDescent="0.2">
      <c r="A67" s="68" t="s">
        <v>171</v>
      </c>
      <c r="B67" s="15" t="s">
        <v>172</v>
      </c>
      <c r="C67" s="58">
        <v>1380.1</v>
      </c>
      <c r="D67" s="56">
        <f t="shared" si="4"/>
        <v>1100</v>
      </c>
      <c r="E67" s="55">
        <v>300</v>
      </c>
      <c r="F67" s="53">
        <v>0</v>
      </c>
      <c r="G67" s="56">
        <v>50</v>
      </c>
      <c r="H67" s="53">
        <f>E67+F67+G67</f>
        <v>350</v>
      </c>
      <c r="I67" s="132">
        <v>320.8</v>
      </c>
      <c r="J67" s="53">
        <v>750</v>
      </c>
      <c r="K67" s="71"/>
      <c r="M67" s="71"/>
    </row>
    <row r="68" spans="1:18" s="26" customFormat="1" ht="23.25" customHeight="1" x14ac:dyDescent="0.2">
      <c r="A68" s="14" t="s">
        <v>82</v>
      </c>
      <c r="B68" s="17">
        <v>1020</v>
      </c>
      <c r="C68" s="52">
        <v>9449.9</v>
      </c>
      <c r="D68" s="52">
        <f t="shared" si="4"/>
        <v>5463.8</v>
      </c>
      <c r="E68" s="52">
        <f t="shared" ref="E68:J68" si="5">E69+E71</f>
        <v>702</v>
      </c>
      <c r="F68" s="52">
        <f t="shared" si="5"/>
        <v>4496.6000000000004</v>
      </c>
      <c r="G68" s="52">
        <f t="shared" si="5"/>
        <v>265.2</v>
      </c>
      <c r="H68" s="52">
        <f t="shared" si="5"/>
        <v>5463.8</v>
      </c>
      <c r="I68" s="52">
        <f t="shared" si="5"/>
        <v>2163.8000000000002</v>
      </c>
      <c r="J68" s="52">
        <f t="shared" si="5"/>
        <v>0</v>
      </c>
      <c r="K68" s="71"/>
      <c r="L68" s="1"/>
      <c r="M68" s="71"/>
    </row>
    <row r="69" spans="1:18" ht="41.25" customHeight="1" x14ac:dyDescent="0.3">
      <c r="A69" s="48" t="s">
        <v>128</v>
      </c>
      <c r="B69" s="25">
        <v>1021</v>
      </c>
      <c r="C69" s="53">
        <v>9443.9</v>
      </c>
      <c r="D69" s="53">
        <f t="shared" si="4"/>
        <v>5428.8</v>
      </c>
      <c r="E69" s="53">
        <v>700</v>
      </c>
      <c r="F69" s="53">
        <v>4490</v>
      </c>
      <c r="G69" s="53">
        <v>238.8</v>
      </c>
      <c r="H69" s="53">
        <f t="shared" ref="H69:H74" si="6">E69+F69+G69</f>
        <v>5428.8</v>
      </c>
      <c r="I69" s="132">
        <v>2130.5</v>
      </c>
      <c r="J69" s="53"/>
      <c r="K69" s="71"/>
      <c r="M69" s="71"/>
    </row>
    <row r="70" spans="1:18" ht="57.75" customHeight="1" x14ac:dyDescent="0.3">
      <c r="A70" s="48" t="s">
        <v>133</v>
      </c>
      <c r="B70" s="25" t="s">
        <v>134</v>
      </c>
      <c r="C70" s="53">
        <v>1350.9</v>
      </c>
      <c r="D70" s="53">
        <f t="shared" si="4"/>
        <v>1364</v>
      </c>
      <c r="E70" s="53">
        <v>1364</v>
      </c>
      <c r="F70" s="53"/>
      <c r="G70" s="53"/>
      <c r="H70" s="53">
        <f t="shared" si="6"/>
        <v>1364</v>
      </c>
      <c r="I70" s="132">
        <v>1364</v>
      </c>
      <c r="J70" s="53"/>
      <c r="K70" s="71"/>
      <c r="M70" s="71"/>
    </row>
    <row r="71" spans="1:18" ht="21" customHeight="1" x14ac:dyDescent="0.3">
      <c r="A71" s="44" t="s">
        <v>110</v>
      </c>
      <c r="B71" s="25">
        <v>1022</v>
      </c>
      <c r="C71" s="53">
        <v>6</v>
      </c>
      <c r="D71" s="53">
        <f t="shared" si="4"/>
        <v>35</v>
      </c>
      <c r="E71" s="53">
        <v>2</v>
      </c>
      <c r="F71" s="53">
        <v>6.6</v>
      </c>
      <c r="G71" s="53">
        <v>26.4</v>
      </c>
      <c r="H71" s="53">
        <f t="shared" si="6"/>
        <v>35</v>
      </c>
      <c r="I71" s="132">
        <v>33.299999999999997</v>
      </c>
      <c r="J71" s="53"/>
      <c r="K71" s="71"/>
      <c r="M71" s="71"/>
    </row>
    <row r="72" spans="1:18" ht="21" customHeight="1" x14ac:dyDescent="0.2">
      <c r="A72" s="49" t="s">
        <v>159</v>
      </c>
      <c r="B72" s="25">
        <v>1023</v>
      </c>
      <c r="C72" s="53">
        <v>0</v>
      </c>
      <c r="D72" s="53">
        <f t="shared" si="4"/>
        <v>0</v>
      </c>
      <c r="E72" s="53"/>
      <c r="F72" s="53"/>
      <c r="G72" s="53"/>
      <c r="H72" s="53">
        <f t="shared" si="6"/>
        <v>0</v>
      </c>
      <c r="I72" s="132"/>
      <c r="J72" s="53"/>
      <c r="K72" s="71"/>
      <c r="L72" s="26"/>
      <c r="M72" s="71"/>
    </row>
    <row r="73" spans="1:18" s="26" customFormat="1" ht="23.25" customHeight="1" x14ac:dyDescent="0.2">
      <c r="A73" s="14" t="s">
        <v>83</v>
      </c>
      <c r="B73" s="17">
        <v>1030</v>
      </c>
      <c r="C73" s="52">
        <v>0</v>
      </c>
      <c r="D73" s="52">
        <f t="shared" si="4"/>
        <v>331</v>
      </c>
      <c r="E73" s="52">
        <f>E74</f>
        <v>0</v>
      </c>
      <c r="F73" s="52">
        <v>119.2</v>
      </c>
      <c r="G73" s="52">
        <f>G74</f>
        <v>211.8</v>
      </c>
      <c r="H73" s="53">
        <f t="shared" si="6"/>
        <v>331</v>
      </c>
      <c r="I73" s="132">
        <f>I74</f>
        <v>330.4</v>
      </c>
      <c r="J73" s="52">
        <f>J74</f>
        <v>0</v>
      </c>
      <c r="K73" s="71"/>
      <c r="L73" s="1"/>
      <c r="M73" s="71"/>
    </row>
    <row r="74" spans="1:18" s="26" customFormat="1" ht="23.25" customHeight="1" x14ac:dyDescent="0.2">
      <c r="A74" s="49" t="s">
        <v>111</v>
      </c>
      <c r="B74" s="25">
        <v>1031</v>
      </c>
      <c r="C74" s="56"/>
      <c r="D74" s="53">
        <f t="shared" si="4"/>
        <v>331</v>
      </c>
      <c r="E74" s="56"/>
      <c r="F74" s="53">
        <v>119.2</v>
      </c>
      <c r="G74" s="53">
        <v>211.8</v>
      </c>
      <c r="H74" s="53">
        <f t="shared" si="6"/>
        <v>331</v>
      </c>
      <c r="I74" s="132">
        <v>330.4</v>
      </c>
      <c r="J74" s="53"/>
      <c r="K74" s="71"/>
      <c r="M74" s="71"/>
      <c r="N74" s="1"/>
      <c r="O74" s="1"/>
      <c r="P74" s="1"/>
      <c r="Q74" s="1"/>
    </row>
    <row r="75" spans="1:18" s="26" customFormat="1" ht="19.5" customHeight="1" x14ac:dyDescent="0.2">
      <c r="A75" s="100" t="s">
        <v>53</v>
      </c>
      <c r="B75" s="101">
        <v>1040</v>
      </c>
      <c r="C75" s="102">
        <v>119662</v>
      </c>
      <c r="D75" s="127">
        <f>D52+D55+D68+D73</f>
        <v>190781.3</v>
      </c>
      <c r="E75" s="102">
        <f>E52+E55+E68+E73+840</f>
        <v>53538.399999999994</v>
      </c>
      <c r="F75" s="102">
        <f>F52+F55+F68+F73+1260</f>
        <v>57301.4</v>
      </c>
      <c r="G75" s="102">
        <f>G52+G55+G68+G73-2100</f>
        <v>46079.7</v>
      </c>
      <c r="H75" s="130">
        <f>H52+H55+H68+H73</f>
        <v>156919.5</v>
      </c>
      <c r="I75" s="135">
        <f>I52+I55+I68+I73</f>
        <v>98408.900000000009</v>
      </c>
      <c r="J75" s="102">
        <f>J52+J55+J68+J73</f>
        <v>33861.800000000003</v>
      </c>
      <c r="K75" s="71"/>
      <c r="M75" s="71"/>
      <c r="R75" s="64"/>
    </row>
    <row r="76" spans="1:18" s="26" customFormat="1" ht="23.25" customHeight="1" x14ac:dyDescent="0.2">
      <c r="A76" s="14" t="s">
        <v>81</v>
      </c>
      <c r="B76" s="17">
        <v>1050</v>
      </c>
      <c r="C76" s="94">
        <v>78251.5</v>
      </c>
      <c r="D76" s="94">
        <f>E76+F76+G76+J76</f>
        <v>103369.04999999999</v>
      </c>
      <c r="E76" s="94">
        <f t="shared" ref="E76:J76" si="7">E77+E78+E79+E84+E85+E86+E87+E88+E83</f>
        <v>21203.899999999998</v>
      </c>
      <c r="F76" s="94">
        <f t="shared" si="7"/>
        <v>28052.1</v>
      </c>
      <c r="G76" s="94">
        <f t="shared" si="7"/>
        <v>30120</v>
      </c>
      <c r="H76" s="163">
        <f t="shared" si="7"/>
        <v>79375.999999999985</v>
      </c>
      <c r="I76" s="130">
        <f t="shared" si="7"/>
        <v>72481.899999999994</v>
      </c>
      <c r="J76" s="94">
        <f t="shared" si="7"/>
        <v>23993.049999999996</v>
      </c>
      <c r="K76" s="71"/>
      <c r="L76" s="71"/>
      <c r="M76" s="71"/>
    </row>
    <row r="77" spans="1:18" ht="21" customHeight="1" x14ac:dyDescent="0.2">
      <c r="A77" s="49" t="s">
        <v>113</v>
      </c>
      <c r="B77" s="50">
        <v>1051</v>
      </c>
      <c r="C77" s="57">
        <v>45703.8</v>
      </c>
      <c r="D77" s="53">
        <f>E77+F77+G77+J77</f>
        <v>49588.3</v>
      </c>
      <c r="E77" s="57">
        <v>11755.2</v>
      </c>
      <c r="F77" s="57">
        <f>13257.6</f>
        <v>13257.6</v>
      </c>
      <c r="G77" s="57">
        <f>12362.1+1000-8.1-43-179.4</f>
        <v>13131.6</v>
      </c>
      <c r="H77" s="53">
        <f>E77+F77+G77</f>
        <v>38144.400000000001</v>
      </c>
      <c r="I77" s="132">
        <v>37415.5</v>
      </c>
      <c r="J77" s="57">
        <f>12344.3-901.6-78.7+79.9</f>
        <v>11443.899999999998</v>
      </c>
      <c r="K77" s="71"/>
      <c r="L77" s="108"/>
      <c r="M77" s="71"/>
      <c r="N77" s="26"/>
      <c r="O77" s="26"/>
      <c r="P77" s="26"/>
      <c r="Q77" s="26"/>
    </row>
    <row r="78" spans="1:18" ht="21.75" customHeight="1" x14ac:dyDescent="0.2">
      <c r="A78" s="49" t="s">
        <v>114</v>
      </c>
      <c r="B78" s="50">
        <v>1052</v>
      </c>
      <c r="C78" s="57">
        <v>10122.700000000001</v>
      </c>
      <c r="D78" s="53">
        <f>E78+F78+G78+J78</f>
        <v>10659.449999999999</v>
      </c>
      <c r="E78" s="57">
        <v>2549.9</v>
      </c>
      <c r="F78" s="57">
        <f>2883+0.1</f>
        <v>2883.1</v>
      </c>
      <c r="G78" s="57">
        <f>2729.8+220</f>
        <v>2949.8</v>
      </c>
      <c r="H78" s="53">
        <f>E78+F78+G78</f>
        <v>8382.7999999999993</v>
      </c>
      <c r="I78" s="132">
        <v>8117.5</v>
      </c>
      <c r="J78" s="57">
        <f>2816.1-330.45-209</f>
        <v>2276.65</v>
      </c>
      <c r="K78" s="71"/>
      <c r="L78" s="71"/>
      <c r="M78" s="71"/>
      <c r="N78" s="70"/>
      <c r="O78" s="70"/>
    </row>
    <row r="79" spans="1:18" s="109" customFormat="1" x14ac:dyDescent="0.2">
      <c r="A79" s="104" t="s">
        <v>129</v>
      </c>
      <c r="B79" s="105">
        <v>1053</v>
      </c>
      <c r="C79" s="106">
        <v>4611.2999999999993</v>
      </c>
      <c r="D79" s="53">
        <f t="shared" ref="D79:D88" si="8">E79+F79+G79+J79</f>
        <v>16982.599999999999</v>
      </c>
      <c r="E79" s="106">
        <f>E80+E81+E82</f>
        <v>2010</v>
      </c>
      <c r="F79" s="106">
        <f>F80+F81+F82</f>
        <v>6708.5999999999995</v>
      </c>
      <c r="G79" s="166">
        <f>G80+G81+G82</f>
        <v>1560.5</v>
      </c>
      <c r="H79" s="166">
        <f>H80+H81+H82</f>
        <v>10279.099999999999</v>
      </c>
      <c r="I79" s="132">
        <f>1982.7+3311.3</f>
        <v>5294</v>
      </c>
      <c r="J79" s="106">
        <f>J80+J81+J82</f>
        <v>6703.5</v>
      </c>
      <c r="K79" s="71"/>
      <c r="L79" s="70"/>
      <c r="M79" s="71"/>
      <c r="N79" s="107"/>
      <c r="O79" s="107"/>
      <c r="P79" s="107"/>
      <c r="Q79" s="107"/>
    </row>
    <row r="80" spans="1:18" ht="59.25" customHeight="1" x14ac:dyDescent="0.2">
      <c r="A80" s="49" t="s">
        <v>100</v>
      </c>
      <c r="B80" s="20" t="s">
        <v>135</v>
      </c>
      <c r="C80" s="56">
        <v>379.2</v>
      </c>
      <c r="D80" s="53">
        <f t="shared" si="8"/>
        <v>392.90000000000003</v>
      </c>
      <c r="E80" s="97">
        <v>60</v>
      </c>
      <c r="F80" s="97">
        <v>206.8</v>
      </c>
      <c r="G80" s="97">
        <v>80.5</v>
      </c>
      <c r="H80" s="146">
        <f>E80+F80+G80</f>
        <v>347.3</v>
      </c>
      <c r="I80" s="136">
        <v>343</v>
      </c>
      <c r="J80" s="97">
        <v>45.6</v>
      </c>
      <c r="K80" s="71"/>
      <c r="L80" s="71"/>
      <c r="M80" s="71"/>
      <c r="N80" s="70"/>
    </row>
    <row r="81" spans="1:17" x14ac:dyDescent="0.2">
      <c r="A81" s="150" t="s">
        <v>79</v>
      </c>
      <c r="B81" s="20" t="s">
        <v>136</v>
      </c>
      <c r="C81" s="56">
        <v>3549.3</v>
      </c>
      <c r="D81" s="53">
        <f t="shared" si="8"/>
        <v>15035.699999999999</v>
      </c>
      <c r="E81" s="55">
        <v>1450</v>
      </c>
      <c r="F81" s="55">
        <f>2672.2+3470.6</f>
        <v>6142.7999999999993</v>
      </c>
      <c r="G81" s="56">
        <v>1300</v>
      </c>
      <c r="H81" s="146">
        <f t="shared" ref="H81:H88" si="9">E81+F81+G81</f>
        <v>8892.7999999999993</v>
      </c>
      <c r="I81" s="132">
        <v>4389.2</v>
      </c>
      <c r="J81" s="53">
        <f>2672.2+3470.7</f>
        <v>6142.9</v>
      </c>
      <c r="K81" s="71"/>
      <c r="M81" s="71"/>
      <c r="N81" s="26"/>
      <c r="O81" s="26"/>
      <c r="P81" s="26"/>
      <c r="Q81" s="26"/>
    </row>
    <row r="82" spans="1:17" x14ac:dyDescent="0.2">
      <c r="A82" s="150" t="s">
        <v>80</v>
      </c>
      <c r="B82" s="20" t="s">
        <v>137</v>
      </c>
      <c r="C82" s="56">
        <v>682.8</v>
      </c>
      <c r="D82" s="53">
        <f t="shared" si="8"/>
        <v>1554</v>
      </c>
      <c r="E82" s="55">
        <v>500</v>
      </c>
      <c r="F82" s="55">
        <v>359</v>
      </c>
      <c r="G82" s="56">
        <v>180</v>
      </c>
      <c r="H82" s="146">
        <f t="shared" si="9"/>
        <v>1039</v>
      </c>
      <c r="I82" s="132">
        <v>998.6</v>
      </c>
      <c r="J82" s="53">
        <v>515</v>
      </c>
      <c r="K82" s="71"/>
      <c r="L82" s="71"/>
      <c r="M82" s="71"/>
    </row>
    <row r="83" spans="1:17" ht="19.5" customHeight="1" x14ac:dyDescent="0.2">
      <c r="A83" s="150" t="s">
        <v>112</v>
      </c>
      <c r="B83" s="15">
        <v>1054</v>
      </c>
      <c r="C83" s="53">
        <v>6789.1</v>
      </c>
      <c r="D83" s="53">
        <f t="shared" si="8"/>
        <v>5817.0000000000009</v>
      </c>
      <c r="E83" s="95">
        <v>1900</v>
      </c>
      <c r="F83" s="69">
        <f>2132.8-405.1</f>
        <v>1727.7000000000003</v>
      </c>
      <c r="G83" s="69">
        <v>600</v>
      </c>
      <c r="H83" s="146">
        <f t="shared" si="9"/>
        <v>4227.7000000000007</v>
      </c>
      <c r="I83" s="69">
        <v>3335.3</v>
      </c>
      <c r="J83" s="69">
        <f>2132.8-405.1-138.4</f>
        <v>1589.3000000000002</v>
      </c>
      <c r="K83" s="71">
        <f>D83+D103+D93</f>
        <v>9263.340000000002</v>
      </c>
      <c r="L83" s="1">
        <v>9263.2999999999993</v>
      </c>
      <c r="M83" s="71">
        <f>K83-L83</f>
        <v>4.0000000002692104E-2</v>
      </c>
      <c r="O83" s="26"/>
      <c r="P83" s="26"/>
      <c r="Q83" s="26"/>
    </row>
    <row r="84" spans="1:17" ht="136.5" customHeight="1" x14ac:dyDescent="0.2">
      <c r="A84" s="49" t="s">
        <v>115</v>
      </c>
      <c r="B84" s="20">
        <v>1055</v>
      </c>
      <c r="C84" s="56">
        <v>3116.1000000000004</v>
      </c>
      <c r="D84" s="53">
        <f t="shared" si="8"/>
        <v>3987.8</v>
      </c>
      <c r="E84" s="55">
        <v>300</v>
      </c>
      <c r="F84" s="98">
        <v>522.6</v>
      </c>
      <c r="G84" s="56">
        <v>1202.5</v>
      </c>
      <c r="H84" s="146">
        <f t="shared" si="9"/>
        <v>2025.1</v>
      </c>
      <c r="I84" s="132">
        <v>2020.6</v>
      </c>
      <c r="J84" s="53">
        <v>1962.7</v>
      </c>
      <c r="K84" s="71"/>
      <c r="L84" s="26"/>
      <c r="M84" s="71"/>
    </row>
    <row r="85" spans="1:17" ht="37.5" x14ac:dyDescent="0.2">
      <c r="A85" s="150" t="s">
        <v>116</v>
      </c>
      <c r="B85" s="20">
        <v>1056</v>
      </c>
      <c r="C85" s="56">
        <v>7836.9</v>
      </c>
      <c r="D85" s="53">
        <f t="shared" si="8"/>
        <v>16268.400000000001</v>
      </c>
      <c r="E85" s="55">
        <v>2656.8</v>
      </c>
      <c r="F85" s="69">
        <v>2936</v>
      </c>
      <c r="G85" s="56">
        <v>10675.6</v>
      </c>
      <c r="H85" s="162">
        <f t="shared" si="9"/>
        <v>16268.400000000001</v>
      </c>
      <c r="I85" s="134">
        <v>16263.4</v>
      </c>
      <c r="J85" s="53"/>
      <c r="K85" s="71"/>
      <c r="M85" s="71"/>
      <c r="N85" s="26"/>
      <c r="O85" s="26"/>
      <c r="P85" s="26"/>
      <c r="Q85" s="26"/>
    </row>
    <row r="86" spans="1:17" x14ac:dyDescent="0.2">
      <c r="A86" s="150" t="s">
        <v>117</v>
      </c>
      <c r="B86" s="20">
        <v>1057</v>
      </c>
      <c r="C86" s="56">
        <v>47</v>
      </c>
      <c r="D86" s="53">
        <f t="shared" si="8"/>
        <v>36.700000000000003</v>
      </c>
      <c r="E86" s="55">
        <v>30</v>
      </c>
      <c r="F86" s="69">
        <v>3.1</v>
      </c>
      <c r="G86" s="56">
        <v>0</v>
      </c>
      <c r="H86" s="146">
        <f t="shared" si="9"/>
        <v>33.1</v>
      </c>
      <c r="I86" s="132">
        <v>29.9</v>
      </c>
      <c r="J86" s="53">
        <v>3.6</v>
      </c>
      <c r="K86" s="71"/>
      <c r="L86" s="26"/>
      <c r="M86" s="71"/>
    </row>
    <row r="87" spans="1:17" ht="39" customHeight="1" x14ac:dyDescent="0.2">
      <c r="A87" s="150" t="s">
        <v>118</v>
      </c>
      <c r="B87" s="20">
        <v>1058</v>
      </c>
      <c r="C87" s="56">
        <v>24.6</v>
      </c>
      <c r="D87" s="53">
        <f t="shared" si="8"/>
        <v>28.8</v>
      </c>
      <c r="E87" s="55">
        <v>2</v>
      </c>
      <c r="F87" s="69">
        <v>13.4</v>
      </c>
      <c r="G87" s="56">
        <v>0</v>
      </c>
      <c r="H87" s="146">
        <f t="shared" si="9"/>
        <v>15.4</v>
      </c>
      <c r="I87" s="132">
        <v>5.7</v>
      </c>
      <c r="J87" s="53">
        <v>13.4</v>
      </c>
      <c r="K87" s="71"/>
      <c r="M87" s="71"/>
      <c r="N87" s="26"/>
      <c r="O87" s="26"/>
      <c r="P87" s="26"/>
      <c r="Q87" s="26"/>
    </row>
    <row r="88" spans="1:17" ht="23.25" customHeight="1" x14ac:dyDescent="0.2">
      <c r="A88" s="150" t="s">
        <v>119</v>
      </c>
      <c r="B88" s="20">
        <v>1059</v>
      </c>
      <c r="C88" s="56">
        <v>0</v>
      </c>
      <c r="D88" s="53">
        <f t="shared" si="8"/>
        <v>0</v>
      </c>
      <c r="E88" s="55">
        <v>0</v>
      </c>
      <c r="F88" s="69"/>
      <c r="G88" s="56"/>
      <c r="H88" s="146">
        <f t="shared" si="9"/>
        <v>0</v>
      </c>
      <c r="I88" s="132"/>
      <c r="J88" s="53"/>
      <c r="K88" s="71"/>
      <c r="L88" s="71"/>
      <c r="M88" s="71"/>
    </row>
    <row r="89" spans="1:17" ht="24.75" customHeight="1" x14ac:dyDescent="0.2">
      <c r="A89" s="14" t="s">
        <v>86</v>
      </c>
      <c r="B89" s="17">
        <v>1060</v>
      </c>
      <c r="C89" s="52">
        <v>20496.600000000002</v>
      </c>
      <c r="D89" s="52">
        <f>E89+F89+G89+J89</f>
        <v>25560.29</v>
      </c>
      <c r="E89" s="52">
        <f>E90+E91+E92+E93+E94+E95+E96+E97+E98</f>
        <v>4916</v>
      </c>
      <c r="F89" s="52">
        <f>F90+F91+F92+F93+F94+F95+F96+F97+F98</f>
        <v>8595.82</v>
      </c>
      <c r="G89" s="52">
        <f>G90+G91+G92+G93+G94+G95+G96+G97+G98</f>
        <v>6234.25</v>
      </c>
      <c r="H89" s="128">
        <f>E89+F89+G89</f>
        <v>19746.07</v>
      </c>
      <c r="I89" s="132"/>
      <c r="J89" s="52">
        <f>J90+J91+J92+J93+J94+J95+J96+J97+J98</f>
        <v>5814.2199999999993</v>
      </c>
      <c r="K89" s="71"/>
      <c r="M89" s="71"/>
      <c r="N89" s="26"/>
      <c r="O89" s="26"/>
      <c r="P89" s="26"/>
      <c r="Q89" s="26"/>
    </row>
    <row r="90" spans="1:17" ht="24.75" customHeight="1" x14ac:dyDescent="0.2">
      <c r="A90" s="24" t="s">
        <v>113</v>
      </c>
      <c r="B90" s="25">
        <v>1061</v>
      </c>
      <c r="C90" s="53">
        <v>12882.800000000001</v>
      </c>
      <c r="D90" s="53">
        <f>E90+F90+G90+J90</f>
        <v>15146.4</v>
      </c>
      <c r="E90" s="53">
        <v>3168.7</v>
      </c>
      <c r="F90" s="53">
        <v>4510.1000000000004</v>
      </c>
      <c r="G90" s="53">
        <f>3656.7+179.4</f>
        <v>3836.1</v>
      </c>
      <c r="H90" s="53">
        <f>E90+F90+G90</f>
        <v>11514.9</v>
      </c>
      <c r="I90" s="53">
        <v>11514.9</v>
      </c>
      <c r="J90" s="53">
        <f>3632.6-1.1</f>
        <v>3631.5</v>
      </c>
      <c r="K90" s="71">
        <f>H90-I90</f>
        <v>0</v>
      </c>
      <c r="L90" s="26"/>
      <c r="M90" s="71"/>
    </row>
    <row r="91" spans="1:17" ht="24.75" customHeight="1" x14ac:dyDescent="0.2">
      <c r="A91" s="49" t="s">
        <v>114</v>
      </c>
      <c r="B91" s="50">
        <v>1062</v>
      </c>
      <c r="C91" s="57">
        <v>2856.2</v>
      </c>
      <c r="D91" s="53">
        <f t="shared" ref="D91:D113" si="10">E91+F91+G91+J91</f>
        <v>3371.8</v>
      </c>
      <c r="E91" s="57">
        <v>687.5</v>
      </c>
      <c r="F91" s="57">
        <v>980.4</v>
      </c>
      <c r="G91" s="57">
        <f>804.7+100</f>
        <v>904.7</v>
      </c>
      <c r="H91" s="53">
        <f t="shared" ref="H91:H98" si="11">E91+F91+G91</f>
        <v>2572.6000000000004</v>
      </c>
      <c r="I91" s="132">
        <v>2514.8000000000002</v>
      </c>
      <c r="J91" s="57">
        <v>799.2</v>
      </c>
      <c r="K91" s="71"/>
      <c r="L91" s="70"/>
      <c r="M91" s="71"/>
      <c r="N91" s="26"/>
      <c r="O91" s="71"/>
      <c r="P91" s="26"/>
      <c r="Q91" s="26"/>
    </row>
    <row r="92" spans="1:17" ht="101.25" customHeight="1" x14ac:dyDescent="0.2">
      <c r="A92" s="150" t="s">
        <v>120</v>
      </c>
      <c r="B92" s="15">
        <v>1063</v>
      </c>
      <c r="C92" s="56">
        <v>568.9</v>
      </c>
      <c r="D92" s="53">
        <f t="shared" si="10"/>
        <v>596.60000000000014</v>
      </c>
      <c r="E92" s="53">
        <v>85.9</v>
      </c>
      <c r="F92" s="53">
        <v>314.3</v>
      </c>
      <c r="G92" s="53">
        <f>68.2+60</f>
        <v>128.19999999999999</v>
      </c>
      <c r="H92" s="53">
        <f t="shared" si="11"/>
        <v>528.40000000000009</v>
      </c>
      <c r="I92" s="132">
        <v>514.5</v>
      </c>
      <c r="J92" s="53">
        <v>68.2</v>
      </c>
      <c r="K92" s="71"/>
      <c r="L92" s="71"/>
      <c r="M92" s="71"/>
    </row>
    <row r="93" spans="1:17" ht="27.75" customHeight="1" x14ac:dyDescent="0.2">
      <c r="A93" s="150" t="s">
        <v>112</v>
      </c>
      <c r="B93" s="15">
        <v>1064</v>
      </c>
      <c r="C93" s="56">
        <v>2027.8</v>
      </c>
      <c r="D93" s="53">
        <f t="shared" si="10"/>
        <v>1943.44</v>
      </c>
      <c r="E93" s="114">
        <v>556.6</v>
      </c>
      <c r="F93" s="115">
        <f>637.07-124.3</f>
        <v>512.7700000000001</v>
      </c>
      <c r="G93" s="114">
        <v>237</v>
      </c>
      <c r="H93" s="53">
        <f t="shared" si="11"/>
        <v>1306.3700000000001</v>
      </c>
      <c r="I93" s="137">
        <v>996.3</v>
      </c>
      <c r="J93" s="115">
        <v>637.07000000000005</v>
      </c>
      <c r="K93" s="71"/>
      <c r="M93" s="71"/>
      <c r="N93" s="26"/>
      <c r="O93" s="26"/>
      <c r="P93" s="26"/>
      <c r="Q93" s="26"/>
    </row>
    <row r="94" spans="1:17" ht="101.25" customHeight="1" x14ac:dyDescent="0.2">
      <c r="A94" s="24" t="s">
        <v>138</v>
      </c>
      <c r="B94" s="15">
        <v>1065</v>
      </c>
      <c r="C94" s="56">
        <v>1335.5</v>
      </c>
      <c r="D94" s="53">
        <f t="shared" si="10"/>
        <v>2155.5500000000002</v>
      </c>
      <c r="E94" s="114">
        <v>120.8</v>
      </c>
      <c r="F94" s="115">
        <v>678.25</v>
      </c>
      <c r="G94" s="114">
        <v>678.25</v>
      </c>
      <c r="H94" s="53">
        <f t="shared" si="11"/>
        <v>1477.3</v>
      </c>
      <c r="I94" s="137">
        <v>866</v>
      </c>
      <c r="J94" s="115">
        <v>678.25</v>
      </c>
      <c r="K94" s="71"/>
      <c r="L94" s="26"/>
      <c r="M94" s="71"/>
    </row>
    <row r="95" spans="1:17" ht="37.5" x14ac:dyDescent="0.2">
      <c r="A95" s="150" t="s">
        <v>121</v>
      </c>
      <c r="B95" s="15">
        <v>1066</v>
      </c>
      <c r="C95" s="56">
        <v>817.5</v>
      </c>
      <c r="D95" s="53">
        <f t="shared" si="10"/>
        <v>2341</v>
      </c>
      <c r="E95" s="56">
        <v>293</v>
      </c>
      <c r="F95" s="53">
        <v>1598</v>
      </c>
      <c r="G95" s="56">
        <v>450</v>
      </c>
      <c r="H95" s="53">
        <f t="shared" si="11"/>
        <v>2341</v>
      </c>
      <c r="I95" s="132">
        <v>2234.8000000000002</v>
      </c>
      <c r="J95" s="53"/>
      <c r="K95" s="71"/>
      <c r="M95" s="71"/>
      <c r="N95" s="26"/>
      <c r="O95" s="26"/>
      <c r="P95" s="26"/>
      <c r="Q95" s="26"/>
    </row>
    <row r="96" spans="1:17" ht="27.75" customHeight="1" x14ac:dyDescent="0.2">
      <c r="A96" s="24" t="s">
        <v>117</v>
      </c>
      <c r="B96" s="15">
        <v>1067</v>
      </c>
      <c r="C96" s="56">
        <v>5.2</v>
      </c>
      <c r="D96" s="53">
        <f t="shared" si="10"/>
        <v>4.9000000000000004</v>
      </c>
      <c r="E96" s="56">
        <v>3.3</v>
      </c>
      <c r="F96" s="53">
        <v>1.6</v>
      </c>
      <c r="G96" s="56"/>
      <c r="H96" s="53">
        <f t="shared" si="11"/>
        <v>4.9000000000000004</v>
      </c>
      <c r="I96" s="132">
        <v>3.3</v>
      </c>
      <c r="J96" s="53"/>
      <c r="K96" s="71"/>
      <c r="L96" s="26"/>
      <c r="M96" s="71"/>
    </row>
    <row r="97" spans="1:17" ht="36.75" customHeight="1" x14ac:dyDescent="0.2">
      <c r="A97" s="24" t="s">
        <v>118</v>
      </c>
      <c r="B97" s="15">
        <v>1068</v>
      </c>
      <c r="C97" s="56">
        <v>2.7</v>
      </c>
      <c r="D97" s="53">
        <f t="shared" si="10"/>
        <v>0.60000000000000009</v>
      </c>
      <c r="E97" s="56">
        <v>0.2</v>
      </c>
      <c r="F97" s="53">
        <v>0.4</v>
      </c>
      <c r="G97" s="56"/>
      <c r="H97" s="53">
        <f t="shared" si="11"/>
        <v>0.60000000000000009</v>
      </c>
      <c r="I97" s="132">
        <v>0.6</v>
      </c>
      <c r="J97" s="53"/>
      <c r="K97" s="71"/>
      <c r="M97" s="71"/>
      <c r="N97" s="26"/>
      <c r="O97" s="26"/>
      <c r="P97" s="26"/>
      <c r="Q97" s="26"/>
    </row>
    <row r="98" spans="1:17" ht="29.25" customHeight="1" x14ac:dyDescent="0.2">
      <c r="A98" s="24" t="s">
        <v>119</v>
      </c>
      <c r="B98" s="15">
        <v>1069</v>
      </c>
      <c r="C98" s="56">
        <v>0</v>
      </c>
      <c r="D98" s="53">
        <f t="shared" si="10"/>
        <v>0</v>
      </c>
      <c r="E98" s="56"/>
      <c r="F98" s="53"/>
      <c r="G98" s="56"/>
      <c r="H98" s="53">
        <f t="shared" si="11"/>
        <v>0</v>
      </c>
      <c r="I98" s="132"/>
      <c r="J98" s="53"/>
      <c r="K98" s="71"/>
      <c r="L98" s="26"/>
      <c r="M98" s="71"/>
    </row>
    <row r="99" spans="1:17" ht="26.25" customHeight="1" x14ac:dyDescent="0.2">
      <c r="A99" s="23" t="s">
        <v>87</v>
      </c>
      <c r="B99" s="17">
        <v>1070</v>
      </c>
      <c r="C99" s="52">
        <v>6870.5</v>
      </c>
      <c r="D99" s="52">
        <f t="shared" si="10"/>
        <v>11659.300000000001</v>
      </c>
      <c r="E99" s="52">
        <f t="shared" ref="E99:J99" si="12">E100+E101+E102+E103+E104+E105+E106+E107</f>
        <v>556.50000000000011</v>
      </c>
      <c r="F99" s="52">
        <f t="shared" si="12"/>
        <v>8482.8000000000011</v>
      </c>
      <c r="G99" s="52">
        <f t="shared" si="12"/>
        <v>1736</v>
      </c>
      <c r="H99" s="52">
        <f t="shared" si="12"/>
        <v>10775.3</v>
      </c>
      <c r="I99" s="132">
        <f t="shared" si="12"/>
        <v>2027.4000000000003</v>
      </c>
      <c r="J99" s="52">
        <f t="shared" si="12"/>
        <v>884</v>
      </c>
      <c r="K99" s="71"/>
      <c r="L99" s="121"/>
      <c r="M99" s="71"/>
      <c r="N99" s="26"/>
      <c r="O99" s="26"/>
      <c r="P99" s="26"/>
      <c r="Q99" s="26"/>
    </row>
    <row r="100" spans="1:17" ht="27" customHeight="1" x14ac:dyDescent="0.2">
      <c r="A100" s="150" t="s">
        <v>122</v>
      </c>
      <c r="B100" s="15">
        <v>1071</v>
      </c>
      <c r="C100" s="56">
        <v>3009.3</v>
      </c>
      <c r="D100" s="53">
        <f t="shared" si="10"/>
        <v>9249.6</v>
      </c>
      <c r="E100" s="53">
        <v>230.1</v>
      </c>
      <c r="F100" s="53">
        <v>7783</v>
      </c>
      <c r="G100" s="53">
        <v>1140</v>
      </c>
      <c r="H100" s="53">
        <f>E100+F100+G100</f>
        <v>9153.1</v>
      </c>
      <c r="I100" s="132">
        <v>659.5</v>
      </c>
      <c r="J100" s="53">
        <v>96.5</v>
      </c>
      <c r="K100" s="71"/>
      <c r="L100" s="120"/>
      <c r="M100" s="71"/>
    </row>
    <row r="101" spans="1:17" s="121" customFormat="1" ht="39.75" customHeight="1" x14ac:dyDescent="0.2">
      <c r="A101" s="117" t="s">
        <v>123</v>
      </c>
      <c r="B101" s="118">
        <v>1072</v>
      </c>
      <c r="C101" s="119">
        <v>279.7</v>
      </c>
      <c r="D101" s="119">
        <f t="shared" si="10"/>
        <v>402.7</v>
      </c>
      <c r="E101" s="119">
        <v>95.2</v>
      </c>
      <c r="F101" s="119">
        <v>99.6</v>
      </c>
      <c r="G101" s="119">
        <f>50.7+43</f>
        <v>93.7</v>
      </c>
      <c r="H101" s="53">
        <f t="shared" ref="H101:H107" si="13">E101+F101+G101</f>
        <v>288.5</v>
      </c>
      <c r="I101" s="134">
        <v>287.5</v>
      </c>
      <c r="J101" s="119">
        <v>114.2</v>
      </c>
      <c r="K101" s="71"/>
      <c r="L101" s="1"/>
      <c r="M101" s="71"/>
      <c r="N101" s="120"/>
      <c r="O101" s="120"/>
      <c r="P101" s="120"/>
      <c r="Q101" s="120"/>
    </row>
    <row r="102" spans="1:17" s="121" customFormat="1" ht="41.25" customHeight="1" x14ac:dyDescent="0.2">
      <c r="A102" s="117" t="s">
        <v>139</v>
      </c>
      <c r="B102" s="118">
        <v>1073</v>
      </c>
      <c r="C102" s="119">
        <v>23.5</v>
      </c>
      <c r="D102" s="119">
        <f t="shared" si="10"/>
        <v>27.5</v>
      </c>
      <c r="E102" s="119">
        <v>0</v>
      </c>
      <c r="F102" s="119">
        <v>8.3000000000000007</v>
      </c>
      <c r="G102" s="119">
        <v>11.5</v>
      </c>
      <c r="H102" s="53">
        <f t="shared" si="13"/>
        <v>19.8</v>
      </c>
      <c r="I102" s="134">
        <v>4.5999999999999996</v>
      </c>
      <c r="J102" s="119">
        <v>7.7</v>
      </c>
      <c r="K102" s="71"/>
      <c r="L102" s="26"/>
      <c r="M102" s="71"/>
    </row>
    <row r="103" spans="1:17" ht="26.25" customHeight="1" x14ac:dyDescent="0.2">
      <c r="A103" s="150" t="s">
        <v>124</v>
      </c>
      <c r="B103" s="15">
        <v>1074</v>
      </c>
      <c r="C103" s="56">
        <v>1641.7</v>
      </c>
      <c r="D103" s="53">
        <f>E103+F103+G103+J103</f>
        <v>1502.9</v>
      </c>
      <c r="E103" s="56">
        <v>157.4</v>
      </c>
      <c r="F103" s="56">
        <v>431.2</v>
      </c>
      <c r="G103" s="56">
        <v>370.3</v>
      </c>
      <c r="H103" s="53">
        <f t="shared" si="13"/>
        <v>958.90000000000009</v>
      </c>
      <c r="I103" s="132">
        <v>915.2</v>
      </c>
      <c r="J103" s="53">
        <v>544</v>
      </c>
      <c r="K103" s="71"/>
      <c r="M103" s="71"/>
      <c r="N103" s="26"/>
      <c r="O103" s="26"/>
      <c r="P103" s="26"/>
      <c r="Q103" s="26"/>
    </row>
    <row r="104" spans="1:17" ht="26.25" customHeight="1" x14ac:dyDescent="0.2">
      <c r="A104" s="150" t="s">
        <v>140</v>
      </c>
      <c r="B104" s="15">
        <v>1075</v>
      </c>
      <c r="C104" s="56">
        <v>27.8</v>
      </c>
      <c r="D104" s="53">
        <f t="shared" si="10"/>
        <v>1.2</v>
      </c>
      <c r="E104" s="56">
        <v>0</v>
      </c>
      <c r="F104" s="56">
        <v>0</v>
      </c>
      <c r="G104" s="56"/>
      <c r="H104" s="53">
        <f t="shared" si="13"/>
        <v>0</v>
      </c>
      <c r="I104" s="132">
        <v>0</v>
      </c>
      <c r="J104" s="56">
        <v>1.2</v>
      </c>
      <c r="K104" s="71"/>
      <c r="L104" s="26"/>
      <c r="M104" s="71"/>
    </row>
    <row r="105" spans="1:17" ht="26.25" customHeight="1" x14ac:dyDescent="0.2">
      <c r="A105" s="150" t="s">
        <v>125</v>
      </c>
      <c r="B105" s="15">
        <v>1076</v>
      </c>
      <c r="C105" s="56">
        <v>136.70000000000002</v>
      </c>
      <c r="D105" s="53">
        <f t="shared" si="10"/>
        <v>82.300000000000011</v>
      </c>
      <c r="E105" s="56">
        <v>40.700000000000003</v>
      </c>
      <c r="F105" s="53">
        <v>40.700000000000003</v>
      </c>
      <c r="G105" s="56">
        <v>0.5</v>
      </c>
      <c r="H105" s="53">
        <f t="shared" si="13"/>
        <v>81.900000000000006</v>
      </c>
      <c r="I105" s="132">
        <v>60.7</v>
      </c>
      <c r="J105" s="53">
        <v>0.4</v>
      </c>
      <c r="K105" s="71"/>
      <c r="M105" s="71"/>
      <c r="N105" s="26"/>
      <c r="O105" s="26"/>
      <c r="P105" s="26"/>
      <c r="Q105" s="26"/>
    </row>
    <row r="106" spans="1:17" ht="26.25" customHeight="1" x14ac:dyDescent="0.2">
      <c r="A106" s="150" t="s">
        <v>141</v>
      </c>
      <c r="B106" s="15">
        <v>1077</v>
      </c>
      <c r="C106" s="56">
        <v>168</v>
      </c>
      <c r="D106" s="53">
        <f t="shared" si="10"/>
        <v>393.1</v>
      </c>
      <c r="E106" s="56">
        <v>33.1</v>
      </c>
      <c r="F106" s="56">
        <v>120</v>
      </c>
      <c r="G106" s="56">
        <v>120</v>
      </c>
      <c r="H106" s="53">
        <f t="shared" si="13"/>
        <v>273.10000000000002</v>
      </c>
      <c r="I106" s="132">
        <v>99.9</v>
      </c>
      <c r="J106" s="56">
        <v>120</v>
      </c>
      <c r="K106" s="71"/>
      <c r="M106" s="71"/>
    </row>
    <row r="107" spans="1:17" ht="26.25" customHeight="1" x14ac:dyDescent="0.2">
      <c r="A107" s="150" t="s">
        <v>126</v>
      </c>
      <c r="B107" s="15">
        <v>1078</v>
      </c>
      <c r="C107" s="56">
        <v>1583.8</v>
      </c>
      <c r="D107" s="53">
        <f t="shared" si="10"/>
        <v>0</v>
      </c>
      <c r="E107" s="56">
        <v>0</v>
      </c>
      <c r="F107" s="53">
        <v>0</v>
      </c>
      <c r="G107" s="56">
        <v>0</v>
      </c>
      <c r="H107" s="53">
        <f t="shared" si="13"/>
        <v>0</v>
      </c>
      <c r="I107" s="132"/>
      <c r="J107" s="53"/>
      <c r="K107" s="71"/>
      <c r="L107" s="26"/>
      <c r="M107" s="71"/>
      <c r="N107" s="26"/>
      <c r="O107" s="26"/>
      <c r="P107" s="26"/>
      <c r="Q107" s="26"/>
    </row>
    <row r="108" spans="1:17" ht="23.25" customHeight="1" x14ac:dyDescent="0.2">
      <c r="A108" s="14" t="s">
        <v>88</v>
      </c>
      <c r="B108" s="17">
        <v>1080</v>
      </c>
      <c r="C108" s="52">
        <v>1102.5</v>
      </c>
      <c r="D108" s="52">
        <f t="shared" si="10"/>
        <v>22.599999999999998</v>
      </c>
      <c r="E108" s="52">
        <f t="shared" ref="E108:J108" si="14">SUM(E109:E112)</f>
        <v>18.7</v>
      </c>
      <c r="F108" s="52">
        <f t="shared" si="14"/>
        <v>3.9</v>
      </c>
      <c r="G108" s="52">
        <f t="shared" si="14"/>
        <v>0</v>
      </c>
      <c r="H108" s="52">
        <f t="shared" si="14"/>
        <v>22.599999999999998</v>
      </c>
      <c r="I108" s="132">
        <f t="shared" si="14"/>
        <v>22.6</v>
      </c>
      <c r="J108" s="52">
        <f t="shared" si="14"/>
        <v>0</v>
      </c>
      <c r="K108" s="71"/>
      <c r="L108" s="26"/>
      <c r="M108" s="71"/>
      <c r="N108" s="26"/>
      <c r="O108" s="26"/>
      <c r="P108" s="26"/>
      <c r="Q108" s="26"/>
    </row>
    <row r="109" spans="1:17" ht="26.25" customHeight="1" x14ac:dyDescent="0.2">
      <c r="A109" s="150" t="s">
        <v>127</v>
      </c>
      <c r="B109" s="15" t="s">
        <v>21</v>
      </c>
      <c r="C109" s="56">
        <v>1102.5</v>
      </c>
      <c r="D109" s="53">
        <f t="shared" si="10"/>
        <v>22.599999999999998</v>
      </c>
      <c r="E109" s="56">
        <v>18.7</v>
      </c>
      <c r="F109" s="56">
        <v>3.9</v>
      </c>
      <c r="G109" s="56"/>
      <c r="H109" s="53">
        <f>E109+F109+G109</f>
        <v>22.599999999999998</v>
      </c>
      <c r="I109" s="132">
        <v>22.6</v>
      </c>
      <c r="J109" s="56"/>
      <c r="K109" s="71"/>
      <c r="L109" s="80"/>
      <c r="M109" s="71"/>
    </row>
    <row r="110" spans="1:17" ht="26.25" customHeight="1" x14ac:dyDescent="0.2">
      <c r="A110" s="150" t="s">
        <v>161</v>
      </c>
      <c r="B110" s="15" t="s">
        <v>163</v>
      </c>
      <c r="C110" s="56">
        <v>0</v>
      </c>
      <c r="D110" s="53">
        <f t="shared" si="10"/>
        <v>0</v>
      </c>
      <c r="E110" s="56"/>
      <c r="F110" s="56"/>
      <c r="G110" s="56"/>
      <c r="H110" s="53">
        <f>E110+F110+G110</f>
        <v>0</v>
      </c>
      <c r="I110" s="132"/>
      <c r="J110" s="56"/>
      <c r="K110" s="71"/>
      <c r="L110" s="80"/>
      <c r="M110" s="71"/>
    </row>
    <row r="111" spans="1:17" s="85" customFormat="1" ht="26.25" customHeight="1" x14ac:dyDescent="0.2">
      <c r="A111" s="77" t="s">
        <v>169</v>
      </c>
      <c r="B111" s="78" t="s">
        <v>168</v>
      </c>
      <c r="C111" s="79">
        <v>0</v>
      </c>
      <c r="D111" s="79">
        <f t="shared" si="10"/>
        <v>0</v>
      </c>
      <c r="E111" s="79"/>
      <c r="F111" s="79"/>
      <c r="G111" s="79"/>
      <c r="H111" s="53">
        <f>E111+F111+G111</f>
        <v>0</v>
      </c>
      <c r="I111" s="132"/>
      <c r="J111" s="79"/>
      <c r="K111" s="71"/>
      <c r="L111" s="1"/>
      <c r="M111" s="71"/>
    </row>
    <row r="112" spans="1:17" s="85" customFormat="1" ht="21.75" customHeight="1" x14ac:dyDescent="0.2">
      <c r="A112" s="77" t="s">
        <v>167</v>
      </c>
      <c r="B112" s="78" t="s">
        <v>170</v>
      </c>
      <c r="C112" s="79">
        <v>0</v>
      </c>
      <c r="D112" s="79">
        <f t="shared" si="10"/>
        <v>0</v>
      </c>
      <c r="E112" s="79"/>
      <c r="F112" s="79"/>
      <c r="G112" s="79"/>
      <c r="H112" s="53">
        <f>E112+F112+G112</f>
        <v>0</v>
      </c>
      <c r="I112" s="132"/>
      <c r="J112" s="79"/>
      <c r="K112" s="71"/>
      <c r="L112" s="26"/>
      <c r="M112" s="71"/>
    </row>
    <row r="113" spans="1:17" ht="19.5" customHeight="1" x14ac:dyDescent="0.2">
      <c r="A113" s="100" t="s">
        <v>54</v>
      </c>
      <c r="B113" s="101">
        <v>1090</v>
      </c>
      <c r="C113" s="103">
        <v>106721.1</v>
      </c>
      <c r="D113" s="103">
        <f t="shared" si="10"/>
        <v>140611.24</v>
      </c>
      <c r="E113" s="103">
        <f>E76+E89+E99+E108</f>
        <v>26695.1</v>
      </c>
      <c r="F113" s="103">
        <f>F76+F89+F99+F108</f>
        <v>45134.62</v>
      </c>
      <c r="G113" s="103">
        <f>G76+G89+G99+G108</f>
        <v>38090.25</v>
      </c>
      <c r="H113" s="103">
        <f>H76+H89+H99+H108</f>
        <v>109919.96999999999</v>
      </c>
      <c r="I113" s="103"/>
      <c r="J113" s="103">
        <f>J76+J89+J99+J108</f>
        <v>30691.269999999997</v>
      </c>
      <c r="K113" s="71"/>
      <c r="M113" s="71"/>
      <c r="N113" s="26"/>
      <c r="O113" s="26"/>
      <c r="P113" s="26"/>
      <c r="Q113" s="26"/>
    </row>
    <row r="114" spans="1:17" s="26" customFormat="1" ht="19.5" customHeight="1" x14ac:dyDescent="0.2">
      <c r="A114" s="14" t="s">
        <v>142</v>
      </c>
      <c r="B114" s="17">
        <v>1100</v>
      </c>
      <c r="C114" s="94">
        <v>12940.899999999994</v>
      </c>
      <c r="D114" s="94">
        <f t="shared" ref="D114:J114" si="15">D75-D113</f>
        <v>50170.06</v>
      </c>
      <c r="E114" s="94">
        <f t="shared" si="15"/>
        <v>26843.299999999996</v>
      </c>
      <c r="F114" s="94">
        <f t="shared" si="15"/>
        <v>12166.779999999999</v>
      </c>
      <c r="G114" s="167">
        <f t="shared" si="15"/>
        <v>7989.4499999999971</v>
      </c>
      <c r="H114" s="94">
        <f t="shared" si="15"/>
        <v>46999.530000000013</v>
      </c>
      <c r="I114" s="94"/>
      <c r="J114" s="94">
        <f t="shared" si="15"/>
        <v>3170.5300000000061</v>
      </c>
      <c r="K114" s="71"/>
      <c r="L114" s="1"/>
      <c r="M114" s="71"/>
    </row>
    <row r="115" spans="1:17" ht="32.25" customHeight="1" x14ac:dyDescent="0.2">
      <c r="A115" s="242" t="s">
        <v>55</v>
      </c>
      <c r="B115" s="242"/>
      <c r="C115" s="242"/>
      <c r="D115" s="242"/>
      <c r="E115" s="242"/>
      <c r="F115" s="242"/>
      <c r="G115" s="242"/>
      <c r="H115" s="242"/>
      <c r="I115" s="242"/>
      <c r="J115" s="242"/>
      <c r="K115" s="71"/>
      <c r="M115" s="71"/>
      <c r="N115" s="26"/>
      <c r="O115" s="26"/>
      <c r="P115" s="26"/>
      <c r="Q115" s="26"/>
    </row>
    <row r="116" spans="1:17" ht="27" customHeight="1" x14ac:dyDescent="0.2">
      <c r="A116" s="14" t="s">
        <v>89</v>
      </c>
      <c r="B116" s="18">
        <v>2000</v>
      </c>
      <c r="C116" s="40">
        <v>7632.6</v>
      </c>
      <c r="D116" s="40">
        <f>E116+F116+G116+J116</f>
        <v>59283.580999999998</v>
      </c>
      <c r="E116" s="40">
        <f t="shared" ref="E116:J116" si="16">SUM(E117:E122)</f>
        <v>14560.778000000002</v>
      </c>
      <c r="F116" s="40">
        <f t="shared" si="16"/>
        <v>13156.770000000002</v>
      </c>
      <c r="G116" s="40">
        <f t="shared" si="16"/>
        <v>30035.080999999998</v>
      </c>
      <c r="H116" s="40">
        <f t="shared" si="16"/>
        <v>57752.629000000001</v>
      </c>
      <c r="I116" s="40">
        <f t="shared" si="16"/>
        <v>10050.299999999999</v>
      </c>
      <c r="J116" s="40">
        <f t="shared" si="16"/>
        <v>1530.952</v>
      </c>
      <c r="K116" s="71"/>
      <c r="M116" s="71"/>
    </row>
    <row r="117" spans="1:17" ht="24.75" customHeight="1" x14ac:dyDescent="0.2">
      <c r="A117" s="150" t="s">
        <v>91</v>
      </c>
      <c r="B117" s="20">
        <v>2010</v>
      </c>
      <c r="C117" s="41">
        <v>0</v>
      </c>
      <c r="D117" s="42">
        <f t="shared" ref="D117:D122" si="17">E117+F117+G117+J117</f>
        <v>0</v>
      </c>
      <c r="E117" s="41"/>
      <c r="F117" s="41"/>
      <c r="G117" s="41"/>
      <c r="H117" s="42">
        <f t="shared" ref="H117:H122" si="18">E117+F117+G117</f>
        <v>0</v>
      </c>
      <c r="I117" s="139"/>
      <c r="J117" s="45"/>
      <c r="K117" s="71"/>
      <c r="L117" s="26"/>
      <c r="M117" s="71"/>
      <c r="N117" s="26"/>
      <c r="O117" s="26"/>
      <c r="P117" s="26"/>
      <c r="Q117" s="26"/>
    </row>
    <row r="118" spans="1:17" s="85" customFormat="1" x14ac:dyDescent="0.2">
      <c r="A118" s="77" t="s">
        <v>92</v>
      </c>
      <c r="B118" s="86">
        <v>2020</v>
      </c>
      <c r="C118" s="87">
        <v>856.8</v>
      </c>
      <c r="D118" s="88">
        <f t="shared" si="17"/>
        <v>4485.2000000000007</v>
      </c>
      <c r="E118" s="83">
        <f>71.3+3500+58.8</f>
        <v>3630.1000000000004</v>
      </c>
      <c r="F118" s="83">
        <v>55.1</v>
      </c>
      <c r="G118" s="83">
        <f>800</f>
        <v>800</v>
      </c>
      <c r="H118" s="42">
        <f t="shared" si="18"/>
        <v>4485.2000000000007</v>
      </c>
      <c r="I118" s="140">
        <v>3672.6</v>
      </c>
      <c r="J118" s="83">
        <v>0</v>
      </c>
      <c r="K118" s="71"/>
      <c r="M118" s="71"/>
    </row>
    <row r="119" spans="1:17" ht="37.5" x14ac:dyDescent="0.2">
      <c r="A119" s="150" t="s">
        <v>93</v>
      </c>
      <c r="B119" s="20">
        <v>2030</v>
      </c>
      <c r="C119" s="41">
        <v>545.9</v>
      </c>
      <c r="D119" s="42">
        <f t="shared" si="17"/>
        <v>0</v>
      </c>
      <c r="E119" s="41"/>
      <c r="F119" s="41"/>
      <c r="G119" s="41"/>
      <c r="H119" s="42">
        <f t="shared" si="18"/>
        <v>0</v>
      </c>
      <c r="I119" s="139"/>
      <c r="J119" s="59">
        <v>0</v>
      </c>
      <c r="K119" s="71"/>
      <c r="L119" s="26"/>
      <c r="M119" s="71"/>
      <c r="N119" s="26"/>
      <c r="O119" s="26"/>
      <c r="P119" s="26"/>
      <c r="Q119" s="26"/>
    </row>
    <row r="120" spans="1:17" ht="22.5" customHeight="1" x14ac:dyDescent="0.2">
      <c r="A120" s="150" t="s">
        <v>94</v>
      </c>
      <c r="B120" s="20">
        <v>2040</v>
      </c>
      <c r="C120" s="43">
        <v>0</v>
      </c>
      <c r="D120" s="42">
        <f t="shared" si="17"/>
        <v>0</v>
      </c>
      <c r="E120" s="41"/>
      <c r="F120" s="41"/>
      <c r="G120" s="41"/>
      <c r="H120" s="42">
        <f t="shared" si="18"/>
        <v>0</v>
      </c>
      <c r="I120" s="139"/>
      <c r="J120" s="59">
        <v>0</v>
      </c>
      <c r="K120" s="71"/>
      <c r="M120" s="71"/>
    </row>
    <row r="121" spans="1:17" ht="39" customHeight="1" x14ac:dyDescent="0.2">
      <c r="A121" s="150" t="s">
        <v>95</v>
      </c>
      <c r="B121" s="20">
        <v>2050</v>
      </c>
      <c r="C121" s="41">
        <v>0</v>
      </c>
      <c r="D121" s="42">
        <f t="shared" si="17"/>
        <v>0</v>
      </c>
      <c r="E121" s="41"/>
      <c r="F121" s="41"/>
      <c r="G121" s="41"/>
      <c r="H121" s="42">
        <f t="shared" si="18"/>
        <v>0</v>
      </c>
      <c r="I121" s="139"/>
      <c r="J121" s="59"/>
      <c r="K121" s="71"/>
      <c r="L121" s="26"/>
      <c r="M121" s="71"/>
      <c r="N121" s="26"/>
      <c r="O121" s="26"/>
      <c r="P121" s="26"/>
      <c r="Q121" s="26"/>
    </row>
    <row r="122" spans="1:17" s="85" customFormat="1" ht="22.5" customHeight="1" x14ac:dyDescent="0.2">
      <c r="A122" s="77" t="s">
        <v>96</v>
      </c>
      <c r="B122" s="86">
        <v>2060</v>
      </c>
      <c r="C122" s="88">
        <v>6229.9000000000005</v>
      </c>
      <c r="D122" s="88">
        <f t="shared" si="17"/>
        <v>54798.381000000001</v>
      </c>
      <c r="E122" s="88">
        <v>10930.678000000002</v>
      </c>
      <c r="F122" s="88">
        <v>13101.670000000002</v>
      </c>
      <c r="G122" s="88">
        <v>29235.080999999998</v>
      </c>
      <c r="H122" s="42">
        <f t="shared" si="18"/>
        <v>53267.429000000004</v>
      </c>
      <c r="I122" s="139">
        <v>6377.7</v>
      </c>
      <c r="J122" s="83">
        <v>1530.952</v>
      </c>
      <c r="K122" s="71"/>
      <c r="M122" s="71"/>
    </row>
    <row r="123" spans="1:17" ht="22.5" customHeight="1" x14ac:dyDescent="0.2">
      <c r="A123" s="150" t="s">
        <v>20</v>
      </c>
      <c r="B123" s="20">
        <v>2100</v>
      </c>
      <c r="C123" s="41">
        <v>141273.79999999999</v>
      </c>
      <c r="D123" s="42">
        <f>J123</f>
        <v>154082.79999999999</v>
      </c>
      <c r="E123" s="41">
        <v>143475.9</v>
      </c>
      <c r="F123" s="42">
        <v>147609.70000000001</v>
      </c>
      <c r="G123" s="41">
        <v>154082.79999999999</v>
      </c>
      <c r="H123" s="42"/>
      <c r="I123" s="139"/>
      <c r="J123" s="59">
        <v>154082.79999999999</v>
      </c>
      <c r="K123" s="71"/>
      <c r="L123" s="26"/>
      <c r="M123" s="71"/>
      <c r="N123" s="26"/>
      <c r="O123" s="26"/>
      <c r="P123" s="26"/>
      <c r="Q123" s="26"/>
    </row>
    <row r="124" spans="1:17" ht="22.5" customHeight="1" x14ac:dyDescent="0.2">
      <c r="A124" s="150" t="s">
        <v>19</v>
      </c>
      <c r="B124" s="20">
        <v>2200</v>
      </c>
      <c r="C124" s="41">
        <v>63884.9</v>
      </c>
      <c r="D124" s="42">
        <f>J124</f>
        <v>72767.399999999994</v>
      </c>
      <c r="E124" s="41">
        <v>66776</v>
      </c>
      <c r="F124" s="42">
        <v>69787</v>
      </c>
      <c r="G124" s="41">
        <v>72767.399999999994</v>
      </c>
      <c r="H124" s="42"/>
      <c r="I124" s="139"/>
      <c r="J124" s="59">
        <v>72767.399999999994</v>
      </c>
      <c r="K124" s="71"/>
      <c r="M124" s="71"/>
    </row>
    <row r="125" spans="1:17" ht="25.5" customHeight="1" x14ac:dyDescent="0.2">
      <c r="A125" s="242" t="s">
        <v>56</v>
      </c>
      <c r="B125" s="242"/>
      <c r="C125" s="242"/>
      <c r="D125" s="242"/>
      <c r="E125" s="242"/>
      <c r="F125" s="242"/>
      <c r="G125" s="242"/>
      <c r="H125" s="242"/>
      <c r="I125" s="242"/>
      <c r="J125" s="242"/>
      <c r="K125" s="71"/>
      <c r="M125" s="71"/>
      <c r="N125" s="26"/>
      <c r="O125" s="26"/>
      <c r="P125" s="26"/>
      <c r="Q125" s="26"/>
    </row>
    <row r="126" spans="1:17" ht="46.5" customHeight="1" x14ac:dyDescent="0.2">
      <c r="A126" s="21" t="s">
        <v>90</v>
      </c>
      <c r="B126" s="20">
        <v>3010</v>
      </c>
      <c r="C126" s="60">
        <v>0.15754207684979357</v>
      </c>
      <c r="D126" s="60">
        <f t="shared" ref="D126:J126" si="19">(D59/D75)</f>
        <v>0.40654246511581593</v>
      </c>
      <c r="E126" s="60">
        <v>0.34899999999999998</v>
      </c>
      <c r="F126" s="60">
        <v>0.40899999999999997</v>
      </c>
      <c r="G126" s="60">
        <f t="shared" si="19"/>
        <v>0.70639782811086016</v>
      </c>
      <c r="H126" s="60">
        <f t="shared" si="19"/>
        <v>0.46271559621334507</v>
      </c>
      <c r="I126" s="60">
        <f t="shared" si="19"/>
        <v>0.22241992340123704</v>
      </c>
      <c r="J126" s="60">
        <f t="shared" si="19"/>
        <v>0.14622967473672396</v>
      </c>
      <c r="K126" s="71"/>
      <c r="L126" s="26"/>
      <c r="M126" s="71"/>
    </row>
    <row r="127" spans="1:17" ht="37.5" x14ac:dyDescent="0.2">
      <c r="A127" s="150" t="s">
        <v>18</v>
      </c>
      <c r="B127" s="20">
        <v>3020</v>
      </c>
      <c r="C127" s="60">
        <v>8.2616277380949024E-2</v>
      </c>
      <c r="D127" s="60">
        <f t="shared" ref="D127:J127" si="20">(D83+D93)/D113</f>
        <v>5.5190751464818895E-2</v>
      </c>
      <c r="E127" s="60">
        <f t="shared" si="20"/>
        <v>9.2024379005884976E-2</v>
      </c>
      <c r="F127" s="60">
        <f t="shared" si="20"/>
        <v>4.9639722235392703E-2</v>
      </c>
      <c r="G127" s="60">
        <f t="shared" si="20"/>
        <v>2.1974127237285132E-2</v>
      </c>
      <c r="H127" s="60">
        <f t="shared" si="20"/>
        <v>5.0346356535577667E-2</v>
      </c>
      <c r="I127" s="60" t="e">
        <f t="shared" si="20"/>
        <v>#DIV/0!</v>
      </c>
      <c r="J127" s="60">
        <f t="shared" si="20"/>
        <v>7.2540823498017534E-2</v>
      </c>
      <c r="K127" s="71"/>
      <c r="M127" s="71"/>
      <c r="N127" s="26"/>
      <c r="O127" s="26"/>
      <c r="P127" s="26"/>
      <c r="Q127" s="26"/>
    </row>
    <row r="128" spans="1:17" ht="37.5" x14ac:dyDescent="0.2">
      <c r="A128" s="150" t="s">
        <v>59</v>
      </c>
      <c r="B128" s="20">
        <v>3030</v>
      </c>
      <c r="C128" s="60">
        <v>7.1519127895046053E-2</v>
      </c>
      <c r="D128" s="60">
        <f>(D116/D113)</f>
        <v>0.42161338595691211</v>
      </c>
      <c r="E128" s="60">
        <f>(E116/E113)</f>
        <v>0.54544759150555733</v>
      </c>
      <c r="F128" s="60">
        <f>(F116/F113)</f>
        <v>0.29150062634846602</v>
      </c>
      <c r="G128" s="60">
        <f>(G116/G113)</f>
        <v>0.7885241236274374</v>
      </c>
      <c r="H128" s="60">
        <f t="shared" ref="H128:I131" si="21">(H84+H94)/H114</f>
        <v>7.4519894135111536E-2</v>
      </c>
      <c r="I128" s="60" t="e">
        <f t="shared" si="21"/>
        <v>#DIV/0!</v>
      </c>
      <c r="J128" s="60">
        <f>(J116/J113)</f>
        <v>4.9882328101769659E-2</v>
      </c>
      <c r="K128" s="71"/>
      <c r="L128" s="26"/>
      <c r="M128" s="71"/>
    </row>
    <row r="129" spans="1:17" ht="37.5" x14ac:dyDescent="0.2">
      <c r="A129" s="150" t="s">
        <v>17</v>
      </c>
      <c r="B129" s="20">
        <v>3040</v>
      </c>
      <c r="C129" s="60">
        <v>0.67342540509796101</v>
      </c>
      <c r="D129" s="60">
        <f>(D157/D113)</f>
        <v>0.56322783299542767</v>
      </c>
      <c r="E129" s="60">
        <f>(E157/E113)</f>
        <v>0.68388955276436503</v>
      </c>
      <c r="F129" s="60">
        <f>(F157/F113)</f>
        <v>0.4814641177880748</v>
      </c>
      <c r="G129" s="60">
        <f>(G157/G113)</f>
        <v>0.54963624549589463</v>
      </c>
      <c r="H129" s="60" t="e">
        <f t="shared" si="21"/>
        <v>#DIV/0!</v>
      </c>
      <c r="I129" s="60" t="e">
        <f t="shared" si="21"/>
        <v>#DIV/0!</v>
      </c>
      <c r="J129" s="60">
        <f>(J157/J113)</f>
        <v>0.5953869618298625</v>
      </c>
      <c r="K129" s="71"/>
      <c r="M129" s="71"/>
      <c r="N129" s="26"/>
      <c r="O129" s="26"/>
      <c r="P129" s="26"/>
      <c r="Q129" s="26"/>
    </row>
    <row r="130" spans="1:17" ht="27.75" customHeight="1" x14ac:dyDescent="0.2">
      <c r="A130" s="21" t="s">
        <v>16</v>
      </c>
      <c r="B130" s="20">
        <v>3050</v>
      </c>
      <c r="C130" s="41">
        <v>0.45220628311831357</v>
      </c>
      <c r="D130" s="41">
        <f t="shared" ref="D130:J130" si="22">D124/D123</f>
        <v>0.47226166710366113</v>
      </c>
      <c r="E130" s="41">
        <f t="shared" si="22"/>
        <v>0.46541614305956613</v>
      </c>
      <c r="F130" s="41">
        <f t="shared" si="22"/>
        <v>0.47278058284787516</v>
      </c>
      <c r="G130" s="41">
        <f t="shared" si="22"/>
        <v>0.47226166710366113</v>
      </c>
      <c r="H130" s="60">
        <f t="shared" si="21"/>
        <v>6.5797870431145219E-4</v>
      </c>
      <c r="I130" s="60">
        <f t="shared" si="21"/>
        <v>3.3033839785877035E-3</v>
      </c>
      <c r="J130" s="41">
        <f t="shared" si="22"/>
        <v>0.47226166710366113</v>
      </c>
      <c r="K130" s="71"/>
      <c r="L130" s="26"/>
      <c r="M130" s="71"/>
    </row>
    <row r="131" spans="1:17" ht="37.5" x14ac:dyDescent="0.2">
      <c r="A131" s="21" t="s">
        <v>15</v>
      </c>
      <c r="B131" s="20">
        <v>3060</v>
      </c>
      <c r="C131" s="41">
        <v>0.18377748080601627</v>
      </c>
      <c r="D131" s="41">
        <f>(D118+D119)/D116</f>
        <v>7.5656698268615069E-2</v>
      </c>
      <c r="E131" s="41">
        <f>(E118+E119)/E116</f>
        <v>0.24930673347262075</v>
      </c>
      <c r="F131" s="41">
        <f>(F118+F119)/F116</f>
        <v>4.1879579866486985E-3</v>
      </c>
      <c r="G131" s="41">
        <f>(G118+G119)/G116</f>
        <v>2.6635519977455696E-2</v>
      </c>
      <c r="H131" s="60" t="e">
        <f t="shared" si="21"/>
        <v>#DIV/0!</v>
      </c>
      <c r="I131" s="60" t="e">
        <f t="shared" si="21"/>
        <v>#DIV/0!</v>
      </c>
      <c r="J131" s="116">
        <v>0</v>
      </c>
      <c r="K131" s="71"/>
      <c r="M131" s="71"/>
      <c r="N131" s="26"/>
      <c r="O131" s="26"/>
      <c r="P131" s="26"/>
      <c r="Q131" s="26"/>
    </row>
    <row r="132" spans="1:17" ht="22.5" customHeight="1" x14ac:dyDescent="0.2">
      <c r="A132" s="257" t="s">
        <v>57</v>
      </c>
      <c r="B132" s="257"/>
      <c r="C132" s="257"/>
      <c r="D132" s="257"/>
      <c r="E132" s="257"/>
      <c r="F132" s="257"/>
      <c r="G132" s="257"/>
      <c r="H132" s="257"/>
      <c r="I132" s="257"/>
      <c r="J132" s="257"/>
      <c r="L132" s="26"/>
      <c r="M132" s="71"/>
    </row>
    <row r="133" spans="1:17" ht="21.75" customHeight="1" x14ac:dyDescent="0.2">
      <c r="A133" s="21" t="s">
        <v>14</v>
      </c>
      <c r="B133" s="20">
        <v>4010</v>
      </c>
      <c r="C133" s="41">
        <v>81579.600000000006</v>
      </c>
      <c r="D133" s="41">
        <f t="shared" ref="D133:D139" si="23">J133</f>
        <v>111009</v>
      </c>
      <c r="E133" s="41">
        <v>105546.2</v>
      </c>
      <c r="F133" s="41">
        <v>110156.3</v>
      </c>
      <c r="G133" s="41">
        <v>111009</v>
      </c>
      <c r="H133" s="131"/>
      <c r="I133" s="41">
        <v>111009</v>
      </c>
      <c r="J133" s="41">
        <v>111009</v>
      </c>
      <c r="K133" s="26"/>
      <c r="M133" s="71"/>
      <c r="N133" s="26"/>
      <c r="O133" s="26"/>
      <c r="P133" s="26"/>
      <c r="Q133" s="26"/>
    </row>
    <row r="134" spans="1:17" ht="21.75" customHeight="1" x14ac:dyDescent="0.2">
      <c r="A134" s="51" t="s">
        <v>130</v>
      </c>
      <c r="B134" s="20">
        <v>4020</v>
      </c>
      <c r="C134" s="41">
        <v>38938</v>
      </c>
      <c r="D134" s="41">
        <f t="shared" si="23"/>
        <v>42925.9</v>
      </c>
      <c r="E134" s="116">
        <v>45342.5</v>
      </c>
      <c r="F134" s="41">
        <v>47130.2</v>
      </c>
      <c r="G134" s="41">
        <v>42925.9</v>
      </c>
      <c r="H134" s="131"/>
      <c r="I134" s="41">
        <v>42925.9</v>
      </c>
      <c r="J134" s="41">
        <v>42925.9</v>
      </c>
      <c r="L134" s="26"/>
      <c r="M134" s="71"/>
    </row>
    <row r="135" spans="1:17" ht="21.75" customHeight="1" x14ac:dyDescent="0.2">
      <c r="A135" s="51" t="s">
        <v>97</v>
      </c>
      <c r="B135" s="20">
        <v>4021</v>
      </c>
      <c r="C135" s="41">
        <v>6514.2</v>
      </c>
      <c r="D135" s="41">
        <f t="shared" si="23"/>
        <v>5405.5</v>
      </c>
      <c r="E135" s="42">
        <v>9910</v>
      </c>
      <c r="F135" s="42">
        <v>10082.299999999999</v>
      </c>
      <c r="G135" s="42">
        <v>5405.5</v>
      </c>
      <c r="H135" s="131"/>
      <c r="I135" s="42">
        <v>5405.5</v>
      </c>
      <c r="J135" s="42">
        <v>5405.5</v>
      </c>
      <c r="K135" s="26"/>
      <c r="L135" s="70"/>
      <c r="M135" s="71"/>
      <c r="N135" s="26"/>
      <c r="O135" s="26"/>
      <c r="P135" s="26"/>
      <c r="Q135" s="26"/>
    </row>
    <row r="136" spans="1:17" ht="21.75" customHeight="1" x14ac:dyDescent="0.2">
      <c r="A136" s="14" t="s">
        <v>13</v>
      </c>
      <c r="B136" s="18">
        <v>4030</v>
      </c>
      <c r="C136" s="40">
        <v>120517.6</v>
      </c>
      <c r="D136" s="40">
        <f t="shared" si="23"/>
        <v>153934.9</v>
      </c>
      <c r="E136" s="40">
        <f>E133+E134</f>
        <v>150888.70000000001</v>
      </c>
      <c r="F136" s="40">
        <v>157286.5</v>
      </c>
      <c r="G136" s="40">
        <f>G133+G134</f>
        <v>153934.9</v>
      </c>
      <c r="H136" s="40">
        <f>H133+H134</f>
        <v>0</v>
      </c>
      <c r="I136" s="40">
        <f>I133+I134</f>
        <v>153934.9</v>
      </c>
      <c r="J136" s="40">
        <f>J133+J134</f>
        <v>153934.9</v>
      </c>
      <c r="L136" s="71"/>
      <c r="M136" s="71"/>
    </row>
    <row r="137" spans="1:17" ht="21.75" customHeight="1" x14ac:dyDescent="0.2">
      <c r="A137" s="21" t="s">
        <v>12</v>
      </c>
      <c r="B137" s="20">
        <v>4040</v>
      </c>
      <c r="C137" s="41">
        <v>11807.6</v>
      </c>
      <c r="D137" s="41">
        <f t="shared" si="23"/>
        <v>39807.800000000003</v>
      </c>
      <c r="E137" s="41">
        <v>38401.300000000003</v>
      </c>
      <c r="F137" s="41">
        <v>41005.199999999997</v>
      </c>
      <c r="G137" s="41">
        <v>39807.800000000003</v>
      </c>
      <c r="H137" s="131"/>
      <c r="I137" s="41">
        <v>39807.800000000003</v>
      </c>
      <c r="J137" s="41">
        <v>39807.800000000003</v>
      </c>
      <c r="K137" s="26"/>
      <c r="L137" s="70"/>
      <c r="M137" s="71"/>
      <c r="N137" s="71"/>
      <c r="O137" s="71"/>
      <c r="P137" s="26"/>
      <c r="Q137" s="71"/>
    </row>
    <row r="138" spans="1:17" ht="21.75" customHeight="1" x14ac:dyDescent="0.2">
      <c r="A138" s="21" t="s">
        <v>11</v>
      </c>
      <c r="B138" s="20">
        <v>4050</v>
      </c>
      <c r="C138" s="41">
        <v>37989.199999999997</v>
      </c>
      <c r="D138" s="41">
        <f t="shared" si="23"/>
        <v>43453.7</v>
      </c>
      <c r="E138" s="41">
        <v>37617.199999999997</v>
      </c>
      <c r="F138" s="41">
        <v>36807.599999999999</v>
      </c>
      <c r="G138" s="41">
        <v>43453.7</v>
      </c>
      <c r="H138" s="131"/>
      <c r="I138" s="41">
        <v>43453.7</v>
      </c>
      <c r="J138" s="41">
        <v>43453.7</v>
      </c>
      <c r="L138" s="26"/>
      <c r="M138" s="71"/>
    </row>
    <row r="139" spans="1:17" ht="37.5" x14ac:dyDescent="0.2">
      <c r="A139" s="19" t="s">
        <v>131</v>
      </c>
      <c r="B139" s="18">
        <v>4060</v>
      </c>
      <c r="C139" s="40">
        <v>49796.799999999996</v>
      </c>
      <c r="D139" s="40">
        <f t="shared" si="23"/>
        <v>83261.5</v>
      </c>
      <c r="E139" s="40">
        <f>E137+E138</f>
        <v>76018.5</v>
      </c>
      <c r="F139" s="40">
        <v>77812.799999999988</v>
      </c>
      <c r="G139" s="40">
        <f>G137+G138</f>
        <v>83261.5</v>
      </c>
      <c r="H139" s="40">
        <f>H137+H138</f>
        <v>0</v>
      </c>
      <c r="I139" s="40">
        <f>I137+I138</f>
        <v>83261.5</v>
      </c>
      <c r="J139" s="40">
        <f>J137+J138</f>
        <v>83261.5</v>
      </c>
      <c r="K139" s="26"/>
      <c r="M139" s="71"/>
      <c r="N139" s="26"/>
      <c r="O139" s="26"/>
      <c r="P139" s="26"/>
      <c r="Q139" s="26"/>
    </row>
    <row r="140" spans="1:17" ht="22.5" customHeight="1" x14ac:dyDescent="0.2">
      <c r="A140" s="21" t="s">
        <v>98</v>
      </c>
      <c r="B140" s="20">
        <v>4070</v>
      </c>
      <c r="C140" s="41">
        <v>0</v>
      </c>
      <c r="D140" s="41">
        <f>E140+F140+G140+J140</f>
        <v>0</v>
      </c>
      <c r="E140" s="41">
        <v>0</v>
      </c>
      <c r="F140" s="41">
        <v>0</v>
      </c>
      <c r="G140" s="41"/>
      <c r="H140" s="131"/>
      <c r="I140" s="41"/>
      <c r="J140" s="45"/>
      <c r="L140" s="26"/>
      <c r="M140" s="71"/>
    </row>
    <row r="141" spans="1:17" s="85" customFormat="1" ht="22.5" customHeight="1" x14ac:dyDescent="0.2">
      <c r="A141" s="89" t="s">
        <v>99</v>
      </c>
      <c r="B141" s="86">
        <v>4080</v>
      </c>
      <c r="C141" s="88">
        <v>0</v>
      </c>
      <c r="D141" s="88">
        <f>E141+F141+G141+J141</f>
        <v>0</v>
      </c>
      <c r="E141" s="88">
        <v>0</v>
      </c>
      <c r="F141" s="88">
        <v>0</v>
      </c>
      <c r="G141" s="88">
        <v>0</v>
      </c>
      <c r="H141" s="131"/>
      <c r="I141" s="88"/>
      <c r="J141" s="83">
        <v>0</v>
      </c>
      <c r="K141" s="80"/>
      <c r="M141" s="71"/>
      <c r="N141" s="80"/>
      <c r="O141" s="80"/>
      <c r="P141" s="80"/>
      <c r="Q141" s="80"/>
    </row>
    <row r="142" spans="1:17" ht="21" customHeight="1" x14ac:dyDescent="0.2">
      <c r="A142" s="19" t="s">
        <v>10</v>
      </c>
      <c r="B142" s="18">
        <v>4090</v>
      </c>
      <c r="C142" s="40">
        <v>70720.800000000003</v>
      </c>
      <c r="D142" s="40">
        <f>J142</f>
        <v>70673.399999999994</v>
      </c>
      <c r="E142" s="40">
        <v>74870.2</v>
      </c>
      <c r="F142" s="40">
        <v>79202</v>
      </c>
      <c r="G142" s="40">
        <v>70673.399999999994</v>
      </c>
      <c r="H142" s="131"/>
      <c r="I142" s="40">
        <v>70673.399999999994</v>
      </c>
      <c r="J142" s="40">
        <v>70673.399999999994</v>
      </c>
      <c r="L142" s="26"/>
      <c r="M142" s="71"/>
    </row>
    <row r="143" spans="1:17" ht="36.75" customHeight="1" x14ac:dyDescent="0.2">
      <c r="A143" s="242" t="s">
        <v>58</v>
      </c>
      <c r="B143" s="242"/>
      <c r="C143" s="242"/>
      <c r="D143" s="242"/>
      <c r="E143" s="242"/>
      <c r="F143" s="242"/>
      <c r="G143" s="242"/>
      <c r="H143" s="242"/>
      <c r="I143" s="242"/>
      <c r="J143" s="242"/>
      <c r="K143" s="26"/>
      <c r="M143" s="71"/>
      <c r="N143" s="26"/>
      <c r="O143" s="26"/>
      <c r="P143" s="26"/>
      <c r="Q143" s="26"/>
    </row>
    <row r="144" spans="1:17" ht="37.5" customHeight="1" x14ac:dyDescent="0.2">
      <c r="A144" s="73" t="s">
        <v>76</v>
      </c>
      <c r="B144" s="74">
        <v>5000</v>
      </c>
      <c r="C144" s="75">
        <v>412</v>
      </c>
      <c r="D144" s="75">
        <f t="shared" ref="D144:J144" si="24">SUM(D145:D150)</f>
        <v>390</v>
      </c>
      <c r="E144" s="75">
        <f t="shared" si="24"/>
        <v>382</v>
      </c>
      <c r="F144" s="75">
        <f t="shared" si="24"/>
        <v>395</v>
      </c>
      <c r="G144" s="75">
        <f t="shared" si="24"/>
        <v>393</v>
      </c>
      <c r="H144" s="75">
        <f t="shared" si="24"/>
        <v>390.00000000000006</v>
      </c>
      <c r="I144" s="131">
        <f t="shared" si="24"/>
        <v>390</v>
      </c>
      <c r="J144" s="75">
        <f t="shared" si="24"/>
        <v>389</v>
      </c>
      <c r="K144" s="71"/>
      <c r="M144" s="71"/>
    </row>
    <row r="145" spans="1:17" x14ac:dyDescent="0.2">
      <c r="A145" s="150" t="s">
        <v>9</v>
      </c>
      <c r="B145" s="15">
        <v>5010</v>
      </c>
      <c r="C145" s="41">
        <v>1</v>
      </c>
      <c r="D145" s="42">
        <f t="shared" ref="D145:D150" si="25">ROUND((E145+F145+G145+J145)/4,0)</f>
        <v>1</v>
      </c>
      <c r="E145" s="112">
        <v>1</v>
      </c>
      <c r="F145" s="112">
        <v>1</v>
      </c>
      <c r="G145" s="112">
        <v>1</v>
      </c>
      <c r="H145" s="151">
        <f t="shared" ref="H145:H150" si="26">(E145+F145+G145)/3</f>
        <v>1</v>
      </c>
      <c r="I145" s="112">
        <v>1</v>
      </c>
      <c r="J145" s="112">
        <v>1</v>
      </c>
      <c r="K145" s="71"/>
      <c r="M145" s="26"/>
      <c r="N145" s="26"/>
      <c r="O145" s="26"/>
      <c r="P145" s="26"/>
      <c r="Q145" s="26"/>
    </row>
    <row r="146" spans="1:17" x14ac:dyDescent="0.2">
      <c r="A146" s="150" t="s">
        <v>8</v>
      </c>
      <c r="B146" s="15">
        <v>5020</v>
      </c>
      <c r="C146" s="41">
        <v>39</v>
      </c>
      <c r="D146" s="42">
        <f t="shared" si="25"/>
        <v>37</v>
      </c>
      <c r="E146" s="112">
        <v>38</v>
      </c>
      <c r="F146" s="112">
        <v>37</v>
      </c>
      <c r="G146" s="112">
        <v>37</v>
      </c>
      <c r="H146" s="151">
        <f t="shared" si="26"/>
        <v>37.333333333333336</v>
      </c>
      <c r="I146" s="112">
        <v>37</v>
      </c>
      <c r="J146" s="112">
        <v>37</v>
      </c>
      <c r="K146" s="71"/>
      <c r="M146" s="26"/>
    </row>
    <row r="147" spans="1:17" x14ac:dyDescent="0.2">
      <c r="A147" s="150" t="s">
        <v>7</v>
      </c>
      <c r="B147" s="15">
        <v>5030</v>
      </c>
      <c r="C147" s="41">
        <v>75</v>
      </c>
      <c r="D147" s="42">
        <f t="shared" si="25"/>
        <v>75</v>
      </c>
      <c r="E147" s="113">
        <v>74</v>
      </c>
      <c r="F147" s="113">
        <v>78</v>
      </c>
      <c r="G147" s="113">
        <v>73</v>
      </c>
      <c r="H147" s="151">
        <f t="shared" si="26"/>
        <v>75</v>
      </c>
      <c r="I147" s="113">
        <v>75</v>
      </c>
      <c r="J147" s="113">
        <v>75</v>
      </c>
      <c r="K147" s="71"/>
      <c r="M147" s="26"/>
      <c r="N147" s="26"/>
      <c r="O147" s="26"/>
      <c r="P147" s="26"/>
      <c r="Q147" s="26"/>
    </row>
    <row r="148" spans="1:17" x14ac:dyDescent="0.2">
      <c r="A148" s="150" t="s">
        <v>6</v>
      </c>
      <c r="B148" s="15">
        <v>5040</v>
      </c>
      <c r="C148" s="41">
        <v>154</v>
      </c>
      <c r="D148" s="42">
        <f t="shared" si="25"/>
        <v>147</v>
      </c>
      <c r="E148" s="113">
        <v>147</v>
      </c>
      <c r="F148" s="113">
        <v>146</v>
      </c>
      <c r="G148" s="113">
        <v>149</v>
      </c>
      <c r="H148" s="151">
        <f t="shared" si="26"/>
        <v>147.33333333333334</v>
      </c>
      <c r="I148" s="113">
        <v>147</v>
      </c>
      <c r="J148" s="113">
        <v>147</v>
      </c>
      <c r="K148" s="71"/>
      <c r="M148" s="26"/>
    </row>
    <row r="149" spans="1:17" x14ac:dyDescent="0.2">
      <c r="A149" s="150" t="s">
        <v>5</v>
      </c>
      <c r="B149" s="15">
        <v>5050</v>
      </c>
      <c r="C149" s="41">
        <v>89</v>
      </c>
      <c r="D149" s="42">
        <f t="shared" si="25"/>
        <v>73</v>
      </c>
      <c r="E149" s="113">
        <v>74</v>
      </c>
      <c r="F149" s="113">
        <v>73</v>
      </c>
      <c r="G149" s="113">
        <v>71</v>
      </c>
      <c r="H149" s="151">
        <f t="shared" si="26"/>
        <v>72.666666666666671</v>
      </c>
      <c r="I149" s="113">
        <v>73</v>
      </c>
      <c r="J149" s="113">
        <v>72</v>
      </c>
      <c r="K149" s="71"/>
      <c r="M149" s="26"/>
      <c r="N149" s="26"/>
      <c r="O149" s="26"/>
      <c r="P149" s="26"/>
      <c r="Q149" s="26"/>
    </row>
    <row r="150" spans="1:17" x14ac:dyDescent="0.2">
      <c r="A150" s="150" t="s">
        <v>4</v>
      </c>
      <c r="B150" s="15">
        <v>5060</v>
      </c>
      <c r="C150" s="41">
        <v>54</v>
      </c>
      <c r="D150" s="42">
        <f t="shared" si="25"/>
        <v>57</v>
      </c>
      <c r="E150" s="113">
        <v>48</v>
      </c>
      <c r="F150" s="113">
        <v>60</v>
      </c>
      <c r="G150" s="143">
        <v>62</v>
      </c>
      <c r="H150" s="152">
        <f t="shared" si="26"/>
        <v>56.666666666666664</v>
      </c>
      <c r="I150" s="113">
        <v>57</v>
      </c>
      <c r="J150" s="113">
        <v>57</v>
      </c>
      <c r="K150" s="71"/>
      <c r="M150" s="26"/>
    </row>
    <row r="151" spans="1:17" x14ac:dyDescent="0.2">
      <c r="A151" s="155" t="s">
        <v>177</v>
      </c>
      <c r="B151" s="156"/>
      <c r="C151" s="157">
        <f>E151+F151+G151</f>
        <v>60923.000000000007</v>
      </c>
      <c r="D151" s="157">
        <f>E151+F151+G151+J151</f>
        <v>79196.150000000009</v>
      </c>
      <c r="E151" s="158">
        <f>E77+E78+E90+E91+E101+E102</f>
        <v>18256.5</v>
      </c>
      <c r="F151" s="158">
        <f>F77+F78+F90+F91+F101+F102</f>
        <v>21739.100000000002</v>
      </c>
      <c r="G151" s="158">
        <f>G77+G78+G90+G91+G101+G102</f>
        <v>20927.400000000001</v>
      </c>
      <c r="H151" s="152"/>
      <c r="I151" s="113"/>
      <c r="J151" s="160">
        <f>J77+J78+J90+J91+J101+J102</f>
        <v>18273.149999999998</v>
      </c>
      <c r="K151" s="71"/>
      <c r="M151" s="26"/>
    </row>
    <row r="152" spans="1:17" x14ac:dyDescent="0.2">
      <c r="A152" s="155"/>
      <c r="B152" s="156"/>
      <c r="C152" s="157"/>
      <c r="D152" s="157"/>
      <c r="E152" s="158"/>
      <c r="F152" s="158"/>
      <c r="G152" s="159"/>
      <c r="H152" s="152"/>
      <c r="I152" s="113"/>
      <c r="J152" s="113"/>
      <c r="K152" s="71"/>
      <c r="M152" s="26"/>
    </row>
    <row r="153" spans="1:17" x14ac:dyDescent="0.2">
      <c r="A153" s="155"/>
      <c r="B153" s="15"/>
      <c r="C153" s="41">
        <f>C155-C151</f>
        <v>-1.0000000009313226E-2</v>
      </c>
      <c r="D153" s="42"/>
      <c r="E153" s="113"/>
      <c r="F153" s="113"/>
      <c r="G153" s="143"/>
      <c r="H153" s="152"/>
      <c r="I153" s="113"/>
      <c r="J153" s="113">
        <f>J151-J157</f>
        <v>-3.2000000002881279E-2</v>
      </c>
      <c r="K153" s="71"/>
      <c r="M153" s="26"/>
    </row>
    <row r="154" spans="1:17" x14ac:dyDescent="0.2">
      <c r="A154" s="150"/>
      <c r="B154" s="15"/>
      <c r="C154" s="41">
        <f>C156-C155</f>
        <v>-8.0000000016298145E-3</v>
      </c>
      <c r="D154" s="42"/>
      <c r="E154" s="113"/>
      <c r="F154" s="113"/>
      <c r="G154" s="143">
        <f>G157-G156</f>
        <v>8.3819999999977881</v>
      </c>
      <c r="H154" s="152"/>
      <c r="I154" s="113"/>
      <c r="J154" s="113"/>
      <c r="K154" s="71"/>
      <c r="M154" s="26"/>
    </row>
    <row r="155" spans="1:17" x14ac:dyDescent="0.2">
      <c r="A155" s="150"/>
      <c r="B155" s="15"/>
      <c r="C155" s="41">
        <v>60922.99</v>
      </c>
      <c r="D155" s="42"/>
      <c r="E155" s="113">
        <v>18847.099999999999</v>
      </c>
      <c r="F155" s="113"/>
      <c r="G155" s="143"/>
      <c r="H155" s="152"/>
      <c r="I155" s="113"/>
      <c r="J155" s="113"/>
      <c r="K155" s="71"/>
      <c r="M155" s="26"/>
    </row>
    <row r="156" spans="1:17" x14ac:dyDescent="0.2">
      <c r="A156" s="150"/>
      <c r="B156" s="15"/>
      <c r="C156" s="41">
        <f>E157+F157+G157</f>
        <v>60922.981999999996</v>
      </c>
      <c r="D156" s="42">
        <f>D77+D78+D90+D91+D101+D102</f>
        <v>79196.149999999994</v>
      </c>
      <c r="E156" s="42">
        <f>E77+E78+E90+E91+E101+E102</f>
        <v>18256.5</v>
      </c>
      <c r="F156" s="42">
        <f>F77+F78+F90+F91+F101+F102</f>
        <v>21739.100000000002</v>
      </c>
      <c r="G156" s="42">
        <f>G77+G78+G90+G91+G101+G102</f>
        <v>20927.400000000001</v>
      </c>
      <c r="H156" s="152"/>
      <c r="I156" s="113"/>
      <c r="J156" s="42">
        <f>J77+J78+J90+J91+J101+J102</f>
        <v>18273.149999999998</v>
      </c>
      <c r="K156" s="71"/>
      <c r="L156" s="72"/>
      <c r="M156" s="26"/>
    </row>
    <row r="157" spans="1:17" x14ac:dyDescent="0.2">
      <c r="A157" s="73" t="s">
        <v>77</v>
      </c>
      <c r="B157" s="76">
        <v>5100</v>
      </c>
      <c r="C157" s="75">
        <v>71868.700000000012</v>
      </c>
      <c r="D157" s="75">
        <f>E157+F157+G157+J157</f>
        <v>79196.16399999999</v>
      </c>
      <c r="E157" s="75">
        <f t="shared" ref="E157:J157" si="27">SUM(E158:E163)</f>
        <v>18256.5</v>
      </c>
      <c r="F157" s="75">
        <f t="shared" si="27"/>
        <v>21730.699999999997</v>
      </c>
      <c r="G157" s="75">
        <f t="shared" si="27"/>
        <v>20935.781999999999</v>
      </c>
      <c r="H157" s="131">
        <f t="shared" si="27"/>
        <v>60922.981999999996</v>
      </c>
      <c r="I157" s="75">
        <f t="shared" si="27"/>
        <v>59854.9</v>
      </c>
      <c r="J157" s="75">
        <f t="shared" si="27"/>
        <v>18273.182000000001</v>
      </c>
      <c r="K157" s="71"/>
      <c r="L157" s="71"/>
      <c r="M157" s="26"/>
      <c r="N157" s="71"/>
      <c r="O157" s="71"/>
      <c r="P157" s="71"/>
      <c r="Q157" s="26"/>
    </row>
    <row r="158" spans="1:17" x14ac:dyDescent="0.2">
      <c r="A158" s="150" t="s">
        <v>9</v>
      </c>
      <c r="B158" s="15">
        <v>5110</v>
      </c>
      <c r="C158" s="41">
        <v>461.90000000000003</v>
      </c>
      <c r="D158" s="42">
        <f t="shared" ref="D158:D163" si="28">(E158+F158+G158+J158)</f>
        <v>637.9</v>
      </c>
      <c r="E158" s="42">
        <v>167.2</v>
      </c>
      <c r="F158" s="42">
        <v>177.7</v>
      </c>
      <c r="G158" s="99">
        <v>146.5</v>
      </c>
      <c r="H158" s="141">
        <f t="shared" ref="H158:H163" si="29">E158+F158+G158</f>
        <v>491.4</v>
      </c>
      <c r="I158" s="99">
        <v>457.6</v>
      </c>
      <c r="J158" s="42">
        <v>146.5</v>
      </c>
      <c r="K158" s="71"/>
      <c r="L158" s="71"/>
      <c r="M158" s="71"/>
    </row>
    <row r="159" spans="1:17" x14ac:dyDescent="0.2">
      <c r="A159" s="150" t="s">
        <v>8</v>
      </c>
      <c r="B159" s="15">
        <v>5120</v>
      </c>
      <c r="C159" s="41">
        <v>8857.5</v>
      </c>
      <c r="D159" s="42">
        <f t="shared" si="28"/>
        <v>10464.800000000001</v>
      </c>
      <c r="E159" s="42">
        <v>2144.6999999999998</v>
      </c>
      <c r="F159" s="42">
        <v>3559.8</v>
      </c>
      <c r="G159" s="154">
        <f>1914.2+698.9+300</f>
        <v>2913.1</v>
      </c>
      <c r="H159" s="141">
        <f t="shared" si="29"/>
        <v>8617.6</v>
      </c>
      <c r="I159" s="99">
        <v>8317.6</v>
      </c>
      <c r="J159" s="42">
        <f>1914.2-67</f>
        <v>1847.2</v>
      </c>
      <c r="K159" s="71"/>
      <c r="M159" s="71"/>
      <c r="N159" s="26"/>
      <c r="O159" s="26"/>
      <c r="P159" s="26"/>
      <c r="Q159" s="26"/>
    </row>
    <row r="160" spans="1:17" x14ac:dyDescent="0.2">
      <c r="A160" s="150" t="s">
        <v>7</v>
      </c>
      <c r="B160" s="15">
        <v>5130</v>
      </c>
      <c r="C160" s="41">
        <v>18717.400000000001</v>
      </c>
      <c r="D160" s="42">
        <f t="shared" si="28"/>
        <v>21761.3</v>
      </c>
      <c r="E160" s="42">
        <v>4853.7</v>
      </c>
      <c r="F160" s="42">
        <v>5705.1</v>
      </c>
      <c r="G160" s="99">
        <f>5509.6+171.9</f>
        <v>5681.5</v>
      </c>
      <c r="H160" s="141">
        <f t="shared" si="29"/>
        <v>16240.3</v>
      </c>
      <c r="I160" s="99">
        <v>15782.6</v>
      </c>
      <c r="J160" s="42">
        <v>5521</v>
      </c>
      <c r="K160" s="71"/>
      <c r="L160" s="26"/>
      <c r="M160" s="71"/>
    </row>
    <row r="161" spans="1:17" x14ac:dyDescent="0.2">
      <c r="A161" s="150" t="s">
        <v>6</v>
      </c>
      <c r="B161" s="15">
        <v>5140</v>
      </c>
      <c r="C161" s="41">
        <v>29349.200000000001</v>
      </c>
      <c r="D161" s="42">
        <f t="shared" si="28"/>
        <v>31813.999999999996</v>
      </c>
      <c r="E161" s="42">
        <v>7628.2</v>
      </c>
      <c r="F161" s="42">
        <f>8591.9</f>
        <v>8591.9</v>
      </c>
      <c r="G161" s="99">
        <f>7713.6-229.85+623.3</f>
        <v>8107.05</v>
      </c>
      <c r="H161" s="141">
        <f t="shared" si="29"/>
        <v>24327.149999999998</v>
      </c>
      <c r="I161" s="99">
        <v>24327.1</v>
      </c>
      <c r="J161" s="42">
        <f>7716.7-229.85</f>
        <v>7486.8499999999995</v>
      </c>
      <c r="K161" s="71"/>
      <c r="M161" s="71"/>
      <c r="N161" s="26"/>
      <c r="O161" s="26"/>
      <c r="P161" s="26"/>
      <c r="Q161" s="26"/>
    </row>
    <row r="162" spans="1:17" x14ac:dyDescent="0.2">
      <c r="A162" s="150" t="s">
        <v>5</v>
      </c>
      <c r="B162" s="15">
        <v>5150</v>
      </c>
      <c r="C162" s="41">
        <v>7984.7000000000007</v>
      </c>
      <c r="D162" s="42">
        <f t="shared" si="28"/>
        <v>7403.2199999999993</v>
      </c>
      <c r="E162" s="42">
        <v>1889.8</v>
      </c>
      <c r="F162" s="42">
        <v>1924.1</v>
      </c>
      <c r="G162" s="99">
        <v>1894.6599999999999</v>
      </c>
      <c r="H162" s="141">
        <f t="shared" si="29"/>
        <v>5708.5599999999995</v>
      </c>
      <c r="I162" s="99">
        <v>5632</v>
      </c>
      <c r="J162" s="42">
        <v>1694.66</v>
      </c>
      <c r="K162" s="71"/>
      <c r="L162" s="26"/>
      <c r="M162" s="71"/>
    </row>
    <row r="163" spans="1:17" x14ac:dyDescent="0.2">
      <c r="A163" s="150" t="s">
        <v>4</v>
      </c>
      <c r="B163" s="15">
        <v>5160</v>
      </c>
      <c r="C163" s="41">
        <v>6498</v>
      </c>
      <c r="D163" s="42">
        <f t="shared" si="28"/>
        <v>7114.9439999999995</v>
      </c>
      <c r="E163" s="42">
        <v>1572.9</v>
      </c>
      <c r="F163" s="42">
        <v>1772.1</v>
      </c>
      <c r="G163" s="99">
        <f>1576.972+416+200</f>
        <v>2192.9719999999998</v>
      </c>
      <c r="H163" s="141">
        <f t="shared" si="29"/>
        <v>5537.9719999999998</v>
      </c>
      <c r="I163" s="99">
        <v>5338</v>
      </c>
      <c r="J163" s="42">
        <v>1576.9719999999998</v>
      </c>
      <c r="K163" s="71"/>
      <c r="M163" s="71"/>
      <c r="N163" s="26"/>
      <c r="O163" s="26"/>
      <c r="P163" s="26"/>
      <c r="Q163" s="26"/>
    </row>
    <row r="164" spans="1:17" x14ac:dyDescent="0.2">
      <c r="A164" s="155"/>
      <c r="B164" s="156"/>
      <c r="C164" s="157"/>
      <c r="D164" s="157">
        <f>E164+F164+G164+J164</f>
        <v>65015.9</v>
      </c>
      <c r="E164" s="157">
        <f>E77+E90+78</f>
        <v>15001.900000000001</v>
      </c>
      <c r="F164" s="157">
        <f>F77+F90+88.4+43+1.1</f>
        <v>17900.2</v>
      </c>
      <c r="G164" s="157">
        <f>G77+G90</f>
        <v>16967.7</v>
      </c>
      <c r="H164" s="161"/>
      <c r="I164" s="161"/>
      <c r="J164" s="157">
        <f>J77+J90+70.7</f>
        <v>15146.099999999999</v>
      </c>
      <c r="K164" s="71"/>
      <c r="M164" s="71"/>
      <c r="N164" s="26"/>
      <c r="O164" s="26"/>
      <c r="P164" s="26"/>
      <c r="Q164" s="26"/>
    </row>
    <row r="165" spans="1:17" x14ac:dyDescent="0.2">
      <c r="A165" s="155"/>
      <c r="B165" s="156"/>
      <c r="C165" s="157"/>
      <c r="D165" s="157"/>
      <c r="E165" s="157"/>
      <c r="F165" s="157"/>
      <c r="G165" s="161"/>
      <c r="H165" s="161"/>
      <c r="I165" s="161"/>
      <c r="J165" s="157"/>
      <c r="K165" s="71"/>
      <c r="M165" s="71"/>
      <c r="N165" s="26"/>
      <c r="O165" s="26"/>
      <c r="P165" s="26"/>
      <c r="Q165" s="26"/>
    </row>
    <row r="166" spans="1:17" x14ac:dyDescent="0.2">
      <c r="A166" s="150"/>
      <c r="B166" s="15"/>
      <c r="C166" s="41">
        <f>C167-C168</f>
        <v>-2.3999999997613486E-2</v>
      </c>
      <c r="D166" s="42">
        <f>D164-D168</f>
        <v>0</v>
      </c>
      <c r="E166" s="42"/>
      <c r="F166" s="42"/>
      <c r="G166" s="99"/>
      <c r="H166" s="141"/>
      <c r="I166" s="99"/>
      <c r="J166" s="42">
        <f>J164-J168</f>
        <v>168.02399999999761</v>
      </c>
      <c r="K166" s="71"/>
      <c r="M166" s="71"/>
      <c r="N166" s="26"/>
      <c r="O166" s="26"/>
      <c r="P166" s="26"/>
      <c r="Q166" s="26"/>
    </row>
    <row r="167" spans="1:17" x14ac:dyDescent="0.2">
      <c r="A167" s="150"/>
      <c r="B167" s="15"/>
      <c r="C167" s="41">
        <f>H169</f>
        <v>50037.8</v>
      </c>
      <c r="D167" s="42"/>
      <c r="E167" s="42"/>
      <c r="F167" s="42"/>
      <c r="G167" s="99"/>
      <c r="H167" s="141"/>
      <c r="I167" s="99"/>
      <c r="J167" s="42"/>
      <c r="K167" s="71"/>
      <c r="M167" s="71"/>
      <c r="N167" s="26"/>
      <c r="O167" s="26"/>
      <c r="P167" s="26"/>
      <c r="Q167" s="26"/>
    </row>
    <row r="168" spans="1:17" x14ac:dyDescent="0.2">
      <c r="A168" s="150"/>
      <c r="B168" s="15"/>
      <c r="C168" s="41">
        <f>E168+F168+G168</f>
        <v>50037.824000000001</v>
      </c>
      <c r="D168" s="72">
        <f>E168+F168+G168+J168</f>
        <v>65015.9</v>
      </c>
      <c r="E168" s="42">
        <v>15486.35</v>
      </c>
      <c r="F168" s="42">
        <v>17990.491000000002</v>
      </c>
      <c r="G168" s="42">
        <v>16560.983</v>
      </c>
      <c r="H168" s="99"/>
      <c r="I168" s="141"/>
      <c r="J168" s="99">
        <v>14978.076000000001</v>
      </c>
      <c r="K168" s="71"/>
      <c r="M168" s="71"/>
      <c r="N168" s="26"/>
      <c r="O168" s="26"/>
      <c r="P168" s="26"/>
      <c r="Q168" s="26"/>
    </row>
    <row r="169" spans="1:17" ht="37.5" x14ac:dyDescent="0.2">
      <c r="A169" s="73" t="s">
        <v>78</v>
      </c>
      <c r="B169" s="76">
        <v>5200</v>
      </c>
      <c r="C169" s="75">
        <v>58855.899999999994</v>
      </c>
      <c r="D169" s="75">
        <f>E169+F169+G169+J169</f>
        <v>65015.899999999994</v>
      </c>
      <c r="E169" s="75">
        <f t="shared" ref="E169:J169" si="30">SUM(E170:E175)</f>
        <v>15003.2</v>
      </c>
      <c r="F169" s="75">
        <f t="shared" si="30"/>
        <v>17895</v>
      </c>
      <c r="G169" s="75">
        <f t="shared" si="30"/>
        <v>17139.599999999999</v>
      </c>
      <c r="H169" s="131">
        <f t="shared" si="30"/>
        <v>50037.8</v>
      </c>
      <c r="I169" s="75">
        <f t="shared" si="30"/>
        <v>49174.899999999994</v>
      </c>
      <c r="J169" s="75">
        <f t="shared" si="30"/>
        <v>14978.1</v>
      </c>
      <c r="K169" s="71"/>
      <c r="L169" s="71"/>
      <c r="M169" s="71"/>
      <c r="N169" s="72"/>
    </row>
    <row r="170" spans="1:17" x14ac:dyDescent="0.2">
      <c r="A170" s="150" t="s">
        <v>9</v>
      </c>
      <c r="B170" s="15">
        <v>5210</v>
      </c>
      <c r="C170" s="41">
        <v>378.2</v>
      </c>
      <c r="D170" s="42">
        <f t="shared" ref="D170:D175" si="31">(E170+F170+G170+J170)</f>
        <v>523.6</v>
      </c>
      <c r="E170" s="41">
        <v>137.4</v>
      </c>
      <c r="F170" s="41">
        <v>146</v>
      </c>
      <c r="G170" s="41">
        <v>120.1</v>
      </c>
      <c r="H170" s="131">
        <f t="shared" ref="H170:H175" si="32">E170+F170+G170</f>
        <v>403.5</v>
      </c>
      <c r="I170" s="41">
        <v>375.7</v>
      </c>
      <c r="J170" s="41">
        <v>120.1</v>
      </c>
      <c r="K170" s="71"/>
      <c r="M170" s="71"/>
      <c r="N170" s="26"/>
      <c r="O170" s="26"/>
      <c r="P170" s="26"/>
      <c r="Q170" s="26"/>
    </row>
    <row r="171" spans="1:17" x14ac:dyDescent="0.2">
      <c r="A171" s="150" t="s">
        <v>8</v>
      </c>
      <c r="B171" s="15">
        <v>5220</v>
      </c>
      <c r="C171" s="41">
        <v>7252</v>
      </c>
      <c r="D171" s="42">
        <f t="shared" si="31"/>
        <v>8416.1</v>
      </c>
      <c r="E171" s="41">
        <v>1762.5</v>
      </c>
      <c r="F171" s="41">
        <v>2924.3</v>
      </c>
      <c r="G171" s="41">
        <f>2387.8-172.6</f>
        <v>2215.2000000000003</v>
      </c>
      <c r="H171" s="131">
        <f t="shared" si="32"/>
        <v>6902</v>
      </c>
      <c r="I171" s="41">
        <v>6827.8</v>
      </c>
      <c r="J171" s="41">
        <v>1514.1</v>
      </c>
      <c r="K171" s="71"/>
      <c r="L171" s="26"/>
      <c r="M171" s="71"/>
    </row>
    <row r="172" spans="1:17" x14ac:dyDescent="0.2">
      <c r="A172" s="150" t="s">
        <v>7</v>
      </c>
      <c r="B172" s="15">
        <v>5230</v>
      </c>
      <c r="C172" s="41">
        <v>15324.7</v>
      </c>
      <c r="D172" s="42">
        <f t="shared" si="31"/>
        <v>18053.599999999999</v>
      </c>
      <c r="E172" s="110">
        <v>3988.8</v>
      </c>
      <c r="F172" s="110">
        <f>4686.4+44.4</f>
        <v>4730.7999999999993</v>
      </c>
      <c r="G172" s="110">
        <f>4656.9+120.9+30.8</f>
        <v>4808.5999999999995</v>
      </c>
      <c r="H172" s="131">
        <f t="shared" si="32"/>
        <v>13528.199999999997</v>
      </c>
      <c r="I172" s="110">
        <v>12998.1</v>
      </c>
      <c r="J172" s="110">
        <v>4525.3999999999996</v>
      </c>
      <c r="K172" s="71"/>
      <c r="M172" s="71"/>
      <c r="N172" s="26"/>
      <c r="O172" s="26"/>
      <c r="P172" s="26"/>
      <c r="Q172" s="26"/>
    </row>
    <row r="173" spans="1:17" x14ac:dyDescent="0.2">
      <c r="A173" s="150" t="s">
        <v>6</v>
      </c>
      <c r="B173" s="15">
        <v>5240</v>
      </c>
      <c r="C173" s="41">
        <v>24029.4</v>
      </c>
      <c r="D173" s="42">
        <f t="shared" si="31"/>
        <v>26108.6</v>
      </c>
      <c r="E173" s="110">
        <v>6268.9</v>
      </c>
      <c r="F173" s="110">
        <v>7057.7</v>
      </c>
      <c r="G173" s="110">
        <v>6645.2</v>
      </c>
      <c r="H173" s="131">
        <f t="shared" si="32"/>
        <v>19971.8</v>
      </c>
      <c r="I173" s="1">
        <v>19969</v>
      </c>
      <c r="J173" s="110">
        <v>6136.8</v>
      </c>
      <c r="K173" s="71"/>
      <c r="L173" s="26"/>
      <c r="M173" s="71"/>
    </row>
    <row r="174" spans="1:17" x14ac:dyDescent="0.2">
      <c r="A174" s="150" t="s">
        <v>5</v>
      </c>
      <c r="B174" s="15">
        <v>5250</v>
      </c>
      <c r="C174" s="41">
        <v>6535.1</v>
      </c>
      <c r="D174" s="42">
        <f t="shared" si="31"/>
        <v>6175.6</v>
      </c>
      <c r="E174" s="110">
        <v>1553</v>
      </c>
      <c r="F174" s="110">
        <v>1580.5</v>
      </c>
      <c r="G174" s="110">
        <v>1553</v>
      </c>
      <c r="H174" s="131">
        <f t="shared" si="32"/>
        <v>4686.5</v>
      </c>
      <c r="I174" s="110">
        <v>4623.1000000000004</v>
      </c>
      <c r="J174" s="110">
        <v>1489.1</v>
      </c>
      <c r="K174" s="71"/>
      <c r="M174" s="71"/>
      <c r="N174" s="26"/>
      <c r="O174" s="26"/>
      <c r="P174" s="26"/>
      <c r="Q174" s="26"/>
    </row>
    <row r="175" spans="1:17" x14ac:dyDescent="0.2">
      <c r="A175" s="150" t="s">
        <v>4</v>
      </c>
      <c r="B175" s="15">
        <v>5260</v>
      </c>
      <c r="C175" s="41">
        <v>5336.5</v>
      </c>
      <c r="D175" s="42">
        <f t="shared" si="31"/>
        <v>5738.4</v>
      </c>
      <c r="E175" s="111">
        <v>1292.5999999999999</v>
      </c>
      <c r="F175" s="111">
        <v>1455.7</v>
      </c>
      <c r="G175" s="111">
        <v>1797.5</v>
      </c>
      <c r="H175" s="131">
        <f t="shared" si="32"/>
        <v>4545.8</v>
      </c>
      <c r="I175" s="110">
        <v>4381.2</v>
      </c>
      <c r="J175" s="111">
        <v>1192.5999999999999</v>
      </c>
      <c r="K175" s="71"/>
      <c r="L175" s="26"/>
      <c r="M175" s="71"/>
    </row>
    <row r="176" spans="1:17" ht="42" customHeight="1" x14ac:dyDescent="0.2">
      <c r="A176" s="16" t="s">
        <v>74</v>
      </c>
      <c r="B176" s="13">
        <v>5300</v>
      </c>
      <c r="C176" s="62">
        <v>11904.510833333334</v>
      </c>
      <c r="D176" s="62">
        <f t="shared" ref="D176:D181" si="33">ROUND(D169/D144*1000,2)/12</f>
        <v>13892.286666666667</v>
      </c>
      <c r="E176" s="62">
        <f t="shared" ref="E176:G181" si="34">ROUND(E169/E144*1000,2)/3</f>
        <v>13091.796666666667</v>
      </c>
      <c r="F176" s="62">
        <f t="shared" si="34"/>
        <v>15101.266666666668</v>
      </c>
      <c r="G176" s="62">
        <f t="shared" si="34"/>
        <v>14537.403333333334</v>
      </c>
      <c r="H176" s="142">
        <f t="shared" ref="H176:I182" si="35">H169/H144/9*1000</f>
        <v>14255.783475783475</v>
      </c>
      <c r="I176" s="62">
        <f t="shared" si="35"/>
        <v>14009.943019943017</v>
      </c>
      <c r="J176" s="62">
        <f t="shared" ref="J176:J181" si="36">ROUND(J169/J144*1000,2)/3</f>
        <v>12834.703333333333</v>
      </c>
      <c r="K176" s="71"/>
      <c r="M176" s="71"/>
      <c r="N176" s="26"/>
      <c r="O176" s="26"/>
      <c r="P176" s="26"/>
      <c r="Q176" s="26"/>
    </row>
    <row r="177" spans="1:17" x14ac:dyDescent="0.2">
      <c r="A177" s="150" t="s">
        <v>9</v>
      </c>
      <c r="B177" s="15">
        <v>5310</v>
      </c>
      <c r="C177" s="61">
        <v>31516.666666666668</v>
      </c>
      <c r="D177" s="61">
        <f t="shared" si="33"/>
        <v>43633.333333333336</v>
      </c>
      <c r="E177" s="63">
        <f t="shared" si="34"/>
        <v>45800</v>
      </c>
      <c r="F177" s="61">
        <f t="shared" si="34"/>
        <v>48666.666666666664</v>
      </c>
      <c r="G177" s="61">
        <f t="shared" si="34"/>
        <v>40033.333333333336</v>
      </c>
      <c r="H177" s="142">
        <f>H170/H145/9*1000</f>
        <v>44833.333333333336</v>
      </c>
      <c r="I177" s="61">
        <f t="shared" si="35"/>
        <v>41744.444444444438</v>
      </c>
      <c r="J177" s="63">
        <f t="shared" si="36"/>
        <v>40033.333333333336</v>
      </c>
      <c r="K177" s="71"/>
      <c r="L177" s="26"/>
      <c r="M177" s="71"/>
    </row>
    <row r="178" spans="1:17" x14ac:dyDescent="0.2">
      <c r="A178" s="150" t="s">
        <v>8</v>
      </c>
      <c r="B178" s="15">
        <v>5320</v>
      </c>
      <c r="C178" s="61">
        <v>15495.726666666667</v>
      </c>
      <c r="D178" s="61">
        <f t="shared" si="33"/>
        <v>18955.18</v>
      </c>
      <c r="E178" s="63">
        <f t="shared" si="34"/>
        <v>15460.526666666667</v>
      </c>
      <c r="F178" s="61">
        <f t="shared" si="34"/>
        <v>26345.046666666665</v>
      </c>
      <c r="G178" s="61">
        <f t="shared" si="34"/>
        <v>19956.756666666664</v>
      </c>
      <c r="H178" s="142">
        <f>H171/H146/9*1000</f>
        <v>20541.666666666668</v>
      </c>
      <c r="I178" s="61">
        <f t="shared" si="35"/>
        <v>20503.903903903905</v>
      </c>
      <c r="J178" s="63">
        <f t="shared" si="36"/>
        <v>13640.54</v>
      </c>
      <c r="K178" s="71"/>
      <c r="M178" s="71"/>
      <c r="N178" s="26"/>
      <c r="O178" s="26"/>
      <c r="P178" s="26"/>
      <c r="Q178" s="26"/>
    </row>
    <row r="179" spans="1:17" x14ac:dyDescent="0.2">
      <c r="A179" s="150" t="s">
        <v>7</v>
      </c>
      <c r="B179" s="15">
        <v>5330</v>
      </c>
      <c r="C179" s="61">
        <v>17027.444166666664</v>
      </c>
      <c r="D179" s="61">
        <f t="shared" si="33"/>
        <v>20059.555833333336</v>
      </c>
      <c r="E179" s="63">
        <f t="shared" si="34"/>
        <v>17967.566666666666</v>
      </c>
      <c r="F179" s="61">
        <f t="shared" si="34"/>
        <v>20217.093333333334</v>
      </c>
      <c r="G179" s="61">
        <f t="shared" si="34"/>
        <v>21957.076666666664</v>
      </c>
      <c r="H179" s="142">
        <f>H172/H147/9*1000</f>
        <v>20041.77777777777</v>
      </c>
      <c r="I179" s="61">
        <f t="shared" si="35"/>
        <v>19256.444444444445</v>
      </c>
      <c r="J179" s="63">
        <f t="shared" si="36"/>
        <v>20112.89</v>
      </c>
      <c r="K179" s="71"/>
      <c r="L179" s="26"/>
      <c r="M179" s="71"/>
    </row>
    <row r="180" spans="1:17" x14ac:dyDescent="0.2">
      <c r="A180" s="150" t="s">
        <v>6</v>
      </c>
      <c r="B180" s="15">
        <v>5340</v>
      </c>
      <c r="C180" s="61">
        <v>13002.921666666667</v>
      </c>
      <c r="D180" s="61">
        <f t="shared" si="33"/>
        <v>14800.793333333333</v>
      </c>
      <c r="E180" s="63">
        <f t="shared" si="34"/>
        <v>14215.193333333335</v>
      </c>
      <c r="F180" s="61">
        <f t="shared" si="34"/>
        <v>16113.470000000001</v>
      </c>
      <c r="G180" s="61">
        <f t="shared" si="34"/>
        <v>14866.220000000001</v>
      </c>
      <c r="H180" s="142">
        <f>H173/H148/9*1000</f>
        <v>15061.689291101055</v>
      </c>
      <c r="I180" s="61">
        <f t="shared" si="35"/>
        <v>15093.726379440666</v>
      </c>
      <c r="J180" s="63">
        <f t="shared" si="36"/>
        <v>13915.646666666667</v>
      </c>
      <c r="K180" s="71"/>
      <c r="M180" s="71"/>
      <c r="N180" s="26"/>
      <c r="O180" s="26"/>
      <c r="P180" s="26"/>
      <c r="Q180" s="26"/>
    </row>
    <row r="181" spans="1:17" x14ac:dyDescent="0.2">
      <c r="A181" s="150" t="s">
        <v>5</v>
      </c>
      <c r="B181" s="15">
        <v>5350</v>
      </c>
      <c r="C181" s="61">
        <v>6119.0074999999997</v>
      </c>
      <c r="D181" s="61">
        <f t="shared" si="33"/>
        <v>7049.7716666666665</v>
      </c>
      <c r="E181" s="63">
        <f t="shared" si="34"/>
        <v>6995.4966666666669</v>
      </c>
      <c r="F181" s="61">
        <f t="shared" si="34"/>
        <v>7216.8933333333334</v>
      </c>
      <c r="G181" s="61">
        <f t="shared" si="34"/>
        <v>7291.0800000000008</v>
      </c>
      <c r="H181" s="142">
        <f>H174/H149/9*1000</f>
        <v>7165.9021406727825</v>
      </c>
      <c r="I181" s="61">
        <f t="shared" si="35"/>
        <v>7036.6818873668199</v>
      </c>
      <c r="J181" s="63">
        <f t="shared" si="36"/>
        <v>6893.98</v>
      </c>
      <c r="K181" s="71"/>
      <c r="L181" s="26"/>
      <c r="M181" s="71"/>
    </row>
    <row r="182" spans="1:17" x14ac:dyDescent="0.2">
      <c r="A182" s="150" t="s">
        <v>4</v>
      </c>
      <c r="B182" s="15">
        <v>5360</v>
      </c>
      <c r="C182" s="61">
        <v>8235.3391666666666</v>
      </c>
      <c r="D182" s="61">
        <f>ROUND(D175/D150*1000,2)/12</f>
        <v>8389.4733333333334</v>
      </c>
      <c r="E182" s="63">
        <f t="shared" ref="E182:J182" si="37">ROUND(E175/E150*1000,2)/3</f>
        <v>8976.39</v>
      </c>
      <c r="F182" s="61">
        <f t="shared" si="37"/>
        <v>8087.2233333333324</v>
      </c>
      <c r="G182" s="61">
        <f t="shared" si="37"/>
        <v>9663.98</v>
      </c>
      <c r="H182" s="142">
        <f t="shared" si="35"/>
        <v>8913.3333333333339</v>
      </c>
      <c r="I182" s="61">
        <f>I175/I150/9*1000</f>
        <v>8540.3508771929828</v>
      </c>
      <c r="J182" s="63">
        <f t="shared" si="37"/>
        <v>6974.27</v>
      </c>
      <c r="K182" s="71"/>
      <c r="M182" s="71"/>
      <c r="N182" s="26"/>
      <c r="O182" s="26"/>
      <c r="P182" s="26"/>
      <c r="Q182" s="26"/>
    </row>
    <row r="183" spans="1:17" ht="40.700000000000003" customHeight="1" x14ac:dyDescent="0.2">
      <c r="A183" s="14" t="s">
        <v>75</v>
      </c>
      <c r="B183" s="13">
        <v>5400</v>
      </c>
      <c r="C183" s="40"/>
      <c r="D183" s="40"/>
      <c r="E183" s="40"/>
      <c r="F183" s="40"/>
      <c r="G183" s="40"/>
      <c r="H183" s="40"/>
      <c r="I183" s="40"/>
      <c r="J183" s="40"/>
      <c r="K183" s="71"/>
      <c r="L183" s="26"/>
      <c r="M183" s="71"/>
    </row>
    <row r="184" spans="1:17" ht="18.75" customHeight="1" x14ac:dyDescent="0.2">
      <c r="A184" s="12" t="s">
        <v>173</v>
      </c>
      <c r="B184" s="11"/>
      <c r="C184" s="10" t="s">
        <v>3</v>
      </c>
      <c r="D184" s="10"/>
      <c r="E184" s="9"/>
      <c r="F184" s="250" t="s">
        <v>160</v>
      </c>
      <c r="G184" s="250"/>
      <c r="H184" s="250"/>
      <c r="I184" s="250"/>
      <c r="J184" s="250"/>
      <c r="L184" s="6"/>
      <c r="M184" s="71"/>
    </row>
    <row r="185" spans="1:17" s="6" customFormat="1" ht="32.25" customHeight="1" x14ac:dyDescent="0.2">
      <c r="A185" s="8" t="s">
        <v>2</v>
      </c>
      <c r="C185" s="7" t="s">
        <v>1</v>
      </c>
      <c r="D185" s="8"/>
      <c r="E185" s="7"/>
      <c r="F185" s="249" t="s">
        <v>0</v>
      </c>
      <c r="G185" s="249"/>
      <c r="H185" s="249"/>
      <c r="I185" s="249"/>
      <c r="J185" s="249"/>
      <c r="L185" s="1"/>
      <c r="M185" s="71"/>
    </row>
    <row r="186" spans="1:17" x14ac:dyDescent="0.2">
      <c r="A186" s="5"/>
      <c r="C186" s="4"/>
      <c r="D186" s="4"/>
      <c r="E186" s="3"/>
      <c r="F186" s="3"/>
      <c r="G186" s="3"/>
      <c r="H186" s="3"/>
      <c r="I186" s="3"/>
      <c r="J186" s="3"/>
      <c r="M186" s="71"/>
    </row>
    <row r="187" spans="1:17" x14ac:dyDescent="0.2">
      <c r="A187" s="5"/>
      <c r="C187" s="4"/>
      <c r="D187" s="4"/>
      <c r="E187" s="3"/>
      <c r="F187" s="3"/>
      <c r="G187" s="3"/>
      <c r="H187" s="3"/>
      <c r="I187" s="3"/>
      <c r="J187" s="3"/>
    </row>
    <row r="188" spans="1:17" x14ac:dyDescent="0.2">
      <c r="A188" s="5"/>
      <c r="C188" s="4"/>
      <c r="D188" s="4"/>
      <c r="E188" s="3"/>
      <c r="F188" s="3"/>
      <c r="G188" s="3"/>
      <c r="H188" s="3"/>
      <c r="I188" s="3"/>
      <c r="J188" s="3"/>
    </row>
    <row r="189" spans="1:17" x14ac:dyDescent="0.2">
      <c r="A189" s="5"/>
      <c r="C189" s="4"/>
      <c r="D189" s="4"/>
      <c r="E189" s="3"/>
      <c r="F189" s="3"/>
      <c r="G189" s="3"/>
      <c r="H189" s="3"/>
      <c r="I189" s="3"/>
      <c r="J189" s="3"/>
    </row>
    <row r="190" spans="1:17" x14ac:dyDescent="0.2">
      <c r="A190" s="5"/>
      <c r="C190" s="4"/>
      <c r="D190" s="4"/>
      <c r="E190" s="3"/>
      <c r="F190" s="3"/>
      <c r="G190" s="3"/>
      <c r="H190" s="3"/>
      <c r="I190" s="3"/>
      <c r="J190" s="3"/>
    </row>
    <row r="191" spans="1:17" x14ac:dyDescent="0.2">
      <c r="A191" s="5"/>
      <c r="C191" s="4"/>
      <c r="D191" s="4"/>
      <c r="E191" s="3"/>
      <c r="F191" s="3"/>
      <c r="G191" s="3"/>
      <c r="H191" s="3"/>
      <c r="I191" s="3"/>
      <c r="J191" s="3"/>
    </row>
    <row r="192" spans="1:17" x14ac:dyDescent="0.2">
      <c r="A192" s="5"/>
      <c r="C192" s="4"/>
      <c r="D192" s="4"/>
      <c r="E192" s="3"/>
      <c r="F192" s="3"/>
      <c r="G192" s="3"/>
      <c r="H192" s="3"/>
      <c r="I192" s="3"/>
      <c r="J192" s="3"/>
    </row>
    <row r="193" spans="1:10" x14ac:dyDescent="0.2">
      <c r="A193" s="5"/>
      <c r="C193" s="4"/>
      <c r="D193" s="4"/>
      <c r="E193" s="3"/>
      <c r="F193" s="3"/>
      <c r="G193" s="3"/>
      <c r="H193" s="3"/>
      <c r="I193" s="3"/>
      <c r="J193" s="3"/>
    </row>
    <row r="194" spans="1:10" x14ac:dyDescent="0.2">
      <c r="A194" s="5"/>
      <c r="C194" s="4"/>
      <c r="D194" s="4"/>
      <c r="E194" s="3"/>
      <c r="F194" s="3"/>
      <c r="G194" s="3"/>
      <c r="H194" s="3"/>
      <c r="I194" s="3"/>
      <c r="J194" s="3"/>
    </row>
    <row r="195" spans="1:10" x14ac:dyDescent="0.2">
      <c r="A195" s="5"/>
      <c r="C195" s="4"/>
      <c r="D195" s="4"/>
      <c r="E195" s="3"/>
      <c r="F195" s="3"/>
      <c r="G195" s="3"/>
      <c r="H195" s="3"/>
      <c r="I195" s="3"/>
      <c r="J195" s="3"/>
    </row>
    <row r="196" spans="1:10" x14ac:dyDescent="0.2">
      <c r="A196" s="5"/>
      <c r="C196" s="4"/>
      <c r="D196" s="4"/>
      <c r="E196" s="3"/>
      <c r="F196" s="3"/>
      <c r="G196" s="3"/>
      <c r="H196" s="3"/>
      <c r="I196" s="3"/>
      <c r="J196" s="3"/>
    </row>
    <row r="197" spans="1:10" x14ac:dyDescent="0.2">
      <c r="A197" s="5"/>
      <c r="C197" s="4"/>
      <c r="D197" s="4"/>
      <c r="E197" s="3"/>
      <c r="F197" s="3"/>
      <c r="G197" s="3"/>
      <c r="H197" s="3"/>
      <c r="I197" s="3"/>
      <c r="J197" s="3"/>
    </row>
    <row r="198" spans="1:10" x14ac:dyDescent="0.2">
      <c r="A198" s="5"/>
      <c r="C198" s="4"/>
      <c r="D198" s="4"/>
      <c r="E198" s="3"/>
      <c r="F198" s="3"/>
      <c r="G198" s="3"/>
      <c r="H198" s="3"/>
      <c r="I198" s="3"/>
      <c r="J198" s="3"/>
    </row>
    <row r="199" spans="1:10" x14ac:dyDescent="0.2">
      <c r="A199" s="5"/>
      <c r="C199" s="4"/>
      <c r="D199" s="4"/>
      <c r="E199" s="3"/>
      <c r="F199" s="3"/>
      <c r="G199" s="3"/>
      <c r="H199" s="3"/>
      <c r="I199" s="3"/>
      <c r="J199" s="3"/>
    </row>
    <row r="200" spans="1:10" x14ac:dyDescent="0.2">
      <c r="A200" s="5"/>
      <c r="C200" s="4"/>
      <c r="D200" s="4"/>
      <c r="E200" s="3"/>
      <c r="F200" s="3"/>
      <c r="G200" s="3"/>
      <c r="H200" s="3"/>
      <c r="I200" s="3"/>
      <c r="J200" s="3"/>
    </row>
    <row r="201" spans="1:10" x14ac:dyDescent="0.2">
      <c r="A201" s="5"/>
      <c r="C201" s="4"/>
      <c r="D201" s="4"/>
      <c r="E201" s="3"/>
      <c r="F201" s="3"/>
      <c r="G201" s="3"/>
      <c r="H201" s="3"/>
      <c r="I201" s="3"/>
      <c r="J201" s="3"/>
    </row>
    <row r="202" spans="1:10" x14ac:dyDescent="0.2">
      <c r="A202" s="5"/>
      <c r="C202" s="4"/>
      <c r="D202" s="4"/>
      <c r="E202" s="3"/>
      <c r="F202" s="3"/>
      <c r="G202" s="3"/>
      <c r="H202" s="3"/>
      <c r="I202" s="3"/>
      <c r="J202" s="3"/>
    </row>
    <row r="203" spans="1:10" x14ac:dyDescent="0.2">
      <c r="A203" s="5"/>
      <c r="C203" s="4"/>
      <c r="D203" s="4"/>
      <c r="E203" s="3"/>
      <c r="F203" s="3"/>
      <c r="G203" s="3"/>
      <c r="H203" s="3"/>
      <c r="I203" s="3"/>
      <c r="J203" s="3"/>
    </row>
    <row r="204" spans="1:10" x14ac:dyDescent="0.2">
      <c r="A204" s="5"/>
      <c r="C204" s="4"/>
      <c r="D204" s="4"/>
      <c r="E204" s="3"/>
      <c r="F204" s="3"/>
      <c r="G204" s="3"/>
      <c r="H204" s="3"/>
      <c r="I204" s="3"/>
      <c r="J204" s="3"/>
    </row>
    <row r="205" spans="1:10" x14ac:dyDescent="0.2">
      <c r="A205" s="5"/>
      <c r="C205" s="4"/>
      <c r="D205" s="4"/>
      <c r="E205" s="3"/>
      <c r="F205" s="3"/>
      <c r="G205" s="3"/>
      <c r="H205" s="3"/>
      <c r="I205" s="3"/>
      <c r="J205" s="3"/>
    </row>
    <row r="206" spans="1:10" x14ac:dyDescent="0.2">
      <c r="A206" s="5"/>
      <c r="C206" s="4"/>
      <c r="D206" s="4"/>
      <c r="E206" s="3"/>
      <c r="F206" s="3"/>
      <c r="G206" s="3"/>
      <c r="H206" s="3"/>
      <c r="I206" s="3"/>
      <c r="J206" s="3"/>
    </row>
    <row r="207" spans="1:10" x14ac:dyDescent="0.2">
      <c r="A207" s="5"/>
      <c r="C207" s="4"/>
      <c r="D207" s="4"/>
      <c r="E207" s="3"/>
      <c r="F207" s="3"/>
      <c r="G207" s="3"/>
      <c r="H207" s="3"/>
      <c r="I207" s="3"/>
      <c r="J207" s="3"/>
    </row>
    <row r="208" spans="1:10" x14ac:dyDescent="0.2">
      <c r="A208" s="5"/>
      <c r="C208" s="4"/>
      <c r="D208" s="4"/>
      <c r="E208" s="3"/>
      <c r="F208" s="3"/>
      <c r="G208" s="3"/>
      <c r="H208" s="3"/>
      <c r="I208" s="3"/>
      <c r="J208" s="3"/>
    </row>
    <row r="209" spans="1:10" x14ac:dyDescent="0.2">
      <c r="A209" s="5"/>
      <c r="C209" s="4"/>
      <c r="D209" s="4"/>
      <c r="E209" s="3"/>
      <c r="F209" s="3"/>
      <c r="G209" s="3"/>
      <c r="H209" s="3"/>
      <c r="I209" s="3"/>
      <c r="J209" s="3"/>
    </row>
    <row r="210" spans="1:10" x14ac:dyDescent="0.2">
      <c r="A210" s="5"/>
      <c r="C210" s="4"/>
      <c r="D210" s="4"/>
      <c r="E210" s="3"/>
      <c r="F210" s="3"/>
      <c r="G210" s="3"/>
      <c r="H210" s="3"/>
      <c r="I210" s="3"/>
      <c r="J210" s="3"/>
    </row>
    <row r="211" spans="1:10" x14ac:dyDescent="0.2">
      <c r="A211" s="5"/>
      <c r="C211" s="4"/>
      <c r="D211" s="4"/>
      <c r="E211" s="3"/>
      <c r="F211" s="3"/>
      <c r="G211" s="3"/>
      <c r="H211" s="3"/>
      <c r="I211" s="3"/>
      <c r="J211" s="3"/>
    </row>
    <row r="212" spans="1:10" x14ac:dyDescent="0.2">
      <c r="A212" s="5"/>
      <c r="C212" s="4"/>
      <c r="D212" s="4"/>
      <c r="E212" s="3"/>
      <c r="F212" s="3"/>
      <c r="G212" s="3"/>
      <c r="H212" s="3"/>
      <c r="I212" s="3"/>
      <c r="J212" s="3"/>
    </row>
    <row r="213" spans="1:10" x14ac:dyDescent="0.2">
      <c r="A213" s="5"/>
      <c r="C213" s="4"/>
      <c r="D213" s="4"/>
      <c r="E213" s="3"/>
      <c r="F213" s="3"/>
      <c r="G213" s="3"/>
      <c r="H213" s="3"/>
      <c r="I213" s="3"/>
      <c r="J213" s="3"/>
    </row>
    <row r="214" spans="1:10" x14ac:dyDescent="0.2">
      <c r="A214" s="5"/>
      <c r="C214" s="4"/>
      <c r="D214" s="4"/>
      <c r="E214" s="3"/>
      <c r="F214" s="3"/>
      <c r="G214" s="3"/>
      <c r="H214" s="3"/>
      <c r="I214" s="3"/>
      <c r="J214" s="3"/>
    </row>
    <row r="215" spans="1:10" x14ac:dyDescent="0.2">
      <c r="A215" s="5"/>
      <c r="C215" s="4"/>
      <c r="D215" s="4"/>
      <c r="E215" s="3"/>
      <c r="F215" s="3"/>
      <c r="G215" s="3"/>
      <c r="H215" s="3"/>
      <c r="I215" s="3"/>
      <c r="J215" s="3"/>
    </row>
    <row r="216" spans="1:10" x14ac:dyDescent="0.2">
      <c r="A216" s="5"/>
      <c r="C216" s="4"/>
      <c r="D216" s="4"/>
      <c r="E216" s="3"/>
      <c r="F216" s="3"/>
      <c r="G216" s="3"/>
      <c r="H216" s="3"/>
      <c r="I216" s="3"/>
      <c r="J216" s="3"/>
    </row>
    <row r="217" spans="1:10" x14ac:dyDescent="0.2">
      <c r="A217" s="5"/>
      <c r="C217" s="4"/>
      <c r="D217" s="4"/>
      <c r="E217" s="3"/>
      <c r="F217" s="3"/>
      <c r="G217" s="3"/>
      <c r="H217" s="3"/>
      <c r="I217" s="3"/>
      <c r="J217" s="3"/>
    </row>
    <row r="218" spans="1:10" x14ac:dyDescent="0.2">
      <c r="A218" s="5"/>
      <c r="C218" s="4"/>
      <c r="D218" s="4"/>
      <c r="E218" s="3"/>
      <c r="F218" s="3"/>
      <c r="G218" s="3"/>
      <c r="H218" s="3"/>
      <c r="I218" s="3"/>
      <c r="J218" s="3"/>
    </row>
    <row r="219" spans="1:10" x14ac:dyDescent="0.2">
      <c r="A219" s="5"/>
      <c r="C219" s="4"/>
      <c r="D219" s="4"/>
      <c r="E219" s="3"/>
      <c r="F219" s="3"/>
      <c r="G219" s="3"/>
      <c r="H219" s="3"/>
      <c r="I219" s="3"/>
      <c r="J219" s="3"/>
    </row>
    <row r="220" spans="1:10" x14ac:dyDescent="0.2">
      <c r="A220" s="5"/>
      <c r="C220" s="4"/>
      <c r="D220" s="4"/>
      <c r="E220" s="3"/>
      <c r="F220" s="3"/>
      <c r="G220" s="3"/>
      <c r="H220" s="3"/>
      <c r="I220" s="3"/>
      <c r="J220" s="3"/>
    </row>
    <row r="221" spans="1:10" x14ac:dyDescent="0.2">
      <c r="A221" s="5"/>
      <c r="C221" s="4"/>
      <c r="D221" s="4"/>
      <c r="E221" s="3"/>
      <c r="F221" s="3"/>
      <c r="G221" s="3"/>
      <c r="H221" s="3"/>
      <c r="I221" s="3"/>
      <c r="J221" s="3"/>
    </row>
    <row r="222" spans="1:10" x14ac:dyDescent="0.2">
      <c r="A222" s="5"/>
      <c r="C222" s="4"/>
      <c r="D222" s="4"/>
      <c r="E222" s="3"/>
      <c r="F222" s="3"/>
      <c r="G222" s="3"/>
      <c r="H222" s="3"/>
      <c r="I222" s="3"/>
      <c r="J222" s="3"/>
    </row>
    <row r="223" spans="1:10" x14ac:dyDescent="0.2">
      <c r="A223" s="5"/>
      <c r="C223" s="4"/>
      <c r="D223" s="4"/>
      <c r="E223" s="3"/>
      <c r="F223" s="3"/>
      <c r="G223" s="3"/>
      <c r="H223" s="3"/>
      <c r="I223" s="3"/>
      <c r="J223" s="3"/>
    </row>
    <row r="224" spans="1:10" x14ac:dyDescent="0.2">
      <c r="A224" s="5"/>
      <c r="C224" s="4"/>
      <c r="D224" s="4"/>
      <c r="E224" s="3"/>
      <c r="F224" s="3"/>
      <c r="G224" s="3"/>
      <c r="H224" s="3"/>
      <c r="I224" s="3"/>
      <c r="J224" s="3"/>
    </row>
    <row r="225" spans="1:10" x14ac:dyDescent="0.2">
      <c r="A225" s="5"/>
      <c r="C225" s="4"/>
      <c r="D225" s="4"/>
      <c r="E225" s="3"/>
      <c r="F225" s="3"/>
      <c r="G225" s="3"/>
      <c r="H225" s="3"/>
      <c r="I225" s="3"/>
      <c r="J225" s="3"/>
    </row>
    <row r="226" spans="1:10" x14ac:dyDescent="0.2">
      <c r="A226" s="5"/>
      <c r="C226" s="4"/>
      <c r="D226" s="4"/>
      <c r="E226" s="3"/>
      <c r="F226" s="3"/>
      <c r="G226" s="3"/>
      <c r="H226" s="3"/>
      <c r="I226" s="3"/>
      <c r="J226" s="3"/>
    </row>
    <row r="227" spans="1:10" x14ac:dyDescent="0.2">
      <c r="A227" s="2"/>
    </row>
    <row r="228" spans="1:10" x14ac:dyDescent="0.2">
      <c r="A228" s="2"/>
    </row>
    <row r="229" spans="1:10" x14ac:dyDescent="0.2">
      <c r="A229" s="2"/>
    </row>
    <row r="230" spans="1:10" x14ac:dyDescent="0.2">
      <c r="A230" s="2"/>
    </row>
    <row r="231" spans="1:10" x14ac:dyDescent="0.2">
      <c r="A231" s="2"/>
    </row>
    <row r="232" spans="1:10" x14ac:dyDescent="0.2">
      <c r="A232" s="2"/>
    </row>
    <row r="233" spans="1:10" x14ac:dyDescent="0.2">
      <c r="A233" s="2"/>
    </row>
    <row r="234" spans="1:10" x14ac:dyDescent="0.2">
      <c r="A234" s="2"/>
    </row>
    <row r="235" spans="1:10" x14ac:dyDescent="0.2">
      <c r="A235" s="2"/>
    </row>
    <row r="236" spans="1:10" x14ac:dyDescent="0.2">
      <c r="A236" s="2"/>
    </row>
    <row r="237" spans="1:10" x14ac:dyDescent="0.2">
      <c r="A237" s="2"/>
    </row>
    <row r="238" spans="1:10" x14ac:dyDescent="0.2">
      <c r="A238" s="2"/>
    </row>
    <row r="239" spans="1:10" x14ac:dyDescent="0.2">
      <c r="A239" s="2"/>
    </row>
    <row r="240" spans="1:10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</sheetData>
  <mergeCells count="40">
    <mergeCell ref="B32:D32"/>
    <mergeCell ref="G32:J32"/>
    <mergeCell ref="G1:J1"/>
    <mergeCell ref="F5:J5"/>
    <mergeCell ref="G29:J29"/>
    <mergeCell ref="B31:C31"/>
    <mergeCell ref="G31:J31"/>
    <mergeCell ref="B33:D33"/>
    <mergeCell ref="G33:J33"/>
    <mergeCell ref="B34:D34"/>
    <mergeCell ref="G34:J34"/>
    <mergeCell ref="B35:D35"/>
    <mergeCell ref="G35:J35"/>
    <mergeCell ref="A43:J43"/>
    <mergeCell ref="B36:D36"/>
    <mergeCell ref="G36:J36"/>
    <mergeCell ref="B37:D37"/>
    <mergeCell ref="G37:J37"/>
    <mergeCell ref="B38:D38"/>
    <mergeCell ref="E38:G38"/>
    <mergeCell ref="B39:D39"/>
    <mergeCell ref="E39:G39"/>
    <mergeCell ref="B40:J40"/>
    <mergeCell ref="B41:J41"/>
    <mergeCell ref="B42:J42"/>
    <mergeCell ref="A44:J44"/>
    <mergeCell ref="A45:J45"/>
    <mergeCell ref="A47:A48"/>
    <mergeCell ref="B47:B48"/>
    <mergeCell ref="C47:C48"/>
    <mergeCell ref="D47:D48"/>
    <mergeCell ref="E47:J47"/>
    <mergeCell ref="F184:J184"/>
    <mergeCell ref="F185:J185"/>
    <mergeCell ref="A50:J50"/>
    <mergeCell ref="A51:J51"/>
    <mergeCell ref="A115:J115"/>
    <mergeCell ref="A125:J125"/>
    <mergeCell ref="A132:J132"/>
    <mergeCell ref="A143:J143"/>
  </mergeCells>
  <pageMargins left="0.78740157480314965" right="0.39370078740157483" top="0.39370078740157483" bottom="0.39370078740157483" header="0.39370078740157483" footer="0.39370078740157483"/>
  <pageSetup paperSize="9" scale="44" fitToHeight="3" orientation="portrait" r:id="rId1"/>
  <rowBreaks count="1" manualBreakCount="1">
    <brk id="17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76"/>
  <sheetViews>
    <sheetView tabSelected="1" view="pageBreakPreview" zoomScaleNormal="100" zoomScaleSheetLayoutView="100" workbookViewId="0">
      <selection activeCell="F5" sqref="F5"/>
    </sheetView>
  </sheetViews>
  <sheetFormatPr defaultColWidth="8.85546875" defaultRowHeight="18.75" x14ac:dyDescent="0.2"/>
  <cols>
    <col min="1" max="1" width="60" style="169" customWidth="1"/>
    <col min="2" max="2" width="12.140625" style="168" customWidth="1"/>
    <col min="3" max="4" width="16.42578125" style="168" customWidth="1"/>
    <col min="5" max="5" width="15.28515625" style="169" customWidth="1"/>
    <col min="6" max="6" width="15.42578125" style="169" customWidth="1"/>
    <col min="7" max="7" width="18.140625" style="169" customWidth="1"/>
    <col min="8" max="8" width="19.5703125" style="169" customWidth="1"/>
    <col min="9" max="9" width="12.85546875" style="169" bestFit="1" customWidth="1"/>
    <col min="10" max="10" width="20.7109375" style="169" customWidth="1"/>
    <col min="11" max="11" width="12.140625" style="169" bestFit="1" customWidth="1"/>
    <col min="12" max="12" width="11.42578125" style="169" bestFit="1" customWidth="1"/>
    <col min="13" max="13" width="11.28515625" style="169" bestFit="1" customWidth="1"/>
    <col min="14" max="14" width="9.85546875" style="169" bestFit="1" customWidth="1"/>
    <col min="15" max="16" width="9.28515625" style="169" bestFit="1" customWidth="1"/>
    <col min="17" max="16384" width="8.85546875" style="169"/>
  </cols>
  <sheetData>
    <row r="1" spans="5:9" x14ac:dyDescent="0.2">
      <c r="G1" s="277" t="s">
        <v>73</v>
      </c>
      <c r="H1" s="277"/>
    </row>
    <row r="2" spans="5:9" ht="51" customHeight="1" x14ac:dyDescent="0.2">
      <c r="F2" s="284" t="s">
        <v>182</v>
      </c>
      <c r="G2" s="284"/>
      <c r="H2" s="284"/>
    </row>
    <row r="3" spans="5:9" x14ac:dyDescent="0.2">
      <c r="G3" s="170"/>
      <c r="H3" s="170"/>
    </row>
    <row r="4" spans="5:9" x14ac:dyDescent="0.2">
      <c r="F4" s="169" t="s">
        <v>52</v>
      </c>
      <c r="H4" s="171"/>
    </row>
    <row r="5" spans="5:9" x14ac:dyDescent="0.2">
      <c r="F5" s="172" t="s">
        <v>195</v>
      </c>
      <c r="G5" s="172"/>
      <c r="H5" s="173"/>
    </row>
    <row r="6" spans="5:9" x14ac:dyDescent="0.2">
      <c r="F6" s="278" t="s">
        <v>183</v>
      </c>
      <c r="G6" s="278"/>
      <c r="H6" s="278"/>
    </row>
    <row r="7" spans="5:9" x14ac:dyDescent="0.2">
      <c r="F7" s="172"/>
      <c r="G7" s="172"/>
      <c r="H7" s="173"/>
    </row>
    <row r="8" spans="5:9" x14ac:dyDescent="0.2">
      <c r="F8" s="174" t="s">
        <v>184</v>
      </c>
      <c r="H8" s="171"/>
    </row>
    <row r="9" spans="5:9" x14ac:dyDescent="0.2">
      <c r="F9" s="172"/>
      <c r="G9" s="172"/>
      <c r="H9" s="173"/>
    </row>
    <row r="10" spans="5:9" x14ac:dyDescent="0.2">
      <c r="F10" s="174" t="s">
        <v>45</v>
      </c>
      <c r="H10" s="171"/>
    </row>
    <row r="11" spans="5:9" x14ac:dyDescent="0.2">
      <c r="F11" s="174"/>
      <c r="H11" s="171"/>
    </row>
    <row r="12" spans="5:9" ht="23.25" customHeight="1" x14ac:dyDescent="0.2">
      <c r="E12" s="168"/>
      <c r="F12" s="169" t="s">
        <v>48</v>
      </c>
      <c r="H12" s="171"/>
    </row>
    <row r="13" spans="5:9" ht="23.25" customHeight="1" x14ac:dyDescent="0.2">
      <c r="E13" s="168"/>
      <c r="F13" s="175" t="s">
        <v>180</v>
      </c>
      <c r="G13" s="175"/>
      <c r="H13" s="176"/>
      <c r="I13" s="175"/>
    </row>
    <row r="14" spans="5:9" ht="23.25" customHeight="1" x14ac:dyDescent="0.2">
      <c r="E14" s="168"/>
      <c r="F14" s="177" t="s">
        <v>179</v>
      </c>
      <c r="G14" s="177"/>
      <c r="H14" s="178"/>
    </row>
    <row r="15" spans="5:9" ht="23.25" customHeight="1" x14ac:dyDescent="0.2">
      <c r="E15" s="168"/>
      <c r="F15" s="172"/>
      <c r="G15" s="172"/>
      <c r="H15" s="173"/>
    </row>
    <row r="16" spans="5:9" ht="23.25" customHeight="1" x14ac:dyDescent="0.2">
      <c r="E16" s="168"/>
      <c r="F16" s="174" t="s">
        <v>46</v>
      </c>
      <c r="H16" s="171"/>
    </row>
    <row r="17" spans="1:8" ht="23.25" customHeight="1" x14ac:dyDescent="0.2">
      <c r="E17" s="168"/>
      <c r="F17" s="172"/>
      <c r="G17" s="172"/>
      <c r="H17" s="173"/>
    </row>
    <row r="18" spans="1:8" ht="23.25" customHeight="1" x14ac:dyDescent="0.2">
      <c r="E18" s="168"/>
      <c r="F18" s="174" t="s">
        <v>45</v>
      </c>
      <c r="H18" s="171"/>
    </row>
    <row r="19" spans="1:8" ht="23.25" customHeight="1" x14ac:dyDescent="0.2">
      <c r="E19" s="168"/>
      <c r="H19" s="171"/>
    </row>
    <row r="20" spans="1:8" x14ac:dyDescent="0.2">
      <c r="E20" s="168"/>
      <c r="F20" s="169" t="s">
        <v>48</v>
      </c>
    </row>
    <row r="21" spans="1:8" x14ac:dyDescent="0.2">
      <c r="B21" s="169"/>
      <c r="C21" s="169"/>
      <c r="D21" s="169"/>
      <c r="F21" s="179"/>
      <c r="G21" s="179"/>
      <c r="H21" s="179"/>
    </row>
    <row r="22" spans="1:8" x14ac:dyDescent="0.2">
      <c r="A22" s="174"/>
      <c r="B22" s="169"/>
      <c r="C22" s="169"/>
      <c r="D22" s="169"/>
      <c r="F22" s="174" t="s">
        <v>47</v>
      </c>
    </row>
    <row r="23" spans="1:8" x14ac:dyDescent="0.2">
      <c r="B23" s="169"/>
      <c r="C23" s="169"/>
      <c r="D23" s="169"/>
      <c r="F23" s="172"/>
      <c r="G23" s="172"/>
      <c r="H23" s="172"/>
    </row>
    <row r="24" spans="1:8" x14ac:dyDescent="0.2">
      <c r="A24" s="174"/>
      <c r="B24" s="169"/>
      <c r="C24" s="169"/>
      <c r="D24" s="169"/>
      <c r="F24" s="174" t="s">
        <v>46</v>
      </c>
      <c r="G24" s="174"/>
      <c r="H24" s="174"/>
    </row>
    <row r="25" spans="1:8" x14ac:dyDescent="0.2">
      <c r="B25" s="169"/>
      <c r="C25" s="169"/>
      <c r="D25" s="169"/>
      <c r="F25" s="172"/>
      <c r="G25" s="172"/>
      <c r="H25" s="172"/>
    </row>
    <row r="26" spans="1:8" x14ac:dyDescent="0.2">
      <c r="A26" s="174"/>
      <c r="B26" s="169"/>
      <c r="C26" s="169"/>
      <c r="D26" s="169"/>
      <c r="F26" s="174" t="s">
        <v>45</v>
      </c>
      <c r="G26" s="174"/>
      <c r="H26" s="174"/>
    </row>
    <row r="27" spans="1:8" x14ac:dyDescent="0.2">
      <c r="A27" s="174"/>
      <c r="B27" s="169"/>
      <c r="C27" s="169"/>
      <c r="D27" s="169"/>
      <c r="F27" s="174"/>
      <c r="G27" s="180" t="s">
        <v>69</v>
      </c>
      <c r="H27" s="181"/>
    </row>
    <row r="28" spans="1:8" x14ac:dyDescent="0.2">
      <c r="A28" s="174"/>
      <c r="B28" s="169"/>
      <c r="C28" s="169"/>
      <c r="D28" s="169"/>
      <c r="F28" s="174"/>
      <c r="G28" s="180" t="s">
        <v>70</v>
      </c>
      <c r="H28" s="180"/>
    </row>
    <row r="29" spans="1:8" x14ac:dyDescent="0.2">
      <c r="A29" s="174"/>
      <c r="B29" s="169"/>
      <c r="C29" s="169"/>
      <c r="D29" s="169"/>
      <c r="F29" s="174"/>
      <c r="G29" s="180" t="s">
        <v>72</v>
      </c>
      <c r="H29" s="181" t="s">
        <v>178</v>
      </c>
    </row>
    <row r="30" spans="1:8" ht="20.25" customHeight="1" x14ac:dyDescent="0.2">
      <c r="A30" s="174"/>
      <c r="B30" s="169"/>
      <c r="C30" s="169"/>
      <c r="D30" s="169"/>
      <c r="F30" s="174"/>
      <c r="G30" s="279" t="s">
        <v>71</v>
      </c>
      <c r="H30" s="280"/>
    </row>
    <row r="32" spans="1:8" x14ac:dyDescent="0.2">
      <c r="B32" s="281"/>
      <c r="C32" s="281"/>
      <c r="D32" s="182"/>
      <c r="E32" s="183"/>
      <c r="F32" s="184"/>
      <c r="G32" s="282" t="s">
        <v>44</v>
      </c>
      <c r="H32" s="283"/>
    </row>
    <row r="33" spans="1:8" ht="81" customHeight="1" x14ac:dyDescent="0.2">
      <c r="A33" s="185" t="s">
        <v>43</v>
      </c>
      <c r="B33" s="274" t="s">
        <v>143</v>
      </c>
      <c r="C33" s="274"/>
      <c r="D33" s="275"/>
      <c r="E33" s="186" t="s">
        <v>154</v>
      </c>
      <c r="F33" s="187"/>
      <c r="G33" s="276" t="s">
        <v>155</v>
      </c>
      <c r="H33" s="276"/>
    </row>
    <row r="34" spans="1:8" ht="30" customHeight="1" x14ac:dyDescent="0.2">
      <c r="A34" s="185" t="s">
        <v>42</v>
      </c>
      <c r="B34" s="274" t="s">
        <v>144</v>
      </c>
      <c r="C34" s="274"/>
      <c r="D34" s="275"/>
      <c r="E34" s="186" t="s">
        <v>41</v>
      </c>
      <c r="F34" s="186"/>
      <c r="G34" s="285">
        <v>150</v>
      </c>
      <c r="H34" s="285"/>
    </row>
    <row r="35" spans="1:8" ht="18.75" customHeight="1" x14ac:dyDescent="0.2">
      <c r="A35" s="185" t="s">
        <v>40</v>
      </c>
      <c r="B35" s="274" t="s">
        <v>145</v>
      </c>
      <c r="C35" s="274"/>
      <c r="D35" s="275"/>
      <c r="E35" s="186" t="s">
        <v>39</v>
      </c>
      <c r="F35" s="186"/>
      <c r="G35" s="285">
        <v>5910136600</v>
      </c>
      <c r="H35" s="285"/>
    </row>
    <row r="36" spans="1:8" ht="18.75" customHeight="1" x14ac:dyDescent="0.2">
      <c r="A36" s="185" t="s">
        <v>192</v>
      </c>
      <c r="B36" s="274" t="s">
        <v>146</v>
      </c>
      <c r="C36" s="274"/>
      <c r="D36" s="275"/>
      <c r="E36" s="186" t="s">
        <v>37</v>
      </c>
      <c r="F36" s="188"/>
      <c r="G36" s="285"/>
      <c r="H36" s="285"/>
    </row>
    <row r="37" spans="1:8" ht="18" customHeight="1" x14ac:dyDescent="0.2">
      <c r="A37" s="185" t="s">
        <v>36</v>
      </c>
      <c r="B37" s="274" t="s">
        <v>147</v>
      </c>
      <c r="C37" s="274"/>
      <c r="D37" s="275"/>
      <c r="E37" s="186" t="s">
        <v>35</v>
      </c>
      <c r="F37" s="188"/>
      <c r="G37" s="285"/>
      <c r="H37" s="285"/>
    </row>
    <row r="38" spans="1:8" ht="20.25" customHeight="1" x14ac:dyDescent="0.2">
      <c r="A38" s="185" t="s">
        <v>34</v>
      </c>
      <c r="B38" s="274" t="s">
        <v>148</v>
      </c>
      <c r="C38" s="274"/>
      <c r="D38" s="275"/>
      <c r="E38" s="189" t="s">
        <v>33</v>
      </c>
      <c r="F38" s="188"/>
      <c r="G38" s="285" t="s">
        <v>156</v>
      </c>
      <c r="H38" s="285"/>
    </row>
    <row r="39" spans="1:8" ht="18.75" customHeight="1" x14ac:dyDescent="0.2">
      <c r="A39" s="185" t="s">
        <v>32</v>
      </c>
      <c r="B39" s="274" t="s">
        <v>149</v>
      </c>
      <c r="C39" s="274"/>
      <c r="D39" s="275"/>
      <c r="E39" s="288" t="s">
        <v>31</v>
      </c>
      <c r="F39" s="288"/>
      <c r="G39" s="288"/>
      <c r="H39" s="190"/>
    </row>
    <row r="40" spans="1:8" ht="18.75" customHeight="1" x14ac:dyDescent="0.2">
      <c r="A40" s="185" t="s">
        <v>30</v>
      </c>
      <c r="B40" s="274" t="s">
        <v>150</v>
      </c>
      <c r="C40" s="274"/>
      <c r="D40" s="275"/>
      <c r="E40" s="288" t="s">
        <v>29</v>
      </c>
      <c r="F40" s="288"/>
      <c r="G40" s="288"/>
      <c r="H40" s="188"/>
    </row>
    <row r="41" spans="1:8" ht="18.75" customHeight="1" x14ac:dyDescent="0.2">
      <c r="A41" s="185" t="s">
        <v>28</v>
      </c>
      <c r="B41" s="289" t="s">
        <v>151</v>
      </c>
      <c r="C41" s="289"/>
      <c r="D41" s="289"/>
      <c r="E41" s="289"/>
      <c r="F41" s="289"/>
      <c r="G41" s="289"/>
      <c r="H41" s="290"/>
    </row>
    <row r="42" spans="1:8" ht="18.75" customHeight="1" x14ac:dyDescent="0.2">
      <c r="A42" s="185" t="s">
        <v>27</v>
      </c>
      <c r="B42" s="291" t="s">
        <v>152</v>
      </c>
      <c r="C42" s="291"/>
      <c r="D42" s="291"/>
      <c r="E42" s="291"/>
      <c r="F42" s="291"/>
      <c r="G42" s="291"/>
      <c r="H42" s="292"/>
    </row>
    <row r="43" spans="1:8" ht="18.75" customHeight="1" x14ac:dyDescent="0.2">
      <c r="A43" s="185" t="s">
        <v>26</v>
      </c>
      <c r="B43" s="289" t="s">
        <v>153</v>
      </c>
      <c r="C43" s="289"/>
      <c r="D43" s="289"/>
      <c r="E43" s="289"/>
      <c r="F43" s="289"/>
      <c r="G43" s="289"/>
      <c r="H43" s="290"/>
    </row>
    <row r="44" spans="1:8" x14ac:dyDescent="0.2">
      <c r="A44" s="286"/>
      <c r="B44" s="287"/>
      <c r="C44" s="287"/>
      <c r="D44" s="287"/>
      <c r="E44" s="287"/>
      <c r="F44" s="287"/>
      <c r="G44" s="287"/>
      <c r="H44" s="287"/>
    </row>
    <row r="45" spans="1:8" x14ac:dyDescent="0.2">
      <c r="A45" s="286" t="s">
        <v>60</v>
      </c>
      <c r="B45" s="286"/>
      <c r="C45" s="286"/>
      <c r="D45" s="286"/>
      <c r="E45" s="286"/>
      <c r="F45" s="286"/>
      <c r="G45" s="286"/>
      <c r="H45" s="286"/>
    </row>
    <row r="46" spans="1:8" ht="14.25" customHeight="1" x14ac:dyDescent="0.2">
      <c r="A46" s="293" t="s">
        <v>181</v>
      </c>
      <c r="B46" s="293"/>
      <c r="C46" s="293"/>
      <c r="D46" s="293"/>
      <c r="E46" s="293"/>
      <c r="F46" s="293"/>
      <c r="G46" s="293"/>
      <c r="H46" s="293"/>
    </row>
    <row r="47" spans="1:8" ht="18" customHeight="1" x14ac:dyDescent="0.2">
      <c r="A47" s="191"/>
      <c r="B47" s="192"/>
      <c r="C47" s="191"/>
      <c r="D47" s="191"/>
      <c r="E47" s="191"/>
      <c r="F47" s="191"/>
      <c r="G47" s="191"/>
      <c r="H47" s="191" t="s">
        <v>68</v>
      </c>
    </row>
    <row r="48" spans="1:8" s="175" customFormat="1" ht="18.75" customHeight="1" x14ac:dyDescent="0.2">
      <c r="A48" s="294" t="s">
        <v>25</v>
      </c>
      <c r="B48" s="295" t="s">
        <v>24</v>
      </c>
      <c r="C48" s="295" t="s">
        <v>61</v>
      </c>
      <c r="D48" s="296" t="s">
        <v>62</v>
      </c>
      <c r="E48" s="295" t="s">
        <v>63</v>
      </c>
      <c r="F48" s="295"/>
      <c r="G48" s="295"/>
      <c r="H48" s="295"/>
    </row>
    <row r="49" spans="1:13" s="175" customFormat="1" ht="75" customHeight="1" x14ac:dyDescent="0.2">
      <c r="A49" s="294"/>
      <c r="B49" s="295"/>
      <c r="C49" s="295"/>
      <c r="D49" s="297"/>
      <c r="E49" s="193" t="s">
        <v>64</v>
      </c>
      <c r="F49" s="193" t="s">
        <v>65</v>
      </c>
      <c r="G49" s="193" t="s">
        <v>66</v>
      </c>
      <c r="H49" s="193" t="s">
        <v>67</v>
      </c>
    </row>
    <row r="50" spans="1:13" x14ac:dyDescent="0.2">
      <c r="A50" s="194">
        <v>1</v>
      </c>
      <c r="B50" s="190">
        <v>2</v>
      </c>
      <c r="C50" s="190">
        <v>3</v>
      </c>
      <c r="D50" s="190">
        <v>4</v>
      </c>
      <c r="E50" s="190">
        <v>5</v>
      </c>
      <c r="F50" s="190">
        <v>6</v>
      </c>
      <c r="G50" s="190">
        <v>7</v>
      </c>
      <c r="H50" s="190">
        <v>8</v>
      </c>
    </row>
    <row r="51" spans="1:13" ht="25.5" customHeight="1" x14ac:dyDescent="0.2">
      <c r="A51" s="300" t="s">
        <v>23</v>
      </c>
      <c r="B51" s="300"/>
      <c r="C51" s="300"/>
      <c r="D51" s="300"/>
      <c r="E51" s="300"/>
      <c r="F51" s="300"/>
      <c r="G51" s="300"/>
      <c r="H51" s="300"/>
    </row>
    <row r="52" spans="1:13" s="195" customFormat="1" ht="23.25" customHeight="1" x14ac:dyDescent="0.2">
      <c r="A52" s="301" t="s">
        <v>22</v>
      </c>
      <c r="B52" s="301"/>
      <c r="C52" s="301"/>
      <c r="D52" s="301"/>
      <c r="E52" s="301"/>
      <c r="F52" s="301"/>
      <c r="G52" s="301"/>
      <c r="H52" s="301"/>
    </row>
    <row r="53" spans="1:13" s="195" customFormat="1" ht="27.75" customHeight="1" x14ac:dyDescent="0.2">
      <c r="A53" s="196" t="s">
        <v>84</v>
      </c>
      <c r="B53" s="197">
        <v>1000</v>
      </c>
      <c r="C53" s="198">
        <f>C54+C55</f>
        <v>79602.400000000009</v>
      </c>
      <c r="D53" s="198">
        <f>D54+D55</f>
        <v>86419.7</v>
      </c>
      <c r="E53" s="199">
        <f t="shared" ref="E53:H53" si="0">E54+E55</f>
        <v>20855</v>
      </c>
      <c r="F53" s="198">
        <f t="shared" si="0"/>
        <v>20854.899999999998</v>
      </c>
      <c r="G53" s="198">
        <f t="shared" si="0"/>
        <v>21854.899999999998</v>
      </c>
      <c r="H53" s="198">
        <f t="shared" si="0"/>
        <v>22854.899999999998</v>
      </c>
    </row>
    <row r="54" spans="1:13" s="195" customFormat="1" ht="38.25" customHeight="1" x14ac:dyDescent="0.2">
      <c r="A54" s="187" t="s">
        <v>190</v>
      </c>
      <c r="B54" s="200">
        <v>1001</v>
      </c>
      <c r="C54" s="201">
        <v>79555.600000000006</v>
      </c>
      <c r="D54" s="198">
        <f>E54+F54+G54+H54</f>
        <v>86369.3</v>
      </c>
      <c r="E54" s="199">
        <v>20842.400000000001</v>
      </c>
      <c r="F54" s="199">
        <v>20842.3</v>
      </c>
      <c r="G54" s="199">
        <v>21842.3</v>
      </c>
      <c r="H54" s="199">
        <v>22842.3</v>
      </c>
      <c r="I54" s="202"/>
      <c r="K54" s="202"/>
      <c r="M54" s="202"/>
    </row>
    <row r="55" spans="1:13" s="195" customFormat="1" ht="37.5" customHeight="1" x14ac:dyDescent="0.2">
      <c r="A55" s="187" t="s">
        <v>191</v>
      </c>
      <c r="B55" s="200">
        <v>1002</v>
      </c>
      <c r="C55" s="203">
        <v>46.8</v>
      </c>
      <c r="D55" s="198">
        <f>E55+F55+G55+H55</f>
        <v>50.4</v>
      </c>
      <c r="E55" s="199">
        <v>12.6</v>
      </c>
      <c r="F55" s="198">
        <v>12.6</v>
      </c>
      <c r="G55" s="198">
        <v>12.6</v>
      </c>
      <c r="H55" s="198">
        <v>12.6</v>
      </c>
      <c r="I55" s="202"/>
      <c r="K55" s="202"/>
    </row>
    <row r="56" spans="1:13" s="195" customFormat="1" x14ac:dyDescent="0.2">
      <c r="A56" s="196" t="s">
        <v>85</v>
      </c>
      <c r="B56" s="197">
        <v>1010</v>
      </c>
      <c r="C56" s="198">
        <f t="shared" ref="C56:H56" si="1">C57+C58+C59+C60+C61+C63+C62+C64+C65</f>
        <v>60657.600000000006</v>
      </c>
      <c r="D56" s="198">
        <f t="shared" si="1"/>
        <v>50136.5</v>
      </c>
      <c r="E56" s="198">
        <f t="shared" si="1"/>
        <v>13399.4</v>
      </c>
      <c r="F56" s="198">
        <f t="shared" si="1"/>
        <v>14143.4</v>
      </c>
      <c r="G56" s="198">
        <f t="shared" si="1"/>
        <v>10810.1</v>
      </c>
      <c r="H56" s="198">
        <f t="shared" si="1"/>
        <v>11783.6</v>
      </c>
      <c r="I56" s="202"/>
      <c r="K56" s="202"/>
    </row>
    <row r="57" spans="1:13" s="195" customFormat="1" ht="37.5" x14ac:dyDescent="0.2">
      <c r="A57" s="187" t="s">
        <v>102</v>
      </c>
      <c r="B57" s="200">
        <v>1011</v>
      </c>
      <c r="C57" s="198">
        <v>1844</v>
      </c>
      <c r="D57" s="198">
        <f t="shared" ref="D57:D65" si="2">E57+F57+G57+H57</f>
        <v>2880</v>
      </c>
      <c r="E57" s="199">
        <v>900</v>
      </c>
      <c r="F57" s="199">
        <v>540</v>
      </c>
      <c r="G57" s="199">
        <v>450</v>
      </c>
      <c r="H57" s="199">
        <v>990</v>
      </c>
      <c r="I57" s="202"/>
      <c r="K57" s="202"/>
    </row>
    <row r="58" spans="1:13" s="195" customFormat="1" x14ac:dyDescent="0.2">
      <c r="A58" s="187" t="s">
        <v>103</v>
      </c>
      <c r="B58" s="200">
        <v>1012</v>
      </c>
      <c r="C58" s="198">
        <v>0</v>
      </c>
      <c r="D58" s="198">
        <f t="shared" si="2"/>
        <v>0</v>
      </c>
      <c r="E58" s="198">
        <v>0</v>
      </c>
      <c r="F58" s="198">
        <v>0</v>
      </c>
      <c r="G58" s="198">
        <v>0</v>
      </c>
      <c r="H58" s="198">
        <f t="shared" ref="H58:H59" si="3">I58+L58+M58+P58</f>
        <v>0</v>
      </c>
      <c r="I58" s="202"/>
      <c r="K58" s="202"/>
    </row>
    <row r="59" spans="1:13" s="195" customFormat="1" x14ac:dyDescent="0.2">
      <c r="A59" s="187" t="s">
        <v>104</v>
      </c>
      <c r="B59" s="200">
        <v>1013</v>
      </c>
      <c r="C59" s="198">
        <v>0</v>
      </c>
      <c r="D59" s="198">
        <f t="shared" si="2"/>
        <v>0</v>
      </c>
      <c r="E59" s="198">
        <v>0</v>
      </c>
      <c r="F59" s="198">
        <v>0</v>
      </c>
      <c r="G59" s="198">
        <v>0</v>
      </c>
      <c r="H59" s="198">
        <f t="shared" si="3"/>
        <v>0</v>
      </c>
      <c r="I59" s="202"/>
      <c r="J59" s="202"/>
      <c r="K59" s="202"/>
    </row>
    <row r="60" spans="1:13" s="195" customFormat="1" x14ac:dyDescent="0.2">
      <c r="A60" s="187" t="s">
        <v>105</v>
      </c>
      <c r="B60" s="200">
        <v>1014</v>
      </c>
      <c r="C60" s="198">
        <v>37422.5</v>
      </c>
      <c r="D60" s="198">
        <f t="shared" si="2"/>
        <v>30873.8</v>
      </c>
      <c r="E60" s="199">
        <v>8442.4</v>
      </c>
      <c r="F60" s="198">
        <v>9494.9</v>
      </c>
      <c r="G60" s="198">
        <v>6251.5</v>
      </c>
      <c r="H60" s="198">
        <v>6685</v>
      </c>
      <c r="I60" s="202"/>
      <c r="K60" s="202"/>
    </row>
    <row r="61" spans="1:13" s="195" customFormat="1" ht="37.5" x14ac:dyDescent="0.2">
      <c r="A61" s="187" t="s">
        <v>106</v>
      </c>
      <c r="B61" s="200">
        <v>1015</v>
      </c>
      <c r="C61" s="198">
        <v>21175.3</v>
      </c>
      <c r="D61" s="198">
        <f t="shared" si="2"/>
        <v>16000</v>
      </c>
      <c r="E61" s="199">
        <v>4000</v>
      </c>
      <c r="F61" s="199">
        <v>4000</v>
      </c>
      <c r="G61" s="199">
        <v>4000</v>
      </c>
      <c r="H61" s="199">
        <v>4000</v>
      </c>
      <c r="I61" s="202"/>
      <c r="K61" s="202"/>
    </row>
    <row r="62" spans="1:13" s="195" customFormat="1" ht="20.25" customHeight="1" x14ac:dyDescent="0.2">
      <c r="A62" s="204" t="s">
        <v>107</v>
      </c>
      <c r="B62" s="200">
        <v>1016</v>
      </c>
      <c r="C62" s="198">
        <v>0</v>
      </c>
      <c r="D62" s="198">
        <f t="shared" si="2"/>
        <v>0</v>
      </c>
      <c r="E62" s="199">
        <v>0</v>
      </c>
      <c r="F62" s="199">
        <v>0</v>
      </c>
      <c r="G62" s="199">
        <v>0</v>
      </c>
      <c r="H62" s="199">
        <v>0</v>
      </c>
      <c r="I62" s="202"/>
      <c r="K62" s="202"/>
    </row>
    <row r="63" spans="1:13" s="195" customFormat="1" ht="37.5" x14ac:dyDescent="0.2">
      <c r="A63" s="187" t="s">
        <v>108</v>
      </c>
      <c r="B63" s="200">
        <v>1017</v>
      </c>
      <c r="C63" s="198">
        <v>27.5</v>
      </c>
      <c r="D63" s="198">
        <f t="shared" si="2"/>
        <v>4.7</v>
      </c>
      <c r="E63" s="199">
        <v>0</v>
      </c>
      <c r="F63" s="199">
        <v>1.5</v>
      </c>
      <c r="G63" s="199">
        <v>1.6</v>
      </c>
      <c r="H63" s="199">
        <v>1.6</v>
      </c>
      <c r="I63" s="202"/>
      <c r="K63" s="202"/>
    </row>
    <row r="64" spans="1:13" s="195" customFormat="1" ht="37.5" x14ac:dyDescent="0.2">
      <c r="A64" s="187" t="s">
        <v>109</v>
      </c>
      <c r="B64" s="200">
        <v>1018</v>
      </c>
      <c r="C64" s="198">
        <v>38.299999999999997</v>
      </c>
      <c r="D64" s="198">
        <f t="shared" si="2"/>
        <v>28</v>
      </c>
      <c r="E64" s="199">
        <v>7</v>
      </c>
      <c r="F64" s="199">
        <v>7</v>
      </c>
      <c r="G64" s="199">
        <v>7</v>
      </c>
      <c r="H64" s="199">
        <v>7</v>
      </c>
      <c r="I64" s="202"/>
      <c r="K64" s="202"/>
    </row>
    <row r="65" spans="1:16" s="195" customFormat="1" ht="37.5" x14ac:dyDescent="0.2">
      <c r="A65" s="205" t="s">
        <v>186</v>
      </c>
      <c r="B65" s="200" t="s">
        <v>185</v>
      </c>
      <c r="C65" s="206">
        <v>150</v>
      </c>
      <c r="D65" s="198">
        <f t="shared" si="2"/>
        <v>350</v>
      </c>
      <c r="E65" s="199">
        <v>50</v>
      </c>
      <c r="F65" s="198">
        <v>100</v>
      </c>
      <c r="G65" s="198">
        <v>100</v>
      </c>
      <c r="H65" s="198">
        <v>100</v>
      </c>
      <c r="I65" s="202"/>
      <c r="K65" s="202"/>
    </row>
    <row r="66" spans="1:16" s="195" customFormat="1" ht="23.25" customHeight="1" x14ac:dyDescent="0.2">
      <c r="A66" s="196" t="s">
        <v>82</v>
      </c>
      <c r="B66" s="197">
        <v>1020</v>
      </c>
      <c r="C66" s="198">
        <f>C67+C69</f>
        <v>11833.4</v>
      </c>
      <c r="D66" s="198">
        <f t="shared" ref="D66:H66" si="4">D67+D69</f>
        <v>7444.2</v>
      </c>
      <c r="E66" s="198">
        <f t="shared" si="4"/>
        <v>2682.4</v>
      </c>
      <c r="F66" s="198">
        <f t="shared" si="4"/>
        <v>4496.6000000000004</v>
      </c>
      <c r="G66" s="198">
        <f t="shared" si="4"/>
        <v>265.2</v>
      </c>
      <c r="H66" s="198">
        <f t="shared" si="4"/>
        <v>0</v>
      </c>
      <c r="I66" s="202"/>
      <c r="J66" s="169"/>
      <c r="K66" s="202"/>
    </row>
    <row r="67" spans="1:16" ht="41.25" customHeight="1" x14ac:dyDescent="0.3">
      <c r="A67" s="207" t="s">
        <v>128</v>
      </c>
      <c r="B67" s="200">
        <v>1021</v>
      </c>
      <c r="C67" s="198">
        <v>11800.4</v>
      </c>
      <c r="D67" s="198">
        <f>E67+F67+G67+H67</f>
        <v>7411.2</v>
      </c>
      <c r="E67" s="198">
        <v>2682.4</v>
      </c>
      <c r="F67" s="198">
        <v>4490</v>
      </c>
      <c r="G67" s="198">
        <v>238.8</v>
      </c>
      <c r="H67" s="198">
        <v>0</v>
      </c>
      <c r="I67" s="202"/>
      <c r="K67" s="202"/>
    </row>
    <row r="68" spans="1:16" ht="57.75" customHeight="1" x14ac:dyDescent="0.3">
      <c r="A68" s="207" t="s">
        <v>133</v>
      </c>
      <c r="B68" s="200" t="s">
        <v>134</v>
      </c>
      <c r="C68" s="198">
        <v>0</v>
      </c>
      <c r="D68" s="198">
        <v>1364</v>
      </c>
      <c r="E68" s="198">
        <v>0</v>
      </c>
      <c r="F68" s="198">
        <v>1364</v>
      </c>
      <c r="G68" s="198">
        <v>0</v>
      </c>
      <c r="H68" s="198">
        <v>0</v>
      </c>
      <c r="I68" s="202"/>
      <c r="K68" s="202"/>
    </row>
    <row r="69" spans="1:16" ht="21" customHeight="1" x14ac:dyDescent="0.3">
      <c r="A69" s="207" t="s">
        <v>110</v>
      </c>
      <c r="B69" s="200">
        <v>1022</v>
      </c>
      <c r="C69" s="198">
        <v>33</v>
      </c>
      <c r="D69" s="198">
        <f>E69+F69+G69+H69</f>
        <v>33</v>
      </c>
      <c r="E69" s="198">
        <v>0</v>
      </c>
      <c r="F69" s="198">
        <v>6.6</v>
      </c>
      <c r="G69" s="198">
        <v>26.4</v>
      </c>
      <c r="H69" s="198">
        <v>0</v>
      </c>
      <c r="I69" s="202"/>
      <c r="K69" s="202"/>
    </row>
    <row r="70" spans="1:16" s="195" customFormat="1" ht="23.25" customHeight="1" x14ac:dyDescent="0.2">
      <c r="A70" s="196" t="s">
        <v>83</v>
      </c>
      <c r="B70" s="197">
        <v>1030</v>
      </c>
      <c r="C70" s="198">
        <f>C71</f>
        <v>222</v>
      </c>
      <c r="D70" s="198">
        <f t="shared" ref="D70:H70" si="5">D71</f>
        <v>200</v>
      </c>
      <c r="E70" s="198">
        <f t="shared" si="5"/>
        <v>50</v>
      </c>
      <c r="F70" s="198">
        <f t="shared" si="5"/>
        <v>50</v>
      </c>
      <c r="G70" s="198">
        <f t="shared" si="5"/>
        <v>50</v>
      </c>
      <c r="H70" s="198">
        <f t="shared" si="5"/>
        <v>50</v>
      </c>
      <c r="I70" s="202"/>
      <c r="J70" s="169"/>
      <c r="K70" s="202"/>
    </row>
    <row r="71" spans="1:16" s="195" customFormat="1" ht="23.25" customHeight="1" x14ac:dyDescent="0.2">
      <c r="A71" s="187" t="s">
        <v>111</v>
      </c>
      <c r="B71" s="200">
        <v>1031</v>
      </c>
      <c r="C71" s="198">
        <v>222</v>
      </c>
      <c r="D71" s="198">
        <f>E71+F71+G71+H71</f>
        <v>200</v>
      </c>
      <c r="E71" s="198">
        <v>50</v>
      </c>
      <c r="F71" s="198">
        <v>50</v>
      </c>
      <c r="G71" s="198">
        <v>50</v>
      </c>
      <c r="H71" s="198">
        <v>50</v>
      </c>
      <c r="I71" s="202"/>
      <c r="K71" s="202"/>
      <c r="L71" s="169"/>
      <c r="M71" s="169"/>
      <c r="N71" s="169"/>
      <c r="O71" s="169"/>
    </row>
    <row r="72" spans="1:16" s="195" customFormat="1" ht="19.5" customHeight="1" x14ac:dyDescent="0.2">
      <c r="A72" s="196" t="s">
        <v>53</v>
      </c>
      <c r="B72" s="197">
        <v>1040</v>
      </c>
      <c r="C72" s="208">
        <f t="shared" ref="C72:H72" si="6">C53+C56+C66+C70</f>
        <v>152315.4</v>
      </c>
      <c r="D72" s="208">
        <f t="shared" si="6"/>
        <v>144200.40000000002</v>
      </c>
      <c r="E72" s="208">
        <f t="shared" si="6"/>
        <v>36986.800000000003</v>
      </c>
      <c r="F72" s="208">
        <f t="shared" si="6"/>
        <v>39544.899999999994</v>
      </c>
      <c r="G72" s="208">
        <f t="shared" si="6"/>
        <v>32980.199999999997</v>
      </c>
      <c r="H72" s="208">
        <f t="shared" si="6"/>
        <v>34688.5</v>
      </c>
      <c r="I72" s="202"/>
      <c r="K72" s="202"/>
      <c r="P72" s="209"/>
    </row>
    <row r="73" spans="1:16" s="195" customFormat="1" ht="23.25" customHeight="1" x14ac:dyDescent="0.2">
      <c r="A73" s="196" t="s">
        <v>81</v>
      </c>
      <c r="B73" s="197">
        <v>1050</v>
      </c>
      <c r="C73" s="208">
        <f>C74+C75+C76+C80+C81+C82+C83+C84+C85</f>
        <v>96406.900000000009</v>
      </c>
      <c r="D73" s="208">
        <f>E73+F73+G73+H73</f>
        <v>102777.29999999999</v>
      </c>
      <c r="E73" s="208">
        <f>E74+E75+E76+E81+E82+E83+E84+E85+E80</f>
        <v>25751.5</v>
      </c>
      <c r="F73" s="208">
        <f>F74+F75+F76+F81+F82+F83+F84+F85+F80</f>
        <v>27635.899999999998</v>
      </c>
      <c r="G73" s="208">
        <f>G74+G75+G76+G81+G82+G83+G84+G85+G80</f>
        <v>24413.699999999997</v>
      </c>
      <c r="H73" s="208">
        <f>H74+H75+H76+H81+H82+H83+H84+H85+H80</f>
        <v>24976.2</v>
      </c>
      <c r="I73" s="202"/>
      <c r="J73" s="202"/>
      <c r="K73" s="202"/>
    </row>
    <row r="74" spans="1:16" ht="21" customHeight="1" x14ac:dyDescent="0.2">
      <c r="A74" s="187" t="s">
        <v>113</v>
      </c>
      <c r="B74" s="200">
        <v>1051</v>
      </c>
      <c r="C74" s="198">
        <v>50335.6</v>
      </c>
      <c r="D74" s="198">
        <f>E74+F74+G74+H74</f>
        <v>51961.3</v>
      </c>
      <c r="E74" s="198">
        <f>12656.9+4.9-18+211.4</f>
        <v>12855.199999999999</v>
      </c>
      <c r="F74" s="198">
        <f>13104.1-38.9-12.5-75.1</f>
        <v>12977.6</v>
      </c>
      <c r="G74" s="198">
        <f>13470-43-22+11-29.2</f>
        <v>13386.8</v>
      </c>
      <c r="H74" s="198">
        <f>12875.1-22-111.4</f>
        <v>12741.7</v>
      </c>
      <c r="I74" s="202"/>
      <c r="J74" s="210"/>
      <c r="K74" s="202"/>
      <c r="L74" s="195"/>
      <c r="M74" s="195"/>
      <c r="N74" s="195"/>
      <c r="O74" s="195"/>
    </row>
    <row r="75" spans="1:16" ht="21.75" customHeight="1" x14ac:dyDescent="0.2">
      <c r="A75" s="187" t="s">
        <v>114</v>
      </c>
      <c r="B75" s="200">
        <v>1052</v>
      </c>
      <c r="C75" s="198">
        <v>11037.4</v>
      </c>
      <c r="D75" s="198">
        <f>E75+F75+G75+H75</f>
        <v>11502</v>
      </c>
      <c r="E75" s="198">
        <f>2784.5+18+21.9</f>
        <v>2824.4</v>
      </c>
      <c r="F75" s="198">
        <f>2882.8+12.5-16.4</f>
        <v>2878.9</v>
      </c>
      <c r="G75" s="198">
        <f>2963.5+11-6.2</f>
        <v>2968.3</v>
      </c>
      <c r="H75" s="198">
        <f>24.1+2806.3</f>
        <v>2830.4</v>
      </c>
      <c r="I75" s="202"/>
      <c r="J75" s="210"/>
      <c r="K75" s="202"/>
      <c r="L75" s="210"/>
      <c r="M75" s="210"/>
    </row>
    <row r="76" spans="1:16" x14ac:dyDescent="0.2">
      <c r="A76" s="187" t="s">
        <v>129</v>
      </c>
      <c r="B76" s="190">
        <v>1053</v>
      </c>
      <c r="C76" s="198">
        <f t="shared" ref="C76:G76" si="7">C77+C78+C79</f>
        <v>10090.200000000001</v>
      </c>
      <c r="D76" s="198">
        <f t="shared" si="7"/>
        <v>12858.099999999999</v>
      </c>
      <c r="E76" s="198">
        <f t="shared" si="7"/>
        <v>2536</v>
      </c>
      <c r="F76" s="198">
        <f t="shared" si="7"/>
        <v>5708.6</v>
      </c>
      <c r="G76" s="198">
        <f t="shared" si="7"/>
        <v>2610</v>
      </c>
      <c r="H76" s="198">
        <f>H77+H78+H79</f>
        <v>2003.5</v>
      </c>
      <c r="I76" s="202"/>
      <c r="J76" s="210"/>
      <c r="K76" s="202"/>
      <c r="L76" s="195"/>
      <c r="M76" s="195"/>
      <c r="N76" s="195"/>
      <c r="O76" s="195"/>
    </row>
    <row r="77" spans="1:16" ht="59.25" customHeight="1" x14ac:dyDescent="0.2">
      <c r="A77" s="187" t="s">
        <v>100</v>
      </c>
      <c r="B77" s="190" t="s">
        <v>135</v>
      </c>
      <c r="C77" s="198">
        <v>450.5</v>
      </c>
      <c r="D77" s="198">
        <f t="shared" ref="D77:D107" si="8">E77+F77+G77+H77</f>
        <v>1202.4000000000001</v>
      </c>
      <c r="E77" s="211">
        <v>370</v>
      </c>
      <c r="F77" s="211">
        <v>206.8</v>
      </c>
      <c r="G77" s="211">
        <v>280</v>
      </c>
      <c r="H77" s="211">
        <v>345.6</v>
      </c>
      <c r="I77" s="202"/>
      <c r="J77" s="202"/>
      <c r="K77" s="202"/>
      <c r="L77" s="210"/>
    </row>
    <row r="78" spans="1:16" x14ac:dyDescent="0.2">
      <c r="A78" s="187" t="s">
        <v>79</v>
      </c>
      <c r="B78" s="190" t="s">
        <v>136</v>
      </c>
      <c r="C78" s="198">
        <v>8635.7000000000007</v>
      </c>
      <c r="D78" s="198">
        <f t="shared" si="8"/>
        <v>10351.699999999999</v>
      </c>
      <c r="E78" s="199">
        <v>2016</v>
      </c>
      <c r="F78" s="199">
        <f>672.2+4470.6</f>
        <v>5142.8</v>
      </c>
      <c r="G78" s="198">
        <v>2050</v>
      </c>
      <c r="H78" s="198">
        <f>672.2+470.7</f>
        <v>1142.9000000000001</v>
      </c>
      <c r="I78" s="202"/>
      <c r="K78" s="202"/>
      <c r="L78" s="195"/>
      <c r="M78" s="195"/>
      <c r="N78" s="195"/>
      <c r="O78" s="195"/>
    </row>
    <row r="79" spans="1:16" x14ac:dyDescent="0.2">
      <c r="A79" s="187" t="s">
        <v>80</v>
      </c>
      <c r="B79" s="190" t="s">
        <v>137</v>
      </c>
      <c r="C79" s="198">
        <v>1004</v>
      </c>
      <c r="D79" s="198">
        <f t="shared" si="8"/>
        <v>1304</v>
      </c>
      <c r="E79" s="199">
        <v>150</v>
      </c>
      <c r="F79" s="199">
        <v>359</v>
      </c>
      <c r="G79" s="198">
        <v>280</v>
      </c>
      <c r="H79" s="198">
        <v>515</v>
      </c>
      <c r="I79" s="202"/>
      <c r="J79" s="202"/>
      <c r="K79" s="202"/>
    </row>
    <row r="80" spans="1:16" ht="19.5" customHeight="1" x14ac:dyDescent="0.2">
      <c r="A80" s="187" t="s">
        <v>112</v>
      </c>
      <c r="B80" s="200">
        <v>1054</v>
      </c>
      <c r="C80" s="198">
        <v>7987.8</v>
      </c>
      <c r="D80" s="198">
        <f t="shared" si="8"/>
        <v>9152.1</v>
      </c>
      <c r="E80" s="199">
        <v>3125.9</v>
      </c>
      <c r="F80" s="199">
        <v>1745.2</v>
      </c>
      <c r="G80" s="199">
        <v>846.1</v>
      </c>
      <c r="H80" s="199">
        <v>3434.9</v>
      </c>
      <c r="I80" s="202"/>
      <c r="K80" s="202"/>
      <c r="M80" s="195"/>
      <c r="N80" s="195"/>
      <c r="O80" s="195"/>
    </row>
    <row r="81" spans="1:15" ht="136.5" customHeight="1" x14ac:dyDescent="0.2">
      <c r="A81" s="187" t="s">
        <v>193</v>
      </c>
      <c r="B81" s="190">
        <v>1055</v>
      </c>
      <c r="C81" s="198">
        <v>3175.1</v>
      </c>
      <c r="D81" s="198">
        <f t="shared" si="8"/>
        <v>4197.8</v>
      </c>
      <c r="E81" s="199">
        <v>1010</v>
      </c>
      <c r="F81" s="199">
        <v>922.6</v>
      </c>
      <c r="G81" s="198">
        <v>1202.5</v>
      </c>
      <c r="H81" s="198">
        <v>1062.7</v>
      </c>
      <c r="I81" s="202"/>
      <c r="J81" s="195"/>
      <c r="K81" s="202"/>
    </row>
    <row r="82" spans="1:15" ht="37.5" x14ac:dyDescent="0.2">
      <c r="A82" s="187" t="s">
        <v>116</v>
      </c>
      <c r="B82" s="190">
        <v>1056</v>
      </c>
      <c r="C82" s="198">
        <v>13760.8</v>
      </c>
      <c r="D82" s="198">
        <f t="shared" si="8"/>
        <v>13100</v>
      </c>
      <c r="E82" s="198">
        <v>3400</v>
      </c>
      <c r="F82" s="198">
        <v>3400</v>
      </c>
      <c r="G82" s="198">
        <v>3400</v>
      </c>
      <c r="H82" s="198">
        <v>2900</v>
      </c>
      <c r="I82" s="202"/>
      <c r="K82" s="202"/>
      <c r="L82" s="195"/>
      <c r="M82" s="195"/>
      <c r="N82" s="195"/>
      <c r="O82" s="195"/>
    </row>
    <row r="83" spans="1:15" x14ac:dyDescent="0.2">
      <c r="A83" s="187" t="s">
        <v>117</v>
      </c>
      <c r="B83" s="190">
        <v>1057</v>
      </c>
      <c r="C83" s="198">
        <v>5</v>
      </c>
      <c r="D83" s="198">
        <f t="shared" si="8"/>
        <v>6</v>
      </c>
      <c r="E83" s="199">
        <v>0</v>
      </c>
      <c r="F83" s="212">
        <v>3</v>
      </c>
      <c r="G83" s="198">
        <v>0</v>
      </c>
      <c r="H83" s="198">
        <v>3</v>
      </c>
      <c r="I83" s="202"/>
      <c r="J83" s="195"/>
      <c r="K83" s="202"/>
    </row>
    <row r="84" spans="1:15" ht="39" customHeight="1" x14ac:dyDescent="0.2">
      <c r="A84" s="187" t="s">
        <v>118</v>
      </c>
      <c r="B84" s="190">
        <v>1058</v>
      </c>
      <c r="C84" s="198">
        <v>0</v>
      </c>
      <c r="D84" s="198">
        <f t="shared" si="8"/>
        <v>0</v>
      </c>
      <c r="E84" s="199">
        <v>0</v>
      </c>
      <c r="F84" s="199">
        <v>0</v>
      </c>
      <c r="G84" s="199">
        <v>0</v>
      </c>
      <c r="H84" s="198">
        <v>0</v>
      </c>
      <c r="I84" s="202"/>
      <c r="K84" s="202"/>
      <c r="L84" s="195"/>
      <c r="M84" s="195"/>
      <c r="N84" s="195"/>
      <c r="O84" s="195"/>
    </row>
    <row r="85" spans="1:15" ht="23.25" customHeight="1" x14ac:dyDescent="0.2">
      <c r="A85" s="187" t="s">
        <v>119</v>
      </c>
      <c r="B85" s="190">
        <v>1059</v>
      </c>
      <c r="C85" s="198">
        <v>15</v>
      </c>
      <c r="D85" s="198">
        <f t="shared" si="8"/>
        <v>0</v>
      </c>
      <c r="E85" s="199">
        <v>0</v>
      </c>
      <c r="F85" s="212">
        <v>0</v>
      </c>
      <c r="G85" s="198">
        <v>0</v>
      </c>
      <c r="H85" s="198">
        <v>0</v>
      </c>
      <c r="I85" s="202"/>
      <c r="J85" s="202"/>
      <c r="K85" s="202"/>
    </row>
    <row r="86" spans="1:15" ht="24.75" customHeight="1" x14ac:dyDescent="0.2">
      <c r="A86" s="196" t="s">
        <v>86</v>
      </c>
      <c r="B86" s="197">
        <v>1060</v>
      </c>
      <c r="C86" s="198">
        <f>C87+C88+C89+C90+C91+C92+C93+C94+C95</f>
        <v>27153.699999999997</v>
      </c>
      <c r="D86" s="198">
        <f t="shared" si="8"/>
        <v>26133.149999999998</v>
      </c>
      <c r="E86" s="198">
        <f>E87+E88+E89+E90+E91+E92+E93+E94+E95</f>
        <v>6777.2</v>
      </c>
      <c r="F86" s="198">
        <f>F87+F88+F89+F90+F91+F92+F93+F94+F95</f>
        <v>6699.1500000000005</v>
      </c>
      <c r="G86" s="198">
        <f>G87+G88+G89+G90+G91+G92+G93+G94+G95</f>
        <v>6316.9499999999989</v>
      </c>
      <c r="H86" s="198">
        <f>H87+H88+H89+H90+H91+H92+H93+H94+H95</f>
        <v>6339.8499999999995</v>
      </c>
      <c r="I86" s="202"/>
      <c r="K86" s="202"/>
      <c r="L86" s="195"/>
      <c r="M86" s="195"/>
      <c r="N86" s="195"/>
      <c r="O86" s="195"/>
    </row>
    <row r="87" spans="1:15" ht="24.75" customHeight="1" x14ac:dyDescent="0.2">
      <c r="A87" s="187" t="s">
        <v>113</v>
      </c>
      <c r="B87" s="200">
        <v>1061</v>
      </c>
      <c r="C87" s="198">
        <v>16796.3</v>
      </c>
      <c r="D87" s="198">
        <f t="shared" si="8"/>
        <v>15170.499999999998</v>
      </c>
      <c r="E87" s="198">
        <f>3900+32.6</f>
        <v>3932.6</v>
      </c>
      <c r="F87" s="198">
        <f>3764.1+1.8+16.7</f>
        <v>3782.6</v>
      </c>
      <c r="G87" s="198">
        <f>3823.2+1.6+16.7</f>
        <v>3841.4999999999995</v>
      </c>
      <c r="H87" s="198">
        <f>3595.6+1.5+16.7</f>
        <v>3613.7999999999997</v>
      </c>
      <c r="I87" s="202"/>
      <c r="J87" s="202"/>
      <c r="K87" s="202"/>
    </row>
    <row r="88" spans="1:15" ht="24.75" customHeight="1" x14ac:dyDescent="0.2">
      <c r="A88" s="187" t="s">
        <v>114</v>
      </c>
      <c r="B88" s="200">
        <v>1062</v>
      </c>
      <c r="C88" s="198">
        <v>3687.6</v>
      </c>
      <c r="D88" s="198">
        <f t="shared" si="8"/>
        <v>3223.1000000000004</v>
      </c>
      <c r="E88" s="198">
        <f>850.2-32.6</f>
        <v>817.6</v>
      </c>
      <c r="F88" s="198">
        <f>828.2-16.7-1.8</f>
        <v>809.7</v>
      </c>
      <c r="G88" s="198">
        <f>841.3-16.7-1.6</f>
        <v>822.99999999999989</v>
      </c>
      <c r="H88" s="198">
        <f>791-16.7-1.5</f>
        <v>772.8</v>
      </c>
      <c r="I88" s="202"/>
      <c r="J88" s="202"/>
      <c r="K88" s="202"/>
      <c r="L88" s="195"/>
      <c r="M88" s="202"/>
      <c r="N88" s="195"/>
      <c r="O88" s="195"/>
    </row>
    <row r="89" spans="1:15" ht="101.25" customHeight="1" x14ac:dyDescent="0.2">
      <c r="A89" s="187" t="s">
        <v>194</v>
      </c>
      <c r="B89" s="200">
        <v>1063</v>
      </c>
      <c r="C89" s="198">
        <v>627</v>
      </c>
      <c r="D89" s="198">
        <f t="shared" si="8"/>
        <v>686.8</v>
      </c>
      <c r="E89" s="198">
        <v>116.3</v>
      </c>
      <c r="F89" s="198">
        <v>314.3</v>
      </c>
      <c r="G89" s="198">
        <f>68.2+60</f>
        <v>128.19999999999999</v>
      </c>
      <c r="H89" s="198">
        <v>128</v>
      </c>
      <c r="I89" s="202"/>
      <c r="J89" s="202"/>
      <c r="K89" s="202"/>
    </row>
    <row r="90" spans="1:15" ht="27.75" customHeight="1" x14ac:dyDescent="0.2">
      <c r="A90" s="187" t="s">
        <v>112</v>
      </c>
      <c r="B90" s="200">
        <v>1064</v>
      </c>
      <c r="C90" s="198">
        <v>2076.6999999999998</v>
      </c>
      <c r="D90" s="198">
        <f t="shared" si="8"/>
        <v>2076.6999999999998</v>
      </c>
      <c r="E90" s="213">
        <v>689.9</v>
      </c>
      <c r="F90" s="213">
        <f>512.8</f>
        <v>512.79999999999995</v>
      </c>
      <c r="G90" s="213">
        <v>237</v>
      </c>
      <c r="H90" s="213">
        <v>637</v>
      </c>
      <c r="I90" s="202"/>
      <c r="K90" s="202"/>
      <c r="L90" s="195"/>
      <c r="M90" s="195"/>
      <c r="N90" s="195"/>
      <c r="O90" s="195"/>
    </row>
    <row r="91" spans="1:15" ht="101.25" customHeight="1" x14ac:dyDescent="0.2">
      <c r="A91" s="187" t="s">
        <v>138</v>
      </c>
      <c r="B91" s="200">
        <v>1065</v>
      </c>
      <c r="C91" s="198">
        <v>2155.6</v>
      </c>
      <c r="D91" s="198">
        <f t="shared" si="8"/>
        <v>2555.5500000000002</v>
      </c>
      <c r="E91" s="213">
        <v>620.79999999999995</v>
      </c>
      <c r="F91" s="213">
        <v>678.25</v>
      </c>
      <c r="G91" s="213">
        <v>678.25</v>
      </c>
      <c r="H91" s="213">
        <v>578.25</v>
      </c>
      <c r="I91" s="202"/>
      <c r="J91" s="195"/>
      <c r="K91" s="202"/>
    </row>
    <row r="92" spans="1:15" ht="37.5" x14ac:dyDescent="0.2">
      <c r="A92" s="187" t="s">
        <v>121</v>
      </c>
      <c r="B92" s="200">
        <v>1066</v>
      </c>
      <c r="C92" s="198">
        <v>1787</v>
      </c>
      <c r="D92" s="198">
        <f t="shared" si="8"/>
        <v>2414</v>
      </c>
      <c r="E92" s="198">
        <v>600</v>
      </c>
      <c r="F92" s="198">
        <f>609-13</f>
        <v>596</v>
      </c>
      <c r="G92" s="198">
        <v>609</v>
      </c>
      <c r="H92" s="198">
        <v>609</v>
      </c>
      <c r="I92" s="202"/>
      <c r="K92" s="202"/>
      <c r="L92" s="195"/>
      <c r="M92" s="195"/>
      <c r="N92" s="195"/>
      <c r="O92" s="195"/>
    </row>
    <row r="93" spans="1:15" ht="27.75" customHeight="1" x14ac:dyDescent="0.2">
      <c r="A93" s="187" t="s">
        <v>117</v>
      </c>
      <c r="B93" s="200">
        <v>1067</v>
      </c>
      <c r="C93" s="198">
        <v>2</v>
      </c>
      <c r="D93" s="198">
        <f t="shared" si="8"/>
        <v>2</v>
      </c>
      <c r="E93" s="198">
        <v>0</v>
      </c>
      <c r="F93" s="198">
        <v>1</v>
      </c>
      <c r="G93" s="198">
        <v>0</v>
      </c>
      <c r="H93" s="198">
        <v>1</v>
      </c>
      <c r="I93" s="202"/>
      <c r="J93" s="195"/>
      <c r="K93" s="202"/>
    </row>
    <row r="94" spans="1:15" ht="36.75" customHeight="1" x14ac:dyDescent="0.2">
      <c r="A94" s="187" t="s">
        <v>118</v>
      </c>
      <c r="B94" s="200">
        <v>1068</v>
      </c>
      <c r="C94" s="198">
        <v>19.5</v>
      </c>
      <c r="D94" s="198">
        <f t="shared" si="8"/>
        <v>4.5</v>
      </c>
      <c r="E94" s="198">
        <v>0</v>
      </c>
      <c r="F94" s="198">
        <v>4.5</v>
      </c>
      <c r="G94" s="198">
        <v>0</v>
      </c>
      <c r="H94" s="198">
        <v>0</v>
      </c>
      <c r="I94" s="202"/>
      <c r="K94" s="202"/>
      <c r="L94" s="195"/>
      <c r="M94" s="195"/>
      <c r="N94" s="195"/>
      <c r="O94" s="195"/>
    </row>
    <row r="95" spans="1:15" ht="29.25" customHeight="1" x14ac:dyDescent="0.2">
      <c r="A95" s="187" t="s">
        <v>119</v>
      </c>
      <c r="B95" s="200">
        <v>1069</v>
      </c>
      <c r="C95" s="198">
        <v>2</v>
      </c>
      <c r="D95" s="198">
        <f t="shared" si="8"/>
        <v>0</v>
      </c>
      <c r="E95" s="198">
        <v>0</v>
      </c>
      <c r="F95" s="198">
        <v>0</v>
      </c>
      <c r="G95" s="198">
        <v>0</v>
      </c>
      <c r="H95" s="198">
        <f t="shared" ref="H95" si="9">I95+L95+M95+P95</f>
        <v>0</v>
      </c>
      <c r="I95" s="202"/>
      <c r="J95" s="195"/>
      <c r="K95" s="202"/>
    </row>
    <row r="96" spans="1:15" ht="26.25" customHeight="1" x14ac:dyDescent="0.2">
      <c r="A96" s="214" t="s">
        <v>87</v>
      </c>
      <c r="B96" s="197">
        <v>1070</v>
      </c>
      <c r="C96" s="198">
        <f>C97+C98+C99+C100+C101+C102+C103+C104</f>
        <v>7265.5</v>
      </c>
      <c r="D96" s="198">
        <f t="shared" si="8"/>
        <v>5916.8000000000011</v>
      </c>
      <c r="E96" s="198">
        <f t="shared" ref="E96:H96" si="10">E97+E98+E99+E100+E101+E102+E103+E104</f>
        <v>2068.3000000000002</v>
      </c>
      <c r="F96" s="198">
        <f t="shared" si="10"/>
        <v>1319.1000000000001</v>
      </c>
      <c r="G96" s="198">
        <f t="shared" si="10"/>
        <v>1184.8</v>
      </c>
      <c r="H96" s="198">
        <f t="shared" si="10"/>
        <v>1344.6000000000001</v>
      </c>
      <c r="I96" s="202"/>
      <c r="K96" s="202"/>
      <c r="L96" s="195"/>
      <c r="M96" s="195"/>
      <c r="N96" s="195"/>
      <c r="O96" s="195"/>
    </row>
    <row r="97" spans="1:15" ht="27" customHeight="1" x14ac:dyDescent="0.2">
      <c r="A97" s="187" t="s">
        <v>122</v>
      </c>
      <c r="B97" s="200">
        <v>1071</v>
      </c>
      <c r="C97" s="198">
        <v>4509.6000000000004</v>
      </c>
      <c r="D97" s="198">
        <f t="shared" si="8"/>
        <v>2029.7</v>
      </c>
      <c r="E97" s="198">
        <v>933.2</v>
      </c>
      <c r="F97" s="198">
        <v>500</v>
      </c>
      <c r="G97" s="198">
        <v>500</v>
      </c>
      <c r="H97" s="198">
        <v>96.5</v>
      </c>
      <c r="I97" s="202"/>
      <c r="J97" s="195"/>
      <c r="K97" s="202"/>
    </row>
    <row r="98" spans="1:15" ht="39.75" customHeight="1" x14ac:dyDescent="0.2">
      <c r="A98" s="187" t="s">
        <v>123</v>
      </c>
      <c r="B98" s="200">
        <v>1072</v>
      </c>
      <c r="C98" s="198">
        <v>458.5</v>
      </c>
      <c r="D98" s="198">
        <f t="shared" si="8"/>
        <v>458.5</v>
      </c>
      <c r="E98" s="198">
        <v>151</v>
      </c>
      <c r="F98" s="198">
        <v>99.6</v>
      </c>
      <c r="G98" s="198">
        <f>50.7+43</f>
        <v>93.7</v>
      </c>
      <c r="H98" s="198">
        <v>114.2</v>
      </c>
      <c r="I98" s="202"/>
      <c r="K98" s="202"/>
      <c r="L98" s="195"/>
      <c r="M98" s="195"/>
      <c r="N98" s="195"/>
      <c r="O98" s="195"/>
    </row>
    <row r="99" spans="1:15" ht="41.25" customHeight="1" x14ac:dyDescent="0.2">
      <c r="A99" s="187" t="s">
        <v>139</v>
      </c>
      <c r="B99" s="200">
        <v>1073</v>
      </c>
      <c r="C99" s="198">
        <v>27.5</v>
      </c>
      <c r="D99" s="198">
        <f t="shared" si="8"/>
        <v>27.5</v>
      </c>
      <c r="E99" s="198">
        <v>0</v>
      </c>
      <c r="F99" s="198">
        <v>8.3000000000000007</v>
      </c>
      <c r="G99" s="198">
        <v>11.5</v>
      </c>
      <c r="H99" s="198">
        <v>7.7</v>
      </c>
      <c r="I99" s="202"/>
      <c r="J99" s="195"/>
      <c r="K99" s="202"/>
    </row>
    <row r="100" spans="1:15" ht="26.25" customHeight="1" x14ac:dyDescent="0.2">
      <c r="A100" s="187" t="s">
        <v>124</v>
      </c>
      <c r="B100" s="200">
        <v>1074</v>
      </c>
      <c r="C100" s="198">
        <v>1844</v>
      </c>
      <c r="D100" s="198">
        <f t="shared" si="8"/>
        <v>2880</v>
      </c>
      <c r="E100" s="198">
        <v>900</v>
      </c>
      <c r="F100" s="198">
        <v>540</v>
      </c>
      <c r="G100" s="198">
        <v>450</v>
      </c>
      <c r="H100" s="198">
        <v>990</v>
      </c>
      <c r="I100" s="202"/>
      <c r="K100" s="202"/>
      <c r="L100" s="195"/>
      <c r="M100" s="195"/>
      <c r="N100" s="195"/>
      <c r="O100" s="195"/>
    </row>
    <row r="101" spans="1:15" ht="26.25" customHeight="1" x14ac:dyDescent="0.2">
      <c r="A101" s="187" t="s">
        <v>140</v>
      </c>
      <c r="B101" s="200">
        <v>1075</v>
      </c>
      <c r="C101" s="198">
        <v>1.2</v>
      </c>
      <c r="D101" s="198">
        <f t="shared" si="8"/>
        <v>1.2</v>
      </c>
      <c r="E101" s="198">
        <v>0</v>
      </c>
      <c r="F101" s="198">
        <v>0</v>
      </c>
      <c r="G101" s="198">
        <v>0</v>
      </c>
      <c r="H101" s="198">
        <v>1.2</v>
      </c>
      <c r="I101" s="202"/>
      <c r="J101" s="195"/>
      <c r="K101" s="202"/>
    </row>
    <row r="102" spans="1:15" ht="26.25" customHeight="1" x14ac:dyDescent="0.2">
      <c r="A102" s="187" t="s">
        <v>125</v>
      </c>
      <c r="B102" s="200">
        <v>1076</v>
      </c>
      <c r="C102" s="198">
        <v>139.69999999999999</v>
      </c>
      <c r="D102" s="198">
        <f t="shared" si="8"/>
        <v>119.9</v>
      </c>
      <c r="E102" s="198">
        <v>44.1</v>
      </c>
      <c r="F102" s="198">
        <v>51.2</v>
      </c>
      <c r="G102" s="198">
        <v>9.6</v>
      </c>
      <c r="H102" s="198">
        <v>15</v>
      </c>
      <c r="I102" s="202"/>
      <c r="K102" s="202"/>
      <c r="L102" s="195"/>
      <c r="M102" s="195"/>
      <c r="N102" s="195"/>
      <c r="O102" s="195"/>
    </row>
    <row r="103" spans="1:15" ht="26.25" customHeight="1" x14ac:dyDescent="0.2">
      <c r="A103" s="187" t="s">
        <v>141</v>
      </c>
      <c r="B103" s="200">
        <v>1077</v>
      </c>
      <c r="C103" s="198">
        <v>285</v>
      </c>
      <c r="D103" s="198">
        <f t="shared" si="8"/>
        <v>400</v>
      </c>
      <c r="E103" s="198">
        <v>40</v>
      </c>
      <c r="F103" s="198">
        <v>120</v>
      </c>
      <c r="G103" s="198">
        <v>120</v>
      </c>
      <c r="H103" s="198">
        <v>120</v>
      </c>
      <c r="I103" s="202"/>
      <c r="K103" s="202"/>
    </row>
    <row r="104" spans="1:15" ht="26.25" customHeight="1" x14ac:dyDescent="0.2">
      <c r="A104" s="187" t="s">
        <v>126</v>
      </c>
      <c r="B104" s="200">
        <v>1078</v>
      </c>
      <c r="C104" s="198">
        <v>0</v>
      </c>
      <c r="D104" s="198">
        <f t="shared" si="8"/>
        <v>0</v>
      </c>
      <c r="E104" s="198">
        <v>0</v>
      </c>
      <c r="F104" s="198">
        <v>0</v>
      </c>
      <c r="G104" s="198">
        <v>0</v>
      </c>
      <c r="H104" s="198"/>
      <c r="I104" s="202"/>
      <c r="J104" s="195"/>
      <c r="K104" s="202"/>
      <c r="L104" s="195"/>
      <c r="M104" s="195"/>
      <c r="N104" s="195"/>
      <c r="O104" s="195"/>
    </row>
    <row r="105" spans="1:15" ht="23.25" customHeight="1" x14ac:dyDescent="0.2">
      <c r="A105" s="196" t="s">
        <v>88</v>
      </c>
      <c r="B105" s="197">
        <v>1080</v>
      </c>
      <c r="C105" s="198">
        <f>C106</f>
        <v>2492.8000000000002</v>
      </c>
      <c r="D105" s="198">
        <f t="shared" si="8"/>
        <v>554</v>
      </c>
      <c r="E105" s="198">
        <f>SUM(E106:E106)</f>
        <v>550.1</v>
      </c>
      <c r="F105" s="198">
        <f>SUM(F106:F106)</f>
        <v>3.9</v>
      </c>
      <c r="G105" s="198">
        <f>SUM(G106:G106)</f>
        <v>0</v>
      </c>
      <c r="H105" s="198">
        <f>SUM(H106:H106)</f>
        <v>0</v>
      </c>
      <c r="I105" s="202"/>
      <c r="J105" s="195"/>
      <c r="K105" s="202"/>
      <c r="L105" s="195"/>
      <c r="M105" s="195"/>
      <c r="N105" s="195"/>
      <c r="O105" s="195"/>
    </row>
    <row r="106" spans="1:15" ht="26.25" customHeight="1" x14ac:dyDescent="0.2">
      <c r="A106" s="187" t="s">
        <v>127</v>
      </c>
      <c r="B106" s="200" t="s">
        <v>21</v>
      </c>
      <c r="C106" s="198">
        <v>2492.8000000000002</v>
      </c>
      <c r="D106" s="198">
        <f t="shared" si="8"/>
        <v>554</v>
      </c>
      <c r="E106" s="198">
        <v>550.1</v>
      </c>
      <c r="F106" s="198">
        <v>3.9</v>
      </c>
      <c r="G106" s="198">
        <v>0</v>
      </c>
      <c r="H106" s="198">
        <v>0</v>
      </c>
      <c r="I106" s="202"/>
      <c r="J106" s="195"/>
      <c r="K106" s="202"/>
    </row>
    <row r="107" spans="1:15" ht="19.5" customHeight="1" x14ac:dyDescent="0.2">
      <c r="A107" s="196" t="s">
        <v>54</v>
      </c>
      <c r="B107" s="197">
        <v>1090</v>
      </c>
      <c r="C107" s="198">
        <f>C73+C86+C96+C105</f>
        <v>133318.9</v>
      </c>
      <c r="D107" s="198">
        <f t="shared" si="8"/>
        <v>135381.25</v>
      </c>
      <c r="E107" s="198">
        <f>E73+E86+E96+E105</f>
        <v>35147.1</v>
      </c>
      <c r="F107" s="198">
        <f>F73+F86+F96+F105</f>
        <v>35658.049999999996</v>
      </c>
      <c r="G107" s="198">
        <f>G73+G86+G96+G105</f>
        <v>31915.449999999993</v>
      </c>
      <c r="H107" s="198">
        <f>H73+H86+H96+H105</f>
        <v>32660.649999999998</v>
      </c>
      <c r="I107" s="202"/>
      <c r="K107" s="202"/>
      <c r="L107" s="195"/>
      <c r="M107" s="195"/>
      <c r="N107" s="195"/>
      <c r="O107" s="195"/>
    </row>
    <row r="108" spans="1:15" s="195" customFormat="1" ht="19.5" customHeight="1" x14ac:dyDescent="0.2">
      <c r="A108" s="196" t="s">
        <v>142</v>
      </c>
      <c r="B108" s="197">
        <v>1100</v>
      </c>
      <c r="C108" s="208">
        <f>C72-C107+0.1</f>
        <v>18996.599999999999</v>
      </c>
      <c r="D108" s="208">
        <f>D72-D107</f>
        <v>8819.1500000000233</v>
      </c>
      <c r="E108" s="208">
        <f>E72-E107</f>
        <v>1839.7000000000044</v>
      </c>
      <c r="F108" s="208">
        <f>F72-F107</f>
        <v>3886.8499999999985</v>
      </c>
      <c r="G108" s="208">
        <f>G72-G107</f>
        <v>1064.7500000000036</v>
      </c>
      <c r="H108" s="208">
        <f>H72-H107</f>
        <v>2027.8500000000022</v>
      </c>
      <c r="I108" s="202"/>
      <c r="J108" s="169"/>
      <c r="K108" s="202"/>
    </row>
    <row r="109" spans="1:15" ht="32.25" customHeight="1" x14ac:dyDescent="0.2">
      <c r="A109" s="300" t="s">
        <v>55</v>
      </c>
      <c r="B109" s="300"/>
      <c r="C109" s="300"/>
      <c r="D109" s="300"/>
      <c r="E109" s="300"/>
      <c r="F109" s="300"/>
      <c r="G109" s="300"/>
      <c r="H109" s="300"/>
      <c r="I109" s="202"/>
      <c r="K109" s="202"/>
      <c r="L109" s="195"/>
      <c r="M109" s="195"/>
      <c r="N109" s="195"/>
      <c r="O109" s="195"/>
    </row>
    <row r="110" spans="1:15" ht="27" customHeight="1" x14ac:dyDescent="0.2">
      <c r="A110" s="196" t="s">
        <v>89</v>
      </c>
      <c r="B110" s="215">
        <v>2000</v>
      </c>
      <c r="C110" s="216">
        <v>18026.5</v>
      </c>
      <c r="D110" s="216">
        <f t="shared" ref="D110:D116" si="11">E110+F110+G110+H110</f>
        <v>8167</v>
      </c>
      <c r="E110" s="216">
        <f t="shared" ref="E110:H110" si="12">SUM(E111:E116)</f>
        <v>1667</v>
      </c>
      <c r="F110" s="216">
        <f t="shared" si="12"/>
        <v>4250</v>
      </c>
      <c r="G110" s="216">
        <f t="shared" si="12"/>
        <v>2250</v>
      </c>
      <c r="H110" s="216">
        <f t="shared" si="12"/>
        <v>0</v>
      </c>
      <c r="I110" s="202"/>
      <c r="J110" s="217"/>
      <c r="K110" s="202"/>
    </row>
    <row r="111" spans="1:15" ht="24.75" customHeight="1" x14ac:dyDescent="0.2">
      <c r="A111" s="187" t="s">
        <v>91</v>
      </c>
      <c r="B111" s="190">
        <v>2010</v>
      </c>
      <c r="C111" s="216">
        <v>0</v>
      </c>
      <c r="D111" s="216">
        <f t="shared" si="11"/>
        <v>0</v>
      </c>
      <c r="E111" s="216">
        <v>0</v>
      </c>
      <c r="F111" s="216">
        <v>0</v>
      </c>
      <c r="G111" s="216">
        <v>0</v>
      </c>
      <c r="H111" s="206">
        <v>0</v>
      </c>
      <c r="I111" s="202"/>
      <c r="J111" s="195"/>
      <c r="K111" s="202"/>
      <c r="L111" s="195"/>
      <c r="M111" s="195"/>
      <c r="N111" s="195"/>
      <c r="O111" s="195"/>
    </row>
    <row r="112" spans="1:15" x14ac:dyDescent="0.2">
      <c r="A112" s="187" t="s">
        <v>92</v>
      </c>
      <c r="B112" s="190">
        <v>2020</v>
      </c>
      <c r="C112" s="218">
        <v>1806.1</v>
      </c>
      <c r="D112" s="216">
        <f t="shared" si="11"/>
        <v>0</v>
      </c>
      <c r="E112" s="206">
        <v>0</v>
      </c>
      <c r="F112" s="206">
        <v>0</v>
      </c>
      <c r="G112" s="206">
        <v>0</v>
      </c>
      <c r="H112" s="206">
        <v>0</v>
      </c>
      <c r="I112" s="202"/>
      <c r="K112" s="202"/>
    </row>
    <row r="113" spans="1:15" ht="37.5" x14ac:dyDescent="0.2">
      <c r="A113" s="187" t="s">
        <v>93</v>
      </c>
      <c r="B113" s="190">
        <v>2030</v>
      </c>
      <c r="C113" s="216">
        <v>0</v>
      </c>
      <c r="D113" s="216">
        <f t="shared" si="11"/>
        <v>0</v>
      </c>
      <c r="E113" s="216">
        <v>0</v>
      </c>
      <c r="F113" s="216">
        <v>0</v>
      </c>
      <c r="G113" s="216">
        <v>0</v>
      </c>
      <c r="H113" s="206">
        <v>0</v>
      </c>
      <c r="I113" s="202"/>
      <c r="J113" s="195"/>
      <c r="K113" s="202"/>
      <c r="L113" s="195"/>
      <c r="M113" s="195"/>
      <c r="N113" s="195"/>
      <c r="O113" s="195"/>
    </row>
    <row r="114" spans="1:15" ht="22.5" customHeight="1" x14ac:dyDescent="0.2">
      <c r="A114" s="187" t="s">
        <v>94</v>
      </c>
      <c r="B114" s="190">
        <v>2040</v>
      </c>
      <c r="C114" s="218">
        <v>0</v>
      </c>
      <c r="D114" s="216">
        <f t="shared" si="11"/>
        <v>0</v>
      </c>
      <c r="E114" s="216">
        <v>0</v>
      </c>
      <c r="F114" s="216">
        <f>G114+H114+I114+L114</f>
        <v>0</v>
      </c>
      <c r="G114" s="216">
        <v>0</v>
      </c>
      <c r="H114" s="216">
        <f t="shared" ref="H114:H115" si="13">I114+L114+M114+P114</f>
        <v>0</v>
      </c>
      <c r="I114" s="202"/>
      <c r="K114" s="202"/>
    </row>
    <row r="115" spans="1:15" ht="39" customHeight="1" x14ac:dyDescent="0.2">
      <c r="A115" s="187" t="s">
        <v>95</v>
      </c>
      <c r="B115" s="190">
        <v>2050</v>
      </c>
      <c r="C115" s="216">
        <v>1955</v>
      </c>
      <c r="D115" s="216">
        <f t="shared" si="11"/>
        <v>0</v>
      </c>
      <c r="E115" s="216">
        <v>0</v>
      </c>
      <c r="F115" s="216">
        <v>0</v>
      </c>
      <c r="G115" s="216">
        <v>0</v>
      </c>
      <c r="H115" s="216">
        <f t="shared" si="13"/>
        <v>0</v>
      </c>
      <c r="I115" s="202"/>
      <c r="J115" s="195"/>
      <c r="K115" s="202"/>
      <c r="L115" s="195"/>
      <c r="M115" s="195"/>
      <c r="N115" s="195"/>
      <c r="O115" s="195"/>
    </row>
    <row r="116" spans="1:15" ht="22.5" customHeight="1" x14ac:dyDescent="0.2">
      <c r="A116" s="187" t="s">
        <v>96</v>
      </c>
      <c r="B116" s="190">
        <v>2060</v>
      </c>
      <c r="C116" s="216">
        <v>14265.4</v>
      </c>
      <c r="D116" s="216">
        <f t="shared" si="11"/>
        <v>8167</v>
      </c>
      <c r="E116" s="216">
        <v>1667</v>
      </c>
      <c r="F116" s="216">
        <v>4250</v>
      </c>
      <c r="G116" s="216">
        <v>2250</v>
      </c>
      <c r="H116" s="206">
        <v>0</v>
      </c>
      <c r="I116" s="202"/>
      <c r="K116" s="202"/>
    </row>
    <row r="117" spans="1:15" ht="22.5" customHeight="1" x14ac:dyDescent="0.2">
      <c r="A117" s="187" t="s">
        <v>20</v>
      </c>
      <c r="B117" s="190">
        <v>2100</v>
      </c>
      <c r="C117" s="216">
        <v>199102.1</v>
      </c>
      <c r="D117" s="216">
        <f>H117</f>
        <v>195789.3</v>
      </c>
      <c r="E117" s="216">
        <v>195789.3</v>
      </c>
      <c r="F117" s="216">
        <v>195789.3</v>
      </c>
      <c r="G117" s="216">
        <v>195789.3</v>
      </c>
      <c r="H117" s="216">
        <v>195789.3</v>
      </c>
      <c r="I117" s="202"/>
      <c r="J117" s="195"/>
      <c r="K117" s="202"/>
      <c r="L117" s="195"/>
      <c r="M117" s="195"/>
      <c r="N117" s="195"/>
      <c r="O117" s="195"/>
    </row>
    <row r="118" spans="1:15" ht="22.5" customHeight="1" x14ac:dyDescent="0.2">
      <c r="A118" s="187" t="s">
        <v>19</v>
      </c>
      <c r="B118" s="190">
        <v>2200</v>
      </c>
      <c r="C118" s="216">
        <v>91855.7</v>
      </c>
      <c r="D118" s="216">
        <f>H118</f>
        <v>82822.5</v>
      </c>
      <c r="E118" s="216">
        <v>82822.5</v>
      </c>
      <c r="F118" s="216">
        <v>82822.5</v>
      </c>
      <c r="G118" s="216">
        <v>82822.5</v>
      </c>
      <c r="H118" s="216">
        <v>82822.5</v>
      </c>
      <c r="I118" s="202"/>
      <c r="K118" s="202"/>
    </row>
    <row r="119" spans="1:15" ht="25.5" customHeight="1" x14ac:dyDescent="0.2">
      <c r="A119" s="300" t="s">
        <v>56</v>
      </c>
      <c r="B119" s="300"/>
      <c r="C119" s="300"/>
      <c r="D119" s="300"/>
      <c r="E119" s="300"/>
      <c r="F119" s="300"/>
      <c r="G119" s="300"/>
      <c r="H119" s="300"/>
      <c r="I119" s="202"/>
      <c r="K119" s="202"/>
      <c r="L119" s="195"/>
      <c r="M119" s="195"/>
      <c r="N119" s="195"/>
      <c r="O119" s="195"/>
    </row>
    <row r="120" spans="1:15" ht="46.5" customHeight="1" x14ac:dyDescent="0.2">
      <c r="A120" s="219" t="s">
        <v>90</v>
      </c>
      <c r="B120" s="190">
        <v>3010</v>
      </c>
      <c r="C120" s="220">
        <f t="shared" ref="C120:H120" si="14">(C60/C72)</f>
        <v>0.24569084938226865</v>
      </c>
      <c r="D120" s="220">
        <f t="shared" si="14"/>
        <v>0.21410342828452622</v>
      </c>
      <c r="E120" s="220">
        <f t="shared" si="14"/>
        <v>0.22825440427395716</v>
      </c>
      <c r="F120" s="220">
        <f t="shared" si="14"/>
        <v>0.24010428651987997</v>
      </c>
      <c r="G120" s="220">
        <f t="shared" si="14"/>
        <v>0.18955312581488287</v>
      </c>
      <c r="H120" s="220">
        <f t="shared" si="14"/>
        <v>0.19271516496821714</v>
      </c>
      <c r="I120" s="202"/>
      <c r="J120" s="195"/>
      <c r="K120" s="202"/>
    </row>
    <row r="121" spans="1:15" ht="37.5" x14ac:dyDescent="0.2">
      <c r="A121" s="187" t="s">
        <v>18</v>
      </c>
      <c r="B121" s="190">
        <v>3020</v>
      </c>
      <c r="C121" s="220">
        <f t="shared" ref="C121:H121" si="15">(C80+C90)/C107</f>
        <v>7.5491922000556558E-2</v>
      </c>
      <c r="D121" s="220">
        <f t="shared" si="15"/>
        <v>8.294206177000138E-2</v>
      </c>
      <c r="E121" s="220">
        <f t="shared" si="15"/>
        <v>0.10856656736971187</v>
      </c>
      <c r="F121" s="220">
        <f t="shared" si="15"/>
        <v>6.3323709512999177E-2</v>
      </c>
      <c r="G121" s="220">
        <f t="shared" si="15"/>
        <v>3.393654170628959E-2</v>
      </c>
      <c r="H121" s="220">
        <f t="shared" si="15"/>
        <v>0.12467296272425687</v>
      </c>
      <c r="I121" s="202"/>
      <c r="K121" s="202"/>
      <c r="L121" s="195"/>
      <c r="M121" s="195"/>
      <c r="N121" s="195"/>
      <c r="O121" s="195"/>
    </row>
    <row r="122" spans="1:15" ht="37.5" x14ac:dyDescent="0.2">
      <c r="A122" s="187" t="s">
        <v>59</v>
      </c>
      <c r="B122" s="190">
        <v>3030</v>
      </c>
      <c r="C122" s="220">
        <f>(C110/C107)</f>
        <v>0.13521338684912643</v>
      </c>
      <c r="D122" s="220">
        <f t="shared" ref="D122:G122" si="16">(D110/D107)</f>
        <v>6.0325931397442405E-2</v>
      </c>
      <c r="E122" s="220">
        <f t="shared" si="16"/>
        <v>4.7429233137300089E-2</v>
      </c>
      <c r="F122" s="220">
        <f t="shared" si="16"/>
        <v>0.11918767290976373</v>
      </c>
      <c r="G122" s="220">
        <f t="shared" si="16"/>
        <v>7.0498770971426081E-2</v>
      </c>
      <c r="H122" s="220">
        <f>(H110/H107)</f>
        <v>0</v>
      </c>
      <c r="I122" s="202"/>
      <c r="J122" s="195"/>
      <c r="K122" s="202"/>
    </row>
    <row r="123" spans="1:15" ht="37.5" x14ac:dyDescent="0.2">
      <c r="A123" s="187" t="s">
        <v>17</v>
      </c>
      <c r="B123" s="190">
        <v>3040</v>
      </c>
      <c r="C123" s="220">
        <f t="shared" ref="C123:H123" si="17">(C145/C107)</f>
        <v>0.61763860937946546</v>
      </c>
      <c r="D123" s="220">
        <f t="shared" si="17"/>
        <v>0.6082297216195004</v>
      </c>
      <c r="E123" s="220">
        <f t="shared" si="17"/>
        <v>0.58556182444639815</v>
      </c>
      <c r="F123" s="220">
        <f t="shared" si="17"/>
        <v>0.57649534957744475</v>
      </c>
      <c r="G123" s="220">
        <f t="shared" si="17"/>
        <v>0.66189886089652528</v>
      </c>
      <c r="H123" s="220">
        <f t="shared" si="17"/>
        <v>0.61482548571446072</v>
      </c>
      <c r="I123" s="202"/>
      <c r="K123" s="202"/>
      <c r="L123" s="195"/>
      <c r="M123" s="195"/>
      <c r="N123" s="195"/>
      <c r="O123" s="195"/>
    </row>
    <row r="124" spans="1:15" ht="27.75" customHeight="1" x14ac:dyDescent="0.2">
      <c r="A124" s="219" t="s">
        <v>16</v>
      </c>
      <c r="B124" s="190">
        <v>3050</v>
      </c>
      <c r="C124" s="216">
        <f>C118/C117</f>
        <v>0.46134972961108894</v>
      </c>
      <c r="D124" s="216">
        <f t="shared" ref="D124:H124" si="18">D118/D117</f>
        <v>0.42301852041965521</v>
      </c>
      <c r="E124" s="216">
        <f t="shared" si="18"/>
        <v>0.42301852041965521</v>
      </c>
      <c r="F124" s="216">
        <f t="shared" si="18"/>
        <v>0.42301852041965521</v>
      </c>
      <c r="G124" s="216">
        <f t="shared" si="18"/>
        <v>0.42301852041965521</v>
      </c>
      <c r="H124" s="216">
        <f t="shared" si="18"/>
        <v>0.42301852041965521</v>
      </c>
      <c r="I124" s="202"/>
      <c r="J124" s="195"/>
      <c r="K124" s="202"/>
    </row>
    <row r="125" spans="1:15" ht="37.5" x14ac:dyDescent="0.2">
      <c r="A125" s="219" t="s">
        <v>15</v>
      </c>
      <c r="B125" s="190">
        <v>3060</v>
      </c>
      <c r="C125" s="216">
        <f>(C112+C113)/C110</f>
        <v>0.10019138490555571</v>
      </c>
      <c r="D125" s="216">
        <f>(D112+D113)/D110</f>
        <v>0</v>
      </c>
      <c r="E125" s="216">
        <v>0</v>
      </c>
      <c r="F125" s="216">
        <f>(F112+F113)/F110</f>
        <v>0</v>
      </c>
      <c r="G125" s="216">
        <v>0</v>
      </c>
      <c r="H125" s="216">
        <v>0</v>
      </c>
      <c r="I125" s="202"/>
      <c r="K125" s="202"/>
      <c r="L125" s="195"/>
      <c r="M125" s="195"/>
      <c r="N125" s="195"/>
      <c r="O125" s="195"/>
    </row>
    <row r="126" spans="1:15" ht="22.5" customHeight="1" x14ac:dyDescent="0.2">
      <c r="A126" s="302" t="s">
        <v>57</v>
      </c>
      <c r="B126" s="302"/>
      <c r="C126" s="302"/>
      <c r="D126" s="302"/>
      <c r="E126" s="302"/>
      <c r="F126" s="302"/>
      <c r="G126" s="302"/>
      <c r="H126" s="302"/>
      <c r="J126" s="195"/>
      <c r="K126" s="202"/>
    </row>
    <row r="127" spans="1:15" ht="21.75" customHeight="1" x14ac:dyDescent="0.2">
      <c r="A127" s="219" t="s">
        <v>14</v>
      </c>
      <c r="B127" s="190">
        <v>4010</v>
      </c>
      <c r="C127" s="216">
        <v>107896.4</v>
      </c>
      <c r="D127" s="216">
        <f t="shared" ref="D127:D133" si="19">H127</f>
        <v>117487.3</v>
      </c>
      <c r="E127" s="216">
        <f>116587.3+400</f>
        <v>116987.3</v>
      </c>
      <c r="F127" s="216">
        <f>116587.3+350+400</f>
        <v>117337.3</v>
      </c>
      <c r="G127" s="216">
        <f>116587.3+800</f>
        <v>117387.3</v>
      </c>
      <c r="H127" s="216">
        <f>116587.3+900</f>
        <v>117487.3</v>
      </c>
      <c r="I127" s="195"/>
      <c r="K127" s="202"/>
      <c r="L127" s="195"/>
      <c r="M127" s="195"/>
      <c r="N127" s="195"/>
      <c r="O127" s="195"/>
    </row>
    <row r="128" spans="1:15" ht="21.75" customHeight="1" x14ac:dyDescent="0.2">
      <c r="A128" s="219" t="s">
        <v>130</v>
      </c>
      <c r="B128" s="190">
        <v>4020</v>
      </c>
      <c r="C128" s="216">
        <v>10046.799999999999</v>
      </c>
      <c r="D128" s="216">
        <f t="shared" si="19"/>
        <v>10436.4</v>
      </c>
      <c r="E128" s="216">
        <v>11137.4</v>
      </c>
      <c r="F128" s="216">
        <v>10385.200000000001</v>
      </c>
      <c r="G128" s="216">
        <v>10181.4</v>
      </c>
      <c r="H128" s="216">
        <v>10436.4</v>
      </c>
      <c r="J128" s="195"/>
      <c r="K128" s="202"/>
    </row>
    <row r="129" spans="1:15" ht="21.75" customHeight="1" x14ac:dyDescent="0.2">
      <c r="A129" s="219" t="s">
        <v>97</v>
      </c>
      <c r="B129" s="190">
        <v>4021</v>
      </c>
      <c r="C129" s="216">
        <v>1949.9</v>
      </c>
      <c r="D129" s="216">
        <f t="shared" si="19"/>
        <v>1467.2</v>
      </c>
      <c r="E129" s="216">
        <v>827.7</v>
      </c>
      <c r="F129" s="216">
        <v>916.5</v>
      </c>
      <c r="G129" s="216">
        <v>1127.7</v>
      </c>
      <c r="H129" s="216">
        <v>1467.2</v>
      </c>
      <c r="I129" s="195"/>
      <c r="J129" s="210"/>
      <c r="K129" s="202"/>
      <c r="L129" s="195"/>
      <c r="M129" s="195"/>
      <c r="N129" s="195"/>
      <c r="O129" s="195"/>
    </row>
    <row r="130" spans="1:15" ht="21.75" customHeight="1" x14ac:dyDescent="0.2">
      <c r="A130" s="196" t="s">
        <v>13</v>
      </c>
      <c r="B130" s="215">
        <v>4030</v>
      </c>
      <c r="C130" s="216">
        <v>117943.2</v>
      </c>
      <c r="D130" s="216">
        <f>H130</f>
        <v>127923.7</v>
      </c>
      <c r="E130" s="216">
        <f t="shared" ref="E130:H130" si="20">E127+E128</f>
        <v>128124.7</v>
      </c>
      <c r="F130" s="216">
        <f t="shared" si="20"/>
        <v>127722.5</v>
      </c>
      <c r="G130" s="216">
        <f t="shared" si="20"/>
        <v>127568.7</v>
      </c>
      <c r="H130" s="216">
        <f t="shared" si="20"/>
        <v>127923.7</v>
      </c>
      <c r="J130" s="202"/>
      <c r="K130" s="202"/>
    </row>
    <row r="131" spans="1:15" ht="21.75" customHeight="1" x14ac:dyDescent="0.2">
      <c r="A131" s="219" t="s">
        <v>12</v>
      </c>
      <c r="B131" s="190">
        <v>4040</v>
      </c>
      <c r="C131" s="216">
        <v>7359</v>
      </c>
      <c r="D131" s="216">
        <f>H131</f>
        <v>11999.1</v>
      </c>
      <c r="E131" s="216">
        <v>11659.9</v>
      </c>
      <c r="F131" s="216">
        <v>11687.4</v>
      </c>
      <c r="G131" s="216">
        <v>11689.2</v>
      </c>
      <c r="H131" s="216">
        <v>11999.1</v>
      </c>
      <c r="I131" s="195"/>
      <c r="J131" s="210"/>
      <c r="K131" s="202"/>
      <c r="L131" s="202"/>
      <c r="M131" s="202"/>
      <c r="N131" s="195"/>
      <c r="O131" s="202"/>
    </row>
    <row r="132" spans="1:15" ht="21.75" customHeight="1" x14ac:dyDescent="0.2">
      <c r="A132" s="219" t="s">
        <v>11</v>
      </c>
      <c r="B132" s="190">
        <v>4050</v>
      </c>
      <c r="C132" s="216">
        <v>77250.600000000006</v>
      </c>
      <c r="D132" s="216">
        <f t="shared" si="19"/>
        <v>77949</v>
      </c>
      <c r="E132" s="216">
        <v>77632</v>
      </c>
      <c r="F132" s="216">
        <v>77854</v>
      </c>
      <c r="G132" s="216">
        <v>77934</v>
      </c>
      <c r="H132" s="216">
        <v>77949</v>
      </c>
      <c r="J132" s="195"/>
      <c r="K132" s="202"/>
    </row>
    <row r="133" spans="1:15" ht="37.5" x14ac:dyDescent="0.2">
      <c r="A133" s="221" t="s">
        <v>131</v>
      </c>
      <c r="B133" s="215">
        <v>4060</v>
      </c>
      <c r="C133" s="216">
        <v>84609.600000000006</v>
      </c>
      <c r="D133" s="216">
        <f t="shared" si="19"/>
        <v>89948.1</v>
      </c>
      <c r="E133" s="216">
        <f>E131+E132</f>
        <v>89291.9</v>
      </c>
      <c r="F133" s="216">
        <v>89373.9</v>
      </c>
      <c r="G133" s="216">
        <f>G131+G132</f>
        <v>89623.2</v>
      </c>
      <c r="H133" s="216">
        <f>H131+H132</f>
        <v>89948.1</v>
      </c>
      <c r="I133" s="195"/>
      <c r="K133" s="202"/>
      <c r="L133" s="195"/>
      <c r="M133" s="195"/>
      <c r="N133" s="195"/>
      <c r="O133" s="195"/>
    </row>
    <row r="134" spans="1:15" ht="22.5" customHeight="1" x14ac:dyDescent="0.2">
      <c r="A134" s="219" t="s">
        <v>98</v>
      </c>
      <c r="B134" s="190">
        <v>4070</v>
      </c>
      <c r="C134" s="216">
        <v>0</v>
      </c>
      <c r="D134" s="216">
        <f>E134+F134+G134+H134</f>
        <v>0</v>
      </c>
      <c r="E134" s="216">
        <v>0</v>
      </c>
      <c r="F134" s="216">
        <v>0</v>
      </c>
      <c r="G134" s="216">
        <v>0</v>
      </c>
      <c r="H134" s="206">
        <v>0</v>
      </c>
      <c r="J134" s="195"/>
      <c r="K134" s="202"/>
    </row>
    <row r="135" spans="1:15" ht="22.5" customHeight="1" x14ac:dyDescent="0.2">
      <c r="A135" s="219" t="s">
        <v>99</v>
      </c>
      <c r="B135" s="190">
        <v>4080</v>
      </c>
      <c r="C135" s="216">
        <v>0</v>
      </c>
      <c r="D135" s="216">
        <f>E135+F135+G135+H135</f>
        <v>0</v>
      </c>
      <c r="E135" s="216">
        <v>0</v>
      </c>
      <c r="F135" s="216">
        <v>0</v>
      </c>
      <c r="G135" s="216">
        <v>0</v>
      </c>
      <c r="H135" s="206">
        <v>0</v>
      </c>
      <c r="I135" s="195"/>
      <c r="K135" s="202"/>
      <c r="L135" s="195"/>
      <c r="M135" s="195"/>
      <c r="N135" s="195"/>
      <c r="O135" s="195"/>
    </row>
    <row r="136" spans="1:15" ht="21" customHeight="1" x14ac:dyDescent="0.2">
      <c r="A136" s="221" t="s">
        <v>10</v>
      </c>
      <c r="B136" s="215">
        <v>4090</v>
      </c>
      <c r="C136" s="216">
        <v>33333.599999999999</v>
      </c>
      <c r="D136" s="216">
        <f>H136</f>
        <v>37975.599999999991</v>
      </c>
      <c r="E136" s="216">
        <f>E130-E133</f>
        <v>38832.800000000003</v>
      </c>
      <c r="F136" s="216">
        <f t="shared" ref="F136:H136" si="21">F130-F133</f>
        <v>38348.600000000006</v>
      </c>
      <c r="G136" s="216">
        <f t="shared" si="21"/>
        <v>37945.5</v>
      </c>
      <c r="H136" s="216">
        <f t="shared" si="21"/>
        <v>37975.599999999991</v>
      </c>
      <c r="J136" s="195"/>
      <c r="K136" s="202"/>
    </row>
    <row r="137" spans="1:15" ht="36.75" customHeight="1" x14ac:dyDescent="0.2">
      <c r="A137" s="300" t="s">
        <v>58</v>
      </c>
      <c r="B137" s="300"/>
      <c r="C137" s="300"/>
      <c r="D137" s="300"/>
      <c r="E137" s="300"/>
      <c r="F137" s="300"/>
      <c r="G137" s="300"/>
      <c r="H137" s="300"/>
      <c r="I137" s="195"/>
      <c r="K137" s="202"/>
      <c r="L137" s="195"/>
      <c r="M137" s="195"/>
      <c r="N137" s="195"/>
      <c r="O137" s="195"/>
    </row>
    <row r="138" spans="1:15" ht="37.5" customHeight="1" x14ac:dyDescent="0.2">
      <c r="A138" s="196" t="s">
        <v>76</v>
      </c>
      <c r="B138" s="197">
        <v>5000</v>
      </c>
      <c r="C138" s="216">
        <f>C139+C140+C141+C142+C143+C144</f>
        <v>388</v>
      </c>
      <c r="D138" s="216">
        <f t="shared" ref="D138:H138" si="22">SUM(D139:D144)</f>
        <v>388</v>
      </c>
      <c r="E138" s="216">
        <f t="shared" si="22"/>
        <v>388</v>
      </c>
      <c r="F138" s="216">
        <f t="shared" si="22"/>
        <v>388</v>
      </c>
      <c r="G138" s="216">
        <f t="shared" si="22"/>
        <v>388</v>
      </c>
      <c r="H138" s="216">
        <f t="shared" si="22"/>
        <v>388</v>
      </c>
      <c r="I138" s="202"/>
      <c r="K138" s="202"/>
    </row>
    <row r="139" spans="1:15" x14ac:dyDescent="0.2">
      <c r="A139" s="187" t="s">
        <v>9</v>
      </c>
      <c r="B139" s="200">
        <v>5010</v>
      </c>
      <c r="C139" s="216">
        <v>1</v>
      </c>
      <c r="D139" s="216">
        <f t="shared" ref="D139:D144" si="23">ROUND((E139+F139+G139+H139)/4,0)</f>
        <v>1</v>
      </c>
      <c r="E139" s="222">
        <v>1</v>
      </c>
      <c r="F139" s="222">
        <v>1</v>
      </c>
      <c r="G139" s="222">
        <v>1</v>
      </c>
      <c r="H139" s="222">
        <v>1</v>
      </c>
      <c r="I139" s="202"/>
      <c r="K139" s="195"/>
      <c r="L139" s="195"/>
      <c r="M139" s="195"/>
      <c r="N139" s="195"/>
      <c r="O139" s="195"/>
    </row>
    <row r="140" spans="1:15" x14ac:dyDescent="0.2">
      <c r="A140" s="187" t="s">
        <v>8</v>
      </c>
      <c r="B140" s="200">
        <v>5020</v>
      </c>
      <c r="C140" s="216">
        <v>34</v>
      </c>
      <c r="D140" s="216">
        <f t="shared" si="23"/>
        <v>34</v>
      </c>
      <c r="E140" s="222">
        <v>34</v>
      </c>
      <c r="F140" s="222">
        <v>34</v>
      </c>
      <c r="G140" s="222">
        <v>34</v>
      </c>
      <c r="H140" s="222">
        <v>34</v>
      </c>
      <c r="I140" s="202"/>
      <c r="K140" s="195"/>
    </row>
    <row r="141" spans="1:15" x14ac:dyDescent="0.2">
      <c r="A141" s="187" t="s">
        <v>187</v>
      </c>
      <c r="B141" s="200">
        <v>5030</v>
      </c>
      <c r="C141" s="216">
        <v>76</v>
      </c>
      <c r="D141" s="216">
        <f t="shared" si="23"/>
        <v>76</v>
      </c>
      <c r="E141" s="222">
        <v>76</v>
      </c>
      <c r="F141" s="222">
        <v>76</v>
      </c>
      <c r="G141" s="222">
        <v>76</v>
      </c>
      <c r="H141" s="222">
        <v>76</v>
      </c>
      <c r="I141" s="202"/>
      <c r="K141" s="195"/>
      <c r="L141" s="195"/>
      <c r="M141" s="195"/>
      <c r="N141" s="195"/>
      <c r="O141" s="195"/>
    </row>
    <row r="142" spans="1:15" ht="37.5" x14ac:dyDescent="0.2">
      <c r="A142" s="187" t="s">
        <v>188</v>
      </c>
      <c r="B142" s="200">
        <v>5040</v>
      </c>
      <c r="C142" s="216">
        <v>147</v>
      </c>
      <c r="D142" s="216">
        <f t="shared" si="23"/>
        <v>147</v>
      </c>
      <c r="E142" s="222">
        <v>147</v>
      </c>
      <c r="F142" s="222">
        <v>147</v>
      </c>
      <c r="G142" s="222">
        <v>147</v>
      </c>
      <c r="H142" s="222">
        <v>147</v>
      </c>
      <c r="I142" s="202"/>
      <c r="K142" s="195"/>
    </row>
    <row r="143" spans="1:15" x14ac:dyDescent="0.2">
      <c r="A143" s="187" t="s">
        <v>189</v>
      </c>
      <c r="B143" s="200">
        <v>5050</v>
      </c>
      <c r="C143" s="216">
        <v>69</v>
      </c>
      <c r="D143" s="216">
        <f t="shared" si="23"/>
        <v>69</v>
      </c>
      <c r="E143" s="222">
        <v>69</v>
      </c>
      <c r="F143" s="222">
        <v>69</v>
      </c>
      <c r="G143" s="222">
        <v>69</v>
      </c>
      <c r="H143" s="222">
        <v>69</v>
      </c>
      <c r="I143" s="202"/>
      <c r="K143" s="195"/>
      <c r="L143" s="195"/>
      <c r="M143" s="195"/>
      <c r="N143" s="195"/>
      <c r="O143" s="195"/>
    </row>
    <row r="144" spans="1:15" ht="16.5" customHeight="1" x14ac:dyDescent="0.2">
      <c r="A144" s="187" t="s">
        <v>4</v>
      </c>
      <c r="B144" s="200">
        <v>5060</v>
      </c>
      <c r="C144" s="216">
        <v>61</v>
      </c>
      <c r="D144" s="216">
        <f t="shared" si="23"/>
        <v>61</v>
      </c>
      <c r="E144" s="222">
        <v>61</v>
      </c>
      <c r="F144" s="222">
        <v>61</v>
      </c>
      <c r="G144" s="222">
        <v>61</v>
      </c>
      <c r="H144" s="222">
        <v>61</v>
      </c>
      <c r="I144" s="202"/>
      <c r="K144" s="195"/>
    </row>
    <row r="145" spans="1:15" x14ac:dyDescent="0.2">
      <c r="A145" s="196" t="s">
        <v>77</v>
      </c>
      <c r="B145" s="200">
        <v>5100</v>
      </c>
      <c r="C145" s="216">
        <f>C146+C147+C148+C149+C150+C151</f>
        <v>82342.900000000009</v>
      </c>
      <c r="D145" s="216">
        <f>E145+F145+G145+H145</f>
        <v>82342.899999999994</v>
      </c>
      <c r="E145" s="216">
        <f>SUM(E146:E151)</f>
        <v>20580.8</v>
      </c>
      <c r="F145" s="216">
        <f>SUM(F146:F151)</f>
        <v>20556.7</v>
      </c>
      <c r="G145" s="216">
        <f>SUM(G146:G151)</f>
        <v>21124.800000000003</v>
      </c>
      <c r="H145" s="216">
        <f t="shared" ref="H145" si="24">SUM(H146:H151)</f>
        <v>20080.599999999999</v>
      </c>
      <c r="I145" s="202"/>
      <c r="J145" s="202"/>
      <c r="K145" s="195"/>
      <c r="L145" s="202"/>
      <c r="M145" s="202"/>
      <c r="N145" s="202"/>
      <c r="O145" s="195"/>
    </row>
    <row r="146" spans="1:15" x14ac:dyDescent="0.2">
      <c r="A146" s="187" t="s">
        <v>9</v>
      </c>
      <c r="B146" s="200">
        <v>5110</v>
      </c>
      <c r="C146" s="216">
        <v>597.5</v>
      </c>
      <c r="D146" s="216">
        <f>(E146+F146+G146+H146)</f>
        <v>441.6</v>
      </c>
      <c r="E146" s="216">
        <v>100</v>
      </c>
      <c r="F146" s="216">
        <v>102.5</v>
      </c>
      <c r="G146" s="216">
        <v>136.6</v>
      </c>
      <c r="H146" s="216">
        <v>102.5</v>
      </c>
      <c r="I146" s="202"/>
      <c r="J146" s="202"/>
      <c r="K146" s="202"/>
    </row>
    <row r="147" spans="1:15" x14ac:dyDescent="0.2">
      <c r="A147" s="187" t="s">
        <v>8</v>
      </c>
      <c r="B147" s="200">
        <v>5120</v>
      </c>
      <c r="C147" s="216">
        <v>8209.4</v>
      </c>
      <c r="D147" s="216">
        <f>(E147+F147+G147+H147)</f>
        <v>8073.4</v>
      </c>
      <c r="E147" s="216">
        <f>2169.4+366</f>
        <v>2535.4</v>
      </c>
      <c r="F147" s="216">
        <v>1887.1</v>
      </c>
      <c r="G147" s="223">
        <v>1886.9</v>
      </c>
      <c r="H147" s="216">
        <v>1764</v>
      </c>
      <c r="I147" s="202"/>
      <c r="K147" s="202"/>
      <c r="L147" s="195"/>
      <c r="M147" s="195"/>
      <c r="N147" s="195"/>
      <c r="O147" s="195"/>
    </row>
    <row r="148" spans="1:15" x14ac:dyDescent="0.2">
      <c r="A148" s="187" t="s">
        <v>187</v>
      </c>
      <c r="B148" s="200">
        <v>5130</v>
      </c>
      <c r="C148" s="216">
        <v>22075.599999999999</v>
      </c>
      <c r="D148" s="216">
        <f>(E148+F148+G148+H148)</f>
        <v>21801.599999999999</v>
      </c>
      <c r="E148" s="216">
        <v>5559.2</v>
      </c>
      <c r="F148" s="216">
        <v>5414.4</v>
      </c>
      <c r="G148" s="216">
        <v>5414</v>
      </c>
      <c r="H148" s="216">
        <v>5414</v>
      </c>
      <c r="I148" s="202"/>
      <c r="J148" s="195"/>
      <c r="K148" s="202"/>
    </row>
    <row r="149" spans="1:15" ht="37.5" x14ac:dyDescent="0.2">
      <c r="A149" s="187" t="s">
        <v>188</v>
      </c>
      <c r="B149" s="200">
        <v>5140</v>
      </c>
      <c r="C149" s="216">
        <v>31783.3</v>
      </c>
      <c r="D149" s="216">
        <f>(E149+F149+G149+H149)</f>
        <v>33015.5</v>
      </c>
      <c r="E149" s="216">
        <v>7624.7</v>
      </c>
      <c r="F149" s="216">
        <f>8481.8-91.5</f>
        <v>8390.2999999999993</v>
      </c>
      <c r="G149" s="223">
        <f>8933.6-35.4</f>
        <v>8898.2000000000007</v>
      </c>
      <c r="H149" s="216">
        <f>8237.8-135.5</f>
        <v>8102.2999999999993</v>
      </c>
      <c r="I149" s="202"/>
      <c r="K149" s="202"/>
      <c r="L149" s="195"/>
      <c r="M149" s="195"/>
      <c r="N149" s="195"/>
      <c r="O149" s="195"/>
    </row>
    <row r="150" spans="1:15" x14ac:dyDescent="0.2">
      <c r="A150" s="187" t="s">
        <v>189</v>
      </c>
      <c r="B150" s="200">
        <v>5150</v>
      </c>
      <c r="C150" s="216">
        <v>8550</v>
      </c>
      <c r="D150" s="216">
        <f>(E150+F150+G150+H150)</f>
        <v>8657.0999999999985</v>
      </c>
      <c r="E150" s="216">
        <f>1841+422.5</f>
        <v>2263.5</v>
      </c>
      <c r="F150" s="216">
        <v>2131.1999999999998</v>
      </c>
      <c r="G150" s="223">
        <v>2131.1999999999998</v>
      </c>
      <c r="H150" s="216">
        <v>2131.1999999999998</v>
      </c>
      <c r="I150" s="202"/>
      <c r="J150" s="195"/>
      <c r="K150" s="202"/>
    </row>
    <row r="151" spans="1:15" ht="15" customHeight="1" x14ac:dyDescent="0.2">
      <c r="A151" s="187" t="s">
        <v>4</v>
      </c>
      <c r="B151" s="200">
        <v>5160</v>
      </c>
      <c r="C151" s="216">
        <v>11127.1</v>
      </c>
      <c r="D151" s="216">
        <v>10353.700000000001</v>
      </c>
      <c r="E151" s="216">
        <v>2498</v>
      </c>
      <c r="F151" s="216">
        <v>2631.2</v>
      </c>
      <c r="G151" s="223">
        <v>2657.9</v>
      </c>
      <c r="H151" s="216">
        <v>2566.6</v>
      </c>
      <c r="I151" s="202"/>
      <c r="K151" s="202"/>
      <c r="L151" s="195"/>
      <c r="M151" s="195"/>
      <c r="N151" s="195"/>
      <c r="O151" s="195"/>
    </row>
    <row r="152" spans="1:15" ht="37.5" x14ac:dyDescent="0.2">
      <c r="A152" s="196" t="s">
        <v>78</v>
      </c>
      <c r="B152" s="200">
        <v>5200</v>
      </c>
      <c r="C152" s="216">
        <f>C153+C154+C155+C156+C157+C158</f>
        <v>67530.2</v>
      </c>
      <c r="D152" s="216">
        <f>E152+F152+G152+H152</f>
        <v>67530.2</v>
      </c>
      <c r="E152" s="216">
        <f t="shared" ref="E152:H152" si="25">SUM(E153:E158)</f>
        <v>16906.2</v>
      </c>
      <c r="F152" s="216">
        <f t="shared" si="25"/>
        <v>16849.599999999999</v>
      </c>
      <c r="G152" s="216">
        <f t="shared" si="25"/>
        <v>17315.2</v>
      </c>
      <c r="H152" s="216">
        <f t="shared" si="25"/>
        <v>16459.2</v>
      </c>
      <c r="I152" s="202"/>
      <c r="J152" s="202"/>
      <c r="K152" s="202"/>
      <c r="L152" s="217"/>
    </row>
    <row r="153" spans="1:15" x14ac:dyDescent="0.2">
      <c r="A153" s="187" t="s">
        <v>9</v>
      </c>
      <c r="B153" s="200">
        <v>5210</v>
      </c>
      <c r="C153" s="216">
        <v>490</v>
      </c>
      <c r="D153" s="216">
        <f t="shared" ref="D153:D158" si="26">(E153+F153+G153+H153)</f>
        <v>362.2</v>
      </c>
      <c r="E153" s="216">
        <v>82.2</v>
      </c>
      <c r="F153" s="216">
        <v>84</v>
      </c>
      <c r="G153" s="216">
        <v>112</v>
      </c>
      <c r="H153" s="216">
        <v>84</v>
      </c>
      <c r="I153" s="202"/>
      <c r="J153" s="217"/>
      <c r="K153" s="202"/>
      <c r="L153" s="195"/>
      <c r="M153" s="195"/>
      <c r="N153" s="195"/>
      <c r="O153" s="195"/>
    </row>
    <row r="154" spans="1:15" x14ac:dyDescent="0.2">
      <c r="A154" s="187" t="s">
        <v>8</v>
      </c>
      <c r="B154" s="200">
        <v>5220</v>
      </c>
      <c r="C154" s="216">
        <v>6631.7</v>
      </c>
      <c r="D154" s="216">
        <f t="shared" si="26"/>
        <v>6326.5</v>
      </c>
      <c r="E154" s="216">
        <v>1787.2</v>
      </c>
      <c r="F154" s="216">
        <v>1546.8</v>
      </c>
      <c r="G154" s="216">
        <v>1546.6</v>
      </c>
      <c r="H154" s="216">
        <v>1445.9</v>
      </c>
      <c r="I154" s="202"/>
      <c r="J154" s="195"/>
      <c r="K154" s="202"/>
    </row>
    <row r="155" spans="1:15" x14ac:dyDescent="0.2">
      <c r="A155" s="187" t="s">
        <v>187</v>
      </c>
      <c r="B155" s="200">
        <v>5230</v>
      </c>
      <c r="C155" s="216">
        <v>18368.8</v>
      </c>
      <c r="D155" s="216">
        <f t="shared" si="26"/>
        <v>18319.899999999998</v>
      </c>
      <c r="E155" s="224">
        <v>4567.8999999999996</v>
      </c>
      <c r="F155" s="224">
        <f>4438+150</f>
        <v>4588</v>
      </c>
      <c r="G155" s="224">
        <f>4437.7+150</f>
        <v>4587.7</v>
      </c>
      <c r="H155" s="224">
        <f>4437.7+138+0.6</f>
        <v>4576.3</v>
      </c>
      <c r="I155" s="202"/>
      <c r="K155" s="202"/>
      <c r="L155" s="195"/>
      <c r="M155" s="195"/>
      <c r="N155" s="195"/>
      <c r="O155" s="195"/>
    </row>
    <row r="156" spans="1:15" ht="37.5" x14ac:dyDescent="0.2">
      <c r="A156" s="187" t="s">
        <v>188</v>
      </c>
      <c r="B156" s="200">
        <v>5240</v>
      </c>
      <c r="C156" s="216">
        <v>25837.5</v>
      </c>
      <c r="D156" s="216">
        <f t="shared" si="26"/>
        <v>26638.1</v>
      </c>
      <c r="E156" s="224">
        <v>6265.2</v>
      </c>
      <c r="F156" s="224">
        <f>6952.3-75.1-150</f>
        <v>6727.2</v>
      </c>
      <c r="G156" s="224">
        <f>7322.6-49.2-130</f>
        <v>7143.4000000000005</v>
      </c>
      <c r="H156" s="224">
        <f>6752.3-250</f>
        <v>6502.3</v>
      </c>
      <c r="I156" s="202"/>
      <c r="J156" s="195"/>
      <c r="K156" s="202"/>
    </row>
    <row r="157" spans="1:15" x14ac:dyDescent="0.2">
      <c r="A157" s="187" t="s">
        <v>189</v>
      </c>
      <c r="B157" s="200">
        <v>5250</v>
      </c>
      <c r="C157" s="216">
        <v>7108.5</v>
      </c>
      <c r="D157" s="216">
        <f t="shared" si="26"/>
        <v>7096.4</v>
      </c>
      <c r="E157" s="224">
        <f>1812.7+43</f>
        <v>1855.7</v>
      </c>
      <c r="F157" s="224">
        <v>1746.9</v>
      </c>
      <c r="G157" s="224">
        <v>1746.9</v>
      </c>
      <c r="H157" s="224">
        <f>1746.9</f>
        <v>1746.9</v>
      </c>
      <c r="I157" s="202"/>
      <c r="K157" s="202"/>
      <c r="L157" s="195"/>
      <c r="M157" s="195"/>
      <c r="N157" s="195"/>
      <c r="O157" s="195"/>
    </row>
    <row r="158" spans="1:15" x14ac:dyDescent="0.2">
      <c r="A158" s="187" t="s">
        <v>4</v>
      </c>
      <c r="B158" s="200">
        <v>5260</v>
      </c>
      <c r="C158" s="216">
        <v>9093.7000000000007</v>
      </c>
      <c r="D158" s="216">
        <f t="shared" si="26"/>
        <v>8787.0999999999985</v>
      </c>
      <c r="E158" s="224">
        <v>2348</v>
      </c>
      <c r="F158" s="224">
        <v>2156.6999999999998</v>
      </c>
      <c r="G158" s="224">
        <v>2178.6</v>
      </c>
      <c r="H158" s="224">
        <v>2103.8000000000002</v>
      </c>
      <c r="I158" s="202"/>
      <c r="J158" s="195"/>
      <c r="K158" s="202"/>
    </row>
    <row r="159" spans="1:15" ht="42" customHeight="1" x14ac:dyDescent="0.2">
      <c r="A159" s="225" t="s">
        <v>74</v>
      </c>
      <c r="B159" s="200">
        <v>5300</v>
      </c>
      <c r="C159" s="226">
        <f t="shared" ref="C159:D165" si="27">ROUND(C152/C138*1000,2)/12</f>
        <v>14503.909166666666</v>
      </c>
      <c r="D159" s="226">
        <f t="shared" si="27"/>
        <v>14503.909166666666</v>
      </c>
      <c r="E159" s="226">
        <f t="shared" ref="E159:H165" si="28">ROUND(E152/E138*1000,2)/3</f>
        <v>14524.226666666667</v>
      </c>
      <c r="F159" s="226">
        <f t="shared" si="28"/>
        <v>14475.6</v>
      </c>
      <c r="G159" s="226">
        <f t="shared" si="28"/>
        <v>14875.6</v>
      </c>
      <c r="H159" s="226">
        <f t="shared" si="28"/>
        <v>14140.206666666667</v>
      </c>
      <c r="I159" s="202"/>
      <c r="K159" s="202"/>
      <c r="L159" s="195"/>
      <c r="M159" s="195"/>
      <c r="N159" s="195"/>
      <c r="O159" s="195"/>
    </row>
    <row r="160" spans="1:15" x14ac:dyDescent="0.2">
      <c r="A160" s="187" t="s">
        <v>9</v>
      </c>
      <c r="B160" s="200">
        <v>5310</v>
      </c>
      <c r="C160" s="226">
        <f t="shared" si="27"/>
        <v>40833.333333333336</v>
      </c>
      <c r="D160" s="226">
        <f t="shared" si="27"/>
        <v>30183.333333333332</v>
      </c>
      <c r="E160" s="226">
        <f t="shared" si="28"/>
        <v>27400</v>
      </c>
      <c r="F160" s="226">
        <f t="shared" si="28"/>
        <v>28000</v>
      </c>
      <c r="G160" s="226">
        <f t="shared" si="28"/>
        <v>37333.333333333336</v>
      </c>
      <c r="H160" s="226">
        <f t="shared" si="28"/>
        <v>28000</v>
      </c>
      <c r="I160" s="202"/>
      <c r="J160" s="195"/>
      <c r="K160" s="202"/>
    </row>
    <row r="161" spans="1:15" x14ac:dyDescent="0.2">
      <c r="A161" s="187" t="s">
        <v>8</v>
      </c>
      <c r="B161" s="200">
        <v>5320</v>
      </c>
      <c r="C161" s="226">
        <f t="shared" si="27"/>
        <v>16254.166666666666</v>
      </c>
      <c r="D161" s="226">
        <f t="shared" si="27"/>
        <v>15506.127500000001</v>
      </c>
      <c r="E161" s="226">
        <f t="shared" si="28"/>
        <v>17521.57</v>
      </c>
      <c r="F161" s="226">
        <f t="shared" si="28"/>
        <v>15164.706666666667</v>
      </c>
      <c r="G161" s="226">
        <f t="shared" si="28"/>
        <v>15162.746666666666</v>
      </c>
      <c r="H161" s="226">
        <f t="shared" si="28"/>
        <v>14175.49</v>
      </c>
      <c r="I161" s="202"/>
      <c r="K161" s="202"/>
      <c r="L161" s="195"/>
      <c r="M161" s="195"/>
      <c r="N161" s="195"/>
      <c r="O161" s="195"/>
    </row>
    <row r="162" spans="1:15" x14ac:dyDescent="0.2">
      <c r="A162" s="187" t="s">
        <v>187</v>
      </c>
      <c r="B162" s="200">
        <v>5330</v>
      </c>
      <c r="C162" s="226">
        <f t="shared" si="27"/>
        <v>20141.228333333333</v>
      </c>
      <c r="D162" s="226">
        <f t="shared" si="27"/>
        <v>20087.61</v>
      </c>
      <c r="E162" s="226">
        <f t="shared" si="28"/>
        <v>20034.649999999998</v>
      </c>
      <c r="F162" s="226">
        <f t="shared" si="28"/>
        <v>20122.806666666667</v>
      </c>
      <c r="G162" s="226">
        <f t="shared" si="28"/>
        <v>20121.490000000002</v>
      </c>
      <c r="H162" s="226">
        <f t="shared" si="28"/>
        <v>20071.490000000002</v>
      </c>
      <c r="I162" s="202"/>
      <c r="J162" s="195"/>
      <c r="K162" s="202"/>
    </row>
    <row r="163" spans="1:15" ht="37.5" x14ac:dyDescent="0.2">
      <c r="A163" s="187" t="s">
        <v>188</v>
      </c>
      <c r="B163" s="200">
        <v>5340</v>
      </c>
      <c r="C163" s="226">
        <f t="shared" si="27"/>
        <v>14647.109166666667</v>
      </c>
      <c r="D163" s="226">
        <f t="shared" si="27"/>
        <v>15100.963333333333</v>
      </c>
      <c r="E163" s="226">
        <f t="shared" si="28"/>
        <v>14206.803333333335</v>
      </c>
      <c r="F163" s="226">
        <f t="shared" si="28"/>
        <v>15254.423333333332</v>
      </c>
      <c r="G163" s="226">
        <f t="shared" si="28"/>
        <v>16198.186666666666</v>
      </c>
      <c r="H163" s="226">
        <f t="shared" si="28"/>
        <v>14744.443333333335</v>
      </c>
      <c r="I163" s="202"/>
      <c r="K163" s="202"/>
      <c r="L163" s="195"/>
      <c r="M163" s="195"/>
      <c r="N163" s="195"/>
      <c r="O163" s="195"/>
    </row>
    <row r="164" spans="1:15" x14ac:dyDescent="0.2">
      <c r="A164" s="187" t="s">
        <v>189</v>
      </c>
      <c r="B164" s="200">
        <v>5350</v>
      </c>
      <c r="C164" s="226">
        <f t="shared" si="27"/>
        <v>8585.1450000000004</v>
      </c>
      <c r="D164" s="226">
        <f t="shared" si="27"/>
        <v>8570.5316666666677</v>
      </c>
      <c r="E164" s="226">
        <f t="shared" si="28"/>
        <v>8964.7333333333336</v>
      </c>
      <c r="F164" s="226">
        <f t="shared" si="28"/>
        <v>8439.1299999999992</v>
      </c>
      <c r="G164" s="226">
        <f t="shared" si="28"/>
        <v>8439.1299999999992</v>
      </c>
      <c r="H164" s="226">
        <f t="shared" si="28"/>
        <v>8439.1299999999992</v>
      </c>
      <c r="I164" s="202"/>
      <c r="J164" s="195"/>
      <c r="K164" s="202"/>
    </row>
    <row r="165" spans="1:15" x14ac:dyDescent="0.2">
      <c r="A165" s="187" t="s">
        <v>4</v>
      </c>
      <c r="B165" s="200">
        <v>5360</v>
      </c>
      <c r="C165" s="226">
        <f t="shared" si="27"/>
        <v>12423.0875</v>
      </c>
      <c r="D165" s="226">
        <f t="shared" si="27"/>
        <v>12004.235000000001</v>
      </c>
      <c r="E165" s="226">
        <f t="shared" si="28"/>
        <v>12830.6</v>
      </c>
      <c r="F165" s="226">
        <f t="shared" si="28"/>
        <v>11785.246666666666</v>
      </c>
      <c r="G165" s="226">
        <f t="shared" si="28"/>
        <v>11904.916666666666</v>
      </c>
      <c r="H165" s="226">
        <f t="shared" si="28"/>
        <v>11496.173333333332</v>
      </c>
      <c r="I165" s="202"/>
      <c r="K165" s="202"/>
      <c r="L165" s="195"/>
      <c r="M165" s="195"/>
      <c r="N165" s="195"/>
      <c r="O165" s="195"/>
    </row>
    <row r="166" spans="1:15" ht="40.700000000000003" customHeight="1" x14ac:dyDescent="0.2">
      <c r="A166" s="196" t="s">
        <v>75</v>
      </c>
      <c r="B166" s="200">
        <v>5400</v>
      </c>
      <c r="C166" s="216"/>
      <c r="D166" s="216"/>
      <c r="E166" s="216"/>
      <c r="F166" s="216"/>
      <c r="G166" s="216"/>
      <c r="H166" s="216"/>
      <c r="I166" s="202"/>
      <c r="J166" s="195"/>
      <c r="K166" s="202"/>
    </row>
    <row r="167" spans="1:15" ht="18.75" customHeight="1" x14ac:dyDescent="0.2">
      <c r="A167" s="227" t="s">
        <v>173</v>
      </c>
      <c r="B167" s="228"/>
      <c r="C167" s="229" t="s">
        <v>3</v>
      </c>
      <c r="D167" s="229"/>
      <c r="E167" s="230"/>
      <c r="F167" s="298" t="s">
        <v>160</v>
      </c>
      <c r="G167" s="298"/>
      <c r="H167" s="298"/>
      <c r="J167" s="231"/>
      <c r="K167" s="202"/>
    </row>
    <row r="168" spans="1:15" s="231" customFormat="1" ht="32.25" customHeight="1" x14ac:dyDescent="0.2">
      <c r="A168" s="232" t="s">
        <v>2</v>
      </c>
      <c r="C168" s="233" t="s">
        <v>1</v>
      </c>
      <c r="D168" s="232"/>
      <c r="E168" s="233"/>
      <c r="F168" s="299" t="s">
        <v>0</v>
      </c>
      <c r="G168" s="299"/>
      <c r="H168" s="299"/>
      <c r="J168" s="169"/>
      <c r="K168" s="202"/>
    </row>
    <row r="169" spans="1:15" x14ac:dyDescent="0.2">
      <c r="A169" s="234"/>
      <c r="C169" s="235"/>
      <c r="D169" s="235"/>
      <c r="E169" s="236"/>
      <c r="F169" s="236"/>
      <c r="G169" s="236"/>
      <c r="H169" s="236"/>
      <c r="K169" s="202"/>
    </row>
    <row r="170" spans="1:15" x14ac:dyDescent="0.2">
      <c r="A170" s="234"/>
      <c r="C170" s="235"/>
      <c r="D170" s="235"/>
      <c r="E170" s="236"/>
      <c r="F170" s="236"/>
      <c r="G170" s="236"/>
      <c r="H170" s="236"/>
    </row>
    <row r="171" spans="1:15" x14ac:dyDescent="0.2">
      <c r="A171" s="234"/>
      <c r="C171" s="235"/>
      <c r="D171" s="235"/>
      <c r="E171" s="236"/>
      <c r="F171" s="236"/>
      <c r="G171" s="236"/>
      <c r="H171" s="236"/>
    </row>
    <row r="172" spans="1:15" x14ac:dyDescent="0.2">
      <c r="A172" s="234"/>
      <c r="C172" s="235"/>
      <c r="D172" s="235"/>
      <c r="E172" s="236"/>
      <c r="F172" s="236"/>
      <c r="G172" s="236"/>
      <c r="H172" s="236"/>
    </row>
    <row r="173" spans="1:15" x14ac:dyDescent="0.2">
      <c r="A173" s="234"/>
      <c r="C173" s="235"/>
      <c r="D173" s="235"/>
      <c r="E173" s="237"/>
      <c r="F173" s="236"/>
      <c r="G173" s="236"/>
      <c r="H173" s="236"/>
    </row>
    <row r="174" spans="1:15" x14ac:dyDescent="0.2">
      <c r="A174" s="234"/>
      <c r="C174" s="235"/>
      <c r="D174" s="235"/>
      <c r="E174" s="237"/>
      <c r="F174" s="236"/>
      <c r="G174" s="236"/>
      <c r="H174" s="236"/>
    </row>
    <row r="175" spans="1:15" x14ac:dyDescent="0.2">
      <c r="A175" s="234"/>
      <c r="C175" s="235"/>
      <c r="D175" s="235"/>
      <c r="E175" s="237"/>
      <c r="F175" s="236"/>
      <c r="G175" s="236"/>
      <c r="H175" s="236"/>
    </row>
    <row r="176" spans="1:15" x14ac:dyDescent="0.2">
      <c r="A176" s="234"/>
      <c r="C176" s="235"/>
      <c r="D176" s="235"/>
      <c r="E176" s="237"/>
      <c r="F176" s="236"/>
      <c r="G176" s="236"/>
      <c r="H176" s="236"/>
    </row>
    <row r="177" spans="1:8" x14ac:dyDescent="0.2">
      <c r="A177" s="234"/>
      <c r="E177" s="238"/>
      <c r="F177" s="236"/>
      <c r="G177" s="236"/>
      <c r="H177" s="236"/>
    </row>
    <row r="178" spans="1:8" x14ac:dyDescent="0.2">
      <c r="A178" s="234"/>
      <c r="B178" s="239"/>
      <c r="C178" s="239"/>
      <c r="D178" s="239"/>
      <c r="E178" s="237"/>
      <c r="F178" s="236"/>
      <c r="G178" s="236"/>
      <c r="H178" s="236"/>
    </row>
    <row r="179" spans="1:8" x14ac:dyDescent="0.2">
      <c r="A179" s="234"/>
      <c r="B179" s="240"/>
      <c r="C179" s="240"/>
      <c r="D179" s="240"/>
      <c r="E179" s="237"/>
      <c r="F179" s="236"/>
      <c r="G179" s="236"/>
      <c r="H179" s="236"/>
    </row>
    <row r="180" spans="1:8" x14ac:dyDescent="0.2">
      <c r="A180" s="234"/>
      <c r="B180" s="240"/>
      <c r="C180" s="240"/>
      <c r="D180" s="240"/>
      <c r="E180" s="240"/>
      <c r="F180" s="240"/>
      <c r="G180" s="236"/>
      <c r="H180" s="236"/>
    </row>
    <row r="181" spans="1:8" x14ac:dyDescent="0.2">
      <c r="A181" s="234"/>
      <c r="B181" s="240"/>
      <c r="C181" s="235"/>
      <c r="D181" s="235"/>
      <c r="E181" s="236"/>
      <c r="F181" s="236"/>
      <c r="G181" s="236"/>
      <c r="H181" s="236"/>
    </row>
    <row r="182" spans="1:8" x14ac:dyDescent="0.2">
      <c r="A182" s="234"/>
      <c r="C182" s="235"/>
      <c r="D182" s="235"/>
      <c r="E182" s="236"/>
      <c r="F182" s="236"/>
      <c r="G182" s="236"/>
      <c r="H182" s="236"/>
    </row>
    <row r="183" spans="1:8" x14ac:dyDescent="0.2">
      <c r="A183" s="234"/>
      <c r="C183" s="235"/>
      <c r="D183" s="235"/>
      <c r="E183" s="236"/>
      <c r="F183" s="236"/>
      <c r="G183" s="236"/>
      <c r="H183" s="236"/>
    </row>
    <row r="184" spans="1:8" x14ac:dyDescent="0.2">
      <c r="A184" s="234"/>
      <c r="C184" s="235"/>
      <c r="D184" s="235"/>
      <c r="E184" s="236"/>
      <c r="F184" s="236"/>
      <c r="G184" s="236"/>
      <c r="H184" s="236"/>
    </row>
    <row r="185" spans="1:8" x14ac:dyDescent="0.2">
      <c r="A185" s="234"/>
      <c r="C185" s="235"/>
      <c r="D185" s="235"/>
      <c r="E185" s="236"/>
      <c r="F185" s="236"/>
      <c r="G185" s="236"/>
      <c r="H185" s="236"/>
    </row>
    <row r="186" spans="1:8" x14ac:dyDescent="0.2">
      <c r="A186" s="234"/>
      <c r="C186" s="235"/>
      <c r="D186" s="235"/>
      <c r="E186" s="236"/>
      <c r="F186" s="236"/>
      <c r="G186" s="236"/>
      <c r="H186" s="236"/>
    </row>
    <row r="187" spans="1:8" x14ac:dyDescent="0.2">
      <c r="A187" s="234"/>
      <c r="C187" s="235"/>
      <c r="D187" s="235"/>
      <c r="E187" s="236"/>
      <c r="F187" s="236"/>
      <c r="G187" s="236"/>
      <c r="H187" s="236"/>
    </row>
    <row r="188" spans="1:8" x14ac:dyDescent="0.2">
      <c r="A188" s="234"/>
      <c r="C188" s="235"/>
      <c r="D188" s="235"/>
      <c r="E188" s="236"/>
      <c r="F188" s="236"/>
      <c r="G188" s="236"/>
      <c r="H188" s="236"/>
    </row>
    <row r="189" spans="1:8" x14ac:dyDescent="0.2">
      <c r="A189" s="234"/>
      <c r="C189" s="235"/>
      <c r="D189" s="235"/>
      <c r="E189" s="236"/>
      <c r="F189" s="236"/>
      <c r="G189" s="236"/>
      <c r="H189" s="236"/>
    </row>
    <row r="190" spans="1:8" x14ac:dyDescent="0.2">
      <c r="A190" s="234"/>
      <c r="C190" s="235"/>
      <c r="D190" s="235"/>
      <c r="E190" s="236"/>
      <c r="F190" s="236"/>
      <c r="G190" s="236"/>
      <c r="H190" s="236"/>
    </row>
    <row r="191" spans="1:8" x14ac:dyDescent="0.2">
      <c r="A191" s="234"/>
      <c r="C191" s="235"/>
      <c r="D191" s="235"/>
      <c r="E191" s="236"/>
      <c r="F191" s="236"/>
      <c r="G191" s="236"/>
      <c r="H191" s="236"/>
    </row>
    <row r="192" spans="1:8" x14ac:dyDescent="0.2">
      <c r="A192" s="234"/>
      <c r="C192" s="235"/>
      <c r="D192" s="235"/>
      <c r="E192" s="236"/>
      <c r="F192" s="236"/>
      <c r="G192" s="236"/>
      <c r="H192" s="236"/>
    </row>
    <row r="193" spans="1:8" x14ac:dyDescent="0.2">
      <c r="A193" s="234"/>
      <c r="C193" s="235"/>
      <c r="D193" s="235"/>
      <c r="E193" s="236"/>
      <c r="F193" s="236"/>
      <c r="G193" s="236"/>
      <c r="H193" s="236"/>
    </row>
    <row r="194" spans="1:8" x14ac:dyDescent="0.2">
      <c r="A194" s="234"/>
      <c r="C194" s="235"/>
      <c r="D194" s="235"/>
      <c r="E194" s="236"/>
      <c r="F194" s="236"/>
      <c r="G194" s="236"/>
      <c r="H194" s="236"/>
    </row>
    <row r="195" spans="1:8" x14ac:dyDescent="0.2">
      <c r="A195" s="234"/>
      <c r="C195" s="235"/>
      <c r="D195" s="235"/>
      <c r="E195" s="236"/>
      <c r="F195" s="236"/>
      <c r="G195" s="236"/>
      <c r="H195" s="236"/>
    </row>
    <row r="196" spans="1:8" x14ac:dyDescent="0.2">
      <c r="A196" s="234"/>
      <c r="C196" s="235"/>
      <c r="D196" s="235"/>
      <c r="E196" s="236"/>
      <c r="F196" s="236"/>
      <c r="G196" s="236"/>
      <c r="H196" s="236"/>
    </row>
    <row r="197" spans="1:8" x14ac:dyDescent="0.2">
      <c r="A197" s="234"/>
      <c r="C197" s="235"/>
      <c r="D197" s="235"/>
      <c r="E197" s="236"/>
      <c r="F197" s="236"/>
      <c r="G197" s="236"/>
      <c r="H197" s="236"/>
    </row>
    <row r="198" spans="1:8" x14ac:dyDescent="0.2">
      <c r="A198" s="234"/>
      <c r="C198" s="235"/>
      <c r="D198" s="235"/>
      <c r="E198" s="236"/>
      <c r="F198" s="236"/>
      <c r="G198" s="236"/>
      <c r="H198" s="236"/>
    </row>
    <row r="199" spans="1:8" x14ac:dyDescent="0.2">
      <c r="A199" s="234"/>
      <c r="C199" s="235"/>
      <c r="D199" s="235"/>
      <c r="E199" s="236"/>
      <c r="F199" s="236"/>
      <c r="G199" s="236"/>
      <c r="H199" s="236"/>
    </row>
    <row r="200" spans="1:8" x14ac:dyDescent="0.2">
      <c r="A200" s="234"/>
      <c r="C200" s="235"/>
      <c r="D200" s="235"/>
      <c r="E200" s="236"/>
      <c r="F200" s="236"/>
      <c r="G200" s="236"/>
      <c r="H200" s="236"/>
    </row>
    <row r="201" spans="1:8" x14ac:dyDescent="0.2">
      <c r="A201" s="234"/>
      <c r="C201" s="235"/>
      <c r="D201" s="235"/>
      <c r="E201" s="236"/>
      <c r="F201" s="236"/>
      <c r="G201" s="236"/>
      <c r="H201" s="236"/>
    </row>
    <row r="202" spans="1:8" x14ac:dyDescent="0.2">
      <c r="A202" s="234"/>
      <c r="C202" s="235"/>
      <c r="D202" s="235"/>
      <c r="E202" s="236"/>
      <c r="F202" s="236"/>
      <c r="G202" s="236"/>
      <c r="H202" s="236"/>
    </row>
    <row r="203" spans="1:8" x14ac:dyDescent="0.2">
      <c r="A203" s="234"/>
      <c r="C203" s="235"/>
      <c r="D203" s="235"/>
      <c r="E203" s="236"/>
      <c r="F203" s="236"/>
      <c r="G203" s="236"/>
      <c r="H203" s="236"/>
    </row>
    <row r="204" spans="1:8" x14ac:dyDescent="0.2">
      <c r="A204" s="234"/>
      <c r="C204" s="235"/>
      <c r="D204" s="235"/>
      <c r="E204" s="236"/>
      <c r="F204" s="236"/>
      <c r="G204" s="236"/>
      <c r="H204" s="236"/>
    </row>
    <row r="205" spans="1:8" x14ac:dyDescent="0.2">
      <c r="A205" s="234"/>
      <c r="C205" s="235"/>
      <c r="D205" s="235"/>
      <c r="E205" s="236"/>
      <c r="F205" s="236"/>
      <c r="G205" s="236"/>
      <c r="H205" s="236"/>
    </row>
    <row r="206" spans="1:8" x14ac:dyDescent="0.2">
      <c r="A206" s="234"/>
      <c r="C206" s="235"/>
      <c r="D206" s="235"/>
      <c r="E206" s="236"/>
      <c r="F206" s="236"/>
      <c r="G206" s="236"/>
      <c r="H206" s="236"/>
    </row>
    <row r="207" spans="1:8" x14ac:dyDescent="0.2">
      <c r="A207" s="234"/>
      <c r="C207" s="235"/>
      <c r="D207" s="235"/>
      <c r="E207" s="236"/>
      <c r="F207" s="236"/>
      <c r="G207" s="236"/>
      <c r="H207" s="236"/>
    </row>
    <row r="208" spans="1:8" x14ac:dyDescent="0.2">
      <c r="A208" s="234"/>
      <c r="C208" s="235"/>
      <c r="D208" s="235"/>
      <c r="E208" s="236"/>
      <c r="F208" s="236"/>
      <c r="G208" s="236"/>
      <c r="H208" s="236"/>
    </row>
    <row r="209" spans="1:8" x14ac:dyDescent="0.2">
      <c r="A209" s="234"/>
      <c r="C209" s="235"/>
      <c r="D209" s="235"/>
      <c r="E209" s="236"/>
      <c r="F209" s="236"/>
      <c r="G209" s="236"/>
      <c r="H209" s="236"/>
    </row>
    <row r="210" spans="1:8" x14ac:dyDescent="0.2">
      <c r="A210" s="241"/>
    </row>
    <row r="211" spans="1:8" x14ac:dyDescent="0.2">
      <c r="A211" s="241"/>
    </row>
    <row r="212" spans="1:8" x14ac:dyDescent="0.2">
      <c r="A212" s="241"/>
    </row>
    <row r="213" spans="1:8" x14ac:dyDescent="0.2">
      <c r="A213" s="241"/>
    </row>
    <row r="214" spans="1:8" x14ac:dyDescent="0.2">
      <c r="A214" s="241"/>
    </row>
    <row r="215" spans="1:8" x14ac:dyDescent="0.2">
      <c r="A215" s="241"/>
    </row>
    <row r="216" spans="1:8" x14ac:dyDescent="0.2">
      <c r="A216" s="241"/>
    </row>
    <row r="217" spans="1:8" x14ac:dyDescent="0.2">
      <c r="A217" s="241"/>
    </row>
    <row r="218" spans="1:8" x14ac:dyDescent="0.2">
      <c r="A218" s="241"/>
    </row>
    <row r="219" spans="1:8" x14ac:dyDescent="0.2">
      <c r="A219" s="241"/>
    </row>
    <row r="220" spans="1:8" x14ac:dyDescent="0.2">
      <c r="A220" s="241"/>
    </row>
    <row r="221" spans="1:8" x14ac:dyDescent="0.2">
      <c r="A221" s="241"/>
    </row>
    <row r="222" spans="1:8" x14ac:dyDescent="0.2">
      <c r="A222" s="241"/>
    </row>
    <row r="223" spans="1:8" x14ac:dyDescent="0.2">
      <c r="A223" s="241"/>
    </row>
    <row r="224" spans="1:8" x14ac:dyDescent="0.2">
      <c r="A224" s="241"/>
    </row>
    <row r="225" spans="1:1" x14ac:dyDescent="0.2">
      <c r="A225" s="241"/>
    </row>
    <row r="226" spans="1:1" x14ac:dyDescent="0.2">
      <c r="A226" s="241"/>
    </row>
    <row r="227" spans="1:1" x14ac:dyDescent="0.2">
      <c r="A227" s="241"/>
    </row>
    <row r="228" spans="1:1" x14ac:dyDescent="0.2">
      <c r="A228" s="241"/>
    </row>
    <row r="229" spans="1:1" x14ac:dyDescent="0.2">
      <c r="A229" s="241"/>
    </row>
    <row r="230" spans="1:1" x14ac:dyDescent="0.2">
      <c r="A230" s="241"/>
    </row>
    <row r="231" spans="1:1" x14ac:dyDescent="0.2">
      <c r="A231" s="241"/>
    </row>
    <row r="232" spans="1:1" x14ac:dyDescent="0.2">
      <c r="A232" s="241"/>
    </row>
    <row r="233" spans="1:1" x14ac:dyDescent="0.2">
      <c r="A233" s="241"/>
    </row>
    <row r="234" spans="1:1" x14ac:dyDescent="0.2">
      <c r="A234" s="241"/>
    </row>
    <row r="235" spans="1:1" x14ac:dyDescent="0.2">
      <c r="A235" s="241"/>
    </row>
    <row r="236" spans="1:1" x14ac:dyDescent="0.2">
      <c r="A236" s="241"/>
    </row>
    <row r="237" spans="1:1" x14ac:dyDescent="0.2">
      <c r="A237" s="241"/>
    </row>
    <row r="238" spans="1:1" x14ac:dyDescent="0.2">
      <c r="A238" s="241"/>
    </row>
    <row r="239" spans="1:1" x14ac:dyDescent="0.2">
      <c r="A239" s="241"/>
    </row>
    <row r="240" spans="1:1" x14ac:dyDescent="0.2">
      <c r="A240" s="241"/>
    </row>
    <row r="241" spans="1:1" x14ac:dyDescent="0.2">
      <c r="A241" s="241"/>
    </row>
    <row r="242" spans="1:1" x14ac:dyDescent="0.2">
      <c r="A242" s="241"/>
    </row>
    <row r="243" spans="1:1" x14ac:dyDescent="0.2">
      <c r="A243" s="241"/>
    </row>
    <row r="244" spans="1:1" x14ac:dyDescent="0.2">
      <c r="A244" s="241"/>
    </row>
    <row r="245" spans="1:1" x14ac:dyDescent="0.2">
      <c r="A245" s="241"/>
    </row>
    <row r="246" spans="1:1" x14ac:dyDescent="0.2">
      <c r="A246" s="241"/>
    </row>
    <row r="247" spans="1:1" x14ac:dyDescent="0.2">
      <c r="A247" s="241"/>
    </row>
    <row r="248" spans="1:1" x14ac:dyDescent="0.2">
      <c r="A248" s="241"/>
    </row>
    <row r="249" spans="1:1" x14ac:dyDescent="0.2">
      <c r="A249" s="241"/>
    </row>
    <row r="250" spans="1:1" x14ac:dyDescent="0.2">
      <c r="A250" s="241"/>
    </row>
    <row r="251" spans="1:1" x14ac:dyDescent="0.2">
      <c r="A251" s="241"/>
    </row>
    <row r="252" spans="1:1" x14ac:dyDescent="0.2">
      <c r="A252" s="241"/>
    </row>
    <row r="253" spans="1:1" x14ac:dyDescent="0.2">
      <c r="A253" s="241"/>
    </row>
    <row r="254" spans="1:1" x14ac:dyDescent="0.2">
      <c r="A254" s="241"/>
    </row>
    <row r="255" spans="1:1" x14ac:dyDescent="0.2">
      <c r="A255" s="241"/>
    </row>
    <row r="256" spans="1:1" x14ac:dyDescent="0.2">
      <c r="A256" s="241"/>
    </row>
    <row r="257" spans="1:1" x14ac:dyDescent="0.2">
      <c r="A257" s="241"/>
    </row>
    <row r="258" spans="1:1" x14ac:dyDescent="0.2">
      <c r="A258" s="241"/>
    </row>
    <row r="259" spans="1:1" x14ac:dyDescent="0.2">
      <c r="A259" s="241"/>
    </row>
    <row r="260" spans="1:1" x14ac:dyDescent="0.2">
      <c r="A260" s="241"/>
    </row>
    <row r="261" spans="1:1" x14ac:dyDescent="0.2">
      <c r="A261" s="241"/>
    </row>
    <row r="262" spans="1:1" x14ac:dyDescent="0.2">
      <c r="A262" s="241"/>
    </row>
    <row r="263" spans="1:1" x14ac:dyDescent="0.2">
      <c r="A263" s="241"/>
    </row>
    <row r="264" spans="1:1" x14ac:dyDescent="0.2">
      <c r="A264" s="241"/>
    </row>
    <row r="265" spans="1:1" x14ac:dyDescent="0.2">
      <c r="A265" s="241"/>
    </row>
    <row r="266" spans="1:1" x14ac:dyDescent="0.2">
      <c r="A266" s="241"/>
    </row>
    <row r="267" spans="1:1" x14ac:dyDescent="0.2">
      <c r="A267" s="241"/>
    </row>
    <row r="268" spans="1:1" x14ac:dyDescent="0.2">
      <c r="A268" s="241"/>
    </row>
    <row r="269" spans="1:1" x14ac:dyDescent="0.2">
      <c r="A269" s="241"/>
    </row>
    <row r="270" spans="1:1" x14ac:dyDescent="0.2">
      <c r="A270" s="241"/>
    </row>
    <row r="271" spans="1:1" x14ac:dyDescent="0.2">
      <c r="A271" s="241"/>
    </row>
    <row r="272" spans="1:1" x14ac:dyDescent="0.2">
      <c r="A272" s="241"/>
    </row>
    <row r="273" spans="1:1" x14ac:dyDescent="0.2">
      <c r="A273" s="241"/>
    </row>
    <row r="274" spans="1:1" x14ac:dyDescent="0.2">
      <c r="A274" s="241"/>
    </row>
    <row r="275" spans="1:1" x14ac:dyDescent="0.2">
      <c r="A275" s="241"/>
    </row>
    <row r="276" spans="1:1" x14ac:dyDescent="0.2">
      <c r="A276" s="241"/>
    </row>
    <row r="277" spans="1:1" x14ac:dyDescent="0.2">
      <c r="A277" s="241"/>
    </row>
    <row r="278" spans="1:1" x14ac:dyDescent="0.2">
      <c r="A278" s="241"/>
    </row>
    <row r="279" spans="1:1" x14ac:dyDescent="0.2">
      <c r="A279" s="241"/>
    </row>
    <row r="280" spans="1:1" x14ac:dyDescent="0.2">
      <c r="A280" s="241"/>
    </row>
    <row r="281" spans="1:1" x14ac:dyDescent="0.2">
      <c r="A281" s="241"/>
    </row>
    <row r="282" spans="1:1" x14ac:dyDescent="0.2">
      <c r="A282" s="241"/>
    </row>
    <row r="283" spans="1:1" x14ac:dyDescent="0.2">
      <c r="A283" s="241"/>
    </row>
    <row r="284" spans="1:1" x14ac:dyDescent="0.2">
      <c r="A284" s="241"/>
    </row>
    <row r="285" spans="1:1" x14ac:dyDescent="0.2">
      <c r="A285" s="241"/>
    </row>
    <row r="286" spans="1:1" x14ac:dyDescent="0.2">
      <c r="A286" s="241"/>
    </row>
    <row r="287" spans="1:1" x14ac:dyDescent="0.2">
      <c r="A287" s="241"/>
    </row>
    <row r="288" spans="1:1" x14ac:dyDescent="0.2">
      <c r="A288" s="241"/>
    </row>
    <row r="289" spans="1:1" x14ac:dyDescent="0.2">
      <c r="A289" s="241"/>
    </row>
    <row r="290" spans="1:1" x14ac:dyDescent="0.2">
      <c r="A290" s="241"/>
    </row>
    <row r="291" spans="1:1" x14ac:dyDescent="0.2">
      <c r="A291" s="241"/>
    </row>
    <row r="292" spans="1:1" x14ac:dyDescent="0.2">
      <c r="A292" s="241"/>
    </row>
    <row r="293" spans="1:1" x14ac:dyDescent="0.2">
      <c r="A293" s="241"/>
    </row>
    <row r="294" spans="1:1" x14ac:dyDescent="0.2">
      <c r="A294" s="241"/>
    </row>
    <row r="295" spans="1:1" x14ac:dyDescent="0.2">
      <c r="A295" s="241"/>
    </row>
    <row r="296" spans="1:1" x14ac:dyDescent="0.2">
      <c r="A296" s="241"/>
    </row>
    <row r="297" spans="1:1" x14ac:dyDescent="0.2">
      <c r="A297" s="241"/>
    </row>
    <row r="298" spans="1:1" x14ac:dyDescent="0.2">
      <c r="A298" s="241"/>
    </row>
    <row r="299" spans="1:1" x14ac:dyDescent="0.2">
      <c r="A299" s="241"/>
    </row>
    <row r="300" spans="1:1" x14ac:dyDescent="0.2">
      <c r="A300" s="241"/>
    </row>
    <row r="301" spans="1:1" x14ac:dyDescent="0.2">
      <c r="A301" s="241"/>
    </row>
    <row r="302" spans="1:1" x14ac:dyDescent="0.2">
      <c r="A302" s="241"/>
    </row>
    <row r="303" spans="1:1" x14ac:dyDescent="0.2">
      <c r="A303" s="241"/>
    </row>
    <row r="304" spans="1:1" x14ac:dyDescent="0.2">
      <c r="A304" s="241"/>
    </row>
    <row r="305" spans="1:1" x14ac:dyDescent="0.2">
      <c r="A305" s="241"/>
    </row>
    <row r="306" spans="1:1" x14ac:dyDescent="0.2">
      <c r="A306" s="241"/>
    </row>
    <row r="307" spans="1:1" x14ac:dyDescent="0.2">
      <c r="A307" s="241"/>
    </row>
    <row r="308" spans="1:1" x14ac:dyDescent="0.2">
      <c r="A308" s="241"/>
    </row>
    <row r="309" spans="1:1" x14ac:dyDescent="0.2">
      <c r="A309" s="241"/>
    </row>
    <row r="310" spans="1:1" x14ac:dyDescent="0.2">
      <c r="A310" s="241"/>
    </row>
    <row r="311" spans="1:1" x14ac:dyDescent="0.2">
      <c r="A311" s="241"/>
    </row>
    <row r="312" spans="1:1" x14ac:dyDescent="0.2">
      <c r="A312" s="241"/>
    </row>
    <row r="313" spans="1:1" x14ac:dyDescent="0.2">
      <c r="A313" s="241"/>
    </row>
    <row r="314" spans="1:1" x14ac:dyDescent="0.2">
      <c r="A314" s="241"/>
    </row>
    <row r="315" spans="1:1" x14ac:dyDescent="0.2">
      <c r="A315" s="241"/>
    </row>
    <row r="316" spans="1:1" x14ac:dyDescent="0.2">
      <c r="A316" s="241"/>
    </row>
    <row r="317" spans="1:1" x14ac:dyDescent="0.2">
      <c r="A317" s="241"/>
    </row>
    <row r="318" spans="1:1" x14ac:dyDescent="0.2">
      <c r="A318" s="241"/>
    </row>
    <row r="319" spans="1:1" x14ac:dyDescent="0.2">
      <c r="A319" s="241"/>
    </row>
    <row r="320" spans="1:1" x14ac:dyDescent="0.2">
      <c r="A320" s="241"/>
    </row>
    <row r="321" spans="1:1" x14ac:dyDescent="0.2">
      <c r="A321" s="241"/>
    </row>
    <row r="322" spans="1:1" x14ac:dyDescent="0.2">
      <c r="A322" s="241"/>
    </row>
    <row r="323" spans="1:1" x14ac:dyDescent="0.2">
      <c r="A323" s="241"/>
    </row>
    <row r="324" spans="1:1" x14ac:dyDescent="0.2">
      <c r="A324" s="241"/>
    </row>
    <row r="325" spans="1:1" x14ac:dyDescent="0.2">
      <c r="A325" s="241"/>
    </row>
    <row r="326" spans="1:1" x14ac:dyDescent="0.2">
      <c r="A326" s="241"/>
    </row>
    <row r="327" spans="1:1" x14ac:dyDescent="0.2">
      <c r="A327" s="241"/>
    </row>
    <row r="328" spans="1:1" x14ac:dyDescent="0.2">
      <c r="A328" s="241"/>
    </row>
    <row r="329" spans="1:1" x14ac:dyDescent="0.2">
      <c r="A329" s="241"/>
    </row>
    <row r="330" spans="1:1" x14ac:dyDescent="0.2">
      <c r="A330" s="241"/>
    </row>
    <row r="331" spans="1:1" x14ac:dyDescent="0.2">
      <c r="A331" s="241"/>
    </row>
    <row r="332" spans="1:1" x14ac:dyDescent="0.2">
      <c r="A332" s="241"/>
    </row>
    <row r="333" spans="1:1" x14ac:dyDescent="0.2">
      <c r="A333" s="241"/>
    </row>
    <row r="334" spans="1:1" x14ac:dyDescent="0.2">
      <c r="A334" s="241"/>
    </row>
    <row r="335" spans="1:1" x14ac:dyDescent="0.2">
      <c r="A335" s="241"/>
    </row>
    <row r="336" spans="1:1" x14ac:dyDescent="0.2">
      <c r="A336" s="241"/>
    </row>
    <row r="337" spans="1:1" x14ac:dyDescent="0.2">
      <c r="A337" s="241"/>
    </row>
    <row r="338" spans="1:1" x14ac:dyDescent="0.2">
      <c r="A338" s="241"/>
    </row>
    <row r="339" spans="1:1" x14ac:dyDescent="0.2">
      <c r="A339" s="241"/>
    </row>
    <row r="340" spans="1:1" x14ac:dyDescent="0.2">
      <c r="A340" s="241"/>
    </row>
    <row r="341" spans="1:1" x14ac:dyDescent="0.2">
      <c r="A341" s="241"/>
    </row>
    <row r="342" spans="1:1" x14ac:dyDescent="0.2">
      <c r="A342" s="241"/>
    </row>
    <row r="343" spans="1:1" x14ac:dyDescent="0.2">
      <c r="A343" s="241"/>
    </row>
    <row r="344" spans="1:1" x14ac:dyDescent="0.2">
      <c r="A344" s="241"/>
    </row>
    <row r="345" spans="1:1" x14ac:dyDescent="0.2">
      <c r="A345" s="241"/>
    </row>
    <row r="346" spans="1:1" x14ac:dyDescent="0.2">
      <c r="A346" s="241"/>
    </row>
    <row r="347" spans="1:1" x14ac:dyDescent="0.2">
      <c r="A347" s="241"/>
    </row>
    <row r="348" spans="1:1" x14ac:dyDescent="0.2">
      <c r="A348" s="241"/>
    </row>
    <row r="349" spans="1:1" x14ac:dyDescent="0.2">
      <c r="A349" s="241"/>
    </row>
    <row r="350" spans="1:1" x14ac:dyDescent="0.2">
      <c r="A350" s="241"/>
    </row>
    <row r="351" spans="1:1" x14ac:dyDescent="0.2">
      <c r="A351" s="241"/>
    </row>
    <row r="352" spans="1:1" x14ac:dyDescent="0.2">
      <c r="A352" s="241"/>
    </row>
    <row r="353" spans="1:1" x14ac:dyDescent="0.2">
      <c r="A353" s="241"/>
    </row>
    <row r="354" spans="1:1" x14ac:dyDescent="0.2">
      <c r="A354" s="241"/>
    </row>
    <row r="355" spans="1:1" x14ac:dyDescent="0.2">
      <c r="A355" s="241"/>
    </row>
    <row r="356" spans="1:1" x14ac:dyDescent="0.2">
      <c r="A356" s="241"/>
    </row>
    <row r="357" spans="1:1" x14ac:dyDescent="0.2">
      <c r="A357" s="241"/>
    </row>
    <row r="358" spans="1:1" x14ac:dyDescent="0.2">
      <c r="A358" s="241"/>
    </row>
    <row r="359" spans="1:1" x14ac:dyDescent="0.2">
      <c r="A359" s="241"/>
    </row>
    <row r="360" spans="1:1" x14ac:dyDescent="0.2">
      <c r="A360" s="241"/>
    </row>
    <row r="361" spans="1:1" x14ac:dyDescent="0.2">
      <c r="A361" s="241"/>
    </row>
    <row r="362" spans="1:1" x14ac:dyDescent="0.2">
      <c r="A362" s="241"/>
    </row>
    <row r="363" spans="1:1" x14ac:dyDescent="0.2">
      <c r="A363" s="241"/>
    </row>
    <row r="364" spans="1:1" x14ac:dyDescent="0.2">
      <c r="A364" s="241"/>
    </row>
    <row r="365" spans="1:1" x14ac:dyDescent="0.2">
      <c r="A365" s="241"/>
    </row>
    <row r="366" spans="1:1" x14ac:dyDescent="0.2">
      <c r="A366" s="241"/>
    </row>
    <row r="367" spans="1:1" x14ac:dyDescent="0.2">
      <c r="A367" s="241"/>
    </row>
    <row r="368" spans="1:1" x14ac:dyDescent="0.2">
      <c r="A368" s="241"/>
    </row>
    <row r="369" spans="1:1" x14ac:dyDescent="0.2">
      <c r="A369" s="241"/>
    </row>
    <row r="370" spans="1:1" x14ac:dyDescent="0.2">
      <c r="A370" s="241"/>
    </row>
    <row r="371" spans="1:1" x14ac:dyDescent="0.2">
      <c r="A371" s="241"/>
    </row>
    <row r="372" spans="1:1" x14ac:dyDescent="0.2">
      <c r="A372" s="241"/>
    </row>
    <row r="373" spans="1:1" x14ac:dyDescent="0.2">
      <c r="A373" s="241"/>
    </row>
    <row r="374" spans="1:1" x14ac:dyDescent="0.2">
      <c r="A374" s="241"/>
    </row>
    <row r="375" spans="1:1" x14ac:dyDescent="0.2">
      <c r="A375" s="241"/>
    </row>
    <row r="376" spans="1:1" x14ac:dyDescent="0.2">
      <c r="A376" s="241"/>
    </row>
  </sheetData>
  <mergeCells count="41">
    <mergeCell ref="F167:H167"/>
    <mergeCell ref="F168:H168"/>
    <mergeCell ref="A51:H51"/>
    <mergeCell ref="A52:H52"/>
    <mergeCell ref="A109:H109"/>
    <mergeCell ref="A119:H119"/>
    <mergeCell ref="A126:H126"/>
    <mergeCell ref="A137:H137"/>
    <mergeCell ref="A45:H45"/>
    <mergeCell ref="A46:H46"/>
    <mergeCell ref="A48:A49"/>
    <mergeCell ref="B48:B49"/>
    <mergeCell ref="C48:C49"/>
    <mergeCell ref="D48:D49"/>
    <mergeCell ref="E48:H48"/>
    <mergeCell ref="A44:H44"/>
    <mergeCell ref="B37:D37"/>
    <mergeCell ref="G37:H37"/>
    <mergeCell ref="B38:D38"/>
    <mergeCell ref="G38:H38"/>
    <mergeCell ref="B39:D39"/>
    <mergeCell ref="E39:G39"/>
    <mergeCell ref="B40:D40"/>
    <mergeCell ref="E40:G40"/>
    <mergeCell ref="B41:H41"/>
    <mergeCell ref="B42:H42"/>
    <mergeCell ref="B43:H43"/>
    <mergeCell ref="B34:D34"/>
    <mergeCell ref="G34:H34"/>
    <mergeCell ref="B35:D35"/>
    <mergeCell ref="G35:H35"/>
    <mergeCell ref="B36:D36"/>
    <mergeCell ref="G36:H36"/>
    <mergeCell ref="B33:D33"/>
    <mergeCell ref="G33:H33"/>
    <mergeCell ref="G1:H1"/>
    <mergeCell ref="F6:H6"/>
    <mergeCell ref="G30:H30"/>
    <mergeCell ref="B32:C32"/>
    <mergeCell ref="G32:H32"/>
    <mergeCell ref="F2:H2"/>
  </mergeCells>
  <pageMargins left="0.78740157480314965" right="0.39370078740157483" top="0.39370078740157483" bottom="0.39370078740157483" header="0.39370078740157483" footer="0.39370078740157483"/>
  <pageSetup paperSize="9" scale="49" fitToHeight="3" orientation="portrait" r:id="rId1"/>
  <rowBreaks count="1" manualBreakCount="1">
    <brk id="1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Фінплан 9 міс уоз 
</vt:lpstr>
      <vt:lpstr>Фінплан 9 міс розгорнутий
 (2)</vt:lpstr>
      <vt:lpstr>Фінплан 2025
 (3)</vt:lpstr>
      <vt:lpstr>'Фінплан 2025
 (3)'!Заголовки_для_печати</vt:lpstr>
      <vt:lpstr>'Фінплан 9 міс розгорнутий
 (2)'!Заголовки_для_печати</vt:lpstr>
      <vt:lpstr>'Фінплан 9 міс уоз 
'!Заголовки_для_печати</vt:lpstr>
      <vt:lpstr>'Фінплан 2025
 (3)'!Область_печати</vt:lpstr>
      <vt:lpstr>'Фінплан 9 міс розгорнутий
 (2)'!Область_печати</vt:lpstr>
      <vt:lpstr>'Фінплан 9 міс уоз 
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2025-02-17T09:10:36Z</cp:lastPrinted>
  <dcterms:created xsi:type="dcterms:W3CDTF">2019-10-17T10:42:43Z</dcterms:created>
  <dcterms:modified xsi:type="dcterms:W3CDTF">2025-04-17T11:27:50Z</dcterms:modified>
</cp:coreProperties>
</file>