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оддубная\2025\ФІН ПЛАНИ\Проєкти 2026\ДООПРАЦЬОВАНО\Пологовий\ріш+розс\"/>
    </mc:Choice>
  </mc:AlternateContent>
  <bookViews>
    <workbookView xWindow="0" yWindow="0" windowWidth="28800" windowHeight="12345"/>
  </bookViews>
  <sheets>
    <sheet name="проект 2026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atabase">'[10]Ener '!$A$1:$G$2645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0">[15]!ShowFil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в">'[26]МТР Газ України'!$F$1</definedName>
    <definedName name="ватт">'[27]БАЗА  '!#REF!</definedName>
    <definedName name="Д">'[16]МТР Газ України'!$B$4</definedName>
    <definedName name="е">#REF!</definedName>
    <definedName name="є">#REF!</definedName>
    <definedName name="_xlnm.Print_Titles" localSheetId="0">'проект 2026'!$47:$49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'проект 2026'!$B$1:$I$173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'[26]МТР Газ України'!$F$1</definedName>
    <definedName name="ц">'[14]7  Інші витрати'!#REF!</definedName>
    <definedName name="ччч">'[35]БАЗА  '!#REF!</definedName>
    <definedName name="ш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3" i="4" l="1"/>
  <c r="G155" i="4" l="1"/>
  <c r="G148" i="4" s="1"/>
  <c r="F161" i="4"/>
  <c r="I155" i="4" l="1"/>
  <c r="I148" i="4" s="1"/>
  <c r="H155" i="4"/>
  <c r="H148" i="4" s="1"/>
  <c r="F155" i="4"/>
  <c r="E147" i="4"/>
  <c r="F162" i="4" l="1"/>
  <c r="F148" i="4"/>
  <c r="F88" i="4"/>
  <c r="E114" i="4"/>
  <c r="E113" i="4"/>
  <c r="F166" i="4" l="1"/>
  <c r="H165" i="4"/>
  <c r="F165" i="4"/>
  <c r="D165" i="4"/>
  <c r="H164" i="4"/>
  <c r="F164" i="4"/>
  <c r="I163" i="4"/>
  <c r="G163" i="4"/>
  <c r="F163" i="4"/>
  <c r="D163" i="4"/>
  <c r="I162" i="4"/>
  <c r="H162" i="4"/>
  <c r="G162" i="4"/>
  <c r="I161" i="4"/>
  <c r="H161" i="4"/>
  <c r="G161" i="4"/>
  <c r="U159" i="4"/>
  <c r="T159" i="4"/>
  <c r="I159" i="4"/>
  <c r="I166" i="4" s="1"/>
  <c r="H159" i="4"/>
  <c r="H166" i="4" s="1"/>
  <c r="G159" i="4"/>
  <c r="E159" i="4" s="1"/>
  <c r="E166" i="4" s="1"/>
  <c r="U158" i="4"/>
  <c r="T158" i="4"/>
  <c r="I158" i="4"/>
  <c r="I165" i="4" s="1"/>
  <c r="H158" i="4"/>
  <c r="G158" i="4"/>
  <c r="G165" i="4" s="1"/>
  <c r="U157" i="4"/>
  <c r="T157" i="4"/>
  <c r="I157" i="4"/>
  <c r="I164" i="4" s="1"/>
  <c r="H157" i="4"/>
  <c r="G157" i="4"/>
  <c r="G164" i="4" s="1"/>
  <c r="U156" i="4"/>
  <c r="T156" i="4"/>
  <c r="K156" i="4"/>
  <c r="I156" i="4"/>
  <c r="H156" i="4"/>
  <c r="H163" i="4" s="1"/>
  <c r="G156" i="4"/>
  <c r="E156" i="4"/>
  <c r="E163" i="4" s="1"/>
  <c r="T155" i="4"/>
  <c r="U155" i="4" s="1"/>
  <c r="E155" i="4"/>
  <c r="E162" i="4" s="1"/>
  <c r="T154" i="4"/>
  <c r="U154" i="4" s="1"/>
  <c r="E154" i="4"/>
  <c r="E161" i="4" s="1"/>
  <c r="S153" i="4"/>
  <c r="J153" i="4"/>
  <c r="H153" i="4"/>
  <c r="F153" i="4"/>
  <c r="D153" i="4"/>
  <c r="I152" i="4"/>
  <c r="H152" i="4"/>
  <c r="G152" i="4"/>
  <c r="E152" i="4" s="1"/>
  <c r="I151" i="4"/>
  <c r="H151" i="4"/>
  <c r="G151" i="4"/>
  <c r="E151" i="4" s="1"/>
  <c r="H150" i="4"/>
  <c r="I149" i="4"/>
  <c r="H149" i="4"/>
  <c r="H146" i="4" s="1"/>
  <c r="G149" i="4"/>
  <c r="E149" i="4"/>
  <c r="E148" i="4"/>
  <c r="J146" i="4"/>
  <c r="F146" i="4"/>
  <c r="D146" i="4"/>
  <c r="E145" i="4"/>
  <c r="E144" i="4"/>
  <c r="E143" i="4"/>
  <c r="E142" i="4"/>
  <c r="E139" i="4" s="1"/>
  <c r="I139" i="4"/>
  <c r="H139" i="4"/>
  <c r="G139" i="4"/>
  <c r="F139" i="4"/>
  <c r="J138" i="4"/>
  <c r="D137" i="4"/>
  <c r="E136" i="4"/>
  <c r="E135" i="4"/>
  <c r="I134" i="4"/>
  <c r="H134" i="4"/>
  <c r="G134" i="4"/>
  <c r="F134" i="4"/>
  <c r="E134" i="4"/>
  <c r="E132" i="4"/>
  <c r="O131" i="4"/>
  <c r="N131" i="4"/>
  <c r="M131" i="4"/>
  <c r="L131" i="4"/>
  <c r="K131" i="4"/>
  <c r="J131" i="4"/>
  <c r="I131" i="4"/>
  <c r="I137" i="4" s="1"/>
  <c r="F131" i="4"/>
  <c r="E130" i="4"/>
  <c r="E129" i="4"/>
  <c r="H128" i="4"/>
  <c r="H131" i="4" s="1"/>
  <c r="H137" i="4" s="1"/>
  <c r="G128" i="4"/>
  <c r="G131" i="4" s="1"/>
  <c r="E128" i="4"/>
  <c r="E131" i="4" s="1"/>
  <c r="E137" i="4" s="1"/>
  <c r="I125" i="4"/>
  <c r="H125" i="4"/>
  <c r="G125" i="4"/>
  <c r="F125" i="4"/>
  <c r="D125" i="4"/>
  <c r="E119" i="4"/>
  <c r="E125" i="4" s="1"/>
  <c r="E118" i="4"/>
  <c r="E117" i="4"/>
  <c r="E115" i="4"/>
  <c r="E112" i="4"/>
  <c r="I111" i="4"/>
  <c r="I126" i="4" s="1"/>
  <c r="H111" i="4"/>
  <c r="H126" i="4" s="1"/>
  <c r="G111" i="4"/>
  <c r="G126" i="4" s="1"/>
  <c r="F111" i="4"/>
  <c r="D111" i="4"/>
  <c r="E107" i="4"/>
  <c r="I106" i="4"/>
  <c r="H106" i="4"/>
  <c r="G106" i="4"/>
  <c r="F106" i="4"/>
  <c r="E106" i="4"/>
  <c r="D106" i="4"/>
  <c r="E105" i="4"/>
  <c r="E104" i="4"/>
  <c r="E103" i="4"/>
  <c r="E102" i="4"/>
  <c r="E101" i="4"/>
  <c r="E100" i="4"/>
  <c r="E99" i="4"/>
  <c r="E98" i="4"/>
  <c r="I97" i="4"/>
  <c r="H97" i="4"/>
  <c r="G97" i="4"/>
  <c r="F97" i="4"/>
  <c r="D97" i="4"/>
  <c r="E96" i="4"/>
  <c r="E95" i="4"/>
  <c r="E94" i="4"/>
  <c r="E93" i="4"/>
  <c r="Q92" i="4"/>
  <c r="E92" i="4"/>
  <c r="E91" i="4"/>
  <c r="T90" i="4"/>
  <c r="R90" i="4"/>
  <c r="E90" i="4"/>
  <c r="I89" i="4"/>
  <c r="H89" i="4"/>
  <c r="G89" i="4"/>
  <c r="F89" i="4"/>
  <c r="I88" i="4"/>
  <c r="I87" i="4" s="1"/>
  <c r="H88" i="4"/>
  <c r="G88" i="4"/>
  <c r="Q87" i="4"/>
  <c r="G87" i="4"/>
  <c r="D87" i="4"/>
  <c r="D108" i="4" s="1"/>
  <c r="D122" i="4" s="1"/>
  <c r="E86" i="4"/>
  <c r="E85" i="4"/>
  <c r="E84" i="4"/>
  <c r="T83" i="4"/>
  <c r="S83" i="4"/>
  <c r="Q83" i="4"/>
  <c r="E83" i="4"/>
  <c r="S82" i="4"/>
  <c r="Q82" i="4"/>
  <c r="E82" i="4"/>
  <c r="E81" i="4"/>
  <c r="E80" i="4"/>
  <c r="E79" i="4"/>
  <c r="E78" i="4"/>
  <c r="E77" i="4" s="1"/>
  <c r="I77" i="4"/>
  <c r="H77" i="4"/>
  <c r="G77" i="4"/>
  <c r="F77" i="4"/>
  <c r="F76" i="4"/>
  <c r="H75" i="4"/>
  <c r="F75" i="4"/>
  <c r="F74" i="4"/>
  <c r="I71" i="4"/>
  <c r="K71" i="4" s="1"/>
  <c r="M71" i="4" s="1"/>
  <c r="O71" i="4" s="1"/>
  <c r="H71" i="4"/>
  <c r="J71" i="4" s="1"/>
  <c r="L71" i="4" s="1"/>
  <c r="G71" i="4"/>
  <c r="F71" i="4"/>
  <c r="E71" i="4"/>
  <c r="D71" i="4"/>
  <c r="E70" i="4"/>
  <c r="E69" i="4"/>
  <c r="E68" i="4"/>
  <c r="E67" i="4"/>
  <c r="I66" i="4"/>
  <c r="I73" i="4" s="1"/>
  <c r="H66" i="4"/>
  <c r="G66" i="4"/>
  <c r="G73" i="4" s="1"/>
  <c r="F66" i="4"/>
  <c r="E66" i="4"/>
  <c r="D66" i="4"/>
  <c r="E64" i="4"/>
  <c r="E63" i="4"/>
  <c r="E62" i="4"/>
  <c r="E61" i="4"/>
  <c r="E60" i="4"/>
  <c r="I59" i="4"/>
  <c r="H59" i="4"/>
  <c r="H121" i="4" s="1"/>
  <c r="G59" i="4"/>
  <c r="E58" i="4"/>
  <c r="E57" i="4"/>
  <c r="E56" i="4"/>
  <c r="E55" i="4" s="1"/>
  <c r="I55" i="4"/>
  <c r="H55" i="4"/>
  <c r="G55" i="4"/>
  <c r="F55" i="4"/>
  <c r="D55" i="4"/>
  <c r="E54" i="4"/>
  <c r="E53" i="4"/>
  <c r="I52" i="4"/>
  <c r="H52" i="4"/>
  <c r="H73" i="4" s="1"/>
  <c r="G52" i="4"/>
  <c r="F52" i="4"/>
  <c r="F73" i="4" s="1"/>
  <c r="F121" i="4" s="1"/>
  <c r="D52" i="4"/>
  <c r="D73" i="4" s="1"/>
  <c r="D109" i="4" l="1"/>
  <c r="D121" i="4"/>
  <c r="G121" i="4"/>
  <c r="I121" i="4"/>
  <c r="N71" i="4"/>
  <c r="D123" i="4"/>
  <c r="D126" i="4"/>
  <c r="F137" i="4"/>
  <c r="G166" i="4"/>
  <c r="E52" i="4"/>
  <c r="E73" i="4" s="1"/>
  <c r="E121" i="4" s="1"/>
  <c r="G75" i="4"/>
  <c r="I75" i="4"/>
  <c r="H76" i="4"/>
  <c r="H74" i="4" s="1"/>
  <c r="G137" i="4"/>
  <c r="G150" i="4"/>
  <c r="I150" i="4"/>
  <c r="I76" i="4" s="1"/>
  <c r="G153" i="4"/>
  <c r="G160" i="4" s="1"/>
  <c r="I153" i="4"/>
  <c r="E157" i="4"/>
  <c r="E164" i="4" s="1"/>
  <c r="E158" i="4"/>
  <c r="E165" i="4" s="1"/>
  <c r="I160" i="4"/>
  <c r="E153" i="4"/>
  <c r="E160" i="4" s="1"/>
  <c r="E88" i="4"/>
  <c r="F160" i="4"/>
  <c r="Q153" i="4"/>
  <c r="Q150" i="4"/>
  <c r="R150" i="4" s="1"/>
  <c r="H87" i="4"/>
  <c r="H160" i="4"/>
  <c r="T153" i="4"/>
  <c r="U153" i="4" s="1"/>
  <c r="E89" i="4"/>
  <c r="F87" i="4"/>
  <c r="E111" i="4"/>
  <c r="E126" i="4" s="1"/>
  <c r="F126" i="4"/>
  <c r="E97" i="4"/>
  <c r="E150" i="4" l="1"/>
  <c r="G146" i="4"/>
  <c r="G76" i="4"/>
  <c r="E76" i="4" s="1"/>
  <c r="E75" i="4"/>
  <c r="Q146" i="4" s="1"/>
  <c r="H108" i="4"/>
  <c r="H123" i="4" s="1"/>
  <c r="I146" i="4"/>
  <c r="I74" i="4"/>
  <c r="I108" i="4" s="1"/>
  <c r="E87" i="4"/>
  <c r="F108" i="4"/>
  <c r="I124" i="4"/>
  <c r="F109" i="4"/>
  <c r="H124" i="4"/>
  <c r="H109" i="4"/>
  <c r="I122" i="4" l="1"/>
  <c r="I109" i="4"/>
  <c r="H122" i="4"/>
  <c r="I123" i="4"/>
  <c r="Q148" i="4"/>
  <c r="G74" i="4"/>
  <c r="M146" i="4"/>
  <c r="E146" i="4"/>
  <c r="F123" i="4"/>
  <c r="F124" i="4"/>
  <c r="F122" i="4"/>
  <c r="R148" i="4" l="1"/>
  <c r="S150" i="4"/>
  <c r="K74" i="4"/>
  <c r="G108" i="4"/>
  <c r="E74" i="4"/>
  <c r="G123" i="4" l="1"/>
  <c r="G109" i="4"/>
  <c r="G124" i="4"/>
  <c r="G122" i="4"/>
  <c r="E108" i="4"/>
  <c r="E122" i="4" l="1"/>
  <c r="E123" i="4"/>
  <c r="E124" i="4"/>
  <c r="E109" i="4"/>
</calcChain>
</file>

<file path=xl/sharedStrings.xml><?xml version="1.0" encoding="utf-8"?>
<sst xmlns="http://schemas.openxmlformats.org/spreadsheetml/2006/main" count="195" uniqueCount="166">
  <si>
    <t>Додаток 1</t>
  </si>
  <si>
    <t>ЗАТВЕРДЖЕНО</t>
  </si>
  <si>
    <t>(рішення виконкому Сумської міської ради)</t>
  </si>
  <si>
    <t>М.П.</t>
  </si>
  <si>
    <t> (число, місяць, рік)</t>
  </si>
  <si>
    <t>ПОГОДЖЕНО</t>
  </si>
  <si>
    <t>Начальник Управління внутрішнього контролю та аудиту Сумської міської ради</t>
  </si>
  <si>
    <t>(підпис, ініціали, прізвище)</t>
  </si>
  <si>
    <t>( керівник уповноваженого органу управління  )</t>
  </si>
  <si>
    <t>Проект</t>
  </si>
  <si>
    <t>Х</t>
  </si>
  <si>
    <t>Уточнений</t>
  </si>
  <si>
    <t>Змінений</t>
  </si>
  <si>
    <t>зробити позначку"Х"</t>
  </si>
  <si>
    <t>Коди</t>
  </si>
  <si>
    <t>Назва підприємства</t>
  </si>
  <si>
    <t xml:space="preserve">КНП "Клінічний перинатальний центр Пресвятої Діви Марії" СМР </t>
  </si>
  <si>
    <t xml:space="preserve">за ЄДРПОУ </t>
  </si>
  <si>
    <t>02000323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</si>
  <si>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</si>
  <si>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</si>
  <si>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</si>
  <si>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</si>
  <si>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м. Суми</t>
  </si>
  <si>
    <t>за КОАТУУ</t>
  </si>
  <si>
    <r>
      <rPr>
        <sz val="14"/>
        <rFont val="Times New Roman"/>
        <charset val="204"/>
      </rPr>
      <t xml:space="preserve">Орган державного управління  </t>
    </r>
    <r>
      <rPr>
        <b/>
        <i/>
        <sz val="14"/>
        <rFont val="Times New Roman"/>
        <charset val="204"/>
      </rPr>
      <t xml:space="preserve"> </t>
    </r>
  </si>
  <si>
    <t>Сумська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</si>
  <si>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</si>
  <si>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</si>
  <si>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</si>
  <si>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</si>
  <si>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</si>
  <si>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діяльність лікарських закладів</t>
  </si>
  <si>
    <t xml:space="preserve">за  КВЕД  </t>
  </si>
  <si>
    <t>86.10</t>
  </si>
  <si>
    <t>Одиниця виміру, тис.грн.</t>
  </si>
  <si>
    <t>тис. грн.</t>
  </si>
  <si>
    <t>Стандарти звітності П(с)БОУ</t>
  </si>
  <si>
    <t>Форма власності</t>
  </si>
  <si>
    <t>комунальна</t>
  </si>
  <si>
    <t>Стандарти звітності МСФЗ</t>
  </si>
  <si>
    <t xml:space="preserve">Місцезнаходження  </t>
  </si>
  <si>
    <t>40022, м. Суми, вул. Троїцька, буд. 20</t>
  </si>
  <si>
    <t xml:space="preserve">Телефон </t>
  </si>
  <si>
    <t>0542788440</t>
  </si>
  <si>
    <t xml:space="preserve">Прізвище та ініціали керівника  </t>
  </si>
  <si>
    <t>Тетяна  Мілютіна</t>
  </si>
  <si>
    <t xml:space="preserve">ФІНАНСОВИЙ  ПЛАН ПІДПРИЄМСТВА </t>
  </si>
  <si>
    <t>на  2026   рік</t>
  </si>
  <si>
    <t xml:space="preserve">         тис. грн.</t>
  </si>
  <si>
    <t>Найменування показника</t>
  </si>
  <si>
    <t xml:space="preserve">Код рядка </t>
  </si>
  <si>
    <t>Фінансовий план поточного року (затверджений зі змінами)</t>
  </si>
  <si>
    <t>Плановий рік (усього)</t>
  </si>
  <si>
    <t>У тому числі за кварталами</t>
  </si>
  <si>
    <t>I</t>
  </si>
  <si>
    <t>II</t>
  </si>
  <si>
    <t>III</t>
  </si>
  <si>
    <t>IV</t>
  </si>
  <si>
    <t>I. Формування фінансових результатів</t>
  </si>
  <si>
    <t>Доходи і витрати (деталізація)</t>
  </si>
  <si>
    <t xml:space="preserve">Дохід від надання послуг </t>
  </si>
  <si>
    <t>Кошти, отримані від надання платних послуг за основним видом діяльності</t>
  </si>
  <si>
    <t>Кошти, отримані від надання інших платних послуг</t>
  </si>
  <si>
    <t>Інші операційні доходи</t>
  </si>
  <si>
    <t xml:space="preserve">Відшкодування витрат балансоутримувача та комунальних послуг орендарями </t>
  </si>
  <si>
    <t>Кошти субвенції</t>
  </si>
  <si>
    <t>Кошти Державного бюджету України</t>
  </si>
  <si>
    <t>Кошти бюджету Сумської міської ТГ</t>
  </si>
  <si>
    <t>Дохід від безоплатно одержаних оборотних активів (благодійна допомога)</t>
  </si>
  <si>
    <t xml:space="preserve">Відсотки банку </t>
  </si>
  <si>
    <t>Кошти для виплати відпускних особам, постраждалим внаслідок аварії на ЧАЕС</t>
  </si>
  <si>
    <t>Дохід від реалізації відходів (металобрухт, скло, макулатура)</t>
  </si>
  <si>
    <t>Інші операційні доходи, які не включені в рядки 1011-1018</t>
  </si>
  <si>
    <t>Компенсація витрат на заробітну плату фонду (ТПО)</t>
  </si>
  <si>
    <t>1019.1</t>
  </si>
  <si>
    <t>Інші доходи</t>
  </si>
  <si>
    <t>Дохід від безоплатно одержаних активів (безкоштовно), в тому числі:</t>
  </si>
  <si>
    <t>сума амортизаційних відрахувань  обладнання, придбаного  за рахунок коштів бюджету Сумської міської ТГ</t>
  </si>
  <si>
    <t>1021.1</t>
  </si>
  <si>
    <t>Дохід від оприбуткування відходів</t>
  </si>
  <si>
    <t>Відсотки банку</t>
  </si>
  <si>
    <t xml:space="preserve">Інші фінансові доходи </t>
  </si>
  <si>
    <t>РАЗОМ ДОХОДИ</t>
  </si>
  <si>
    <t xml:space="preserve">Собівартість наданих послуг </t>
  </si>
  <si>
    <t>Витрати на оплату праці</t>
  </si>
  <si>
    <t>Відрахування на соціальні заходи</t>
  </si>
  <si>
    <t>Витрати на сировину та основні матеріали:</t>
  </si>
  <si>
    <t>предмети, матеріали, обладнання та інвентар у т. ч. м'який інвентар, запасні частини до транспортних засобів, витрати на паливо</t>
  </si>
  <si>
    <t>1053.1</t>
  </si>
  <si>
    <t>медикаменти та перев'язувальні матеріали</t>
  </si>
  <si>
    <t>1053.2</t>
  </si>
  <si>
    <t>продукти харчування</t>
  </si>
  <si>
    <t>1053.3</t>
  </si>
  <si>
    <t>Оплата комунальних послуг та енергоносіїв</t>
  </si>
  <si>
    <r>
      <rPr>
        <sz val="14"/>
        <rFont val="Times New Roman"/>
        <charset val="204"/>
      </rPr>
      <t>Витрати, що здійснюються для підтримання об’єкта в робочому стані</t>
    </r>
    <r>
      <rPr>
        <i/>
        <sz val="14"/>
        <rFont val="Times New Roman"/>
        <charset val="204"/>
      </rPr>
      <t xml:space="preserve"> (проведення ремонту, технічного огляду, нагляду, обслуговування,  організаційно-технічні послуги , консультаційні та інформаційні послуги, витрати на охорону праці загальногосподарського персоналу, витрати на страхові послуги тощо)</t>
    </r>
  </si>
  <si>
    <t>Амортизація основних засобів і нематеріальних активів</t>
  </si>
  <si>
    <t>Витрати на відрядження</t>
  </si>
  <si>
    <t xml:space="preserve">Витрати на підвищення кваліфікації та перепідготовку кадрів </t>
  </si>
  <si>
    <t>Інші поточні видатки</t>
  </si>
  <si>
    <t>Адміністративні витрати</t>
  </si>
  <si>
    <r>
      <rPr>
        <sz val="14"/>
        <rFont val="Times New Roman"/>
        <charset val="204"/>
      </rPr>
      <t xml:space="preserve">Витрати на сировину та матеріали </t>
    </r>
    <r>
      <rPr>
        <i/>
        <sz val="14"/>
        <rFont val="Times New Roman"/>
        <charset val="204"/>
      </rPr>
      <t>(предмети, матеріали, обладнання та інвентар в т. ч. офісне приладдя та устаткування, витрати на канцтовари, запасні частини до транспортних засобів тощо)</t>
    </r>
  </si>
  <si>
    <t>Інші адміністративні витрати (проведення ремонту, технічного огляду, нагляду, обслуговування,  організаційно-технічні послуги, консультаційні та інформаційні послуги,  охорона праці, страхові послуги, послуги зв'язку тощо)</t>
  </si>
  <si>
    <t>Амортизація основних засобів і нематеріальних активів загальногосподарського призначення</t>
  </si>
  <si>
    <t>Інші операційні витрати</t>
  </si>
  <si>
    <t>Витрати на безоплатну передачу запасів</t>
  </si>
  <si>
    <t>Витрати на виплати по листкам непрацездатності за рахунок підприємства з нарахуваннями</t>
  </si>
  <si>
    <t>Витрати на виплати відпускних особам, постраждалим внаслідок аварії на ЧАЕС</t>
  </si>
  <si>
    <t>Відшкодування комунальних послуг орендарями</t>
  </si>
  <si>
    <t>Витрати на реалізацію відходів</t>
  </si>
  <si>
    <t>Списані пені, претензії, ПДВ, земельний податок</t>
  </si>
  <si>
    <t>Витрати на виплату пенсій та допомоги</t>
  </si>
  <si>
    <t>Витрати на інші виплати населенню</t>
  </si>
  <si>
    <t>Інші витрати</t>
  </si>
  <si>
    <t>Списання (ліквідація) необоротних активів</t>
  </si>
  <si>
    <t>1080.1</t>
  </si>
  <si>
    <t>РАЗОМ ВИТРАТИ</t>
  </si>
  <si>
    <t>ФІНАНСОВИЙ РЕЗУЛЬТАТ</t>
  </si>
  <si>
    <t>II. Інвестиційна діяльність</t>
  </si>
  <si>
    <t xml:space="preserve">Інвестиційна діяльність 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</si>
  <si>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</si>
  <si>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</si>
  <si>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</si>
  <si>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</si>
  <si>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</si>
  <si>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</si>
  <si>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Вартість основних засобів</t>
  </si>
  <si>
    <t>Амортизація</t>
  </si>
  <si>
    <t>III. Коефіцієнтний аналіз</t>
  </si>
  <si>
    <t>Питома вага доходу з  бюджету Сумської міської ТГ у загальних доходах підприємства (%)</t>
  </si>
  <si>
    <t>Питома вага комунальних витрат у загальних видатках підприємства (%)</t>
  </si>
  <si>
    <t>Питома вага  капітальних видатків у загальних видатках підприємства (%)</t>
  </si>
  <si>
    <t>Питома вага сумарного ФОП з нарахуваннями у загальних  видатках підприємства (%)</t>
  </si>
  <si>
    <t>Коефіцієнт зносу основних засобів</t>
  </si>
  <si>
    <t>Коефіцієнт оновлення основних засобів і інших необоротних матеріальних активів</t>
  </si>
  <si>
    <t>IV. Інформація про фінансовий стан</t>
  </si>
  <si>
    <t>Необоротні активи</t>
  </si>
  <si>
    <t>Оборотні активи, у тому числі:</t>
  </si>
  <si>
    <t>грошові кошти та їх еквіваленти</t>
  </si>
  <si>
    <t>Усього активи</t>
  </si>
  <si>
    <t>Довгострокові зобов'язання і забезпечення</t>
  </si>
  <si>
    <t>Поточні зобов'язання і забезпечення</t>
  </si>
  <si>
    <t>Усього зобов'язання і забезпечення, в тому числі:</t>
  </si>
  <si>
    <t>гранти і субсидії</t>
  </si>
  <si>
    <t>фінансові запозичення</t>
  </si>
  <si>
    <t>Власний капітал</t>
  </si>
  <si>
    <t xml:space="preserve"> V. Додаткова інформація</t>
  </si>
  <si>
    <t>Середньооблікова чисельність (осіб), у тому числі:</t>
  </si>
  <si>
    <t>керівник</t>
  </si>
  <si>
    <t>адміністративно-управлінський персонал</t>
  </si>
  <si>
    <t>основний персонал (лікарі, робітники тощо)</t>
  </si>
  <si>
    <t>допоміжний персонал (середній медичний персонал, обслуговуючий персонал тощо)</t>
  </si>
  <si>
    <t>інший персонал (молодший медичний персонал)</t>
  </si>
  <si>
    <t>інший персонал</t>
  </si>
  <si>
    <t>Фонд оплати праці (тис. грн.), у тому числі:</t>
  </si>
  <si>
    <t>фонд ЗП</t>
  </si>
  <si>
    <t>Витрати на оплату праці (тис. грн.), у тому числі:</t>
  </si>
  <si>
    <t xml:space="preserve">Середньомісячні витрати на оплату праці одного працівника (грн.), у тому числі:
</t>
  </si>
  <si>
    <t>Середня змінена</t>
  </si>
  <si>
    <t>Заборгованість перед працівниками із заробітної плати</t>
  </si>
  <si>
    <t>Директор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</si>
  <si>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</si>
  <si>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</si>
  <si>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</si>
  <si>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Тетяна Мілютіна</t>
  </si>
  <si>
    <t>від 12.09.2025 № 2658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</si>
</sst>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_-* #,##0.0\ _₽_-;\-* #,##0.0\ _₽_-;_-* &quot;-&quot;?\ _₽_-;_-@_-"/>
    <numFmt numFmtId="167" formatCode="0.0%"/>
    <numFmt numFmtId="168" formatCode="_-* #,##0.0\ _₴_-;\-* #,##0.0\ _₴_-;_-* &quot;-&quot;?\ _₴_-;_-@_-"/>
    <numFmt numFmtId="169" formatCode="_(* #,##0.00_);_(* \(#,##0.00\);_(* &quot;-&quot;_);_(@_)"/>
  </numFmts>
  <fonts count="20" x14ac:knownFonts="1">
    <font>
      <sz val="10"/>
      <name val="Arial Cyr"/>
      <charset val="204"/>
    </font>
    <font>
      <sz val="11"/>
      <name val="Times New Roman"/>
      <charset val="204"/>
    </font>
    <font>
      <sz val="10"/>
      <name val="Times New Roman"/>
      <charset val="204"/>
    </font>
    <font>
      <sz val="14"/>
      <name val="Times New Roman"/>
      <charset val="204"/>
    </font>
    <font>
      <sz val="14"/>
      <color rgb="FFFF0000"/>
      <name val="Times New Roman"/>
      <charset val="204"/>
    </font>
    <font>
      <sz val="14"/>
      <color theme="1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b/>
      <sz val="14"/>
      <name val="Times New Roman"/>
      <charset val="204"/>
    </font>
    <font>
      <b/>
      <sz val="14"/>
      <color theme="1"/>
      <name val="Times New Roman"/>
      <charset val="204"/>
    </font>
    <font>
      <b/>
      <sz val="14"/>
      <color rgb="FFFF0000"/>
      <name val="Times New Roman"/>
      <charset val="204"/>
    </font>
    <font>
      <i/>
      <sz val="14"/>
      <name val="Times New Roman"/>
      <charset val="204"/>
    </font>
    <font>
      <sz val="11"/>
      <color theme="1"/>
      <name val="Times New Roman"/>
      <charset val="204"/>
    </font>
    <font>
      <sz val="14"/>
      <color theme="1" tint="4.9989318521683403E-2"/>
      <name val="Times New Roman"/>
      <charset val="204"/>
    </font>
    <font>
      <sz val="12"/>
      <color theme="1" tint="4.9989318521683403E-2"/>
      <name val="Times New Roman"/>
      <charset val="204"/>
    </font>
    <font>
      <b/>
      <sz val="14"/>
      <color theme="1" tint="4.9989318521683403E-2"/>
      <name val="Times New Roman"/>
      <charset val="204"/>
    </font>
    <font>
      <sz val="10"/>
      <color theme="1" tint="4.9989318521683403E-2"/>
      <name val="Times New Roman"/>
      <charset val="204"/>
    </font>
    <font>
      <sz val="10"/>
      <color theme="1"/>
      <name val="Times New Roman"/>
      <charset val="204"/>
    </font>
    <font>
      <b/>
      <i/>
      <sz val="14"/>
      <name val="Times New Roman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5CE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9" fillId="0" borderId="0"/>
  </cellStyleXfs>
  <cellXfs count="18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13" fillId="0" borderId="6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14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wrapText="1"/>
    </xf>
    <xf numFmtId="165" fontId="15" fillId="5" borderId="2" xfId="0" applyNumberFormat="1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/>
    </xf>
    <xf numFmtId="165" fontId="8" fillId="4" borderId="2" xfId="0" applyNumberFormat="1" applyFont="1" applyFill="1" applyBorder="1" applyAlignment="1">
      <alignment horizontal="center" vertical="center" wrapText="1"/>
    </xf>
    <xf numFmtId="165" fontId="9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5" fontId="10" fillId="3" borderId="2" xfId="0" applyNumberFormat="1" applyFont="1" applyFill="1" applyBorder="1" applyAlignment="1">
      <alignment vertical="center"/>
    </xf>
    <xf numFmtId="165" fontId="10" fillId="0" borderId="2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 shrinkToFit="1"/>
    </xf>
    <xf numFmtId="0" fontId="8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167" fontId="3" fillId="0" borderId="2" xfId="0" applyNumberFormat="1" applyFont="1" applyFill="1" applyBorder="1" applyAlignment="1">
      <alignment horizontal="center" vertical="center" wrapText="1"/>
    </xf>
    <xf numFmtId="167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165" fontId="4" fillId="4" borderId="2" xfId="0" applyNumberFormat="1" applyFont="1" applyFill="1" applyBorder="1" applyAlignment="1">
      <alignment horizontal="center" vertical="center" wrapText="1"/>
    </xf>
    <xf numFmtId="165" fontId="4" fillId="4" borderId="3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165" fontId="9" fillId="3" borderId="2" xfId="0" applyNumberFormat="1" applyFont="1" applyFill="1" applyBorder="1" applyAlignment="1">
      <alignment vertical="center"/>
    </xf>
    <xf numFmtId="167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168" fontId="4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1" fontId="15" fillId="5" borderId="2" xfId="0" applyNumberFormat="1" applyFont="1" applyFill="1" applyBorder="1" applyAlignment="1">
      <alignment horizontal="center" vertical="center" wrapText="1"/>
    </xf>
    <xf numFmtId="1" fontId="8" fillId="5" borderId="2" xfId="0" applyNumberFormat="1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 wrapText="1"/>
    </xf>
    <xf numFmtId="2" fontId="15" fillId="5" borderId="2" xfId="0" applyNumberFormat="1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165" fontId="8" fillId="2" borderId="0" xfId="0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164" fontId="13" fillId="0" borderId="0" xfId="0" applyNumberFormat="1" applyFont="1" applyFill="1" applyAlignment="1">
      <alignment horizontal="left" vertical="center" wrapText="1"/>
    </xf>
    <xf numFmtId="164" fontId="1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center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169" fontId="7" fillId="0" borderId="2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 wrapText="1"/>
    </xf>
    <xf numFmtId="165" fontId="3" fillId="3" borderId="0" xfId="0" applyNumberFormat="1" applyFont="1" applyFill="1" applyAlignment="1">
      <alignment vertical="center"/>
    </xf>
    <xf numFmtId="165" fontId="3" fillId="6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quotePrefix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WORK\S2\VICTOR\&#1042;&#1042;&#1055;\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&#1052;&#1086;&#1080;%20&#1076;&#1086;&#1082;&#1091;&#1084;&#1077;&#1085;&#1090;&#1099;\Sergey\&#1055;&#1088;&#1086;&#1075;&#1085;&#1086;&#1079;\&#1056;&#1072;&#1073;&#1086;&#1095;&#1080;&#1077;%20&#1090;&#1072;&#1073;&#1083;&#1080;&#1094;&#1099;\new\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New_monitoring\Monit_xls\M_2002\M_06_02\Monthly\10_October\1Aug2001\GDP\realgdp\LENA\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www.bank.gov.ua\S_N_A\1July2001\GDP\realgdp\LENA\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додаток до зві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додаток до звіту"/>
    </sheetNames>
    <definedNames>
      <definedName name="ShowFil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додаток до звіту"/>
    </sheetNames>
    <sheetDataSet>
      <sheetData sheetId="0" refreshError="1"/>
      <sheetData sheetId="1" refreshError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додаток до звіт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додаток до звіту"/>
      <sheetName val="Лист2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1993"/>
      <sheetName val="gdp"/>
    </sheetNames>
    <sheetDataSet>
      <sheetData sheetId="0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AD378"/>
  <sheetViews>
    <sheetView tabSelected="1" zoomScale="80" zoomScaleNormal="80" zoomScaleSheetLayoutView="80" workbookViewId="0">
      <selection activeCell="G4" sqref="G4:I4"/>
    </sheetView>
  </sheetViews>
  <sheetFormatPr defaultColWidth="8.85546875" defaultRowHeight="18.75" x14ac:dyDescent="0.2"/>
  <cols>
    <col min="1" max="1" width="3.5703125" style="12" customWidth="1"/>
    <col min="2" max="2" width="60" style="12" customWidth="1"/>
    <col min="3" max="3" width="10.85546875" style="13" customWidth="1"/>
    <col min="4" max="4" width="16.42578125" style="1" customWidth="1"/>
    <col min="5" max="5" width="16.42578125" style="14" customWidth="1"/>
    <col min="6" max="6" width="16" style="12" customWidth="1"/>
    <col min="7" max="7" width="15.42578125" style="15" customWidth="1"/>
    <col min="8" max="8" width="18.140625" style="12" customWidth="1"/>
    <col min="9" max="9" width="19.85546875" style="12" customWidth="1"/>
    <col min="10" max="10" width="13.28515625" style="12" hidden="1" customWidth="1"/>
    <col min="11" max="11" width="14.28515625" style="12" hidden="1" customWidth="1"/>
    <col min="12" max="12" width="11.28515625" style="12" hidden="1" customWidth="1"/>
    <col min="13" max="15" width="8.85546875" style="12" hidden="1" customWidth="1"/>
    <col min="16" max="16" width="15.28515625" style="16" hidden="1" customWidth="1"/>
    <col min="17" max="17" width="13.7109375" style="12" hidden="1" customWidth="1"/>
    <col min="18" max="18" width="13" style="12" hidden="1" customWidth="1"/>
    <col min="19" max="19" width="12.85546875" style="12" hidden="1" customWidth="1"/>
    <col min="20" max="21" width="10.5703125" style="12" hidden="1" customWidth="1"/>
    <col min="22" max="22" width="8.85546875" style="12" hidden="1" customWidth="1"/>
    <col min="23" max="23" width="11.5703125" style="12" customWidth="1"/>
    <col min="24" max="24" width="9.7109375" style="12" customWidth="1"/>
    <col min="25" max="25" width="11.85546875" style="12" customWidth="1"/>
    <col min="26" max="27" width="9.7109375" style="12" customWidth="1"/>
    <col min="28" max="28" width="21.7109375" style="12" customWidth="1"/>
    <col min="29" max="29" width="11.5703125" style="12" customWidth="1"/>
    <col min="30" max="16384" width="8.85546875" style="12"/>
  </cols>
  <sheetData>
    <row r="1" spans="5:16" x14ac:dyDescent="0.2">
      <c r="H1" s="182" t="s">
        <v>0</v>
      </c>
      <c r="I1" s="182"/>
    </row>
    <row r="2" spans="5:16" x14ac:dyDescent="0.2">
      <c r="E2" s="1"/>
      <c r="G2" s="16"/>
      <c r="H2" s="17"/>
      <c r="I2" s="17"/>
      <c r="P2" s="12"/>
    </row>
    <row r="3" spans="5:16" x14ac:dyDescent="0.2">
      <c r="E3" s="1"/>
      <c r="G3" s="16" t="s">
        <v>1</v>
      </c>
      <c r="I3" s="17"/>
      <c r="P3" s="12"/>
    </row>
    <row r="4" spans="5:16" x14ac:dyDescent="0.2">
      <c r="E4" s="1"/>
      <c r="G4" s="188" t="s">
        <v>165</v>
      </c>
      <c r="H4" s="188"/>
      <c r="I4" s="188"/>
      <c r="P4" s="12"/>
    </row>
    <row r="5" spans="5:16" x14ac:dyDescent="0.2">
      <c r="E5" s="1"/>
      <c r="G5" s="183" t="s">
        <v>2</v>
      </c>
      <c r="H5" s="183"/>
      <c r="I5" s="183"/>
      <c r="P5" s="12"/>
    </row>
    <row r="6" spans="5:16" x14ac:dyDescent="0.2">
      <c r="E6" s="1"/>
      <c r="G6" s="18"/>
      <c r="H6" s="19"/>
      <c r="I6" s="60"/>
      <c r="P6" s="12"/>
    </row>
    <row r="7" spans="5:16" x14ac:dyDescent="0.2">
      <c r="E7" s="1"/>
      <c r="G7" s="20" t="s">
        <v>3</v>
      </c>
      <c r="I7" s="17"/>
      <c r="P7" s="12"/>
    </row>
    <row r="8" spans="5:16" x14ac:dyDescent="0.2">
      <c r="E8" s="1"/>
      <c r="G8" s="18"/>
      <c r="H8" s="19"/>
      <c r="I8" s="60"/>
      <c r="P8" s="12"/>
    </row>
    <row r="9" spans="5:16" x14ac:dyDescent="0.2">
      <c r="E9" s="1"/>
      <c r="G9" s="20" t="s">
        <v>4</v>
      </c>
      <c r="I9" s="17"/>
      <c r="P9" s="12"/>
    </row>
    <row r="10" spans="5:16" x14ac:dyDescent="0.2">
      <c r="E10" s="1"/>
      <c r="G10" s="20"/>
      <c r="I10" s="17"/>
      <c r="P10" s="12"/>
    </row>
    <row r="11" spans="5:16" ht="23.25" customHeight="1" x14ac:dyDescent="0.2">
      <c r="E11" s="1"/>
      <c r="F11" s="13"/>
      <c r="G11" s="16" t="s">
        <v>5</v>
      </c>
      <c r="I11" s="17"/>
      <c r="P11" s="12"/>
    </row>
    <row r="12" spans="5:16" ht="37.5" customHeight="1" x14ac:dyDescent="0.2">
      <c r="E12" s="1"/>
      <c r="F12" s="13"/>
      <c r="G12" s="184" t="s">
        <v>6</v>
      </c>
      <c r="H12" s="184"/>
      <c r="I12" s="184"/>
      <c r="P12" s="12"/>
    </row>
    <row r="13" spans="5:16" ht="15" customHeight="1" x14ac:dyDescent="0.2">
      <c r="E13" s="1"/>
      <c r="F13" s="13"/>
      <c r="G13" s="185"/>
      <c r="H13" s="185"/>
      <c r="I13" s="185"/>
      <c r="P13" s="12"/>
    </row>
    <row r="14" spans="5:16" ht="18" customHeight="1" x14ac:dyDescent="0.2">
      <c r="E14" s="1"/>
      <c r="F14" s="13"/>
      <c r="G14" s="18"/>
      <c r="H14" s="19"/>
      <c r="I14" s="60"/>
      <c r="P14" s="12"/>
    </row>
    <row r="15" spans="5:16" ht="23.25" customHeight="1" x14ac:dyDescent="0.2">
      <c r="E15" s="1"/>
      <c r="F15" s="13"/>
      <c r="G15" s="20" t="s">
        <v>7</v>
      </c>
      <c r="I15" s="17"/>
      <c r="P15" s="12"/>
    </row>
    <row r="16" spans="5:16" ht="23.25" customHeight="1" x14ac:dyDescent="0.2">
      <c r="E16" s="1"/>
      <c r="F16" s="13"/>
      <c r="G16" s="18"/>
      <c r="H16" s="19"/>
      <c r="I16" s="60"/>
      <c r="P16" s="12"/>
    </row>
    <row r="17" spans="2:16" ht="23.25" customHeight="1" x14ac:dyDescent="0.2">
      <c r="E17" s="1"/>
      <c r="F17" s="13"/>
      <c r="G17" s="20" t="s">
        <v>4</v>
      </c>
      <c r="I17" s="17"/>
      <c r="P17" s="12"/>
    </row>
    <row r="18" spans="2:16" ht="23.25" customHeight="1" x14ac:dyDescent="0.2">
      <c r="E18" s="1"/>
      <c r="F18" s="13"/>
      <c r="G18" s="16"/>
      <c r="I18" s="17"/>
      <c r="P18" s="12"/>
    </row>
    <row r="19" spans="2:16" x14ac:dyDescent="0.2">
      <c r="E19" s="1"/>
      <c r="F19" s="13"/>
      <c r="G19" s="16" t="s">
        <v>5</v>
      </c>
      <c r="P19" s="12"/>
    </row>
    <row r="20" spans="2:16" x14ac:dyDescent="0.2">
      <c r="C20" s="12"/>
      <c r="D20" s="2"/>
      <c r="E20" s="2"/>
      <c r="G20" s="21"/>
      <c r="H20" s="22"/>
      <c r="I20" s="22"/>
      <c r="P20" s="12"/>
    </row>
    <row r="21" spans="2:16" x14ac:dyDescent="0.2">
      <c r="B21" s="23"/>
      <c r="C21" s="12"/>
      <c r="D21" s="2"/>
      <c r="E21" s="2"/>
      <c r="G21" s="20" t="s">
        <v>8</v>
      </c>
      <c r="P21" s="12"/>
    </row>
    <row r="22" spans="2:16" x14ac:dyDescent="0.2">
      <c r="C22" s="12"/>
      <c r="D22" s="2"/>
      <c r="E22" s="2"/>
      <c r="G22" s="18"/>
      <c r="H22" s="19"/>
      <c r="I22" s="19"/>
      <c r="P22" s="12"/>
    </row>
    <row r="23" spans="2:16" x14ac:dyDescent="0.2">
      <c r="B23" s="23"/>
      <c r="C23" s="12"/>
      <c r="D23" s="2"/>
      <c r="E23" s="2"/>
      <c r="G23" s="20" t="s">
        <v>7</v>
      </c>
      <c r="H23" s="23"/>
      <c r="I23" s="23"/>
      <c r="P23" s="12"/>
    </row>
    <row r="24" spans="2:16" x14ac:dyDescent="0.2">
      <c r="C24" s="12"/>
      <c r="D24" s="2"/>
      <c r="E24" s="2"/>
      <c r="G24" s="18"/>
      <c r="H24" s="19"/>
      <c r="I24" s="19"/>
      <c r="P24" s="12"/>
    </row>
    <row r="25" spans="2:16" x14ac:dyDescent="0.2">
      <c r="B25" s="23"/>
      <c r="C25" s="12"/>
      <c r="D25" s="2"/>
      <c r="E25" s="2"/>
      <c r="G25" s="20" t="s">
        <v>4</v>
      </c>
      <c r="H25" s="23"/>
      <c r="I25" s="23"/>
      <c r="P25" s="12"/>
    </row>
    <row r="26" spans="2:16" x14ac:dyDescent="0.2">
      <c r="B26" s="23"/>
      <c r="C26" s="12"/>
      <c r="D26" s="2"/>
      <c r="E26" s="2"/>
      <c r="G26" s="20"/>
      <c r="H26" s="24" t="s">
        <v>9</v>
      </c>
      <c r="I26" s="61" t="s">
        <v>10</v>
      </c>
      <c r="P26" s="12"/>
    </row>
    <row r="27" spans="2:16" x14ac:dyDescent="0.2">
      <c r="B27" s="23"/>
      <c r="C27" s="12"/>
      <c r="D27" s="2"/>
      <c r="E27" s="2"/>
      <c r="G27" s="20"/>
      <c r="H27" s="24" t="s">
        <v>11</v>
      </c>
      <c r="I27" s="61"/>
      <c r="P27" s="12"/>
    </row>
    <row r="28" spans="2:16" x14ac:dyDescent="0.2">
      <c r="B28" s="23"/>
      <c r="C28" s="12"/>
      <c r="D28" s="2"/>
      <c r="E28" s="2"/>
      <c r="G28" s="20"/>
      <c r="H28" s="24" t="s">
        <v>12</v>
      </c>
      <c r="I28" s="61"/>
      <c r="P28" s="12"/>
    </row>
    <row r="29" spans="2:16" ht="20.25" customHeight="1" x14ac:dyDescent="0.2">
      <c r="B29" s="23"/>
      <c r="C29" s="12"/>
      <c r="D29" s="2"/>
      <c r="E29" s="2"/>
      <c r="G29" s="20"/>
      <c r="H29" s="186" t="s">
        <v>13</v>
      </c>
      <c r="I29" s="187"/>
      <c r="P29" s="12"/>
    </row>
    <row r="31" spans="2:16" x14ac:dyDescent="0.2">
      <c r="C31" s="177"/>
      <c r="D31" s="178"/>
      <c r="E31" s="25"/>
      <c r="F31" s="26"/>
      <c r="G31" s="27"/>
      <c r="H31" s="179" t="s">
        <v>14</v>
      </c>
      <c r="I31" s="180"/>
    </row>
    <row r="32" spans="2:16" ht="31.5" customHeight="1" x14ac:dyDescent="0.2">
      <c r="B32" s="28" t="s">
        <v>15</v>
      </c>
      <c r="C32" s="170" t="s">
        <v>16</v>
      </c>
      <c r="D32" s="170"/>
      <c r="E32" s="171"/>
      <c r="F32" s="29" t="s">
        <v>17</v>
      </c>
      <c r="G32" s="30"/>
      <c r="H32" s="181" t="s">
        <v>18</v>
      </c>
      <c r="I32" s="181"/>
    </row>
    <row r="33" spans="2:16" ht="21.75" customHeight="1" x14ac:dyDescent="0.2">
      <c r="B33" s="28" t="s">
        <v>19</v>
      </c>
      <c r="C33" s="170" t="s">
        <v>20</v>
      </c>
      <c r="D33" s="170"/>
      <c r="E33" s="171"/>
      <c r="F33" s="29" t="s">
        <v>21</v>
      </c>
      <c r="G33" s="31"/>
      <c r="H33" s="172">
        <v>430</v>
      </c>
      <c r="I33" s="172"/>
    </row>
    <row r="34" spans="2:16" ht="18.75" customHeight="1" x14ac:dyDescent="0.2">
      <c r="B34" s="28" t="s">
        <v>22</v>
      </c>
      <c r="C34" s="170" t="s">
        <v>23</v>
      </c>
      <c r="D34" s="170"/>
      <c r="E34" s="32"/>
      <c r="F34" s="29" t="s">
        <v>24</v>
      </c>
      <c r="G34" s="31"/>
      <c r="H34" s="172">
        <v>5910136600</v>
      </c>
      <c r="I34" s="172"/>
    </row>
    <row r="35" spans="2:16" x14ac:dyDescent="0.2">
      <c r="B35" s="28" t="s">
        <v>25</v>
      </c>
      <c r="C35" s="170" t="s">
        <v>26</v>
      </c>
      <c r="D35" s="170"/>
      <c r="E35" s="171"/>
      <c r="F35" s="29" t="s">
        <v>27</v>
      </c>
      <c r="G35" s="33"/>
      <c r="H35" s="172">
        <v>17184</v>
      </c>
      <c r="I35" s="172"/>
    </row>
    <row r="36" spans="2:16" ht="18" customHeight="1" x14ac:dyDescent="0.2">
      <c r="B36" s="28" t="s">
        <v>28</v>
      </c>
      <c r="C36" s="170" t="s">
        <v>29</v>
      </c>
      <c r="D36" s="170"/>
      <c r="E36" s="171"/>
      <c r="F36" s="29" t="s">
        <v>30</v>
      </c>
      <c r="G36" s="33"/>
      <c r="H36" s="172"/>
      <c r="I36" s="172"/>
    </row>
    <row r="37" spans="2:16" ht="19.5" customHeight="1" x14ac:dyDescent="0.2">
      <c r="B37" s="28" t="s">
        <v>31</v>
      </c>
      <c r="C37" s="170" t="s">
        <v>32</v>
      </c>
      <c r="D37" s="170"/>
      <c r="E37" s="171"/>
      <c r="F37" s="34" t="s">
        <v>33</v>
      </c>
      <c r="G37" s="33"/>
      <c r="H37" s="172" t="s">
        <v>34</v>
      </c>
      <c r="I37" s="172"/>
    </row>
    <row r="38" spans="2:16" ht="21" customHeight="1" x14ac:dyDescent="0.2">
      <c r="B38" s="28" t="s">
        <v>35</v>
      </c>
      <c r="C38" s="173" t="s">
        <v>36</v>
      </c>
      <c r="D38" s="174"/>
      <c r="E38" s="35"/>
      <c r="F38" s="175" t="s">
        <v>37</v>
      </c>
      <c r="G38" s="175"/>
      <c r="H38" s="175"/>
      <c r="I38" s="47"/>
    </row>
    <row r="39" spans="2:16" ht="18.75" customHeight="1" x14ac:dyDescent="0.2">
      <c r="B39" s="28" t="s">
        <v>38</v>
      </c>
      <c r="C39" s="176" t="s">
        <v>39</v>
      </c>
      <c r="D39" s="171"/>
      <c r="E39" s="36"/>
      <c r="F39" s="175" t="s">
        <v>40</v>
      </c>
      <c r="G39" s="175"/>
      <c r="H39" s="175"/>
      <c r="I39" s="62"/>
    </row>
    <row r="40" spans="2:16" ht="21" customHeight="1" x14ac:dyDescent="0.2">
      <c r="B40" s="28" t="s">
        <v>41</v>
      </c>
      <c r="C40" s="164" t="s">
        <v>42</v>
      </c>
      <c r="D40" s="164"/>
      <c r="E40" s="164"/>
      <c r="F40" s="164"/>
      <c r="G40" s="164"/>
      <c r="H40" s="164"/>
      <c r="I40" s="164"/>
      <c r="J40" s="164"/>
    </row>
    <row r="41" spans="2:16" ht="18.75" customHeight="1" x14ac:dyDescent="0.2">
      <c r="B41" s="28" t="s">
        <v>43</v>
      </c>
      <c r="C41" s="165" t="s">
        <v>44</v>
      </c>
      <c r="D41" s="165"/>
      <c r="E41" s="165"/>
      <c r="F41" s="165"/>
      <c r="G41" s="37"/>
      <c r="H41" s="38"/>
      <c r="I41" s="63"/>
    </row>
    <row r="42" spans="2:16" ht="18.75" customHeight="1" x14ac:dyDescent="0.2">
      <c r="B42" s="28" t="s">
        <v>45</v>
      </c>
      <c r="C42" s="164" t="s">
        <v>46</v>
      </c>
      <c r="D42" s="164"/>
      <c r="E42" s="164"/>
      <c r="F42" s="164"/>
      <c r="G42" s="164"/>
      <c r="H42" s="39"/>
      <c r="I42" s="64"/>
    </row>
    <row r="43" spans="2:16" ht="23.25" customHeight="1" x14ac:dyDescent="0.2">
      <c r="B43" s="166"/>
      <c r="C43" s="167"/>
      <c r="D43" s="168"/>
      <c r="E43" s="168"/>
      <c r="F43" s="167"/>
      <c r="G43" s="167"/>
      <c r="H43" s="167"/>
      <c r="I43" s="167"/>
    </row>
    <row r="44" spans="2:16" x14ac:dyDescent="0.2">
      <c r="B44" s="166" t="s">
        <v>47</v>
      </c>
      <c r="C44" s="166"/>
      <c r="D44" s="169"/>
      <c r="E44" s="169"/>
      <c r="F44" s="166"/>
      <c r="G44" s="166"/>
      <c r="H44" s="166"/>
      <c r="I44" s="166"/>
    </row>
    <row r="45" spans="2:16" x14ac:dyDescent="0.2">
      <c r="B45" s="154" t="s">
        <v>48</v>
      </c>
      <c r="C45" s="154"/>
      <c r="D45" s="155"/>
      <c r="E45" s="155"/>
      <c r="F45" s="154"/>
      <c r="G45" s="154"/>
      <c r="H45" s="154"/>
      <c r="I45" s="154"/>
    </row>
    <row r="46" spans="2:16" x14ac:dyDescent="0.2">
      <c r="B46" s="40"/>
      <c r="C46" s="42"/>
      <c r="D46" s="41"/>
      <c r="E46" s="43"/>
      <c r="F46" s="40"/>
      <c r="G46" s="44"/>
      <c r="H46" s="40"/>
      <c r="I46" s="40" t="s">
        <v>49</v>
      </c>
    </row>
    <row r="47" spans="2:16" s="9" customFormat="1" ht="18.75" customHeight="1" x14ac:dyDescent="0.2">
      <c r="B47" s="160" t="s">
        <v>50</v>
      </c>
      <c r="C47" s="156" t="s">
        <v>51</v>
      </c>
      <c r="D47" s="161" t="s">
        <v>52</v>
      </c>
      <c r="E47" s="162" t="s">
        <v>53</v>
      </c>
      <c r="F47" s="156" t="s">
        <v>54</v>
      </c>
      <c r="G47" s="156"/>
      <c r="H47" s="156"/>
      <c r="I47" s="156"/>
      <c r="P47" s="65"/>
    </row>
    <row r="48" spans="2:16" s="9" customFormat="1" ht="80.25" customHeight="1" x14ac:dyDescent="0.2">
      <c r="B48" s="160"/>
      <c r="C48" s="156"/>
      <c r="D48" s="161"/>
      <c r="E48" s="163"/>
      <c r="F48" s="45" t="s">
        <v>55</v>
      </c>
      <c r="G48" s="45" t="s">
        <v>56</v>
      </c>
      <c r="H48" s="45" t="s">
        <v>57</v>
      </c>
      <c r="I48" s="45" t="s">
        <v>58</v>
      </c>
      <c r="P48" s="65"/>
    </row>
    <row r="49" spans="2:29" x14ac:dyDescent="0.2">
      <c r="B49" s="46">
        <v>1</v>
      </c>
      <c r="C49" s="47">
        <v>2</v>
      </c>
      <c r="D49" s="3">
        <v>3</v>
      </c>
      <c r="E49" s="48">
        <v>4</v>
      </c>
      <c r="F49" s="47">
        <v>5</v>
      </c>
      <c r="G49" s="47">
        <v>6</v>
      </c>
      <c r="H49" s="47">
        <v>7</v>
      </c>
      <c r="I49" s="47">
        <v>8</v>
      </c>
    </row>
    <row r="50" spans="2:29" x14ac:dyDescent="0.2">
      <c r="B50" s="157" t="s">
        <v>59</v>
      </c>
      <c r="C50" s="157"/>
      <c r="D50" s="149"/>
      <c r="E50" s="149"/>
      <c r="F50" s="157"/>
      <c r="G50" s="157"/>
      <c r="H50" s="157"/>
      <c r="I50" s="157"/>
      <c r="R50" s="71"/>
      <c r="S50" s="71"/>
      <c r="T50" s="71"/>
      <c r="U50" s="71"/>
    </row>
    <row r="51" spans="2:29" s="10" customFormat="1" ht="18.75" customHeight="1" x14ac:dyDescent="0.2">
      <c r="B51" s="158" t="s">
        <v>60</v>
      </c>
      <c r="C51" s="158"/>
      <c r="D51" s="159"/>
      <c r="E51" s="159"/>
      <c r="F51" s="158"/>
      <c r="G51" s="158"/>
      <c r="H51" s="158"/>
      <c r="I51" s="158"/>
      <c r="P51" s="66"/>
    </row>
    <row r="52" spans="2:29" s="10" customFormat="1" ht="27.75" customHeight="1" x14ac:dyDescent="0.2">
      <c r="B52" s="49" t="s">
        <v>61</v>
      </c>
      <c r="C52" s="50">
        <v>1000</v>
      </c>
      <c r="D52" s="51">
        <f>D53+D54</f>
        <v>91951.3</v>
      </c>
      <c r="E52" s="52">
        <f>F52+G52+H52+I52</f>
        <v>87678.71</v>
      </c>
      <c r="F52" s="53">
        <f>F53+F54</f>
        <v>22254.560000000001</v>
      </c>
      <c r="G52" s="54">
        <f>G53+G54</f>
        <v>21879.600000000002</v>
      </c>
      <c r="H52" s="55">
        <f>H53+H54</f>
        <v>22317.22</v>
      </c>
      <c r="I52" s="55">
        <f>I53+I54</f>
        <v>21227.33</v>
      </c>
      <c r="P52" s="67"/>
      <c r="R52" s="72"/>
    </row>
    <row r="53" spans="2:29" s="10" customFormat="1" ht="38.25" customHeight="1" x14ac:dyDescent="0.2">
      <c r="B53" s="56" t="s">
        <v>62</v>
      </c>
      <c r="C53" s="57">
        <v>1001</v>
      </c>
      <c r="D53" s="6">
        <v>76125.8</v>
      </c>
      <c r="E53" s="6">
        <f>F53+G53+H53+I53</f>
        <v>76125.8</v>
      </c>
      <c r="F53" s="58">
        <v>19031.45</v>
      </c>
      <c r="G53" s="58">
        <v>19031.45</v>
      </c>
      <c r="H53" s="6">
        <v>19031.45</v>
      </c>
      <c r="I53" s="6">
        <v>19031.45</v>
      </c>
      <c r="J53" s="68"/>
      <c r="K53" s="68"/>
      <c r="L53" s="68"/>
      <c r="M53" s="68"/>
      <c r="N53" s="68"/>
      <c r="O53" s="68"/>
      <c r="P53" s="69"/>
      <c r="Q53" s="68"/>
      <c r="R53" s="68"/>
      <c r="S53" s="73"/>
      <c r="T53" s="68"/>
      <c r="U53" s="68"/>
      <c r="V53" s="68"/>
      <c r="W53" s="68"/>
    </row>
    <row r="54" spans="2:29" s="10" customFormat="1" ht="23.25" customHeight="1" x14ac:dyDescent="0.2">
      <c r="B54" s="5" t="s">
        <v>63</v>
      </c>
      <c r="C54" s="57">
        <v>1002</v>
      </c>
      <c r="D54" s="6">
        <v>15825.5</v>
      </c>
      <c r="E54" s="6">
        <f>F54+G54+H54+I54</f>
        <v>11552.91</v>
      </c>
      <c r="F54" s="58">
        <v>3223.11</v>
      </c>
      <c r="G54" s="58">
        <v>2848.15</v>
      </c>
      <c r="H54" s="58">
        <v>3285.77</v>
      </c>
      <c r="I54" s="58">
        <v>2195.88</v>
      </c>
      <c r="J54" s="68"/>
      <c r="K54" s="68"/>
      <c r="L54" s="68"/>
      <c r="M54" s="68"/>
      <c r="N54" s="68"/>
      <c r="O54" s="68"/>
      <c r="P54" s="69"/>
      <c r="Q54" s="68"/>
      <c r="R54" s="68"/>
      <c r="S54" s="68"/>
      <c r="T54" s="68"/>
      <c r="U54" s="68"/>
      <c r="V54" s="68"/>
      <c r="W54" s="74"/>
    </row>
    <row r="55" spans="2:29" s="10" customFormat="1" x14ac:dyDescent="0.2">
      <c r="B55" s="49" t="s">
        <v>64</v>
      </c>
      <c r="C55" s="50">
        <v>1010</v>
      </c>
      <c r="D55" s="51">
        <f t="shared" ref="D55:I55" si="0">SUM(D56:D64)</f>
        <v>13641.3</v>
      </c>
      <c r="E55" s="51">
        <f t="shared" si="0"/>
        <v>28673.37</v>
      </c>
      <c r="F55" s="54">
        <f t="shared" si="0"/>
        <v>3171.3999999999996</v>
      </c>
      <c r="G55" s="54">
        <f t="shared" si="0"/>
        <v>11340.58</v>
      </c>
      <c r="H55" s="54">
        <f t="shared" si="0"/>
        <v>11697.689999999999</v>
      </c>
      <c r="I55" s="54">
        <f t="shared" si="0"/>
        <v>2463.6800000000003</v>
      </c>
      <c r="J55" s="68"/>
      <c r="K55" s="68"/>
      <c r="L55" s="68"/>
      <c r="M55" s="68"/>
      <c r="N55" s="68"/>
      <c r="O55" s="68"/>
      <c r="P55" s="70"/>
      <c r="Q55" s="68"/>
      <c r="R55" s="68"/>
      <c r="S55" s="73"/>
      <c r="T55" s="68"/>
      <c r="U55" s="68"/>
      <c r="V55" s="68"/>
      <c r="W55" s="68"/>
    </row>
    <row r="56" spans="2:29" s="10" customFormat="1" ht="37.5" x14ac:dyDescent="0.2">
      <c r="B56" s="5" t="s">
        <v>65</v>
      </c>
      <c r="C56" s="57">
        <v>1011</v>
      </c>
      <c r="D56" s="6">
        <v>571.9</v>
      </c>
      <c r="E56" s="6">
        <f>F56+G56+H56+I56</f>
        <v>327.89</v>
      </c>
      <c r="F56" s="58">
        <v>143.53</v>
      </c>
      <c r="G56" s="58">
        <v>50.89</v>
      </c>
      <c r="H56" s="58">
        <v>20.81</v>
      </c>
      <c r="I56" s="58">
        <v>112.66</v>
      </c>
      <c r="J56" s="68"/>
      <c r="K56" s="68"/>
      <c r="L56" s="68"/>
      <c r="M56" s="68"/>
      <c r="N56" s="68"/>
      <c r="O56" s="68"/>
      <c r="P56" s="70"/>
      <c r="Q56" s="68"/>
      <c r="R56" s="68"/>
      <c r="S56" s="73"/>
      <c r="T56" s="73"/>
      <c r="U56" s="73"/>
      <c r="V56" s="68"/>
      <c r="W56" s="68"/>
    </row>
    <row r="57" spans="2:29" s="10" customFormat="1" x14ac:dyDescent="0.2">
      <c r="B57" s="5" t="s">
        <v>66</v>
      </c>
      <c r="C57" s="57">
        <v>1012</v>
      </c>
      <c r="D57" s="6">
        <v>0</v>
      </c>
      <c r="E57" s="6">
        <f>F57+G57+H57+I57</f>
        <v>0</v>
      </c>
      <c r="F57" s="58">
        <v>0</v>
      </c>
      <c r="G57" s="6">
        <v>0</v>
      </c>
      <c r="H57" s="6">
        <v>0</v>
      </c>
      <c r="I57" s="6">
        <v>0</v>
      </c>
      <c r="J57" s="68"/>
      <c r="K57" s="68"/>
      <c r="L57" s="68"/>
      <c r="M57" s="68"/>
      <c r="N57" s="68"/>
      <c r="O57" s="68"/>
      <c r="P57" s="70"/>
      <c r="Q57" s="68"/>
      <c r="R57" s="68"/>
      <c r="S57" s="68"/>
      <c r="T57" s="68"/>
      <c r="U57" s="68"/>
      <c r="V57" s="68"/>
      <c r="W57" s="68"/>
    </row>
    <row r="58" spans="2:29" s="10" customFormat="1" x14ac:dyDescent="0.2">
      <c r="B58" s="5" t="s">
        <v>67</v>
      </c>
      <c r="C58" s="57">
        <v>1013</v>
      </c>
      <c r="D58" s="6">
        <v>0</v>
      </c>
      <c r="E58" s="6">
        <f>F58+G58+H58+I58</f>
        <v>0</v>
      </c>
      <c r="F58" s="58">
        <v>0</v>
      </c>
      <c r="G58" s="6">
        <v>0</v>
      </c>
      <c r="H58" s="6">
        <v>0</v>
      </c>
      <c r="I58" s="6">
        <v>0</v>
      </c>
      <c r="J58" s="68"/>
      <c r="K58" s="68"/>
      <c r="L58" s="68"/>
      <c r="M58" s="68"/>
      <c r="N58" s="68"/>
      <c r="O58" s="68"/>
      <c r="P58" s="70"/>
      <c r="Q58" s="68"/>
      <c r="R58" s="68"/>
      <c r="S58" s="73"/>
      <c r="T58" s="68"/>
      <c r="U58" s="68"/>
      <c r="V58" s="68"/>
      <c r="W58" s="68"/>
    </row>
    <row r="59" spans="2:29" s="10" customFormat="1" x14ac:dyDescent="0.2">
      <c r="B59" s="5" t="s">
        <v>68</v>
      </c>
      <c r="C59" s="57">
        <v>1014</v>
      </c>
      <c r="D59" s="6">
        <v>8239.4</v>
      </c>
      <c r="E59" s="6">
        <v>23990.3</v>
      </c>
      <c r="F59" s="58">
        <v>1660.07</v>
      </c>
      <c r="G59" s="58">
        <f>1660.07+8675</f>
        <v>10335.07</v>
      </c>
      <c r="H59" s="58">
        <f>1660.07+8675</f>
        <v>10335.07</v>
      </c>
      <c r="I59" s="58">
        <f>1660.07</f>
        <v>1660.07</v>
      </c>
      <c r="J59" s="68"/>
      <c r="K59" s="68"/>
      <c r="L59" s="68"/>
      <c r="M59" s="68"/>
      <c r="N59" s="68"/>
      <c r="O59" s="68"/>
      <c r="P59" s="70"/>
      <c r="Q59" s="68"/>
      <c r="R59" s="68"/>
      <c r="S59" s="73"/>
      <c r="T59" s="68"/>
      <c r="U59" s="68"/>
      <c r="V59" s="68"/>
      <c r="W59" s="68"/>
      <c r="AC59" s="75"/>
    </row>
    <row r="60" spans="2:29" s="10" customFormat="1" ht="37.5" x14ac:dyDescent="0.2">
      <c r="B60" s="5" t="s">
        <v>69</v>
      </c>
      <c r="C60" s="57">
        <v>1015</v>
      </c>
      <c r="D60" s="6">
        <v>4830</v>
      </c>
      <c r="E60" s="6">
        <f>F60+G60+H60+I60</f>
        <v>4355.18</v>
      </c>
      <c r="F60" s="58">
        <v>1367.8</v>
      </c>
      <c r="G60" s="58">
        <v>954.62</v>
      </c>
      <c r="H60" s="58">
        <v>1341.81</v>
      </c>
      <c r="I60" s="58">
        <v>690.95</v>
      </c>
      <c r="J60" s="68"/>
      <c r="K60" s="68"/>
      <c r="L60" s="68"/>
      <c r="M60" s="68"/>
      <c r="N60" s="68"/>
      <c r="O60" s="68"/>
      <c r="P60" s="70"/>
      <c r="Q60" s="68"/>
      <c r="R60" s="68"/>
      <c r="S60" s="68"/>
      <c r="T60" s="68"/>
      <c r="U60" s="68"/>
      <c r="V60" s="68"/>
      <c r="W60" s="68"/>
    </row>
    <row r="61" spans="2:29" s="10" customFormat="1" ht="20.25" customHeight="1" x14ac:dyDescent="0.2">
      <c r="B61" s="59" t="s">
        <v>70</v>
      </c>
      <c r="C61" s="57">
        <v>1016</v>
      </c>
      <c r="D61" s="6">
        <v>0</v>
      </c>
      <c r="E61" s="6">
        <f t="shared" ref="E61:E108" si="1">F61+G61+H61+I61</f>
        <v>0</v>
      </c>
      <c r="F61" s="58">
        <v>0</v>
      </c>
      <c r="G61" s="6">
        <v>0</v>
      </c>
      <c r="H61" s="6">
        <v>0</v>
      </c>
      <c r="I61" s="6">
        <v>0</v>
      </c>
      <c r="J61" s="68"/>
      <c r="K61" s="68"/>
      <c r="L61" s="68"/>
      <c r="M61" s="68"/>
      <c r="N61" s="68"/>
      <c r="O61" s="68"/>
      <c r="P61" s="70"/>
      <c r="Q61" s="68"/>
      <c r="R61" s="68"/>
      <c r="S61" s="68"/>
      <c r="T61" s="68"/>
      <c r="U61" s="68"/>
      <c r="V61" s="68"/>
      <c r="W61" s="68"/>
    </row>
    <row r="62" spans="2:29" s="10" customFormat="1" ht="37.5" x14ac:dyDescent="0.2">
      <c r="B62" s="5" t="s">
        <v>71</v>
      </c>
      <c r="C62" s="57">
        <v>1017</v>
      </c>
      <c r="D62" s="6">
        <v>0</v>
      </c>
      <c r="E62" s="6">
        <f t="shared" si="1"/>
        <v>0</v>
      </c>
      <c r="F62" s="58">
        <v>0</v>
      </c>
      <c r="G62" s="6">
        <v>0</v>
      </c>
      <c r="H62" s="6">
        <v>0</v>
      </c>
      <c r="I62" s="6">
        <v>0</v>
      </c>
      <c r="J62" s="68"/>
      <c r="K62" s="68"/>
      <c r="L62" s="68"/>
      <c r="M62" s="68"/>
      <c r="N62" s="68"/>
      <c r="O62" s="68"/>
      <c r="P62" s="70"/>
      <c r="Q62" s="68"/>
      <c r="R62" s="68"/>
      <c r="S62" s="73"/>
      <c r="T62" s="68"/>
      <c r="U62" s="68"/>
      <c r="V62" s="68"/>
      <c r="W62" s="68"/>
    </row>
    <row r="63" spans="2:29" s="10" customFormat="1" ht="37.5" x14ac:dyDescent="0.2">
      <c r="B63" s="5" t="s">
        <v>72</v>
      </c>
      <c r="C63" s="57">
        <v>1018</v>
      </c>
      <c r="D63" s="6">
        <v>0</v>
      </c>
      <c r="E63" s="6">
        <f t="shared" ref="E63:E64" si="2">F63+G63+H63+I63</f>
        <v>0</v>
      </c>
      <c r="F63" s="58">
        <v>0</v>
      </c>
      <c r="G63" s="6">
        <v>0</v>
      </c>
      <c r="H63" s="6">
        <v>0</v>
      </c>
      <c r="I63" s="6">
        <v>0</v>
      </c>
      <c r="J63" s="68"/>
      <c r="K63" s="68"/>
      <c r="L63" s="68"/>
      <c r="M63" s="68"/>
      <c r="N63" s="68"/>
      <c r="O63" s="68"/>
      <c r="P63" s="70"/>
      <c r="Q63" s="68"/>
      <c r="R63" s="68"/>
      <c r="S63" s="73"/>
      <c r="T63" s="68"/>
      <c r="U63" s="68"/>
      <c r="V63" s="68"/>
      <c r="W63" s="68"/>
    </row>
    <row r="64" spans="2:29" s="10" customFormat="1" ht="37.5" x14ac:dyDescent="0.2">
      <c r="B64" s="5" t="s">
        <v>73</v>
      </c>
      <c r="C64" s="57">
        <v>1019</v>
      </c>
      <c r="D64" s="6">
        <v>0</v>
      </c>
      <c r="E64" s="6">
        <f t="shared" si="2"/>
        <v>0</v>
      </c>
      <c r="F64" s="58">
        <v>0</v>
      </c>
      <c r="G64" s="6">
        <v>0</v>
      </c>
      <c r="H64" s="6">
        <v>0</v>
      </c>
      <c r="I64" s="6">
        <v>0</v>
      </c>
      <c r="J64" s="68"/>
      <c r="K64" s="68"/>
      <c r="L64" s="68"/>
      <c r="M64" s="68"/>
      <c r="N64" s="68"/>
      <c r="O64" s="68"/>
      <c r="P64" s="70"/>
      <c r="Q64" s="68"/>
      <c r="R64" s="68"/>
      <c r="S64" s="68"/>
      <c r="T64" s="68"/>
      <c r="U64" s="68"/>
      <c r="V64" s="68"/>
      <c r="W64" s="68"/>
    </row>
    <row r="65" spans="2:24" s="10" customFormat="1" x14ac:dyDescent="0.2">
      <c r="B65" s="76" t="s">
        <v>74</v>
      </c>
      <c r="C65" s="147" t="s">
        <v>75</v>
      </c>
      <c r="D65" s="6">
        <v>0</v>
      </c>
      <c r="E65" s="6">
        <v>0</v>
      </c>
      <c r="F65" s="58">
        <v>0</v>
      </c>
      <c r="G65" s="6">
        <v>0</v>
      </c>
      <c r="H65" s="6">
        <v>0</v>
      </c>
      <c r="I65" s="6">
        <v>0</v>
      </c>
      <c r="J65" s="68"/>
      <c r="K65" s="68"/>
      <c r="L65" s="68"/>
      <c r="M65" s="68"/>
      <c r="N65" s="68"/>
      <c r="O65" s="68"/>
      <c r="P65" s="70"/>
      <c r="Q65" s="68"/>
      <c r="R65" s="68"/>
      <c r="S65" s="68"/>
      <c r="T65" s="68"/>
      <c r="U65" s="68"/>
      <c r="V65" s="68"/>
      <c r="W65" s="68"/>
    </row>
    <row r="66" spans="2:24" s="10" customFormat="1" ht="23.25" customHeight="1" x14ac:dyDescent="0.2">
      <c r="B66" s="49" t="s">
        <v>76</v>
      </c>
      <c r="C66" s="50">
        <v>1020</v>
      </c>
      <c r="D66" s="51">
        <f>D67+D70</f>
        <v>4800</v>
      </c>
      <c r="E66" s="52">
        <f>F66+G66+H66+I66</f>
        <v>4700</v>
      </c>
      <c r="F66" s="54">
        <f>F67+F69+F70</f>
        <v>1200</v>
      </c>
      <c r="G66" s="54">
        <f>G67+G69+G70</f>
        <v>1100</v>
      </c>
      <c r="H66" s="54">
        <f>H67+H69+H70</f>
        <v>1200</v>
      </c>
      <c r="I66" s="54">
        <f>I67+I69+I70</f>
        <v>1200</v>
      </c>
      <c r="J66" s="68"/>
      <c r="K66" s="68"/>
      <c r="L66" s="68"/>
      <c r="M66" s="68"/>
      <c r="N66" s="68"/>
      <c r="O66" s="68"/>
      <c r="P66" s="70"/>
      <c r="Q66" s="68"/>
      <c r="R66" s="68"/>
      <c r="S66" s="68"/>
      <c r="T66" s="68"/>
      <c r="U66" s="68"/>
      <c r="V66" s="68"/>
      <c r="W66" s="68"/>
    </row>
    <row r="67" spans="2:24" ht="41.25" customHeight="1" x14ac:dyDescent="0.3">
      <c r="B67" s="77" t="s">
        <v>77</v>
      </c>
      <c r="C67" s="57">
        <v>1021</v>
      </c>
      <c r="D67" s="6">
        <v>4800</v>
      </c>
      <c r="E67" s="78">
        <f>F67+G67+H67+I67</f>
        <v>4700</v>
      </c>
      <c r="F67" s="6">
        <v>1200</v>
      </c>
      <c r="G67" s="6">
        <v>1100</v>
      </c>
      <c r="H67" s="6">
        <v>1200</v>
      </c>
      <c r="I67" s="6">
        <v>1200</v>
      </c>
      <c r="J67" s="15"/>
      <c r="K67" s="15"/>
      <c r="L67" s="15"/>
      <c r="M67" s="15"/>
      <c r="N67" s="15"/>
      <c r="O67" s="15"/>
      <c r="P67" s="70"/>
      <c r="Q67" s="15"/>
      <c r="R67" s="15"/>
      <c r="S67" s="15"/>
      <c r="T67" s="15"/>
      <c r="U67" s="15"/>
      <c r="V67" s="15"/>
      <c r="W67" s="15"/>
    </row>
    <row r="68" spans="2:24" ht="57.75" customHeight="1" x14ac:dyDescent="0.3">
      <c r="B68" s="77" t="s">
        <v>78</v>
      </c>
      <c r="C68" s="147" t="s">
        <v>79</v>
      </c>
      <c r="D68" s="6">
        <v>2678</v>
      </c>
      <c r="E68" s="6">
        <f>F68+G68+H68+I68</f>
        <v>4700</v>
      </c>
      <c r="F68" s="6">
        <v>1200</v>
      </c>
      <c r="G68" s="6">
        <v>1100</v>
      </c>
      <c r="H68" s="6">
        <v>1200</v>
      </c>
      <c r="I68" s="6">
        <v>1200</v>
      </c>
      <c r="J68" s="15"/>
      <c r="K68" s="15"/>
      <c r="L68" s="15"/>
      <c r="M68" s="15"/>
      <c r="N68" s="15"/>
      <c r="O68" s="15"/>
      <c r="P68" s="70"/>
      <c r="Q68" s="15"/>
      <c r="R68" s="15"/>
      <c r="S68" s="15"/>
      <c r="T68" s="15"/>
      <c r="U68" s="15"/>
      <c r="V68" s="15"/>
      <c r="W68" s="15"/>
    </row>
    <row r="69" spans="2:24" ht="21" customHeight="1" x14ac:dyDescent="0.3">
      <c r="B69" s="77" t="s">
        <v>80</v>
      </c>
      <c r="C69" s="57">
        <v>1022</v>
      </c>
      <c r="D69" s="6">
        <v>0</v>
      </c>
      <c r="E69" s="6">
        <f t="shared" ref="E69:E70" si="3">F69+G69+H69+I69</f>
        <v>0</v>
      </c>
      <c r="F69" s="6">
        <v>0</v>
      </c>
      <c r="G69" s="6">
        <v>0</v>
      </c>
      <c r="H69" s="6">
        <v>0</v>
      </c>
      <c r="I69" s="6">
        <v>0</v>
      </c>
      <c r="J69" s="15"/>
      <c r="K69" s="15"/>
      <c r="L69" s="15"/>
      <c r="M69" s="15"/>
      <c r="N69" s="15"/>
      <c r="O69" s="15"/>
      <c r="P69" s="70"/>
      <c r="Q69" s="15"/>
      <c r="R69" s="15"/>
      <c r="S69" s="15"/>
      <c r="T69" s="15"/>
      <c r="U69" s="15"/>
      <c r="V69" s="15"/>
      <c r="W69" s="15"/>
    </row>
    <row r="70" spans="2:24" ht="21" customHeight="1" x14ac:dyDescent="0.2">
      <c r="B70" s="5" t="s">
        <v>81</v>
      </c>
      <c r="C70" s="57">
        <v>1023</v>
      </c>
      <c r="D70" s="6">
        <v>0</v>
      </c>
      <c r="E70" s="6">
        <f t="shared" si="3"/>
        <v>0</v>
      </c>
      <c r="F70" s="6">
        <v>0</v>
      </c>
      <c r="G70" s="6">
        <v>0</v>
      </c>
      <c r="H70" s="6">
        <v>0</v>
      </c>
      <c r="I70" s="6">
        <v>0</v>
      </c>
      <c r="J70" s="15"/>
      <c r="K70" s="15"/>
      <c r="L70" s="15"/>
      <c r="M70" s="15"/>
      <c r="N70" s="15"/>
      <c r="O70" s="15"/>
      <c r="P70" s="70"/>
      <c r="Q70" s="15"/>
      <c r="R70" s="15"/>
      <c r="S70" s="15"/>
      <c r="T70" s="15"/>
      <c r="U70" s="15"/>
      <c r="V70" s="15"/>
      <c r="W70" s="15"/>
    </row>
    <row r="71" spans="2:24" s="10" customFormat="1" ht="23.25" customHeight="1" x14ac:dyDescent="0.2">
      <c r="B71" s="49" t="s">
        <v>82</v>
      </c>
      <c r="C71" s="50">
        <v>1030</v>
      </c>
      <c r="D71" s="79">
        <f>D72</f>
        <v>0</v>
      </c>
      <c r="E71" s="79">
        <f t="shared" si="1"/>
        <v>0</v>
      </c>
      <c r="F71" s="80">
        <f>F72</f>
        <v>0</v>
      </c>
      <c r="G71" s="80">
        <f>G72</f>
        <v>0</v>
      </c>
      <c r="H71" s="80">
        <f>H72</f>
        <v>0</v>
      </c>
      <c r="I71" s="80">
        <f>I72</f>
        <v>0</v>
      </c>
      <c r="J71" s="92" t="e">
        <f t="shared" ref="J71:O71" si="4">H71*100/G71</f>
        <v>#DIV/0!</v>
      </c>
      <c r="K71" s="92" t="e">
        <f t="shared" si="4"/>
        <v>#DIV/0!</v>
      </c>
      <c r="L71" s="92" t="e">
        <f t="shared" si="4"/>
        <v>#DIV/0!</v>
      </c>
      <c r="M71" s="92" t="e">
        <f t="shared" si="4"/>
        <v>#DIV/0!</v>
      </c>
      <c r="N71" s="92" t="e">
        <f t="shared" si="4"/>
        <v>#DIV/0!</v>
      </c>
      <c r="O71" s="93" t="e">
        <f t="shared" si="4"/>
        <v>#DIV/0!</v>
      </c>
      <c r="P71" s="70"/>
      <c r="Q71" s="68"/>
      <c r="R71" s="68"/>
      <c r="S71" s="68"/>
      <c r="T71" s="68"/>
      <c r="U71" s="68"/>
      <c r="V71" s="68"/>
      <c r="W71" s="68"/>
    </row>
    <row r="72" spans="2:24" s="10" customFormat="1" ht="19.5" customHeight="1" x14ac:dyDescent="0.2">
      <c r="B72" s="5" t="s">
        <v>81</v>
      </c>
      <c r="C72" s="57">
        <v>1031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8"/>
      <c r="K72" s="68"/>
      <c r="L72" s="68"/>
      <c r="M72" s="68"/>
      <c r="N72" s="68"/>
      <c r="O72" s="68"/>
      <c r="P72" s="70"/>
      <c r="Q72" s="68"/>
      <c r="R72" s="68"/>
      <c r="S72" s="68"/>
      <c r="T72" s="68"/>
      <c r="U72" s="68"/>
      <c r="V72" s="68"/>
      <c r="W72" s="68"/>
    </row>
    <row r="73" spans="2:24" s="10" customFormat="1" ht="19.5" customHeight="1" x14ac:dyDescent="0.2">
      <c r="B73" s="49" t="s">
        <v>83</v>
      </c>
      <c r="C73" s="50">
        <v>1040</v>
      </c>
      <c r="D73" s="51">
        <f t="shared" ref="D73:I73" si="5">D52+D55+D66+D71</f>
        <v>110392.6</v>
      </c>
      <c r="E73" s="52">
        <f t="shared" si="5"/>
        <v>121052.08</v>
      </c>
      <c r="F73" s="54">
        <f t="shared" si="5"/>
        <v>26625.96</v>
      </c>
      <c r="G73" s="54">
        <f t="shared" si="5"/>
        <v>34320.18</v>
      </c>
      <c r="H73" s="54">
        <f t="shared" si="5"/>
        <v>35214.910000000003</v>
      </c>
      <c r="I73" s="54">
        <f t="shared" si="5"/>
        <v>24891.010000000002</v>
      </c>
      <c r="J73" s="68"/>
      <c r="K73" s="68"/>
      <c r="L73" s="68"/>
      <c r="M73" s="68"/>
      <c r="N73" s="68"/>
      <c r="O73" s="68"/>
      <c r="P73" s="70"/>
      <c r="Q73" s="68"/>
      <c r="R73" s="68"/>
      <c r="S73" s="68"/>
      <c r="T73" s="68"/>
      <c r="U73" s="68"/>
      <c r="V73" s="68"/>
      <c r="W73" s="68"/>
    </row>
    <row r="74" spans="2:24" ht="23.25" customHeight="1" x14ac:dyDescent="0.2">
      <c r="B74" s="49" t="s">
        <v>84</v>
      </c>
      <c r="C74" s="50">
        <v>1050</v>
      </c>
      <c r="D74" s="51">
        <v>89765.9</v>
      </c>
      <c r="E74" s="52">
        <f>F74+G74+H74+I74</f>
        <v>84798.911099999998</v>
      </c>
      <c r="F74" s="54">
        <f>F75+F76+F77+F81+F82+F83+F84+F85+F86</f>
        <v>20759.3</v>
      </c>
      <c r="G74" s="54">
        <f>G75+G76+G77+G81+G82+G83+G84+G85+G86</f>
        <v>22513.201300000001</v>
      </c>
      <c r="H74" s="54">
        <f>H75+H76+H77+H81+H82+H83+H84+H85+H86</f>
        <v>20758.428650000002</v>
      </c>
      <c r="I74" s="54">
        <f>I75+I76+I77+I81+I82+I83+I84+I85+I86</f>
        <v>20767.98115</v>
      </c>
      <c r="J74" s="15">
        <v>24763</v>
      </c>
      <c r="K74" s="94">
        <f>J74-G74</f>
        <v>2249.7986999999994</v>
      </c>
      <c r="L74" s="15"/>
      <c r="M74" s="15"/>
      <c r="N74" s="15"/>
      <c r="O74" s="15"/>
      <c r="P74" s="69"/>
      <c r="Q74" s="15"/>
      <c r="R74" s="15"/>
      <c r="S74" s="15"/>
      <c r="T74" s="15"/>
      <c r="U74" s="15"/>
      <c r="V74" s="15"/>
      <c r="W74" s="15"/>
    </row>
    <row r="75" spans="2:24" ht="21" customHeight="1" x14ac:dyDescent="0.2">
      <c r="B75" s="5" t="s">
        <v>85</v>
      </c>
      <c r="C75" s="57">
        <v>1051</v>
      </c>
      <c r="D75" s="6">
        <v>44964.9</v>
      </c>
      <c r="E75" s="78">
        <f>F75+G75+H75+I75</f>
        <v>44964.899999999994</v>
      </c>
      <c r="F75" s="6">
        <f>F156+F157+F158+F159-360</f>
        <v>10826.6</v>
      </c>
      <c r="G75" s="6">
        <f>G156+G157+G158+G159</f>
        <v>12318.900000000001</v>
      </c>
      <c r="H75" s="6">
        <f>H156+H157+H158+H159</f>
        <v>10893.45</v>
      </c>
      <c r="I75" s="6">
        <f>I156+I157+I158+I159</f>
        <v>10925.95</v>
      </c>
      <c r="J75" s="15"/>
      <c r="K75" s="94"/>
      <c r="L75" s="15"/>
      <c r="M75" s="15"/>
      <c r="N75" s="15"/>
      <c r="O75" s="15"/>
      <c r="P75" s="69"/>
      <c r="Q75" s="15"/>
      <c r="R75" s="94"/>
      <c r="S75" s="94"/>
      <c r="T75" s="15"/>
      <c r="U75" s="15"/>
      <c r="V75" s="15"/>
      <c r="W75" s="15"/>
    </row>
    <row r="76" spans="2:24" ht="21.75" customHeight="1" x14ac:dyDescent="0.2">
      <c r="B76" s="5" t="s">
        <v>86</v>
      </c>
      <c r="C76" s="57">
        <v>1052</v>
      </c>
      <c r="D76" s="6">
        <v>9834.6</v>
      </c>
      <c r="E76" s="78">
        <f>F76+G76+H76+I76</f>
        <v>9834.6111000000019</v>
      </c>
      <c r="F76" s="6">
        <f>F149+F150+F151+F152-F156-F157-F158-F159</f>
        <v>2426.6000000000013</v>
      </c>
      <c r="G76" s="6">
        <f>G149+G150+G151+G152-G156-G157-G158-G159</f>
        <v>2673.2013000000002</v>
      </c>
      <c r="H76" s="6">
        <f>H149+H150+H151+H152-H156-H157-H158-H159</f>
        <v>2363.8786500000006</v>
      </c>
      <c r="I76" s="6">
        <f>I149+I150+I151+I152-I156-I157-I158-I159</f>
        <v>2370.9311500000003</v>
      </c>
      <c r="J76" s="15"/>
      <c r="K76" s="94"/>
      <c r="L76" s="15"/>
      <c r="M76" s="15"/>
      <c r="N76" s="15"/>
      <c r="O76" s="15"/>
      <c r="P76" s="69"/>
      <c r="Q76" s="15"/>
      <c r="R76" s="94"/>
      <c r="S76" s="15"/>
      <c r="T76" s="15"/>
      <c r="U76" s="15"/>
      <c r="V76" s="15"/>
      <c r="W76" s="15"/>
    </row>
    <row r="77" spans="2:24" x14ac:dyDescent="0.2">
      <c r="B77" s="5" t="s">
        <v>87</v>
      </c>
      <c r="C77" s="3">
        <v>1053</v>
      </c>
      <c r="D77" s="6">
        <v>17347.8</v>
      </c>
      <c r="E77" s="78">
        <f>E78+E80+E79</f>
        <v>14366.4</v>
      </c>
      <c r="F77" s="6">
        <f>F78+F79+F80</f>
        <v>3594.1</v>
      </c>
      <c r="G77" s="6">
        <f>G78+G79+G80</f>
        <v>3614.1</v>
      </c>
      <c r="H77" s="6">
        <f>H78+H79+H80</f>
        <v>3594.1</v>
      </c>
      <c r="I77" s="6">
        <f t="shared" ref="I77" si="6">I78+I79+I80</f>
        <v>3564.1</v>
      </c>
      <c r="J77" s="15"/>
      <c r="K77" s="15"/>
      <c r="L77" s="15"/>
      <c r="M77" s="15"/>
      <c r="N77" s="15"/>
      <c r="O77" s="15"/>
      <c r="P77" s="69"/>
      <c r="Q77" s="15"/>
      <c r="R77" s="94"/>
      <c r="S77" s="94"/>
      <c r="T77" s="15"/>
      <c r="U77" s="15"/>
      <c r="V77" s="15"/>
      <c r="W77" s="15"/>
    </row>
    <row r="78" spans="2:24" ht="56.25" x14ac:dyDescent="0.2">
      <c r="B78" s="5" t="s">
        <v>88</v>
      </c>
      <c r="C78" s="3" t="s">
        <v>89</v>
      </c>
      <c r="D78" s="6">
        <v>4400</v>
      </c>
      <c r="E78" s="78">
        <f>F78+G78+H78+I78</f>
        <v>2510</v>
      </c>
      <c r="F78" s="81">
        <v>630</v>
      </c>
      <c r="G78" s="82">
        <v>650</v>
      </c>
      <c r="H78" s="6">
        <v>630</v>
      </c>
      <c r="I78" s="6">
        <v>600</v>
      </c>
      <c r="J78" s="15"/>
      <c r="K78" s="15"/>
      <c r="L78" s="15"/>
      <c r="M78" s="15"/>
      <c r="N78" s="15"/>
      <c r="O78" s="15"/>
      <c r="P78" s="69"/>
      <c r="Q78" s="15"/>
      <c r="R78" s="94"/>
      <c r="S78" s="15"/>
      <c r="T78" s="15"/>
      <c r="U78" s="15"/>
      <c r="V78" s="15"/>
      <c r="W78" s="15"/>
      <c r="X78" s="71"/>
    </row>
    <row r="79" spans="2:24" x14ac:dyDescent="0.2">
      <c r="B79" s="5" t="s">
        <v>90</v>
      </c>
      <c r="C79" s="3" t="s">
        <v>91</v>
      </c>
      <c r="D79" s="6">
        <v>9932.9</v>
      </c>
      <c r="E79" s="7">
        <f>F79+G79+H79+I79</f>
        <v>9056.4</v>
      </c>
      <c r="F79" s="58">
        <v>2264.1</v>
      </c>
      <c r="G79" s="58">
        <v>2264.1</v>
      </c>
      <c r="H79" s="58">
        <v>2264.1</v>
      </c>
      <c r="I79" s="58">
        <v>2264.1</v>
      </c>
      <c r="J79" s="15"/>
      <c r="K79" s="15"/>
      <c r="L79" s="15"/>
      <c r="M79" s="15"/>
      <c r="N79" s="15"/>
      <c r="O79" s="15"/>
      <c r="P79" s="69"/>
      <c r="Q79" s="15"/>
      <c r="R79" s="94"/>
      <c r="S79" s="15"/>
      <c r="T79" s="15"/>
      <c r="U79" s="15"/>
      <c r="V79" s="15"/>
      <c r="W79" s="15"/>
    </row>
    <row r="80" spans="2:24" x14ac:dyDescent="0.2">
      <c r="B80" s="5" t="s">
        <v>92</v>
      </c>
      <c r="C80" s="3" t="s">
        <v>93</v>
      </c>
      <c r="D80" s="6">
        <v>3014.9</v>
      </c>
      <c r="E80" s="7">
        <f t="shared" ref="E80:E84" si="7">F80+G80+H80+I80</f>
        <v>2800</v>
      </c>
      <c r="F80" s="58">
        <v>700</v>
      </c>
      <c r="G80" s="58">
        <v>700</v>
      </c>
      <c r="H80" s="6">
        <v>700</v>
      </c>
      <c r="I80" s="6">
        <v>700</v>
      </c>
      <c r="J80" s="15"/>
      <c r="K80" s="15"/>
      <c r="L80" s="15"/>
      <c r="M80" s="15"/>
      <c r="N80" s="15"/>
      <c r="O80" s="15"/>
      <c r="P80" s="69"/>
      <c r="Q80" s="15"/>
      <c r="R80" s="94"/>
      <c r="S80" s="94"/>
      <c r="T80" s="15"/>
      <c r="U80" s="15"/>
      <c r="V80" s="15"/>
      <c r="W80" s="15"/>
    </row>
    <row r="81" spans="2:28" ht="19.5" customHeight="1" x14ac:dyDescent="0.2">
      <c r="B81" s="5" t="s">
        <v>94</v>
      </c>
      <c r="C81" s="57">
        <v>1054</v>
      </c>
      <c r="D81" s="6">
        <v>5943.8</v>
      </c>
      <c r="E81" s="78">
        <f t="shared" si="7"/>
        <v>4300</v>
      </c>
      <c r="F81" s="58">
        <v>1200</v>
      </c>
      <c r="G81" s="58">
        <v>1000</v>
      </c>
      <c r="H81" s="58">
        <v>1000</v>
      </c>
      <c r="I81" s="58">
        <v>1100</v>
      </c>
      <c r="J81" s="15"/>
      <c r="K81" s="15"/>
      <c r="L81" s="15"/>
      <c r="M81" s="15"/>
      <c r="N81" s="15"/>
      <c r="O81" s="15"/>
      <c r="P81" s="69"/>
      <c r="Q81" s="94"/>
      <c r="R81" s="15"/>
      <c r="S81" s="15"/>
      <c r="T81" s="15"/>
      <c r="U81" s="15"/>
      <c r="V81" s="15"/>
      <c r="W81" s="15"/>
    </row>
    <row r="82" spans="2:28" ht="131.25" x14ac:dyDescent="0.2">
      <c r="B82" s="5" t="s">
        <v>95</v>
      </c>
      <c r="C82" s="3">
        <v>1055</v>
      </c>
      <c r="D82" s="6">
        <v>1650</v>
      </c>
      <c r="E82" s="78">
        <f t="shared" si="7"/>
        <v>1500</v>
      </c>
      <c r="F82" s="58">
        <v>300</v>
      </c>
      <c r="G82" s="58">
        <v>400</v>
      </c>
      <c r="H82" s="58">
        <v>400</v>
      </c>
      <c r="I82" s="58">
        <v>400</v>
      </c>
      <c r="J82" s="15"/>
      <c r="K82" s="15"/>
      <c r="L82" s="15"/>
      <c r="M82" s="15"/>
      <c r="N82" s="15"/>
      <c r="O82" s="15"/>
      <c r="P82" s="69"/>
      <c r="Q82" s="94">
        <f>F81+F91</f>
        <v>1250</v>
      </c>
      <c r="R82" s="94"/>
      <c r="S82" s="94">
        <f>E81+E91</f>
        <v>4460</v>
      </c>
      <c r="T82" s="15"/>
      <c r="U82" s="15"/>
      <c r="V82" s="15"/>
      <c r="W82" s="15"/>
    </row>
    <row r="83" spans="2:28" ht="37.5" x14ac:dyDescent="0.2">
      <c r="B83" s="5" t="s">
        <v>96</v>
      </c>
      <c r="C83" s="3">
        <v>1056</v>
      </c>
      <c r="D83" s="6">
        <v>7546.8</v>
      </c>
      <c r="E83" s="78">
        <f t="shared" si="7"/>
        <v>7800</v>
      </c>
      <c r="F83" s="58">
        <v>1900</v>
      </c>
      <c r="G83" s="58">
        <v>2000</v>
      </c>
      <c r="H83" s="58">
        <v>2000</v>
      </c>
      <c r="I83" s="58">
        <v>1900</v>
      </c>
      <c r="J83" s="15"/>
      <c r="K83" s="15"/>
      <c r="L83" s="15"/>
      <c r="M83" s="15"/>
      <c r="N83" s="15"/>
      <c r="O83" s="15"/>
      <c r="P83" s="69"/>
      <c r="Q83" s="94">
        <f>G81+G91</f>
        <v>1035</v>
      </c>
      <c r="R83" s="15"/>
      <c r="S83" s="94">
        <f>H81+H91</f>
        <v>1035</v>
      </c>
      <c r="T83" s="94">
        <f>I81+I91</f>
        <v>1140</v>
      </c>
      <c r="U83" s="15"/>
      <c r="V83" s="15"/>
      <c r="W83" s="15"/>
      <c r="AB83" s="71"/>
    </row>
    <row r="84" spans="2:28" x14ac:dyDescent="0.2">
      <c r="B84" s="5" t="s">
        <v>97</v>
      </c>
      <c r="C84" s="3">
        <v>1057</v>
      </c>
      <c r="D84" s="6">
        <v>12</v>
      </c>
      <c r="E84" s="78">
        <f t="shared" si="7"/>
        <v>8</v>
      </c>
      <c r="F84" s="58">
        <v>2</v>
      </c>
      <c r="G84" s="83">
        <v>2</v>
      </c>
      <c r="H84" s="6">
        <v>2</v>
      </c>
      <c r="I84" s="6">
        <v>2</v>
      </c>
      <c r="J84" s="15"/>
      <c r="K84" s="15"/>
      <c r="L84" s="15"/>
      <c r="M84" s="15"/>
      <c r="N84" s="15"/>
      <c r="O84" s="15"/>
      <c r="P84" s="69"/>
      <c r="Q84" s="98"/>
      <c r="R84" s="94"/>
      <c r="S84" s="94"/>
      <c r="T84" s="15"/>
      <c r="U84" s="15"/>
      <c r="V84" s="15"/>
      <c r="W84" s="15"/>
    </row>
    <row r="85" spans="2:28" ht="36" customHeight="1" x14ac:dyDescent="0.2">
      <c r="B85" s="5" t="s">
        <v>98</v>
      </c>
      <c r="C85" s="3">
        <v>1058</v>
      </c>
      <c r="D85" s="6">
        <v>66</v>
      </c>
      <c r="E85" s="78">
        <f t="shared" si="1"/>
        <v>25</v>
      </c>
      <c r="F85" s="58">
        <v>10</v>
      </c>
      <c r="G85" s="83">
        <v>5</v>
      </c>
      <c r="H85" s="6">
        <v>5</v>
      </c>
      <c r="I85" s="6">
        <v>5</v>
      </c>
      <c r="J85" s="15"/>
      <c r="K85" s="15"/>
      <c r="L85" s="15"/>
      <c r="M85" s="15"/>
      <c r="N85" s="15"/>
      <c r="O85" s="15"/>
      <c r="P85" s="69"/>
      <c r="Q85" s="15"/>
      <c r="R85" s="15"/>
      <c r="S85" s="94"/>
      <c r="T85" s="15"/>
      <c r="U85" s="15"/>
      <c r="V85" s="15"/>
      <c r="W85" s="15"/>
      <c r="AB85" s="71"/>
    </row>
    <row r="86" spans="2:28" ht="23.25" customHeight="1" x14ac:dyDescent="0.2">
      <c r="B86" s="5" t="s">
        <v>99</v>
      </c>
      <c r="C86" s="3">
        <v>1059</v>
      </c>
      <c r="D86" s="6">
        <v>2400</v>
      </c>
      <c r="E86" s="78">
        <f t="shared" si="1"/>
        <v>2000</v>
      </c>
      <c r="F86" s="58">
        <v>500</v>
      </c>
      <c r="G86" s="83">
        <v>500</v>
      </c>
      <c r="H86" s="6">
        <v>500</v>
      </c>
      <c r="I86" s="6">
        <v>500</v>
      </c>
      <c r="J86" s="15"/>
      <c r="K86" s="15"/>
      <c r="L86" s="15"/>
      <c r="M86" s="15"/>
      <c r="N86" s="15"/>
      <c r="O86" s="15"/>
      <c r="P86" s="69"/>
      <c r="Q86" s="15"/>
      <c r="R86" s="15"/>
      <c r="S86" s="15"/>
      <c r="T86" s="15"/>
      <c r="U86" s="15"/>
      <c r="V86" s="15"/>
      <c r="W86" s="15"/>
    </row>
    <row r="87" spans="2:28" ht="24.75" customHeight="1" x14ac:dyDescent="0.2">
      <c r="B87" s="49" t="s">
        <v>100</v>
      </c>
      <c r="C87" s="50">
        <v>1060</v>
      </c>
      <c r="D87" s="51">
        <f>D88+D89+D90+D91+D92+D93+D94+D95+D96</f>
        <v>13514.6</v>
      </c>
      <c r="E87" s="52">
        <f t="shared" si="1"/>
        <v>13411.381799999999</v>
      </c>
      <c r="F87" s="54">
        <f>F88+F89+F90+F91+F92+F93+F94+F95+F96</f>
        <v>3107.9823999999999</v>
      </c>
      <c r="G87" s="54">
        <f>G88+G89+G90+G91+G92+G93+G94+G95+G96</f>
        <v>3432.7505000000001</v>
      </c>
      <c r="H87" s="54">
        <f>H88+H89+H90+H91+H92+H93+H94+H95+H96</f>
        <v>3611.1843999999992</v>
      </c>
      <c r="I87" s="54">
        <f>I88+I89+I90+I91+I92+I93+I94+I95+I96</f>
        <v>3259.4645</v>
      </c>
      <c r="J87" s="15"/>
      <c r="K87" s="15"/>
      <c r="L87" s="15"/>
      <c r="M87" s="15"/>
      <c r="N87" s="15"/>
      <c r="O87" s="15"/>
      <c r="P87" s="69"/>
      <c r="Q87" s="94">
        <f>I82+I90</f>
        <v>430</v>
      </c>
      <c r="R87" s="15"/>
      <c r="S87" s="15"/>
      <c r="T87" s="15"/>
      <c r="U87" s="15"/>
      <c r="V87" s="15"/>
      <c r="W87" s="15"/>
    </row>
    <row r="88" spans="2:28" ht="24.75" customHeight="1" x14ac:dyDescent="0.2">
      <c r="B88" s="5" t="s">
        <v>85</v>
      </c>
      <c r="C88" s="84">
        <v>1061</v>
      </c>
      <c r="D88" s="6">
        <v>10423.799999999999</v>
      </c>
      <c r="E88" s="78">
        <f t="shared" si="1"/>
        <v>10423.799999999999</v>
      </c>
      <c r="F88" s="6">
        <f>F154+F155</f>
        <v>2384.2999999999997</v>
      </c>
      <c r="G88" s="6">
        <f t="shared" ref="G88:I88" si="8">G154+G155</f>
        <v>2683.6</v>
      </c>
      <c r="H88" s="6">
        <f t="shared" si="8"/>
        <v>2830.2999999999997</v>
      </c>
      <c r="I88" s="6">
        <f t="shared" si="8"/>
        <v>2525.6</v>
      </c>
      <c r="J88" s="15"/>
      <c r="K88" s="15"/>
      <c r="L88" s="15"/>
      <c r="M88" s="15"/>
      <c r="N88" s="15"/>
      <c r="O88" s="15"/>
      <c r="P88" s="69"/>
      <c r="Q88" s="15"/>
      <c r="R88" s="94"/>
      <c r="S88" s="15"/>
      <c r="T88" s="15"/>
      <c r="U88" s="15"/>
      <c r="V88" s="15"/>
      <c r="W88" s="94"/>
    </row>
    <row r="89" spans="2:28" x14ac:dyDescent="0.2">
      <c r="B89" s="5" t="s">
        <v>86</v>
      </c>
      <c r="C89" s="84">
        <v>1062</v>
      </c>
      <c r="D89" s="78">
        <v>2289.4</v>
      </c>
      <c r="E89" s="78">
        <f t="shared" si="1"/>
        <v>2289.2817999999997</v>
      </c>
      <c r="F89" s="6">
        <f>F147+F148-F154-F155</f>
        <v>531.18240000000014</v>
      </c>
      <c r="G89" s="6">
        <f t="shared" ref="G89:I89" si="9">G147+G148-G154-G155</f>
        <v>586.85050000000001</v>
      </c>
      <c r="H89" s="6">
        <f t="shared" si="9"/>
        <v>618.68439999999964</v>
      </c>
      <c r="I89" s="6">
        <f t="shared" si="9"/>
        <v>552.56449999999995</v>
      </c>
      <c r="J89" s="15"/>
      <c r="K89" s="15"/>
      <c r="L89" s="15"/>
      <c r="M89" s="15"/>
      <c r="N89" s="15"/>
      <c r="O89" s="15"/>
      <c r="P89" s="69"/>
      <c r="Q89" s="15"/>
      <c r="R89" s="94"/>
      <c r="S89" s="15"/>
      <c r="T89" s="15"/>
      <c r="U89" s="15"/>
      <c r="V89" s="15"/>
      <c r="W89" s="15"/>
    </row>
    <row r="90" spans="2:28" ht="101.25" customHeight="1" x14ac:dyDescent="0.2">
      <c r="B90" s="5" t="s">
        <v>101</v>
      </c>
      <c r="C90" s="84">
        <v>1063</v>
      </c>
      <c r="D90" s="6">
        <v>120</v>
      </c>
      <c r="E90" s="6">
        <f t="shared" si="1"/>
        <v>110</v>
      </c>
      <c r="F90" s="6">
        <v>30</v>
      </c>
      <c r="G90" s="6">
        <v>25</v>
      </c>
      <c r="H90" s="6">
        <v>25</v>
      </c>
      <c r="I90" s="6">
        <v>30</v>
      </c>
      <c r="J90" s="15"/>
      <c r="K90" s="15"/>
      <c r="L90" s="15"/>
      <c r="M90" s="15"/>
      <c r="N90" s="15"/>
      <c r="O90" s="15"/>
      <c r="P90" s="69"/>
      <c r="Q90" s="15"/>
      <c r="R90" s="94">
        <f>F82+F92</f>
        <v>400</v>
      </c>
      <c r="S90" s="15"/>
      <c r="T90" s="94">
        <f>G92+G82</f>
        <v>490</v>
      </c>
      <c r="U90" s="15"/>
      <c r="V90" s="15"/>
      <c r="W90" s="15"/>
    </row>
    <row r="91" spans="2:28" x14ac:dyDescent="0.2">
      <c r="B91" s="56" t="s">
        <v>94</v>
      </c>
      <c r="C91" s="84">
        <v>1064</v>
      </c>
      <c r="D91" s="6">
        <v>215.7</v>
      </c>
      <c r="E91" s="78">
        <f t="shared" si="1"/>
        <v>160</v>
      </c>
      <c r="F91" s="6">
        <v>50</v>
      </c>
      <c r="G91" s="6">
        <v>35</v>
      </c>
      <c r="H91" s="6">
        <v>35</v>
      </c>
      <c r="I91" s="6">
        <v>40</v>
      </c>
      <c r="J91" s="15"/>
      <c r="K91" s="15"/>
      <c r="L91" s="15"/>
      <c r="M91" s="15"/>
      <c r="N91" s="15"/>
      <c r="O91" s="15"/>
      <c r="P91" s="69"/>
      <c r="Q91" s="15"/>
      <c r="R91" s="15"/>
      <c r="S91" s="15"/>
      <c r="T91" s="15"/>
      <c r="U91" s="15"/>
      <c r="V91" s="15"/>
      <c r="W91" s="15"/>
    </row>
    <row r="92" spans="2:28" ht="101.25" customHeight="1" x14ac:dyDescent="0.2">
      <c r="B92" s="56" t="s">
        <v>102</v>
      </c>
      <c r="C92" s="84">
        <v>1065</v>
      </c>
      <c r="D92" s="6">
        <v>409.7</v>
      </c>
      <c r="E92" s="6">
        <f t="shared" si="1"/>
        <v>380</v>
      </c>
      <c r="F92" s="6">
        <v>100</v>
      </c>
      <c r="G92" s="6">
        <v>90</v>
      </c>
      <c r="H92" s="6">
        <v>90</v>
      </c>
      <c r="I92" s="6">
        <v>100</v>
      </c>
      <c r="J92" s="15"/>
      <c r="K92" s="15"/>
      <c r="L92" s="15"/>
      <c r="M92" s="15"/>
      <c r="N92" s="15"/>
      <c r="O92" s="15"/>
      <c r="P92" s="69"/>
      <c r="Q92" s="94">
        <f>G82+G92+G95</f>
        <v>492</v>
      </c>
      <c r="R92" s="94"/>
      <c r="S92" s="15"/>
      <c r="T92" s="15"/>
      <c r="U92" s="15"/>
      <c r="V92" s="15"/>
      <c r="W92" s="15"/>
    </row>
    <row r="93" spans="2:28" ht="37.5" x14ac:dyDescent="0.2">
      <c r="B93" s="5" t="s">
        <v>103</v>
      </c>
      <c r="C93" s="84">
        <v>1066</v>
      </c>
      <c r="D93" s="6">
        <v>32</v>
      </c>
      <c r="E93" s="78">
        <f t="shared" si="1"/>
        <v>28</v>
      </c>
      <c r="F93" s="6">
        <v>5</v>
      </c>
      <c r="G93" s="6">
        <v>8</v>
      </c>
      <c r="H93" s="6">
        <v>8</v>
      </c>
      <c r="I93" s="6">
        <v>7</v>
      </c>
      <c r="J93" s="15"/>
      <c r="K93" s="15"/>
      <c r="L93" s="15"/>
      <c r="M93" s="15"/>
      <c r="N93" s="15"/>
      <c r="O93" s="15"/>
      <c r="P93" s="69"/>
      <c r="Q93" s="15"/>
      <c r="R93" s="15"/>
      <c r="S93" s="15"/>
      <c r="T93" s="15"/>
      <c r="U93" s="15"/>
      <c r="V93" s="15"/>
      <c r="W93" s="15"/>
    </row>
    <row r="94" spans="2:28" ht="23.25" customHeight="1" x14ac:dyDescent="0.2">
      <c r="B94" s="5" t="s">
        <v>97</v>
      </c>
      <c r="C94" s="84">
        <v>1067</v>
      </c>
      <c r="D94" s="6">
        <v>8</v>
      </c>
      <c r="E94" s="78">
        <f t="shared" si="1"/>
        <v>4</v>
      </c>
      <c r="F94" s="6">
        <v>1</v>
      </c>
      <c r="G94" s="6">
        <v>1</v>
      </c>
      <c r="H94" s="6">
        <v>1</v>
      </c>
      <c r="I94" s="6">
        <v>1</v>
      </c>
      <c r="J94" s="15"/>
      <c r="K94" s="15"/>
      <c r="L94" s="15"/>
      <c r="M94" s="15"/>
      <c r="N94" s="15"/>
      <c r="O94" s="15"/>
      <c r="P94" s="69"/>
      <c r="Q94" s="15"/>
      <c r="R94" s="15"/>
      <c r="S94" s="94"/>
      <c r="T94" s="15"/>
      <c r="U94" s="15"/>
      <c r="V94" s="15"/>
      <c r="W94" s="15"/>
    </row>
    <row r="95" spans="2:28" ht="36.75" customHeight="1" x14ac:dyDescent="0.2">
      <c r="B95" s="5" t="s">
        <v>98</v>
      </c>
      <c r="C95" s="84">
        <v>1068</v>
      </c>
      <c r="D95" s="6">
        <v>10</v>
      </c>
      <c r="E95" s="78">
        <f t="shared" si="1"/>
        <v>11</v>
      </c>
      <c r="F95" s="6">
        <v>5</v>
      </c>
      <c r="G95" s="6">
        <v>2</v>
      </c>
      <c r="H95" s="6">
        <v>2</v>
      </c>
      <c r="I95" s="6">
        <v>2</v>
      </c>
      <c r="J95" s="15"/>
      <c r="K95" s="15"/>
      <c r="L95" s="15"/>
      <c r="M95" s="15"/>
      <c r="N95" s="15"/>
      <c r="O95" s="15"/>
      <c r="P95" s="69"/>
      <c r="Q95" s="15"/>
      <c r="R95" s="15"/>
      <c r="S95" s="94"/>
      <c r="T95" s="15"/>
      <c r="U95" s="15"/>
      <c r="V95" s="15"/>
      <c r="W95" s="94"/>
    </row>
    <row r="96" spans="2:28" ht="21" customHeight="1" x14ac:dyDescent="0.2">
      <c r="B96" s="5" t="s">
        <v>99</v>
      </c>
      <c r="C96" s="84">
        <v>1069</v>
      </c>
      <c r="D96" s="6">
        <v>6</v>
      </c>
      <c r="E96" s="78">
        <f t="shared" si="1"/>
        <v>5.3</v>
      </c>
      <c r="F96" s="6">
        <v>1.5</v>
      </c>
      <c r="G96" s="6">
        <v>1.3</v>
      </c>
      <c r="H96" s="6">
        <v>1.2</v>
      </c>
      <c r="I96" s="6">
        <v>1.3</v>
      </c>
      <c r="J96" s="15"/>
      <c r="K96" s="15"/>
      <c r="L96" s="15"/>
      <c r="M96" s="15"/>
      <c r="N96" s="15"/>
      <c r="O96" s="15"/>
      <c r="P96" s="69"/>
      <c r="Q96" s="15"/>
      <c r="R96" s="15"/>
      <c r="S96" s="15"/>
      <c r="T96" s="15"/>
      <c r="U96" s="15"/>
      <c r="V96" s="15"/>
      <c r="W96" s="15"/>
    </row>
    <row r="97" spans="2:23" ht="26.25" customHeight="1" x14ac:dyDescent="0.2">
      <c r="B97" s="85" t="s">
        <v>104</v>
      </c>
      <c r="C97" s="50">
        <v>1070</v>
      </c>
      <c r="D97" s="51">
        <f>D98+D99+D100+D101+D102+D103+D104+D105</f>
        <v>2592.6999999999998</v>
      </c>
      <c r="E97" s="52">
        <f t="shared" si="1"/>
        <v>2709.9</v>
      </c>
      <c r="F97" s="54">
        <f>F98+F99+F100+F101+F102+F103+F104+F105</f>
        <v>761.6</v>
      </c>
      <c r="G97" s="54">
        <f>G98+G99+G100+G101+G102+G103+G104+G105</f>
        <v>634.29999999999995</v>
      </c>
      <c r="H97" s="54">
        <f>H98+H99+H100+H101+H102+H103+H104+H105</f>
        <v>643.29999999999995</v>
      </c>
      <c r="I97" s="54">
        <f>I98+I99+I100+I101+I102+I103+I104+I105</f>
        <v>670.7</v>
      </c>
      <c r="J97" s="15"/>
      <c r="K97" s="15"/>
      <c r="L97" s="15"/>
      <c r="M97" s="15"/>
      <c r="N97" s="15"/>
      <c r="O97" s="15"/>
      <c r="P97" s="69"/>
      <c r="Q97" s="15"/>
      <c r="R97" s="15"/>
      <c r="S97" s="15"/>
      <c r="T97" s="15"/>
      <c r="U97" s="15"/>
      <c r="V97" s="15"/>
      <c r="W97" s="15"/>
    </row>
    <row r="98" spans="2:23" x14ac:dyDescent="0.2">
      <c r="B98" s="5" t="s">
        <v>105</v>
      </c>
      <c r="C98" s="57">
        <v>1071</v>
      </c>
      <c r="D98" s="6">
        <v>0</v>
      </c>
      <c r="E98" s="78">
        <f t="shared" si="1"/>
        <v>0</v>
      </c>
      <c r="F98" s="6">
        <v>0</v>
      </c>
      <c r="G98" s="6">
        <v>0</v>
      </c>
      <c r="H98" s="6">
        <v>0</v>
      </c>
      <c r="I98" s="6">
        <v>0</v>
      </c>
      <c r="J98" s="15"/>
      <c r="K98" s="15"/>
      <c r="L98" s="15"/>
      <c r="M98" s="15"/>
      <c r="N98" s="15"/>
      <c r="O98" s="15"/>
      <c r="P98" s="69"/>
      <c r="Q98" s="15"/>
      <c r="R98" s="15"/>
      <c r="S98" s="94"/>
      <c r="T98" s="15"/>
      <c r="U98" s="15"/>
      <c r="V98" s="15"/>
      <c r="W98" s="15"/>
    </row>
    <row r="99" spans="2:23" ht="33.75" customHeight="1" x14ac:dyDescent="0.2">
      <c r="B99" s="5" t="s">
        <v>106</v>
      </c>
      <c r="C99" s="57">
        <v>1072</v>
      </c>
      <c r="D99" s="6">
        <v>359.9</v>
      </c>
      <c r="E99" s="78">
        <f t="shared" si="1"/>
        <v>359.9</v>
      </c>
      <c r="F99" s="6">
        <v>151.6</v>
      </c>
      <c r="G99" s="6">
        <v>69.3</v>
      </c>
      <c r="H99" s="6">
        <v>78.3</v>
      </c>
      <c r="I99" s="6">
        <v>60.7</v>
      </c>
      <c r="J99" s="15"/>
      <c r="K99" s="15"/>
      <c r="L99" s="15"/>
      <c r="M99" s="15"/>
      <c r="N99" s="15"/>
      <c r="O99" s="15"/>
      <c r="P99" s="69"/>
      <c r="Q99" s="15"/>
      <c r="R99" s="15"/>
      <c r="S99" s="15"/>
      <c r="T99" s="15"/>
      <c r="U99" s="15"/>
      <c r="V99" s="15"/>
      <c r="W99" s="15"/>
    </row>
    <row r="100" spans="2:23" ht="33.75" customHeight="1" x14ac:dyDescent="0.2">
      <c r="B100" s="5" t="s">
        <v>107</v>
      </c>
      <c r="C100" s="57">
        <v>1073</v>
      </c>
      <c r="D100" s="6">
        <v>0</v>
      </c>
      <c r="E100" s="78">
        <f t="shared" si="1"/>
        <v>0</v>
      </c>
      <c r="F100" s="6">
        <v>0</v>
      </c>
      <c r="G100" s="6">
        <v>0</v>
      </c>
      <c r="H100" s="6">
        <v>0</v>
      </c>
      <c r="I100" s="6">
        <v>0</v>
      </c>
      <c r="J100" s="15"/>
      <c r="K100" s="15"/>
      <c r="L100" s="15"/>
      <c r="M100" s="15"/>
      <c r="N100" s="15"/>
      <c r="O100" s="15"/>
      <c r="P100" s="69"/>
      <c r="Q100" s="15"/>
      <c r="R100" s="15"/>
      <c r="S100" s="94"/>
      <c r="T100" s="15"/>
      <c r="U100" s="15"/>
      <c r="V100" s="15"/>
      <c r="W100" s="15"/>
    </row>
    <row r="101" spans="2:23" ht="18" customHeight="1" x14ac:dyDescent="0.2">
      <c r="B101" s="5" t="s">
        <v>108</v>
      </c>
      <c r="C101" s="57">
        <v>1074</v>
      </c>
      <c r="D101" s="6">
        <v>490</v>
      </c>
      <c r="E101" s="6">
        <f t="shared" si="1"/>
        <v>370</v>
      </c>
      <c r="F101" s="6">
        <v>115</v>
      </c>
      <c r="G101" s="6">
        <v>70</v>
      </c>
      <c r="H101" s="6">
        <v>70</v>
      </c>
      <c r="I101" s="6">
        <v>115</v>
      </c>
      <c r="J101" s="15"/>
      <c r="K101" s="15"/>
      <c r="L101" s="15"/>
      <c r="M101" s="15"/>
      <c r="N101" s="15"/>
      <c r="O101" s="15"/>
      <c r="P101" s="69"/>
      <c r="Q101" s="15"/>
      <c r="R101" s="15"/>
      <c r="S101" s="15"/>
      <c r="T101" s="15"/>
      <c r="U101" s="15"/>
      <c r="V101" s="15"/>
      <c r="W101" s="15"/>
    </row>
    <row r="102" spans="2:23" ht="18.75" customHeight="1" x14ac:dyDescent="0.2">
      <c r="B102" s="5" t="s">
        <v>109</v>
      </c>
      <c r="C102" s="57">
        <v>1075</v>
      </c>
      <c r="D102" s="6">
        <v>0</v>
      </c>
      <c r="E102" s="78">
        <f t="shared" si="1"/>
        <v>0</v>
      </c>
      <c r="F102" s="6">
        <v>0</v>
      </c>
      <c r="G102" s="6">
        <v>0</v>
      </c>
      <c r="H102" s="6">
        <v>0</v>
      </c>
      <c r="I102" s="6">
        <v>0</v>
      </c>
      <c r="J102" s="15"/>
      <c r="K102" s="15"/>
      <c r="L102" s="15"/>
      <c r="M102" s="15"/>
      <c r="N102" s="15"/>
      <c r="O102" s="15"/>
      <c r="P102" s="69"/>
      <c r="Q102" s="15"/>
      <c r="R102" s="15"/>
      <c r="S102" s="15"/>
      <c r="T102" s="15"/>
      <c r="U102" s="15"/>
      <c r="V102" s="15"/>
      <c r="W102" s="15"/>
    </row>
    <row r="103" spans="2:23" ht="16.5" customHeight="1" x14ac:dyDescent="0.2">
      <c r="B103" s="5" t="s">
        <v>110</v>
      </c>
      <c r="C103" s="57">
        <v>1076</v>
      </c>
      <c r="D103" s="6">
        <v>1742.8</v>
      </c>
      <c r="E103" s="78">
        <f t="shared" si="1"/>
        <v>1980</v>
      </c>
      <c r="F103" s="6">
        <v>495</v>
      </c>
      <c r="G103" s="6">
        <v>495</v>
      </c>
      <c r="H103" s="6">
        <v>495</v>
      </c>
      <c r="I103" s="6">
        <v>495</v>
      </c>
      <c r="J103" s="15"/>
      <c r="K103" s="15"/>
      <c r="L103" s="15"/>
      <c r="M103" s="15"/>
      <c r="N103" s="15"/>
      <c r="O103" s="15"/>
      <c r="P103" s="69"/>
      <c r="Q103" s="15"/>
      <c r="R103" s="15"/>
      <c r="S103" s="15"/>
      <c r="T103" s="15"/>
      <c r="U103" s="15"/>
      <c r="V103" s="15"/>
      <c r="W103" s="15"/>
    </row>
    <row r="104" spans="2:23" x14ac:dyDescent="0.2">
      <c r="B104" s="5" t="s">
        <v>111</v>
      </c>
      <c r="C104" s="57">
        <v>1077</v>
      </c>
      <c r="D104" s="6">
        <v>0</v>
      </c>
      <c r="E104" s="78">
        <f t="shared" si="1"/>
        <v>0</v>
      </c>
      <c r="F104" s="6">
        <v>0</v>
      </c>
      <c r="G104" s="6">
        <v>0</v>
      </c>
      <c r="H104" s="6">
        <v>0</v>
      </c>
      <c r="I104" s="6">
        <v>0</v>
      </c>
      <c r="J104" s="15"/>
      <c r="K104" s="15"/>
      <c r="L104" s="15"/>
      <c r="M104" s="15"/>
      <c r="N104" s="15"/>
      <c r="O104" s="15"/>
      <c r="P104" s="69"/>
      <c r="Q104" s="15"/>
      <c r="R104" s="15"/>
      <c r="S104" s="15"/>
      <c r="T104" s="15"/>
      <c r="U104" s="15"/>
      <c r="V104" s="15"/>
      <c r="W104" s="15"/>
    </row>
    <row r="105" spans="2:23" x14ac:dyDescent="0.2">
      <c r="B105" s="5" t="s">
        <v>112</v>
      </c>
      <c r="C105" s="57">
        <v>1078</v>
      </c>
      <c r="D105" s="6">
        <v>0</v>
      </c>
      <c r="E105" s="78">
        <f t="shared" si="1"/>
        <v>0</v>
      </c>
      <c r="F105" s="6">
        <v>0</v>
      </c>
      <c r="G105" s="6">
        <v>0</v>
      </c>
      <c r="H105" s="6">
        <v>0</v>
      </c>
      <c r="I105" s="6">
        <v>0</v>
      </c>
      <c r="J105" s="15"/>
      <c r="K105" s="15"/>
      <c r="L105" s="15"/>
      <c r="M105" s="15"/>
      <c r="N105" s="15"/>
      <c r="O105" s="15"/>
      <c r="P105" s="69"/>
      <c r="Q105" s="15"/>
      <c r="R105" s="15"/>
      <c r="S105" s="15"/>
      <c r="T105" s="15"/>
      <c r="U105" s="15"/>
      <c r="V105" s="15"/>
      <c r="W105" s="15"/>
    </row>
    <row r="106" spans="2:23" ht="23.25" customHeight="1" x14ac:dyDescent="0.2">
      <c r="B106" s="49" t="s">
        <v>113</v>
      </c>
      <c r="C106" s="50">
        <v>1080</v>
      </c>
      <c r="D106" s="51">
        <f>D107</f>
        <v>20</v>
      </c>
      <c r="E106" s="52">
        <f t="shared" si="1"/>
        <v>40</v>
      </c>
      <c r="F106" s="54">
        <f>F107</f>
        <v>10</v>
      </c>
      <c r="G106" s="54">
        <f>G107</f>
        <v>10</v>
      </c>
      <c r="H106" s="54">
        <f>H107</f>
        <v>10</v>
      </c>
      <c r="I106" s="54">
        <f>I107</f>
        <v>10</v>
      </c>
      <c r="J106" s="15"/>
      <c r="K106" s="15"/>
      <c r="L106" s="15"/>
      <c r="M106" s="15"/>
      <c r="N106" s="15"/>
      <c r="O106" s="15"/>
      <c r="P106" s="69"/>
      <c r="Q106" s="15"/>
      <c r="R106" s="15"/>
      <c r="S106" s="15"/>
      <c r="T106" s="15"/>
      <c r="U106" s="15"/>
      <c r="V106" s="15"/>
      <c r="W106" s="15"/>
    </row>
    <row r="107" spans="2:23" ht="19.5" customHeight="1" x14ac:dyDescent="0.2">
      <c r="B107" s="5" t="s">
        <v>114</v>
      </c>
      <c r="C107" s="147" t="s">
        <v>115</v>
      </c>
      <c r="D107" s="6">
        <v>20</v>
      </c>
      <c r="E107" s="78">
        <f t="shared" si="1"/>
        <v>40</v>
      </c>
      <c r="F107" s="6">
        <v>10</v>
      </c>
      <c r="G107" s="6">
        <v>10</v>
      </c>
      <c r="H107" s="6">
        <v>10</v>
      </c>
      <c r="I107" s="6">
        <v>10</v>
      </c>
      <c r="J107" s="15"/>
      <c r="K107" s="15"/>
      <c r="L107" s="15"/>
      <c r="M107" s="15"/>
      <c r="N107" s="15"/>
      <c r="O107" s="15"/>
      <c r="P107" s="69"/>
      <c r="Q107" s="15"/>
      <c r="R107" s="15"/>
      <c r="S107" s="15"/>
      <c r="T107" s="15"/>
      <c r="U107" s="15"/>
      <c r="V107" s="15"/>
      <c r="W107" s="15"/>
    </row>
    <row r="108" spans="2:23" ht="19.5" customHeight="1" x14ac:dyDescent="0.2">
      <c r="B108" s="49" t="s">
        <v>116</v>
      </c>
      <c r="C108" s="50">
        <v>1090</v>
      </c>
      <c r="D108" s="51">
        <f>D74+D87+D97+D106</f>
        <v>105893.2</v>
      </c>
      <c r="E108" s="52">
        <f t="shared" si="1"/>
        <v>100960.19290000001</v>
      </c>
      <c r="F108" s="54">
        <f>F74+F87+F97+F106+0.1</f>
        <v>24638.982399999997</v>
      </c>
      <c r="G108" s="54">
        <f>G74+G87+G97+G106-0.1</f>
        <v>26590.151800000003</v>
      </c>
      <c r="H108" s="54">
        <f>H74+H87+H97+H106</f>
        <v>25022.913049999999</v>
      </c>
      <c r="I108" s="54">
        <f>I74+I87+I97+I106</f>
        <v>24708.145650000002</v>
      </c>
      <c r="J108" s="15"/>
      <c r="K108" s="15"/>
      <c r="L108" s="15"/>
      <c r="M108" s="15"/>
      <c r="N108" s="15"/>
      <c r="O108" s="15"/>
      <c r="P108" s="69"/>
      <c r="Q108" s="15"/>
      <c r="R108" s="15"/>
      <c r="S108" s="15"/>
      <c r="T108" s="15"/>
      <c r="U108" s="15"/>
      <c r="V108" s="15"/>
      <c r="W108" s="15"/>
    </row>
    <row r="109" spans="2:23" ht="19.5" customHeight="1" x14ac:dyDescent="0.2">
      <c r="B109" s="49" t="s">
        <v>117</v>
      </c>
      <c r="C109" s="50">
        <v>1100</v>
      </c>
      <c r="D109" s="51">
        <f t="shared" ref="D109:I109" si="10">D73-D108</f>
        <v>4499.4000000000087</v>
      </c>
      <c r="E109" s="52">
        <f>E73-E108-0.1</f>
        <v>20091.787099999994</v>
      </c>
      <c r="F109" s="54">
        <f t="shared" si="10"/>
        <v>1986.977600000002</v>
      </c>
      <c r="G109" s="55">
        <f t="shared" si="10"/>
        <v>7730.028199999997</v>
      </c>
      <c r="H109" s="55">
        <f t="shared" si="10"/>
        <v>10191.996950000004</v>
      </c>
      <c r="I109" s="54">
        <f t="shared" si="10"/>
        <v>182.86434999999983</v>
      </c>
      <c r="P109" s="95"/>
    </row>
    <row r="110" spans="2:23" ht="17.25" customHeight="1" x14ac:dyDescent="0.2">
      <c r="B110" s="157" t="s">
        <v>118</v>
      </c>
      <c r="C110" s="157"/>
      <c r="D110" s="149"/>
      <c r="E110" s="149"/>
      <c r="F110" s="157"/>
      <c r="G110" s="157"/>
      <c r="H110" s="157"/>
      <c r="I110" s="157"/>
      <c r="P110" s="67"/>
    </row>
    <row r="111" spans="2:23" ht="17.25" customHeight="1" x14ac:dyDescent="0.2">
      <c r="B111" s="49" t="s">
        <v>119</v>
      </c>
      <c r="C111" s="86">
        <v>2000</v>
      </c>
      <c r="D111" s="51">
        <f>D113+D117+D114</f>
        <v>18336.900000000001</v>
      </c>
      <c r="E111" s="52">
        <f>F111+G111+H111+I111</f>
        <v>26350</v>
      </c>
      <c r="F111" s="54">
        <f>SUM(F112:F117)</f>
        <v>2500</v>
      </c>
      <c r="G111" s="54">
        <f>SUM(G112:G117)</f>
        <v>10875</v>
      </c>
      <c r="H111" s="55">
        <f>SUM(H112:H117)</f>
        <v>10875</v>
      </c>
      <c r="I111" s="54">
        <f>SUM(I112:I117)</f>
        <v>2100</v>
      </c>
      <c r="P111" s="67"/>
    </row>
    <row r="112" spans="2:23" x14ac:dyDescent="0.2">
      <c r="B112" s="5" t="s">
        <v>120</v>
      </c>
      <c r="C112" s="3">
        <v>2010</v>
      </c>
      <c r="D112" s="6">
        <v>0</v>
      </c>
      <c r="E112" s="78">
        <f t="shared" ref="E112:E115" si="11">F112+G112+H112+I112</f>
        <v>0</v>
      </c>
      <c r="F112" s="6">
        <v>0</v>
      </c>
      <c r="G112" s="6">
        <v>0</v>
      </c>
      <c r="H112" s="6">
        <v>0</v>
      </c>
      <c r="I112" s="6">
        <v>0</v>
      </c>
      <c r="P112" s="67"/>
    </row>
    <row r="113" spans="2:20" x14ac:dyDescent="0.2">
      <c r="B113" s="5" t="s">
        <v>121</v>
      </c>
      <c r="C113" s="3">
        <v>2020</v>
      </c>
      <c r="D113" s="6">
        <v>8000</v>
      </c>
      <c r="E113" s="78">
        <f t="shared" si="11"/>
        <v>7000</v>
      </c>
      <c r="F113" s="6">
        <v>2000</v>
      </c>
      <c r="G113" s="6">
        <v>1700</v>
      </c>
      <c r="H113" s="6">
        <v>1700</v>
      </c>
      <c r="I113" s="6">
        <v>1600</v>
      </c>
      <c r="P113" s="67"/>
    </row>
    <row r="114" spans="2:20" ht="37.5" x14ac:dyDescent="0.2">
      <c r="B114" s="5" t="s">
        <v>122</v>
      </c>
      <c r="C114" s="3">
        <v>2030</v>
      </c>
      <c r="D114" s="6">
        <v>2100</v>
      </c>
      <c r="E114" s="78">
        <f>F114+G114+H114+I114</f>
        <v>2000</v>
      </c>
      <c r="F114" s="6">
        <v>500</v>
      </c>
      <c r="G114" s="6">
        <v>500</v>
      </c>
      <c r="H114" s="6">
        <v>500</v>
      </c>
      <c r="I114" s="6">
        <v>500</v>
      </c>
      <c r="P114" s="67"/>
    </row>
    <row r="115" spans="2:20" x14ac:dyDescent="0.2">
      <c r="B115" s="5" t="s">
        <v>123</v>
      </c>
      <c r="C115" s="3">
        <v>2040</v>
      </c>
      <c r="D115" s="6">
        <v>0</v>
      </c>
      <c r="E115" s="78">
        <f t="shared" si="11"/>
        <v>0</v>
      </c>
      <c r="F115" s="6">
        <v>0</v>
      </c>
      <c r="G115" s="6">
        <v>0</v>
      </c>
      <c r="H115" s="6">
        <v>0</v>
      </c>
      <c r="I115" s="6">
        <v>0</v>
      </c>
      <c r="P115" s="67"/>
    </row>
    <row r="116" spans="2:20" ht="37.5" x14ac:dyDescent="0.2">
      <c r="B116" s="5" t="s">
        <v>124</v>
      </c>
      <c r="C116" s="3">
        <v>2050</v>
      </c>
      <c r="D116" s="6">
        <v>0</v>
      </c>
      <c r="E116" s="78">
        <v>0</v>
      </c>
      <c r="F116" s="6">
        <v>0</v>
      </c>
      <c r="G116" s="6">
        <v>0</v>
      </c>
      <c r="H116" s="6">
        <v>0</v>
      </c>
      <c r="I116" s="6">
        <v>0</v>
      </c>
      <c r="P116" s="67"/>
    </row>
    <row r="117" spans="2:20" x14ac:dyDescent="0.2">
      <c r="B117" s="5" t="s">
        <v>125</v>
      </c>
      <c r="C117" s="3">
        <v>2060</v>
      </c>
      <c r="D117" s="6">
        <v>8236.9</v>
      </c>
      <c r="E117" s="6">
        <f>F117+G117+H117+I117</f>
        <v>17350</v>
      </c>
      <c r="F117" s="6">
        <v>0</v>
      </c>
      <c r="G117" s="6">
        <v>8675</v>
      </c>
      <c r="H117" s="6">
        <v>8675</v>
      </c>
      <c r="I117" s="8">
        <v>0</v>
      </c>
      <c r="P117" s="67"/>
    </row>
    <row r="118" spans="2:20" x14ac:dyDescent="0.2">
      <c r="B118" s="5" t="s">
        <v>126</v>
      </c>
      <c r="C118" s="3">
        <v>2100</v>
      </c>
      <c r="D118" s="6">
        <v>108337.7</v>
      </c>
      <c r="E118" s="6">
        <f>I118</f>
        <v>106337.7</v>
      </c>
      <c r="F118" s="6">
        <v>105937.7</v>
      </c>
      <c r="G118" s="6">
        <v>107537.7</v>
      </c>
      <c r="H118" s="6">
        <v>108337.7</v>
      </c>
      <c r="I118" s="6">
        <v>106337.7</v>
      </c>
      <c r="P118" s="67"/>
      <c r="Q118" s="71"/>
      <c r="R118" s="71"/>
      <c r="S118" s="71"/>
      <c r="T118" s="71"/>
    </row>
    <row r="119" spans="2:20" x14ac:dyDescent="0.2">
      <c r="B119" s="5" t="s">
        <v>127</v>
      </c>
      <c r="C119" s="3">
        <v>2200</v>
      </c>
      <c r="D119" s="6">
        <v>34993.1</v>
      </c>
      <c r="E119" s="6">
        <f>I119</f>
        <v>36235</v>
      </c>
      <c r="F119" s="6">
        <v>35235</v>
      </c>
      <c r="G119" s="6">
        <v>37235</v>
      </c>
      <c r="H119" s="6">
        <v>38235</v>
      </c>
      <c r="I119" s="6">
        <v>36235</v>
      </c>
      <c r="P119" s="67"/>
    </row>
    <row r="120" spans="2:20" ht="17.25" customHeight="1" x14ac:dyDescent="0.2">
      <c r="B120" s="148" t="s">
        <v>128</v>
      </c>
      <c r="C120" s="148"/>
      <c r="D120" s="149"/>
      <c r="E120" s="149"/>
      <c r="F120" s="148"/>
      <c r="G120" s="148"/>
      <c r="H120" s="148"/>
      <c r="I120" s="148"/>
      <c r="P120" s="67"/>
    </row>
    <row r="121" spans="2:20" ht="56.25" x14ac:dyDescent="0.2">
      <c r="B121" s="87" t="s">
        <v>129</v>
      </c>
      <c r="C121" s="3">
        <v>3010</v>
      </c>
      <c r="D121" s="88">
        <f t="shared" ref="D121:I121" si="12">(D59/D73)</f>
        <v>7.463724923590892E-2</v>
      </c>
      <c r="E121" s="89">
        <f t="shared" si="12"/>
        <v>0.19818164214939551</v>
      </c>
      <c r="F121" s="88">
        <f t="shared" si="12"/>
        <v>6.2347798915043814E-2</v>
      </c>
      <c r="G121" s="88">
        <f t="shared" si="12"/>
        <v>0.30113682387446683</v>
      </c>
      <c r="H121" s="88">
        <f t="shared" si="12"/>
        <v>0.29348562867262756</v>
      </c>
      <c r="I121" s="88">
        <f t="shared" si="12"/>
        <v>6.6693557232109096E-2</v>
      </c>
      <c r="P121" s="96"/>
    </row>
    <row r="122" spans="2:20" ht="37.5" x14ac:dyDescent="0.2">
      <c r="B122" s="5" t="s">
        <v>130</v>
      </c>
      <c r="C122" s="3">
        <v>3020</v>
      </c>
      <c r="D122" s="88">
        <f t="shared" ref="D122:I122" si="13">((D81)/D108)</f>
        <v>5.6130138668016458E-2</v>
      </c>
      <c r="E122" s="89">
        <f t="shared" si="13"/>
        <v>4.2591043821193011E-2</v>
      </c>
      <c r="F122" s="88">
        <f t="shared" si="13"/>
        <v>4.8703310084754155E-2</v>
      </c>
      <c r="G122" s="88">
        <f t="shared" si="13"/>
        <v>3.7607908654361269E-2</v>
      </c>
      <c r="H122" s="88">
        <f t="shared" si="13"/>
        <v>3.9963372689735661E-2</v>
      </c>
      <c r="I122" s="88">
        <f t="shared" si="13"/>
        <v>4.4519731087144528E-2</v>
      </c>
      <c r="P122" s="96"/>
    </row>
    <row r="123" spans="2:20" ht="37.5" x14ac:dyDescent="0.2">
      <c r="B123" s="5" t="s">
        <v>131</v>
      </c>
      <c r="C123" s="3">
        <v>3030</v>
      </c>
      <c r="D123" s="88">
        <f t="shared" ref="D123:I123" si="14">(D111/D108)</f>
        <v>0.17316409363396329</v>
      </c>
      <c r="E123" s="89">
        <f t="shared" si="14"/>
        <v>0.260993954578706</v>
      </c>
      <c r="F123" s="88">
        <f t="shared" si="14"/>
        <v>0.10146522934323782</v>
      </c>
      <c r="G123" s="88">
        <f t="shared" si="14"/>
        <v>0.40898600661617879</v>
      </c>
      <c r="H123" s="88">
        <f t="shared" si="14"/>
        <v>0.43460167800087529</v>
      </c>
      <c r="I123" s="88">
        <f t="shared" si="14"/>
        <v>8.4992213893639562E-2</v>
      </c>
      <c r="P123" s="96"/>
      <c r="Q123" s="71"/>
    </row>
    <row r="124" spans="2:20" ht="37.5" x14ac:dyDescent="0.2">
      <c r="B124" s="5" t="s">
        <v>132</v>
      </c>
      <c r="C124" s="3">
        <v>3040</v>
      </c>
      <c r="D124" s="88">
        <v>0.64100000000000001</v>
      </c>
      <c r="E124" s="89">
        <f>(E146/E108)</f>
        <v>0.67227083220044026</v>
      </c>
      <c r="F124" s="88">
        <f t="shared" ref="F124:I124" si="15">(F146/F108)</f>
        <v>0.67083462018301532</v>
      </c>
      <c r="G124" s="88">
        <f t="shared" si="15"/>
        <v>0.68681637988994093</v>
      </c>
      <c r="H124" s="88">
        <f t="shared" si="15"/>
        <v>0.66764061468854452</v>
      </c>
      <c r="I124" s="88">
        <f t="shared" si="15"/>
        <v>0.66273875352519618</v>
      </c>
      <c r="P124" s="96"/>
    </row>
    <row r="125" spans="2:20" x14ac:dyDescent="0.2">
      <c r="B125" s="87" t="s">
        <v>133</v>
      </c>
      <c r="C125" s="3">
        <v>3050</v>
      </c>
      <c r="D125" s="4">
        <f t="shared" ref="D125:I125" si="16">D119/D118</f>
        <v>0.3230002113760953</v>
      </c>
      <c r="E125" s="90">
        <f t="shared" si="16"/>
        <v>0.34075403173098534</v>
      </c>
      <c r="F125" s="4">
        <f t="shared" si="16"/>
        <v>0.33260114199194435</v>
      </c>
      <c r="G125" s="4">
        <f t="shared" si="16"/>
        <v>0.34625066372072305</v>
      </c>
      <c r="H125" s="4">
        <f t="shared" si="16"/>
        <v>0.35292423597694988</v>
      </c>
      <c r="I125" s="4">
        <f t="shared" si="16"/>
        <v>0.34075403173098534</v>
      </c>
      <c r="P125" s="97"/>
    </row>
    <row r="126" spans="2:20" ht="37.5" x14ac:dyDescent="0.2">
      <c r="B126" s="87" t="s">
        <v>134</v>
      </c>
      <c r="C126" s="3">
        <v>3060</v>
      </c>
      <c r="D126" s="4">
        <f t="shared" ref="D126:I126" si="17">(D113+D114)/D111</f>
        <v>0.55080193489630191</v>
      </c>
      <c r="E126" s="90">
        <f t="shared" si="17"/>
        <v>0.34155597722960152</v>
      </c>
      <c r="F126" s="4">
        <f t="shared" si="17"/>
        <v>1</v>
      </c>
      <c r="G126" s="4">
        <f t="shared" si="17"/>
        <v>0.20229885057471264</v>
      </c>
      <c r="H126" s="4">
        <f t="shared" si="17"/>
        <v>0.20229885057471264</v>
      </c>
      <c r="I126" s="4">
        <f t="shared" si="17"/>
        <v>1</v>
      </c>
      <c r="P126" s="97"/>
    </row>
    <row r="127" spans="2:20" x14ac:dyDescent="0.2">
      <c r="B127" s="150" t="s">
        <v>135</v>
      </c>
      <c r="C127" s="150"/>
      <c r="D127" s="151"/>
      <c r="E127" s="151"/>
      <c r="F127" s="150"/>
      <c r="G127" s="150"/>
      <c r="H127" s="150"/>
      <c r="I127" s="150"/>
      <c r="P127" s="67"/>
    </row>
    <row r="128" spans="2:20" x14ac:dyDescent="0.2">
      <c r="B128" s="91" t="s">
        <v>136</v>
      </c>
      <c r="C128" s="86">
        <v>4010</v>
      </c>
      <c r="D128" s="51">
        <v>106169.60000000001</v>
      </c>
      <c r="E128" s="51">
        <f>I128</f>
        <v>110452</v>
      </c>
      <c r="F128" s="54">
        <v>96288</v>
      </c>
      <c r="G128" s="54">
        <f>100452+4161+1015</f>
        <v>105628</v>
      </c>
      <c r="H128" s="54">
        <f>105628+541.6</f>
        <v>106169.60000000001</v>
      </c>
      <c r="I128" s="54">
        <v>110452</v>
      </c>
      <c r="P128" s="67"/>
    </row>
    <row r="129" spans="2:20" x14ac:dyDescent="0.2">
      <c r="B129" s="87" t="s">
        <v>137</v>
      </c>
      <c r="C129" s="3">
        <v>4020</v>
      </c>
      <c r="D129" s="6">
        <v>27411.200000000001</v>
      </c>
      <c r="E129" s="6">
        <f>I129</f>
        <v>28500</v>
      </c>
      <c r="F129" s="6">
        <v>27411</v>
      </c>
      <c r="G129" s="6">
        <v>27680</v>
      </c>
      <c r="H129" s="6">
        <v>28128.3</v>
      </c>
      <c r="I129" s="6">
        <v>28500</v>
      </c>
      <c r="P129" s="67"/>
    </row>
    <row r="130" spans="2:20" x14ac:dyDescent="0.2">
      <c r="B130" s="87" t="s">
        <v>138</v>
      </c>
      <c r="C130" s="3">
        <v>4021</v>
      </c>
      <c r="D130" s="6">
        <v>11444.2</v>
      </c>
      <c r="E130" s="6">
        <f>I130</f>
        <v>10923.22</v>
      </c>
      <c r="F130" s="6">
        <v>9570.2999999999993</v>
      </c>
      <c r="G130" s="6">
        <v>11386.5</v>
      </c>
      <c r="H130" s="6">
        <v>10235.299999999999</v>
      </c>
      <c r="I130" s="6">
        <v>10923.22</v>
      </c>
      <c r="P130" s="67"/>
    </row>
    <row r="131" spans="2:20" x14ac:dyDescent="0.2">
      <c r="B131" s="99" t="s">
        <v>139</v>
      </c>
      <c r="C131" s="100">
        <v>4030</v>
      </c>
      <c r="D131" s="79">
        <v>133580.79999999999</v>
      </c>
      <c r="E131" s="79">
        <f>E128+E129</f>
        <v>138952</v>
      </c>
      <c r="F131" s="80">
        <f>F128+F129</f>
        <v>123699</v>
      </c>
      <c r="G131" s="80">
        <f>G128+G129</f>
        <v>133308</v>
      </c>
      <c r="H131" s="80">
        <f>H128+H129</f>
        <v>134297.9</v>
      </c>
      <c r="I131" s="80">
        <f t="shared" ref="I131:O131" si="18">I128+I129</f>
        <v>138952</v>
      </c>
      <c r="J131" s="132">
        <f t="shared" si="18"/>
        <v>0</v>
      </c>
      <c r="K131" s="132">
        <f t="shared" si="18"/>
        <v>0</v>
      </c>
      <c r="L131" s="132">
        <f t="shared" si="18"/>
        <v>0</v>
      </c>
      <c r="M131" s="132">
        <f t="shared" si="18"/>
        <v>0</v>
      </c>
      <c r="N131" s="132">
        <f t="shared" si="18"/>
        <v>0</v>
      </c>
      <c r="O131" s="133">
        <f t="shared" si="18"/>
        <v>0</v>
      </c>
      <c r="P131" s="67"/>
    </row>
    <row r="132" spans="2:20" x14ac:dyDescent="0.2">
      <c r="B132" s="87" t="s">
        <v>140</v>
      </c>
      <c r="C132" s="3">
        <v>4040</v>
      </c>
      <c r="D132" s="6">
        <v>27129.9</v>
      </c>
      <c r="E132" s="6">
        <f>I132</f>
        <v>27129.9</v>
      </c>
      <c r="F132" s="6">
        <v>27129.9</v>
      </c>
      <c r="G132" s="6">
        <v>27129.9</v>
      </c>
      <c r="H132" s="6">
        <v>27129.9</v>
      </c>
      <c r="I132" s="6">
        <v>27129.9</v>
      </c>
      <c r="P132" s="67"/>
    </row>
    <row r="133" spans="2:20" x14ac:dyDescent="0.3">
      <c r="B133" s="87" t="s">
        <v>141</v>
      </c>
      <c r="C133" s="3">
        <v>4050</v>
      </c>
      <c r="D133" s="6">
        <v>21330.5</v>
      </c>
      <c r="E133" s="6">
        <f>I133</f>
        <v>35646.300000000003</v>
      </c>
      <c r="F133" s="6">
        <v>42028.5</v>
      </c>
      <c r="G133" s="6">
        <v>42028.5</v>
      </c>
      <c r="H133" s="6">
        <v>30540.5</v>
      </c>
      <c r="I133" s="134">
        <v>35646.300000000003</v>
      </c>
      <c r="P133" s="67"/>
    </row>
    <row r="134" spans="2:20" ht="37.5" x14ac:dyDescent="0.2">
      <c r="B134" s="91" t="s">
        <v>142</v>
      </c>
      <c r="C134" s="86">
        <v>4060</v>
      </c>
      <c r="D134" s="51">
        <v>48460.4</v>
      </c>
      <c r="E134" s="52">
        <f>I134</f>
        <v>62776.200000000004</v>
      </c>
      <c r="F134" s="54">
        <f>F132+F133</f>
        <v>69158.399999999994</v>
      </c>
      <c r="G134" s="55">
        <f>G132+G133</f>
        <v>69158.399999999994</v>
      </c>
      <c r="H134" s="55">
        <f>H132+H133</f>
        <v>57670.400000000001</v>
      </c>
      <c r="I134" s="55">
        <f>I132+I133</f>
        <v>62776.200000000004</v>
      </c>
      <c r="P134" s="67"/>
    </row>
    <row r="135" spans="2:20" x14ac:dyDescent="0.2">
      <c r="B135" s="87" t="s">
        <v>143</v>
      </c>
      <c r="C135" s="3">
        <v>4070</v>
      </c>
      <c r="D135" s="6">
        <v>0</v>
      </c>
      <c r="E135" s="6">
        <f t="shared" ref="E135:E136" si="19">F135+G135+H135+I135</f>
        <v>0</v>
      </c>
      <c r="F135" s="6">
        <v>0</v>
      </c>
      <c r="G135" s="6">
        <v>0</v>
      </c>
      <c r="H135" s="6">
        <v>0</v>
      </c>
      <c r="I135" s="6">
        <v>0</v>
      </c>
      <c r="P135" s="67"/>
    </row>
    <row r="136" spans="2:20" x14ac:dyDescent="0.2">
      <c r="B136" s="87" t="s">
        <v>144</v>
      </c>
      <c r="C136" s="3">
        <v>4080</v>
      </c>
      <c r="D136" s="6">
        <v>0</v>
      </c>
      <c r="E136" s="6">
        <f t="shared" si="19"/>
        <v>0</v>
      </c>
      <c r="F136" s="6">
        <v>0</v>
      </c>
      <c r="G136" s="6">
        <v>0</v>
      </c>
      <c r="H136" s="6">
        <v>0</v>
      </c>
      <c r="I136" s="6">
        <v>0</v>
      </c>
      <c r="P136" s="67"/>
    </row>
    <row r="137" spans="2:20" x14ac:dyDescent="0.2">
      <c r="B137" s="91" t="s">
        <v>145</v>
      </c>
      <c r="C137" s="86">
        <v>4090</v>
      </c>
      <c r="D137" s="51">
        <f t="shared" ref="D137:I137" si="20">D131-D134</f>
        <v>85120.4</v>
      </c>
      <c r="E137" s="52">
        <f t="shared" si="20"/>
        <v>76175.799999999988</v>
      </c>
      <c r="F137" s="54">
        <f t="shared" si="20"/>
        <v>54540.600000000006</v>
      </c>
      <c r="G137" s="55">
        <f t="shared" si="20"/>
        <v>64149.600000000006</v>
      </c>
      <c r="H137" s="55">
        <f t="shared" si="20"/>
        <v>76627.5</v>
      </c>
      <c r="I137" s="54">
        <f t="shared" si="20"/>
        <v>76175.799999999988</v>
      </c>
      <c r="P137" s="67"/>
    </row>
    <row r="138" spans="2:20" ht="18" customHeight="1" x14ac:dyDescent="0.2">
      <c r="B138" s="148" t="s">
        <v>146</v>
      </c>
      <c r="C138" s="148"/>
      <c r="D138" s="149"/>
      <c r="E138" s="149"/>
      <c r="F138" s="148"/>
      <c r="G138" s="148"/>
      <c r="H138" s="148"/>
      <c r="I138" s="148"/>
      <c r="J138" s="135">
        <f>SUM(J139:J143)</f>
        <v>236</v>
      </c>
      <c r="P138" s="67"/>
    </row>
    <row r="139" spans="2:20" ht="37.5" customHeight="1" x14ac:dyDescent="0.2">
      <c r="B139" s="49" t="s">
        <v>147</v>
      </c>
      <c r="C139" s="50">
        <v>5000</v>
      </c>
      <c r="D139" s="101">
        <v>224</v>
      </c>
      <c r="E139" s="102">
        <f>SUM(E140:E145)</f>
        <v>224</v>
      </c>
      <c r="F139" s="103">
        <f>SUM(F140:F145)</f>
        <v>224</v>
      </c>
      <c r="G139" s="103">
        <f>SUM(G140:G145)</f>
        <v>224</v>
      </c>
      <c r="H139" s="103">
        <f t="shared" ref="H139:I139" si="21">SUM(H140:H145)</f>
        <v>224</v>
      </c>
      <c r="I139" s="103">
        <f t="shared" si="21"/>
        <v>224</v>
      </c>
      <c r="J139" s="136">
        <v>84</v>
      </c>
      <c r="P139" s="67"/>
    </row>
    <row r="140" spans="2:20" x14ac:dyDescent="0.2">
      <c r="B140" s="5" t="s">
        <v>148</v>
      </c>
      <c r="C140" s="57">
        <v>5010</v>
      </c>
      <c r="D140" s="104">
        <v>1</v>
      </c>
      <c r="E140" s="105">
        <v>1</v>
      </c>
      <c r="F140" s="105">
        <v>1</v>
      </c>
      <c r="G140" s="105">
        <v>1</v>
      </c>
      <c r="H140" s="105">
        <v>1</v>
      </c>
      <c r="I140" s="105">
        <v>1</v>
      </c>
      <c r="J140" s="136">
        <v>108</v>
      </c>
      <c r="P140" s="67"/>
    </row>
    <row r="141" spans="2:20" x14ac:dyDescent="0.2">
      <c r="B141" s="5" t="s">
        <v>149</v>
      </c>
      <c r="C141" s="57">
        <v>5020</v>
      </c>
      <c r="D141" s="104">
        <v>23</v>
      </c>
      <c r="E141" s="105">
        <v>23</v>
      </c>
      <c r="F141" s="105">
        <v>23</v>
      </c>
      <c r="G141" s="105">
        <v>23</v>
      </c>
      <c r="H141" s="105">
        <v>23</v>
      </c>
      <c r="I141" s="105">
        <v>23</v>
      </c>
      <c r="J141" s="136">
        <v>9</v>
      </c>
      <c r="P141" s="67"/>
    </row>
    <row r="142" spans="2:20" x14ac:dyDescent="0.2">
      <c r="B142" s="5" t="s">
        <v>150</v>
      </c>
      <c r="C142" s="57">
        <v>5030</v>
      </c>
      <c r="D142" s="104">
        <v>41</v>
      </c>
      <c r="E142" s="105">
        <f t="shared" ref="E142:E145" si="22">(F142+G142+H142+I142)/4</f>
        <v>41</v>
      </c>
      <c r="F142" s="105">
        <v>41</v>
      </c>
      <c r="G142" s="105">
        <v>41</v>
      </c>
      <c r="H142" s="105">
        <v>41</v>
      </c>
      <c r="I142" s="105">
        <v>41</v>
      </c>
      <c r="J142" s="137">
        <v>35</v>
      </c>
      <c r="P142" s="67"/>
    </row>
    <row r="143" spans="2:20" ht="37.5" x14ac:dyDescent="0.2">
      <c r="B143" s="5" t="s">
        <v>151</v>
      </c>
      <c r="C143" s="57">
        <v>5040</v>
      </c>
      <c r="D143" s="104">
        <v>92</v>
      </c>
      <c r="E143" s="105">
        <f t="shared" si="22"/>
        <v>92</v>
      </c>
      <c r="F143" s="105">
        <v>92</v>
      </c>
      <c r="G143" s="105">
        <v>92</v>
      </c>
      <c r="H143" s="105">
        <v>92</v>
      </c>
      <c r="I143" s="105">
        <v>92</v>
      </c>
      <c r="P143" s="67"/>
      <c r="Q143" s="71"/>
      <c r="R143" s="71"/>
      <c r="S143" s="71"/>
      <c r="T143" s="71"/>
    </row>
    <row r="144" spans="2:20" x14ac:dyDescent="0.2">
      <c r="B144" s="5" t="s">
        <v>152</v>
      </c>
      <c r="C144" s="57">
        <v>5050</v>
      </c>
      <c r="D144" s="104">
        <v>38</v>
      </c>
      <c r="E144" s="105">
        <f t="shared" si="22"/>
        <v>38</v>
      </c>
      <c r="F144" s="105">
        <v>38</v>
      </c>
      <c r="G144" s="105">
        <v>38</v>
      </c>
      <c r="H144" s="105">
        <v>38</v>
      </c>
      <c r="I144" s="105">
        <v>38</v>
      </c>
      <c r="P144" s="67"/>
      <c r="Q144" s="142">
        <v>63165.3</v>
      </c>
      <c r="R144" s="71"/>
      <c r="S144" s="71"/>
      <c r="T144" s="71"/>
    </row>
    <row r="145" spans="2:30" x14ac:dyDescent="0.2">
      <c r="B145" s="5" t="s">
        <v>153</v>
      </c>
      <c r="C145" s="57">
        <v>5060</v>
      </c>
      <c r="D145" s="104">
        <v>29</v>
      </c>
      <c r="E145" s="105">
        <f t="shared" si="22"/>
        <v>29</v>
      </c>
      <c r="F145" s="105">
        <v>29</v>
      </c>
      <c r="G145" s="105">
        <v>29</v>
      </c>
      <c r="H145" s="105">
        <v>29</v>
      </c>
      <c r="I145" s="105">
        <v>29</v>
      </c>
      <c r="P145" s="67"/>
      <c r="Q145" s="71"/>
      <c r="R145" s="71"/>
      <c r="S145" s="71"/>
      <c r="T145" s="71"/>
    </row>
    <row r="146" spans="2:30" x14ac:dyDescent="0.2">
      <c r="B146" s="49" t="s">
        <v>154</v>
      </c>
      <c r="C146" s="50">
        <v>5100</v>
      </c>
      <c r="D146" s="52">
        <f>D147+D148+D149+D150+D151+D152</f>
        <v>67872.600000000006</v>
      </c>
      <c r="E146" s="51">
        <f>F146+G146+H146+I146</f>
        <v>67872.592899999989</v>
      </c>
      <c r="F146" s="54">
        <f>SUM(F147:F152)</f>
        <v>16528.682399999998</v>
      </c>
      <c r="G146" s="54">
        <f>SUM(G147:G152)</f>
        <v>18262.551799999997</v>
      </c>
      <c r="H146" s="54">
        <f>SUM(H147:H152)</f>
        <v>16706.313050000001</v>
      </c>
      <c r="I146" s="54">
        <f>SUM(I147:I152)</f>
        <v>16375.04565</v>
      </c>
      <c r="J146" s="71" t="e">
        <f>#REF!+#REF!+G103+#REF!+G92</f>
        <v>#REF!</v>
      </c>
      <c r="L146" s="71">
        <v>20781.599999999999</v>
      </c>
      <c r="M146" s="71">
        <f>L146-G146</f>
        <v>2519.0482000000011</v>
      </c>
      <c r="N146" s="12">
        <v>106.1</v>
      </c>
      <c r="P146" s="67"/>
      <c r="Q146" s="71">
        <f>E89+E88+E99+E75+E76</f>
        <v>67872.492899999997</v>
      </c>
      <c r="R146" s="71"/>
      <c r="S146" s="71"/>
      <c r="T146" s="71"/>
      <c r="W146" s="71"/>
      <c r="X146" s="71"/>
      <c r="Y146" s="71"/>
      <c r="Z146" s="71"/>
      <c r="AA146" s="71"/>
    </row>
    <row r="147" spans="2:30" x14ac:dyDescent="0.2">
      <c r="B147" s="5" t="s">
        <v>148</v>
      </c>
      <c r="C147" s="57">
        <v>5110</v>
      </c>
      <c r="D147" s="7">
        <v>4485</v>
      </c>
      <c r="E147" s="6">
        <f>F147+G147+H147+I147</f>
        <v>1303.4000000000001</v>
      </c>
      <c r="F147" s="58">
        <v>325.85000000000002</v>
      </c>
      <c r="G147" s="58">
        <v>325.85000000000002</v>
      </c>
      <c r="H147" s="58">
        <v>325.85000000000002</v>
      </c>
      <c r="I147" s="58">
        <v>325.85000000000002</v>
      </c>
      <c r="P147" s="67"/>
      <c r="Q147" s="71"/>
      <c r="R147" s="71"/>
      <c r="S147" s="71"/>
      <c r="T147" s="71"/>
    </row>
    <row r="148" spans="2:30" x14ac:dyDescent="0.2">
      <c r="B148" s="5" t="s">
        <v>149</v>
      </c>
      <c r="C148" s="57">
        <v>5120</v>
      </c>
      <c r="D148" s="7">
        <v>8228.2000000000007</v>
      </c>
      <c r="E148" s="6">
        <f>F148+G148+H148+I148</f>
        <v>11409.6818</v>
      </c>
      <c r="F148" s="58">
        <f>F155+(F155*21.7%)+9.4+3.6</f>
        <v>2589.6324</v>
      </c>
      <c r="G148" s="58">
        <f>G155+(G155*21.7%)+3.72</f>
        <v>2944.6005</v>
      </c>
      <c r="H148" s="58">
        <f>H155+(H155*21.7%)+3.72</f>
        <v>3123.1343999999995</v>
      </c>
      <c r="I148" s="58">
        <f>I155+(I155*21.7%)+3.72</f>
        <v>2752.3145</v>
      </c>
      <c r="P148" s="67"/>
      <c r="Q148" s="71">
        <f>G99+G89+G88+G75+G76</f>
        <v>18331.8518</v>
      </c>
      <c r="R148" s="71">
        <f>Q148-G146</f>
        <v>69.30000000000291</v>
      </c>
      <c r="S148" s="71"/>
      <c r="T148" s="71"/>
    </row>
    <row r="149" spans="2:30" x14ac:dyDescent="0.2">
      <c r="B149" s="5" t="s">
        <v>150</v>
      </c>
      <c r="C149" s="57">
        <v>5130</v>
      </c>
      <c r="D149" s="7">
        <v>21033.200000000001</v>
      </c>
      <c r="E149" s="6">
        <f>F149+G149+H149+I149</f>
        <v>21033.2071</v>
      </c>
      <c r="F149" s="58">
        <v>5423.6</v>
      </c>
      <c r="G149" s="58">
        <f t="shared" ref="G149:I152" si="23">G156+(G156*21.7%)</f>
        <v>5314.1522000000004</v>
      </c>
      <c r="H149" s="58">
        <f t="shared" si="23"/>
        <v>5173.5887000000002</v>
      </c>
      <c r="I149" s="58">
        <f t="shared" si="23"/>
        <v>5121.8662000000004</v>
      </c>
      <c r="P149" s="67"/>
      <c r="Q149" s="71"/>
      <c r="X149" s="71"/>
      <c r="Y149" s="71"/>
      <c r="Z149" s="71"/>
      <c r="AA149" s="71"/>
    </row>
    <row r="150" spans="2:30" ht="38.25" customHeight="1" x14ac:dyDescent="0.2">
      <c r="B150" s="5" t="s">
        <v>151</v>
      </c>
      <c r="C150" s="57">
        <v>5140</v>
      </c>
      <c r="D150" s="7">
        <v>22162.400000000001</v>
      </c>
      <c r="E150" s="6">
        <f t="shared" ref="E150:E157" si="24">F150+G150+H150+I150</f>
        <v>22162.366500000004</v>
      </c>
      <c r="F150" s="58">
        <v>5885.6</v>
      </c>
      <c r="G150" s="58">
        <f t="shared" si="23"/>
        <v>6259.3960999999999</v>
      </c>
      <c r="H150" s="58">
        <f t="shared" si="23"/>
        <v>4993.4727000000003</v>
      </c>
      <c r="I150" s="58">
        <f t="shared" si="23"/>
        <v>5023.8977000000004</v>
      </c>
      <c r="P150" s="67"/>
      <c r="Q150" s="71">
        <f>H99+H89+H88+H76+H75</f>
        <v>16784.61305</v>
      </c>
      <c r="R150" s="71">
        <f>H146-Q150</f>
        <v>-78.299999999999272</v>
      </c>
      <c r="S150" s="71">
        <f>Q153+Q150+Q148+F146</f>
        <v>68080.892900000006</v>
      </c>
    </row>
    <row r="151" spans="2:30" x14ac:dyDescent="0.2">
      <c r="B151" s="5" t="s">
        <v>152</v>
      </c>
      <c r="C151" s="57">
        <v>5150</v>
      </c>
      <c r="D151" s="7">
        <v>5810.5</v>
      </c>
      <c r="E151" s="6">
        <f>F151+G151+H151+I151</f>
        <v>5810.6062000000002</v>
      </c>
      <c r="F151" s="58">
        <v>1272.9000000000001</v>
      </c>
      <c r="G151" s="58">
        <f t="shared" si="23"/>
        <v>1664.3691999999999</v>
      </c>
      <c r="H151" s="58">
        <f t="shared" si="23"/>
        <v>1421.4559999999999</v>
      </c>
      <c r="I151" s="58">
        <f t="shared" si="23"/>
        <v>1451.8809999999999</v>
      </c>
      <c r="P151" s="67"/>
      <c r="S151" s="71"/>
      <c r="W151" s="71"/>
    </row>
    <row r="152" spans="2:30" x14ac:dyDescent="0.2">
      <c r="B152" s="5" t="s">
        <v>153</v>
      </c>
      <c r="C152" s="57">
        <v>5160</v>
      </c>
      <c r="D152" s="7">
        <v>6153.3</v>
      </c>
      <c r="E152" s="6">
        <f t="shared" si="24"/>
        <v>6153.3312999999998</v>
      </c>
      <c r="F152" s="58">
        <v>1031.0999999999999</v>
      </c>
      <c r="G152" s="58">
        <f t="shared" si="23"/>
        <v>1754.1838000000002</v>
      </c>
      <c r="H152" s="58">
        <f t="shared" si="23"/>
        <v>1668.81125</v>
      </c>
      <c r="I152" s="58">
        <f t="shared" si="23"/>
        <v>1699.2362499999999</v>
      </c>
      <c r="P152" s="67"/>
      <c r="U152" s="12" t="s">
        <v>155</v>
      </c>
    </row>
    <row r="153" spans="2:30" ht="37.5" x14ac:dyDescent="0.2">
      <c r="B153" s="49" t="s">
        <v>156</v>
      </c>
      <c r="C153" s="50">
        <v>5200</v>
      </c>
      <c r="D153" s="51">
        <f>SUM(D154:D159)</f>
        <v>55748.7</v>
      </c>
      <c r="E153" s="51">
        <f t="shared" si="24"/>
        <v>55748.700000000004</v>
      </c>
      <c r="F153" s="54">
        <f>SUM(F154:F159)</f>
        <v>13570.900000000001</v>
      </c>
      <c r="G153" s="54">
        <f>SUM(G154:G159)</f>
        <v>15002.5</v>
      </c>
      <c r="H153" s="54">
        <f>SUM(H154:H159)</f>
        <v>13723.75</v>
      </c>
      <c r="I153" s="54">
        <f>SUM(I154:I159)</f>
        <v>13451.550000000001</v>
      </c>
      <c r="J153" s="71" t="e">
        <f>#REF!+G92+G103-71.14082</f>
        <v>#REF!</v>
      </c>
      <c r="P153" s="67"/>
      <c r="Q153" s="71">
        <f>I99+I89+I88+I76+I75</f>
        <v>16435.745650000001</v>
      </c>
      <c r="S153" s="143">
        <f>SUM(S154:S159)</f>
        <v>28581.7</v>
      </c>
      <c r="T153" s="71">
        <f>S153-F153</f>
        <v>15010.8</v>
      </c>
      <c r="U153" s="71">
        <f>T153*1.22</f>
        <v>18313.175999999999</v>
      </c>
      <c r="W153" s="71"/>
      <c r="Z153" s="71"/>
      <c r="AA153" s="71"/>
      <c r="AB153" s="71"/>
      <c r="AC153" s="71"/>
      <c r="AD153" s="71"/>
    </row>
    <row r="154" spans="2:30" x14ac:dyDescent="0.2">
      <c r="B154" s="5" t="s">
        <v>148</v>
      </c>
      <c r="C154" s="57">
        <v>5210</v>
      </c>
      <c r="D154" s="7">
        <v>3677.6</v>
      </c>
      <c r="E154" s="6">
        <f t="shared" si="24"/>
        <v>1068.4000000000001</v>
      </c>
      <c r="F154" s="58">
        <v>267.10000000000002</v>
      </c>
      <c r="G154" s="58">
        <v>267.10000000000002</v>
      </c>
      <c r="H154" s="58">
        <v>267.10000000000002</v>
      </c>
      <c r="I154" s="58">
        <v>267.10000000000002</v>
      </c>
      <c r="J154" s="138">
        <v>231.4</v>
      </c>
      <c r="P154" s="67"/>
      <c r="Q154" s="71"/>
      <c r="R154" s="144"/>
      <c r="S154" s="145">
        <v>259.10000000000002</v>
      </c>
      <c r="T154" s="71">
        <f t="shared" ref="T154:T159" si="25">S154-F154</f>
        <v>-8</v>
      </c>
      <c r="U154" s="71">
        <f t="shared" ref="U154:U159" si="26">T154*1.22</f>
        <v>-9.76</v>
      </c>
      <c r="W154" s="71"/>
      <c r="Y154" s="71"/>
      <c r="AB154" s="71"/>
    </row>
    <row r="155" spans="2:30" x14ac:dyDescent="0.2">
      <c r="B155" s="5" t="s">
        <v>149</v>
      </c>
      <c r="C155" s="57">
        <v>5220</v>
      </c>
      <c r="D155" s="7">
        <v>6746.2</v>
      </c>
      <c r="E155" s="6">
        <f t="shared" si="24"/>
        <v>9355.4</v>
      </c>
      <c r="F155" s="58">
        <f>1464.9+652.3</f>
        <v>2117.1999999999998</v>
      </c>
      <c r="G155" s="58">
        <f>1440.2+133+191+652.3</f>
        <v>2416.5</v>
      </c>
      <c r="H155" s="58">
        <f>1769.9+141+652.3</f>
        <v>2563.1999999999998</v>
      </c>
      <c r="I155" s="58">
        <f>1440.2+166+652.3</f>
        <v>2258.5</v>
      </c>
      <c r="J155" s="138">
        <v>2473.5</v>
      </c>
      <c r="P155" s="67"/>
      <c r="R155" s="144"/>
      <c r="S155" s="145">
        <v>1479.9</v>
      </c>
      <c r="T155" s="71">
        <f t="shared" si="25"/>
        <v>-637.29999999999973</v>
      </c>
      <c r="U155" s="71">
        <f t="shared" si="26"/>
        <v>-777.50599999999963</v>
      </c>
    </row>
    <row r="156" spans="2:30" x14ac:dyDescent="0.2">
      <c r="B156" s="5" t="s">
        <v>150</v>
      </c>
      <c r="C156" s="57">
        <v>5230</v>
      </c>
      <c r="D156" s="7">
        <v>17309.599999999999</v>
      </c>
      <c r="E156" s="6">
        <f t="shared" si="24"/>
        <v>17309.600000000002</v>
      </c>
      <c r="F156" s="58">
        <v>4483.3</v>
      </c>
      <c r="G156" s="58">
        <f>4042.6+133+191</f>
        <v>4366.6000000000004</v>
      </c>
      <c r="H156" s="58">
        <f>4110.1+141</f>
        <v>4251.1000000000004</v>
      </c>
      <c r="I156" s="58">
        <f>4042.6+166</f>
        <v>4208.6000000000004</v>
      </c>
      <c r="J156" s="138">
        <v>6790.5</v>
      </c>
      <c r="K156" s="71">
        <f>F156+F157+F158+F159</f>
        <v>11186.6</v>
      </c>
      <c r="P156" s="67"/>
      <c r="R156" s="144"/>
      <c r="S156" s="145">
        <v>9358.4</v>
      </c>
      <c r="T156" s="71">
        <f t="shared" si="25"/>
        <v>4875.0999999999995</v>
      </c>
      <c r="U156" s="71">
        <f t="shared" si="26"/>
        <v>5947.6219999999994</v>
      </c>
    </row>
    <row r="157" spans="2:30" ht="37.5" x14ac:dyDescent="0.2">
      <c r="B157" s="5" t="s">
        <v>151</v>
      </c>
      <c r="C157" s="57">
        <v>5240</v>
      </c>
      <c r="D157" s="7">
        <v>18193.8</v>
      </c>
      <c r="E157" s="6">
        <f t="shared" si="24"/>
        <v>18193.800000000003</v>
      </c>
      <c r="F157" s="58">
        <v>4819.3</v>
      </c>
      <c r="G157" s="58">
        <f>4819.3+133+191</f>
        <v>5143.3</v>
      </c>
      <c r="H157" s="58">
        <f>3962.1+141</f>
        <v>4103.1000000000004</v>
      </c>
      <c r="I157" s="58">
        <f>3962.1+166</f>
        <v>4128.1000000000004</v>
      </c>
      <c r="J157" s="138">
        <v>5971.6</v>
      </c>
      <c r="P157" s="67"/>
      <c r="R157" s="144"/>
      <c r="S157" s="145">
        <v>12170</v>
      </c>
      <c r="T157" s="71">
        <f t="shared" si="25"/>
        <v>7350.7</v>
      </c>
      <c r="U157" s="71">
        <f t="shared" si="26"/>
        <v>8967.8539999999994</v>
      </c>
      <c r="W157" s="71"/>
      <c r="Z157" s="71"/>
      <c r="AB157" s="71"/>
    </row>
    <row r="158" spans="2:30" x14ac:dyDescent="0.2">
      <c r="B158" s="5" t="s">
        <v>152</v>
      </c>
      <c r="C158" s="57">
        <v>5250</v>
      </c>
      <c r="D158" s="7">
        <v>4772.2</v>
      </c>
      <c r="E158" s="6">
        <f t="shared" ref="E158:E159" si="27">F158+G158+H158+I158</f>
        <v>4772.2</v>
      </c>
      <c r="F158" s="58">
        <v>1043.5999999999999</v>
      </c>
      <c r="G158" s="58">
        <f>1043.6+133+191</f>
        <v>1367.6</v>
      </c>
      <c r="H158" s="58">
        <f>1027+141</f>
        <v>1168</v>
      </c>
      <c r="I158" s="58">
        <f>1027+166</f>
        <v>1193</v>
      </c>
      <c r="J158" s="138">
        <v>368.3</v>
      </c>
      <c r="P158" s="67"/>
      <c r="R158" s="144"/>
      <c r="S158" s="145">
        <v>2998.1</v>
      </c>
      <c r="T158" s="71">
        <f t="shared" si="25"/>
        <v>1954.5</v>
      </c>
      <c r="U158" s="71">
        <f t="shared" si="26"/>
        <v>2384.4899999999998</v>
      </c>
    </row>
    <row r="159" spans="2:30" x14ac:dyDescent="0.2">
      <c r="B159" s="5" t="s">
        <v>153</v>
      </c>
      <c r="C159" s="57">
        <v>5260</v>
      </c>
      <c r="D159" s="7">
        <v>5049.3</v>
      </c>
      <c r="E159" s="6">
        <f t="shared" si="27"/>
        <v>5049.3</v>
      </c>
      <c r="F159" s="58">
        <v>840.4</v>
      </c>
      <c r="G159" s="58">
        <f>1117.4+133+191</f>
        <v>1441.4</v>
      </c>
      <c r="H159" s="58">
        <f>1230.25+141</f>
        <v>1371.25</v>
      </c>
      <c r="I159" s="58">
        <f>1230.25+166</f>
        <v>1396.25</v>
      </c>
      <c r="J159" s="138">
        <v>1285.8</v>
      </c>
      <c r="P159" s="67"/>
      <c r="R159" s="144"/>
      <c r="S159" s="145">
        <v>2316.1999999999998</v>
      </c>
      <c r="T159" s="71">
        <f t="shared" si="25"/>
        <v>1475.7999999999997</v>
      </c>
      <c r="U159" s="71">
        <f t="shared" si="26"/>
        <v>1800.4759999999997</v>
      </c>
    </row>
    <row r="160" spans="2:30" ht="42" customHeight="1" x14ac:dyDescent="0.2">
      <c r="B160" s="106" t="s">
        <v>157</v>
      </c>
      <c r="C160" s="50">
        <v>5300</v>
      </c>
      <c r="D160" s="107">
        <v>20739.84</v>
      </c>
      <c r="E160" s="108">
        <f>E153/12/E139*1000</f>
        <v>20739.843750000004</v>
      </c>
      <c r="F160" s="109">
        <f>F153/3/F139*1000</f>
        <v>20194.791666666672</v>
      </c>
      <c r="G160" s="109">
        <f>G153/3/G139*1000</f>
        <v>22325.148809523806</v>
      </c>
      <c r="H160" s="109">
        <f t="shared" ref="H160" si="28">H153/H139/3*1000</f>
        <v>20422.247023809523</v>
      </c>
      <c r="I160" s="109">
        <f>I153/3/I139*1000</f>
        <v>20017.187500000004</v>
      </c>
      <c r="P160" s="139"/>
    </row>
    <row r="161" spans="2:17" x14ac:dyDescent="0.2">
      <c r="B161" s="5" t="s">
        <v>148</v>
      </c>
      <c r="C161" s="57">
        <v>5310</v>
      </c>
      <c r="D161" s="4">
        <v>51077.78</v>
      </c>
      <c r="E161" s="4">
        <f>ROUND(E154/E140*1000,2)/12</f>
        <v>89033.333333333328</v>
      </c>
      <c r="F161" s="4">
        <f>F154/F140/3*1000</f>
        <v>89033.333333333343</v>
      </c>
      <c r="G161" s="4">
        <f t="shared" ref="G161:H161" si="29">G154/G140/3*1000</f>
        <v>89033.333333333343</v>
      </c>
      <c r="H161" s="4">
        <f t="shared" si="29"/>
        <v>89033.333333333343</v>
      </c>
      <c r="I161" s="4">
        <f t="shared" ref="I161:I166" si="30">I154/I140/3*1000</f>
        <v>89033.333333333343</v>
      </c>
      <c r="P161" s="139"/>
    </row>
    <row r="162" spans="2:17" x14ac:dyDescent="0.2">
      <c r="B162" s="5" t="s">
        <v>149</v>
      </c>
      <c r="C162" s="57">
        <v>5320</v>
      </c>
      <c r="D162" s="4">
        <v>31232.41</v>
      </c>
      <c r="E162" s="4">
        <f>E155/E141/12*1000</f>
        <v>33896.3768115942</v>
      </c>
      <c r="F162" s="4">
        <f>F155/F141/3*1000</f>
        <v>30684.057971014492</v>
      </c>
      <c r="G162" s="4">
        <f t="shared" ref="G162:H162" si="31">G155/G141/3*1000</f>
        <v>35021.739130434784</v>
      </c>
      <c r="H162" s="4">
        <f t="shared" si="31"/>
        <v>37147.82608695652</v>
      </c>
      <c r="I162" s="4">
        <f t="shared" si="30"/>
        <v>32731.884057971016</v>
      </c>
      <c r="P162" s="139"/>
    </row>
    <row r="163" spans="2:17" x14ac:dyDescent="0.2">
      <c r="B163" s="5" t="s">
        <v>150</v>
      </c>
      <c r="C163" s="57">
        <v>5330</v>
      </c>
      <c r="D163" s="4">
        <f>ROUND(D156/D142*1000,2)/12</f>
        <v>35182.114166666666</v>
      </c>
      <c r="E163" s="4">
        <f>E156/E142/12*1000</f>
        <v>35182.113821138213</v>
      </c>
      <c r="F163" s="4">
        <f t="shared" ref="F163:H163" si="32">F156/F142/3*1000</f>
        <v>36449.593495934962</v>
      </c>
      <c r="G163" s="4">
        <f t="shared" si="32"/>
        <v>35500.813008130084</v>
      </c>
      <c r="H163" s="4">
        <f t="shared" si="32"/>
        <v>34561.788617886181</v>
      </c>
      <c r="I163" s="4">
        <f t="shared" si="30"/>
        <v>34216.260162601626</v>
      </c>
      <c r="P163" s="139"/>
      <c r="Q163" s="12" t="s">
        <v>158</v>
      </c>
    </row>
    <row r="164" spans="2:17" ht="37.5" x14ac:dyDescent="0.2">
      <c r="B164" s="5" t="s">
        <v>151</v>
      </c>
      <c r="C164" s="57">
        <v>5340</v>
      </c>
      <c r="D164" s="4">
        <v>16479.89</v>
      </c>
      <c r="E164" s="4">
        <f t="shared" ref="E164:E166" si="33">E157/E143/12*1000</f>
        <v>16479.891304347828</v>
      </c>
      <c r="F164" s="4">
        <f t="shared" ref="F164:H164" si="34">F157/F143/3*1000</f>
        <v>17461.231884057968</v>
      </c>
      <c r="G164" s="4">
        <f t="shared" si="34"/>
        <v>18635.144927536236</v>
      </c>
      <c r="H164" s="4">
        <f t="shared" si="34"/>
        <v>14866.304347826088</v>
      </c>
      <c r="I164" s="4">
        <f t="shared" si="30"/>
        <v>14956.884057971018</v>
      </c>
      <c r="P164" s="139"/>
    </row>
    <row r="165" spans="2:17" x14ac:dyDescent="0.2">
      <c r="B165" s="5" t="s">
        <v>152</v>
      </c>
      <c r="C165" s="57">
        <v>5350</v>
      </c>
      <c r="D165" s="4">
        <f t="shared" ref="D165" si="35">ROUND(D158/D144*1000,2)/12</f>
        <v>10465.350833333334</v>
      </c>
      <c r="E165" s="4">
        <f t="shared" si="33"/>
        <v>10465.350877192983</v>
      </c>
      <c r="F165" s="4">
        <f t="shared" ref="F165:H165" si="36">F158/F144/3*1000</f>
        <v>9154.3859649122787</v>
      </c>
      <c r="G165" s="4">
        <f t="shared" si="36"/>
        <v>11996.491228070176</v>
      </c>
      <c r="H165" s="4">
        <f t="shared" si="36"/>
        <v>10245.614035087719</v>
      </c>
      <c r="I165" s="4">
        <f t="shared" si="30"/>
        <v>10464.912280701756</v>
      </c>
      <c r="P165" s="139"/>
    </row>
    <row r="166" spans="2:17" x14ac:dyDescent="0.2">
      <c r="B166" s="5" t="s">
        <v>153</v>
      </c>
      <c r="C166" s="57">
        <v>5360</v>
      </c>
      <c r="D166" s="4">
        <v>14509.48</v>
      </c>
      <c r="E166" s="4">
        <f t="shared" si="33"/>
        <v>14509.48275862069</v>
      </c>
      <c r="F166" s="4">
        <f t="shared" ref="F166:H166" si="37">F159/F145/3*1000</f>
        <v>9659.7701149425284</v>
      </c>
      <c r="G166" s="4">
        <f t="shared" si="37"/>
        <v>16567.816091954024</v>
      </c>
      <c r="H166" s="4">
        <f t="shared" si="37"/>
        <v>15761.494252873563</v>
      </c>
      <c r="I166" s="4">
        <f t="shared" si="30"/>
        <v>16048.850574712642</v>
      </c>
      <c r="P166" s="139"/>
    </row>
    <row r="167" spans="2:17" ht="37.5" x14ac:dyDescent="0.2">
      <c r="B167" s="49" t="s">
        <v>159</v>
      </c>
      <c r="C167" s="50">
        <v>5400</v>
      </c>
      <c r="D167" s="51">
        <v>0</v>
      </c>
      <c r="E167" s="52">
        <v>0</v>
      </c>
      <c r="F167" s="54">
        <v>0</v>
      </c>
      <c r="G167" s="54">
        <v>0</v>
      </c>
      <c r="H167" s="54">
        <v>0</v>
      </c>
      <c r="I167" s="54">
        <v>0</v>
      </c>
    </row>
    <row r="168" spans="2:17" ht="14.25" customHeight="1" x14ac:dyDescent="0.2">
      <c r="B168" s="110"/>
      <c r="C168" s="111"/>
      <c r="D168" s="112"/>
      <c r="E168" s="113"/>
      <c r="F168" s="114"/>
      <c r="G168" s="115"/>
      <c r="H168" s="114"/>
      <c r="I168" s="114"/>
    </row>
    <row r="169" spans="2:17" ht="42" customHeight="1" x14ac:dyDescent="0.2">
      <c r="B169" s="116" t="s">
        <v>160</v>
      </c>
      <c r="D169" s="117"/>
      <c r="E169" s="118"/>
      <c r="F169" s="119"/>
      <c r="G169" s="152" t="s">
        <v>164</v>
      </c>
      <c r="H169" s="152"/>
      <c r="I169" s="152"/>
    </row>
    <row r="170" spans="2:17" s="11" customFormat="1" ht="13.5" customHeight="1" x14ac:dyDescent="0.2">
      <c r="B170" s="120" t="s">
        <v>161</v>
      </c>
      <c r="D170" s="121" t="s">
        <v>162</v>
      </c>
      <c r="E170" s="122"/>
      <c r="F170" s="123"/>
      <c r="G170" s="153" t="s">
        <v>163</v>
      </c>
      <c r="H170" s="153"/>
      <c r="I170" s="153"/>
      <c r="P170" s="140"/>
    </row>
    <row r="171" spans="2:17" x14ac:dyDescent="0.2">
      <c r="B171" s="124"/>
      <c r="D171" s="125"/>
      <c r="E171" s="126"/>
      <c r="F171" s="127"/>
      <c r="G171" s="128"/>
      <c r="H171" s="127"/>
      <c r="I171" s="127"/>
    </row>
    <row r="172" spans="2:17" x14ac:dyDescent="0.2">
      <c r="B172" s="124"/>
      <c r="D172" s="125"/>
      <c r="E172" s="126"/>
      <c r="F172" s="129"/>
      <c r="G172" s="130"/>
      <c r="H172" s="129"/>
      <c r="I172" s="129"/>
      <c r="J172" s="127"/>
      <c r="K172" s="127"/>
      <c r="L172" s="127"/>
      <c r="M172" s="127"/>
      <c r="N172" s="127"/>
      <c r="O172" s="127"/>
    </row>
    <row r="173" spans="2:17" x14ac:dyDescent="0.2">
      <c r="B173" s="124"/>
      <c r="D173" s="125"/>
      <c r="E173" s="125"/>
      <c r="F173" s="131"/>
      <c r="G173" s="130"/>
      <c r="H173" s="131"/>
      <c r="I173" s="131"/>
      <c r="J173" s="131"/>
      <c r="K173" s="131"/>
      <c r="L173" s="131"/>
      <c r="M173" s="131"/>
      <c r="N173" s="131"/>
      <c r="O173" s="131"/>
      <c r="P173" s="141"/>
    </row>
    <row r="174" spans="2:17" x14ac:dyDescent="0.2">
      <c r="B174" s="124"/>
      <c r="D174" s="125"/>
      <c r="E174" s="126"/>
      <c r="F174" s="129"/>
      <c r="G174" s="130"/>
      <c r="H174" s="129"/>
      <c r="I174" s="129"/>
      <c r="J174" s="127"/>
      <c r="K174" s="127"/>
      <c r="L174" s="127"/>
      <c r="M174" s="127"/>
      <c r="N174" s="127"/>
      <c r="O174" s="127"/>
    </row>
    <row r="175" spans="2:17" x14ac:dyDescent="0.2">
      <c r="B175" s="124"/>
      <c r="D175" s="125"/>
      <c r="E175" s="125"/>
      <c r="F175" s="131"/>
      <c r="G175" s="130"/>
      <c r="H175" s="131"/>
      <c r="I175" s="131"/>
    </row>
    <row r="176" spans="2:17" x14ac:dyDescent="0.2">
      <c r="B176" s="124"/>
      <c r="D176" s="125"/>
      <c r="E176" s="125"/>
      <c r="F176" s="131"/>
      <c r="G176" s="130"/>
      <c r="H176" s="131"/>
      <c r="I176" s="131"/>
    </row>
    <row r="177" spans="2:9" x14ac:dyDescent="0.2">
      <c r="B177" s="124"/>
      <c r="D177" s="125"/>
      <c r="E177" s="126"/>
      <c r="F177" s="127"/>
      <c r="G177" s="128"/>
      <c r="H177" s="127"/>
      <c r="I177" s="127"/>
    </row>
    <row r="178" spans="2:9" x14ac:dyDescent="0.2">
      <c r="B178" s="124"/>
      <c r="D178" s="125"/>
      <c r="E178" s="125"/>
      <c r="F178" s="131"/>
      <c r="G178" s="130"/>
      <c r="H178" s="131"/>
      <c r="I178" s="131"/>
    </row>
    <row r="179" spans="2:9" x14ac:dyDescent="0.2">
      <c r="B179" s="124"/>
      <c r="D179" s="125"/>
      <c r="E179" s="125"/>
      <c r="F179" s="131"/>
      <c r="G179" s="130"/>
      <c r="H179" s="131"/>
      <c r="I179" s="131"/>
    </row>
    <row r="180" spans="2:9" x14ac:dyDescent="0.2">
      <c r="B180" s="124"/>
      <c r="D180" s="125"/>
      <c r="E180" s="126"/>
      <c r="F180" s="127"/>
      <c r="G180" s="128"/>
      <c r="H180" s="127"/>
      <c r="I180" s="127"/>
    </row>
    <row r="181" spans="2:9" x14ac:dyDescent="0.2">
      <c r="B181" s="124"/>
      <c r="D181" s="125"/>
      <c r="E181" s="126"/>
      <c r="F181" s="129"/>
      <c r="G181" s="130"/>
      <c r="H181" s="129"/>
      <c r="I181" s="129"/>
    </row>
    <row r="182" spans="2:9" x14ac:dyDescent="0.2">
      <c r="B182" s="124"/>
      <c r="D182" s="125"/>
      <c r="E182" s="126"/>
      <c r="F182" s="127"/>
      <c r="G182" s="128"/>
      <c r="H182" s="127"/>
      <c r="I182" s="127"/>
    </row>
    <row r="183" spans="2:9" x14ac:dyDescent="0.2">
      <c r="B183" s="124"/>
      <c r="D183" s="125"/>
      <c r="E183" s="126"/>
      <c r="F183" s="127"/>
      <c r="G183" s="128"/>
      <c r="H183" s="127"/>
      <c r="I183" s="127"/>
    </row>
    <row r="184" spans="2:9" x14ac:dyDescent="0.2">
      <c r="B184" s="124"/>
      <c r="D184" s="125"/>
      <c r="E184" s="126"/>
      <c r="F184" s="127"/>
      <c r="G184" s="128"/>
      <c r="H184" s="127"/>
      <c r="I184" s="127"/>
    </row>
    <row r="185" spans="2:9" x14ac:dyDescent="0.2">
      <c r="B185" s="124"/>
      <c r="D185" s="125"/>
      <c r="E185" s="126"/>
      <c r="F185" s="127"/>
      <c r="G185" s="128"/>
      <c r="H185" s="127"/>
      <c r="I185" s="127"/>
    </row>
    <row r="186" spans="2:9" x14ac:dyDescent="0.2">
      <c r="B186" s="124"/>
      <c r="D186" s="125"/>
      <c r="E186" s="126"/>
      <c r="F186" s="127"/>
      <c r="G186" s="128"/>
      <c r="H186" s="127"/>
      <c r="I186" s="127"/>
    </row>
    <row r="187" spans="2:9" x14ac:dyDescent="0.2">
      <c r="B187" s="124"/>
      <c r="D187" s="125"/>
      <c r="E187" s="126"/>
      <c r="F187" s="127"/>
      <c r="G187" s="128"/>
      <c r="H187" s="127"/>
      <c r="I187" s="127"/>
    </row>
    <row r="188" spans="2:9" x14ac:dyDescent="0.2">
      <c r="B188" s="124"/>
      <c r="D188" s="125"/>
      <c r="E188" s="126"/>
      <c r="F188" s="127"/>
      <c r="G188" s="128"/>
      <c r="H188" s="127"/>
      <c r="I188" s="127"/>
    </row>
    <row r="189" spans="2:9" x14ac:dyDescent="0.2">
      <c r="B189" s="124"/>
      <c r="D189" s="125"/>
      <c r="E189" s="126"/>
      <c r="F189" s="127"/>
      <c r="G189" s="128"/>
      <c r="H189" s="127"/>
      <c r="I189" s="127"/>
    </row>
    <row r="190" spans="2:9" x14ac:dyDescent="0.2">
      <c r="B190" s="124"/>
      <c r="D190" s="125"/>
      <c r="E190" s="126"/>
      <c r="F190" s="127"/>
      <c r="G190" s="128"/>
      <c r="H190" s="127"/>
      <c r="I190" s="127"/>
    </row>
    <row r="191" spans="2:9" x14ac:dyDescent="0.2">
      <c r="B191" s="124"/>
      <c r="D191" s="125"/>
      <c r="E191" s="126"/>
      <c r="F191" s="127"/>
      <c r="G191" s="128"/>
      <c r="H191" s="127"/>
      <c r="I191" s="127"/>
    </row>
    <row r="192" spans="2:9" x14ac:dyDescent="0.2">
      <c r="B192" s="124"/>
      <c r="D192" s="125"/>
      <c r="E192" s="126"/>
      <c r="F192" s="127"/>
      <c r="G192" s="128"/>
      <c r="H192" s="127"/>
      <c r="I192" s="127"/>
    </row>
    <row r="193" spans="2:9" x14ac:dyDescent="0.2">
      <c r="B193" s="124"/>
      <c r="D193" s="125"/>
      <c r="E193" s="126"/>
      <c r="F193" s="127"/>
      <c r="G193" s="128"/>
      <c r="H193" s="127"/>
      <c r="I193" s="127"/>
    </row>
    <row r="194" spans="2:9" x14ac:dyDescent="0.2">
      <c r="B194" s="124"/>
      <c r="D194" s="125"/>
      <c r="E194" s="126"/>
      <c r="F194" s="127"/>
      <c r="G194" s="128"/>
      <c r="H194" s="127"/>
      <c r="I194" s="127"/>
    </row>
    <row r="195" spans="2:9" x14ac:dyDescent="0.2">
      <c r="B195" s="124"/>
      <c r="D195" s="125"/>
      <c r="E195" s="126"/>
      <c r="F195" s="127"/>
      <c r="G195" s="128"/>
      <c r="H195" s="127"/>
      <c r="I195" s="127"/>
    </row>
    <row r="196" spans="2:9" x14ac:dyDescent="0.2">
      <c r="B196" s="124"/>
      <c r="D196" s="125"/>
      <c r="E196" s="126"/>
      <c r="F196" s="127"/>
      <c r="G196" s="128"/>
      <c r="H196" s="127"/>
      <c r="I196" s="127"/>
    </row>
    <row r="197" spans="2:9" x14ac:dyDescent="0.2">
      <c r="B197" s="124"/>
      <c r="D197" s="125"/>
      <c r="E197" s="126"/>
      <c r="F197" s="127"/>
      <c r="G197" s="128"/>
      <c r="H197" s="127"/>
      <c r="I197" s="127"/>
    </row>
    <row r="198" spans="2:9" x14ac:dyDescent="0.2">
      <c r="B198" s="124"/>
      <c r="D198" s="125"/>
      <c r="E198" s="126"/>
      <c r="F198" s="127"/>
      <c r="G198" s="128"/>
      <c r="H198" s="127"/>
      <c r="I198" s="127"/>
    </row>
    <row r="199" spans="2:9" x14ac:dyDescent="0.2">
      <c r="B199" s="124"/>
      <c r="D199" s="125"/>
      <c r="E199" s="126"/>
      <c r="F199" s="127"/>
      <c r="G199" s="128"/>
      <c r="H199" s="127"/>
      <c r="I199" s="127"/>
    </row>
    <row r="200" spans="2:9" x14ac:dyDescent="0.2">
      <c r="B200" s="124"/>
      <c r="D200" s="125"/>
      <c r="E200" s="126"/>
      <c r="F200" s="127"/>
      <c r="G200" s="128"/>
      <c r="H200" s="127"/>
      <c r="I200" s="127"/>
    </row>
    <row r="201" spans="2:9" x14ac:dyDescent="0.2">
      <c r="B201" s="124"/>
      <c r="D201" s="125"/>
      <c r="E201" s="126"/>
      <c r="F201" s="127"/>
      <c r="G201" s="128"/>
      <c r="H201" s="127"/>
      <c r="I201" s="127"/>
    </row>
    <row r="202" spans="2:9" x14ac:dyDescent="0.2">
      <c r="B202" s="124"/>
      <c r="D202" s="125"/>
      <c r="E202" s="126"/>
      <c r="F202" s="127"/>
      <c r="G202" s="128"/>
      <c r="H202" s="127"/>
      <c r="I202" s="127"/>
    </row>
    <row r="203" spans="2:9" x14ac:dyDescent="0.2">
      <c r="B203" s="124"/>
      <c r="D203" s="125"/>
      <c r="E203" s="126"/>
      <c r="F203" s="127"/>
      <c r="G203" s="128"/>
      <c r="H203" s="127"/>
      <c r="I203" s="127"/>
    </row>
    <row r="204" spans="2:9" x14ac:dyDescent="0.2">
      <c r="B204" s="124"/>
      <c r="D204" s="125"/>
      <c r="E204" s="126"/>
      <c r="F204" s="127"/>
      <c r="G204" s="128"/>
      <c r="H204" s="127"/>
      <c r="I204" s="127"/>
    </row>
    <row r="205" spans="2:9" x14ac:dyDescent="0.2">
      <c r="B205" s="124"/>
      <c r="D205" s="125"/>
      <c r="E205" s="126"/>
      <c r="F205" s="127"/>
      <c r="G205" s="128"/>
      <c r="H205" s="127"/>
      <c r="I205" s="127"/>
    </row>
    <row r="206" spans="2:9" x14ac:dyDescent="0.2">
      <c r="B206" s="124"/>
      <c r="D206" s="125"/>
      <c r="E206" s="126"/>
      <c r="F206" s="127"/>
      <c r="G206" s="128"/>
      <c r="H206" s="127"/>
      <c r="I206" s="127"/>
    </row>
    <row r="207" spans="2:9" x14ac:dyDescent="0.2">
      <c r="B207" s="124"/>
      <c r="D207" s="125"/>
      <c r="E207" s="126"/>
      <c r="F207" s="127"/>
      <c r="G207" s="128"/>
      <c r="H207" s="127"/>
      <c r="I207" s="127"/>
    </row>
    <row r="208" spans="2:9" x14ac:dyDescent="0.2">
      <c r="B208" s="124"/>
      <c r="D208" s="125"/>
      <c r="E208" s="126"/>
      <c r="F208" s="127"/>
      <c r="G208" s="128"/>
      <c r="H208" s="127"/>
      <c r="I208" s="127"/>
    </row>
    <row r="209" spans="2:9" x14ac:dyDescent="0.2">
      <c r="B209" s="124"/>
      <c r="D209" s="125"/>
      <c r="E209" s="126"/>
      <c r="F209" s="127"/>
      <c r="G209" s="128"/>
      <c r="H209" s="127"/>
      <c r="I209" s="127"/>
    </row>
    <row r="210" spans="2:9" x14ac:dyDescent="0.2">
      <c r="B210" s="124"/>
      <c r="D210" s="125"/>
      <c r="E210" s="126"/>
      <c r="F210" s="127"/>
      <c r="G210" s="128"/>
      <c r="H210" s="127"/>
      <c r="I210" s="127"/>
    </row>
    <row r="211" spans="2:9" x14ac:dyDescent="0.2">
      <c r="B211" s="124"/>
      <c r="D211" s="125"/>
      <c r="E211" s="126"/>
      <c r="F211" s="127"/>
      <c r="G211" s="128"/>
      <c r="H211" s="127"/>
      <c r="I211" s="127"/>
    </row>
    <row r="212" spans="2:9" x14ac:dyDescent="0.2">
      <c r="B212" s="146"/>
    </row>
    <row r="213" spans="2:9" x14ac:dyDescent="0.2">
      <c r="B213" s="146"/>
    </row>
    <row r="214" spans="2:9" x14ac:dyDescent="0.2">
      <c r="B214" s="146"/>
    </row>
    <row r="215" spans="2:9" x14ac:dyDescent="0.2">
      <c r="B215" s="146"/>
    </row>
    <row r="216" spans="2:9" x14ac:dyDescent="0.2">
      <c r="B216" s="146"/>
    </row>
    <row r="217" spans="2:9" x14ac:dyDescent="0.2">
      <c r="B217" s="146"/>
    </row>
    <row r="218" spans="2:9" x14ac:dyDescent="0.2">
      <c r="B218" s="146"/>
    </row>
    <row r="219" spans="2:9" x14ac:dyDescent="0.2">
      <c r="B219" s="146"/>
    </row>
    <row r="220" spans="2:9" x14ac:dyDescent="0.2">
      <c r="B220" s="146"/>
    </row>
    <row r="221" spans="2:9" x14ac:dyDescent="0.2">
      <c r="B221" s="146"/>
    </row>
    <row r="222" spans="2:9" x14ac:dyDescent="0.2">
      <c r="B222" s="146"/>
    </row>
    <row r="223" spans="2:9" x14ac:dyDescent="0.2">
      <c r="B223" s="146"/>
    </row>
    <row r="224" spans="2:9" x14ac:dyDescent="0.2">
      <c r="B224" s="146"/>
    </row>
    <row r="225" spans="2:2" x14ac:dyDescent="0.2">
      <c r="B225" s="146"/>
    </row>
    <row r="226" spans="2:2" x14ac:dyDescent="0.2">
      <c r="B226" s="146"/>
    </row>
    <row r="227" spans="2:2" x14ac:dyDescent="0.2">
      <c r="B227" s="146"/>
    </row>
    <row r="228" spans="2:2" x14ac:dyDescent="0.2">
      <c r="B228" s="146"/>
    </row>
    <row r="229" spans="2:2" x14ac:dyDescent="0.2">
      <c r="B229" s="146"/>
    </row>
    <row r="230" spans="2:2" x14ac:dyDescent="0.2">
      <c r="B230" s="146"/>
    </row>
    <row r="231" spans="2:2" x14ac:dyDescent="0.2">
      <c r="B231" s="146"/>
    </row>
    <row r="232" spans="2:2" x14ac:dyDescent="0.2">
      <c r="B232" s="146"/>
    </row>
    <row r="233" spans="2:2" x14ac:dyDescent="0.2">
      <c r="B233" s="146"/>
    </row>
    <row r="234" spans="2:2" x14ac:dyDescent="0.2">
      <c r="B234" s="146"/>
    </row>
    <row r="235" spans="2:2" x14ac:dyDescent="0.2">
      <c r="B235" s="146"/>
    </row>
    <row r="236" spans="2:2" x14ac:dyDescent="0.2">
      <c r="B236" s="146"/>
    </row>
    <row r="237" spans="2:2" x14ac:dyDescent="0.2">
      <c r="B237" s="146"/>
    </row>
    <row r="238" spans="2:2" x14ac:dyDescent="0.2">
      <c r="B238" s="146"/>
    </row>
    <row r="239" spans="2:2" x14ac:dyDescent="0.2">
      <c r="B239" s="146"/>
    </row>
    <row r="240" spans="2:2" x14ac:dyDescent="0.2">
      <c r="B240" s="146"/>
    </row>
    <row r="241" spans="2:2" x14ac:dyDescent="0.2">
      <c r="B241" s="146"/>
    </row>
    <row r="242" spans="2:2" x14ac:dyDescent="0.2">
      <c r="B242" s="146"/>
    </row>
    <row r="243" spans="2:2" x14ac:dyDescent="0.2">
      <c r="B243" s="146"/>
    </row>
    <row r="244" spans="2:2" x14ac:dyDescent="0.2">
      <c r="B244" s="146"/>
    </row>
    <row r="245" spans="2:2" x14ac:dyDescent="0.2">
      <c r="B245" s="146"/>
    </row>
    <row r="246" spans="2:2" x14ac:dyDescent="0.2">
      <c r="B246" s="146"/>
    </row>
    <row r="247" spans="2:2" x14ac:dyDescent="0.2">
      <c r="B247" s="146"/>
    </row>
    <row r="248" spans="2:2" x14ac:dyDescent="0.2">
      <c r="B248" s="146"/>
    </row>
    <row r="249" spans="2:2" x14ac:dyDescent="0.2">
      <c r="B249" s="146"/>
    </row>
    <row r="250" spans="2:2" x14ac:dyDescent="0.2">
      <c r="B250" s="146"/>
    </row>
    <row r="251" spans="2:2" x14ac:dyDescent="0.2">
      <c r="B251" s="146"/>
    </row>
    <row r="252" spans="2:2" x14ac:dyDescent="0.2">
      <c r="B252" s="146"/>
    </row>
    <row r="253" spans="2:2" x14ac:dyDescent="0.2">
      <c r="B253" s="146"/>
    </row>
    <row r="254" spans="2:2" x14ac:dyDescent="0.2">
      <c r="B254" s="146"/>
    </row>
    <row r="255" spans="2:2" x14ac:dyDescent="0.2">
      <c r="B255" s="146"/>
    </row>
    <row r="256" spans="2:2" x14ac:dyDescent="0.2">
      <c r="B256" s="146"/>
    </row>
    <row r="257" spans="2:2" x14ac:dyDescent="0.2">
      <c r="B257" s="146"/>
    </row>
    <row r="258" spans="2:2" x14ac:dyDescent="0.2">
      <c r="B258" s="146"/>
    </row>
    <row r="259" spans="2:2" x14ac:dyDescent="0.2">
      <c r="B259" s="146"/>
    </row>
    <row r="260" spans="2:2" x14ac:dyDescent="0.2">
      <c r="B260" s="146"/>
    </row>
    <row r="261" spans="2:2" x14ac:dyDescent="0.2">
      <c r="B261" s="146"/>
    </row>
    <row r="262" spans="2:2" x14ac:dyDescent="0.2">
      <c r="B262" s="146"/>
    </row>
    <row r="263" spans="2:2" x14ac:dyDescent="0.2">
      <c r="B263" s="146"/>
    </row>
    <row r="264" spans="2:2" x14ac:dyDescent="0.2">
      <c r="B264" s="146"/>
    </row>
    <row r="265" spans="2:2" x14ac:dyDescent="0.2">
      <c r="B265" s="146"/>
    </row>
    <row r="266" spans="2:2" x14ac:dyDescent="0.2">
      <c r="B266" s="146"/>
    </row>
    <row r="267" spans="2:2" x14ac:dyDescent="0.2">
      <c r="B267" s="146"/>
    </row>
    <row r="268" spans="2:2" x14ac:dyDescent="0.2">
      <c r="B268" s="146"/>
    </row>
    <row r="269" spans="2:2" x14ac:dyDescent="0.2">
      <c r="B269" s="146"/>
    </row>
    <row r="270" spans="2:2" x14ac:dyDescent="0.2">
      <c r="B270" s="146"/>
    </row>
    <row r="271" spans="2:2" x14ac:dyDescent="0.2">
      <c r="B271" s="146"/>
    </row>
    <row r="272" spans="2:2" x14ac:dyDescent="0.2">
      <c r="B272" s="146"/>
    </row>
    <row r="273" spans="2:2" x14ac:dyDescent="0.2">
      <c r="B273" s="146"/>
    </row>
    <row r="274" spans="2:2" x14ac:dyDescent="0.2">
      <c r="B274" s="146"/>
    </row>
    <row r="275" spans="2:2" x14ac:dyDescent="0.2">
      <c r="B275" s="146"/>
    </row>
    <row r="276" spans="2:2" x14ac:dyDescent="0.2">
      <c r="B276" s="146"/>
    </row>
    <row r="277" spans="2:2" x14ac:dyDescent="0.2">
      <c r="B277" s="146"/>
    </row>
    <row r="278" spans="2:2" x14ac:dyDescent="0.2">
      <c r="B278" s="146"/>
    </row>
    <row r="279" spans="2:2" x14ac:dyDescent="0.2">
      <c r="B279" s="146"/>
    </row>
    <row r="280" spans="2:2" x14ac:dyDescent="0.2">
      <c r="B280" s="146"/>
    </row>
    <row r="281" spans="2:2" x14ac:dyDescent="0.2">
      <c r="B281" s="146"/>
    </row>
    <row r="282" spans="2:2" x14ac:dyDescent="0.2">
      <c r="B282" s="146"/>
    </row>
    <row r="283" spans="2:2" x14ac:dyDescent="0.2">
      <c r="B283" s="146"/>
    </row>
    <row r="284" spans="2:2" x14ac:dyDescent="0.2">
      <c r="B284" s="146"/>
    </row>
    <row r="285" spans="2:2" x14ac:dyDescent="0.2">
      <c r="B285" s="146"/>
    </row>
    <row r="286" spans="2:2" x14ac:dyDescent="0.2">
      <c r="B286" s="146"/>
    </row>
    <row r="287" spans="2:2" x14ac:dyDescent="0.2">
      <c r="B287" s="146"/>
    </row>
    <row r="288" spans="2:2" x14ac:dyDescent="0.2">
      <c r="B288" s="146"/>
    </row>
    <row r="289" spans="2:2" x14ac:dyDescent="0.2">
      <c r="B289" s="146"/>
    </row>
    <row r="290" spans="2:2" x14ac:dyDescent="0.2">
      <c r="B290" s="146"/>
    </row>
    <row r="291" spans="2:2" x14ac:dyDescent="0.2">
      <c r="B291" s="146"/>
    </row>
    <row r="292" spans="2:2" x14ac:dyDescent="0.2">
      <c r="B292" s="146"/>
    </row>
    <row r="293" spans="2:2" x14ac:dyDescent="0.2">
      <c r="B293" s="146"/>
    </row>
    <row r="294" spans="2:2" x14ac:dyDescent="0.2">
      <c r="B294" s="146"/>
    </row>
    <row r="295" spans="2:2" x14ac:dyDescent="0.2">
      <c r="B295" s="146"/>
    </row>
    <row r="296" spans="2:2" x14ac:dyDescent="0.2">
      <c r="B296" s="146"/>
    </row>
    <row r="297" spans="2:2" x14ac:dyDescent="0.2">
      <c r="B297" s="146"/>
    </row>
    <row r="298" spans="2:2" x14ac:dyDescent="0.2">
      <c r="B298" s="146"/>
    </row>
    <row r="299" spans="2:2" x14ac:dyDescent="0.2">
      <c r="B299" s="146"/>
    </row>
    <row r="300" spans="2:2" x14ac:dyDescent="0.2">
      <c r="B300" s="146"/>
    </row>
    <row r="301" spans="2:2" x14ac:dyDescent="0.2">
      <c r="B301" s="146"/>
    </row>
    <row r="302" spans="2:2" x14ac:dyDescent="0.2">
      <c r="B302" s="146"/>
    </row>
    <row r="303" spans="2:2" x14ac:dyDescent="0.2">
      <c r="B303" s="146"/>
    </row>
    <row r="304" spans="2:2" x14ac:dyDescent="0.2">
      <c r="B304" s="146"/>
    </row>
    <row r="305" spans="2:2" x14ac:dyDescent="0.2">
      <c r="B305" s="146"/>
    </row>
    <row r="306" spans="2:2" x14ac:dyDescent="0.2">
      <c r="B306" s="146"/>
    </row>
    <row r="307" spans="2:2" x14ac:dyDescent="0.2">
      <c r="B307" s="146"/>
    </row>
    <row r="308" spans="2:2" x14ac:dyDescent="0.2">
      <c r="B308" s="146"/>
    </row>
    <row r="309" spans="2:2" x14ac:dyDescent="0.2">
      <c r="B309" s="146"/>
    </row>
    <row r="310" spans="2:2" x14ac:dyDescent="0.2">
      <c r="B310" s="146"/>
    </row>
    <row r="311" spans="2:2" x14ac:dyDescent="0.2">
      <c r="B311" s="146"/>
    </row>
    <row r="312" spans="2:2" x14ac:dyDescent="0.2">
      <c r="B312" s="146"/>
    </row>
    <row r="313" spans="2:2" x14ac:dyDescent="0.2">
      <c r="B313" s="146"/>
    </row>
    <row r="314" spans="2:2" x14ac:dyDescent="0.2">
      <c r="B314" s="146"/>
    </row>
    <row r="315" spans="2:2" x14ac:dyDescent="0.2">
      <c r="B315" s="146"/>
    </row>
    <row r="316" spans="2:2" x14ac:dyDescent="0.2">
      <c r="B316" s="146"/>
    </row>
    <row r="317" spans="2:2" x14ac:dyDescent="0.2">
      <c r="B317" s="146"/>
    </row>
    <row r="318" spans="2:2" x14ac:dyDescent="0.2">
      <c r="B318" s="146"/>
    </row>
    <row r="319" spans="2:2" x14ac:dyDescent="0.2">
      <c r="B319" s="146"/>
    </row>
    <row r="320" spans="2:2" x14ac:dyDescent="0.2">
      <c r="B320" s="146"/>
    </row>
    <row r="321" spans="2:2" x14ac:dyDescent="0.2">
      <c r="B321" s="146"/>
    </row>
    <row r="322" spans="2:2" x14ac:dyDescent="0.2">
      <c r="B322" s="146"/>
    </row>
    <row r="323" spans="2:2" x14ac:dyDescent="0.2">
      <c r="B323" s="146"/>
    </row>
    <row r="324" spans="2:2" x14ac:dyDescent="0.2">
      <c r="B324" s="146"/>
    </row>
    <row r="325" spans="2:2" x14ac:dyDescent="0.2">
      <c r="B325" s="146"/>
    </row>
    <row r="326" spans="2:2" x14ac:dyDescent="0.2">
      <c r="B326" s="146"/>
    </row>
    <row r="327" spans="2:2" x14ac:dyDescent="0.2">
      <c r="B327" s="146"/>
    </row>
    <row r="328" spans="2:2" x14ac:dyDescent="0.2">
      <c r="B328" s="146"/>
    </row>
    <row r="329" spans="2:2" x14ac:dyDescent="0.2">
      <c r="B329" s="146"/>
    </row>
    <row r="330" spans="2:2" x14ac:dyDescent="0.2">
      <c r="B330" s="146"/>
    </row>
    <row r="331" spans="2:2" x14ac:dyDescent="0.2">
      <c r="B331" s="146"/>
    </row>
    <row r="332" spans="2:2" x14ac:dyDescent="0.2">
      <c r="B332" s="146"/>
    </row>
    <row r="333" spans="2:2" x14ac:dyDescent="0.2">
      <c r="B333" s="146"/>
    </row>
    <row r="334" spans="2:2" x14ac:dyDescent="0.2">
      <c r="B334" s="146"/>
    </row>
    <row r="335" spans="2:2" x14ac:dyDescent="0.2">
      <c r="B335" s="146"/>
    </row>
    <row r="336" spans="2:2" x14ac:dyDescent="0.2">
      <c r="B336" s="146"/>
    </row>
    <row r="337" spans="2:2" x14ac:dyDescent="0.2">
      <c r="B337" s="146"/>
    </row>
    <row r="338" spans="2:2" x14ac:dyDescent="0.2">
      <c r="B338" s="146"/>
    </row>
    <row r="339" spans="2:2" x14ac:dyDescent="0.2">
      <c r="B339" s="146"/>
    </row>
    <row r="340" spans="2:2" x14ac:dyDescent="0.2">
      <c r="B340" s="146"/>
    </row>
    <row r="341" spans="2:2" x14ac:dyDescent="0.2">
      <c r="B341" s="146"/>
    </row>
    <row r="342" spans="2:2" x14ac:dyDescent="0.2">
      <c r="B342" s="146"/>
    </row>
    <row r="343" spans="2:2" x14ac:dyDescent="0.2">
      <c r="B343" s="146"/>
    </row>
    <row r="344" spans="2:2" x14ac:dyDescent="0.2">
      <c r="B344" s="146"/>
    </row>
    <row r="345" spans="2:2" x14ac:dyDescent="0.2">
      <c r="B345" s="146"/>
    </row>
    <row r="346" spans="2:2" x14ac:dyDescent="0.2">
      <c r="B346" s="146"/>
    </row>
    <row r="347" spans="2:2" x14ac:dyDescent="0.2">
      <c r="B347" s="146"/>
    </row>
    <row r="348" spans="2:2" x14ac:dyDescent="0.2">
      <c r="B348" s="146"/>
    </row>
    <row r="349" spans="2:2" x14ac:dyDescent="0.2">
      <c r="B349" s="146"/>
    </row>
    <row r="350" spans="2:2" x14ac:dyDescent="0.2">
      <c r="B350" s="146"/>
    </row>
    <row r="351" spans="2:2" x14ac:dyDescent="0.2">
      <c r="B351" s="146"/>
    </row>
    <row r="352" spans="2:2" x14ac:dyDescent="0.2">
      <c r="B352" s="146"/>
    </row>
    <row r="353" spans="2:2" x14ac:dyDescent="0.2">
      <c r="B353" s="146"/>
    </row>
    <row r="354" spans="2:2" x14ac:dyDescent="0.2">
      <c r="B354" s="146"/>
    </row>
    <row r="355" spans="2:2" x14ac:dyDescent="0.2">
      <c r="B355" s="146"/>
    </row>
    <row r="356" spans="2:2" x14ac:dyDescent="0.2">
      <c r="B356" s="146"/>
    </row>
    <row r="357" spans="2:2" x14ac:dyDescent="0.2">
      <c r="B357" s="146"/>
    </row>
    <row r="358" spans="2:2" x14ac:dyDescent="0.2">
      <c r="B358" s="146"/>
    </row>
    <row r="359" spans="2:2" x14ac:dyDescent="0.2">
      <c r="B359" s="146"/>
    </row>
    <row r="360" spans="2:2" x14ac:dyDescent="0.2">
      <c r="B360" s="146"/>
    </row>
    <row r="361" spans="2:2" x14ac:dyDescent="0.2">
      <c r="B361" s="146"/>
    </row>
    <row r="362" spans="2:2" x14ac:dyDescent="0.2">
      <c r="B362" s="146"/>
    </row>
    <row r="363" spans="2:2" x14ac:dyDescent="0.2">
      <c r="B363" s="146"/>
    </row>
    <row r="364" spans="2:2" x14ac:dyDescent="0.2">
      <c r="B364" s="146"/>
    </row>
    <row r="365" spans="2:2" x14ac:dyDescent="0.2">
      <c r="B365" s="146"/>
    </row>
    <row r="366" spans="2:2" x14ac:dyDescent="0.2">
      <c r="B366" s="146"/>
    </row>
    <row r="367" spans="2:2" x14ac:dyDescent="0.2">
      <c r="B367" s="146"/>
    </row>
    <row r="368" spans="2:2" x14ac:dyDescent="0.2">
      <c r="B368" s="146"/>
    </row>
    <row r="369" spans="2:2" x14ac:dyDescent="0.2">
      <c r="B369" s="146"/>
    </row>
    <row r="370" spans="2:2" x14ac:dyDescent="0.2">
      <c r="B370" s="146"/>
    </row>
    <row r="371" spans="2:2" x14ac:dyDescent="0.2">
      <c r="B371" s="146"/>
    </row>
    <row r="372" spans="2:2" x14ac:dyDescent="0.2">
      <c r="B372" s="146"/>
    </row>
    <row r="373" spans="2:2" x14ac:dyDescent="0.2">
      <c r="B373" s="146"/>
    </row>
    <row r="374" spans="2:2" x14ac:dyDescent="0.2">
      <c r="B374" s="146"/>
    </row>
    <row r="375" spans="2:2" x14ac:dyDescent="0.2">
      <c r="B375" s="146"/>
    </row>
    <row r="376" spans="2:2" x14ac:dyDescent="0.2">
      <c r="B376" s="146"/>
    </row>
    <row r="377" spans="2:2" x14ac:dyDescent="0.2">
      <c r="B377" s="146"/>
    </row>
    <row r="378" spans="2:2" x14ac:dyDescent="0.2">
      <c r="B378" s="146"/>
    </row>
  </sheetData>
  <sheetProtection formatCells="0" formatColumns="0" formatRows="0" insertColumns="0" insertRows="0" insertHyperlinks="0" deleteColumns="0" deleteRows="0" sort="0" autoFilter="0" pivotTables="0"/>
  <mergeCells count="43">
    <mergeCell ref="H1:I1"/>
    <mergeCell ref="G5:I5"/>
    <mergeCell ref="G12:I12"/>
    <mergeCell ref="G13:I13"/>
    <mergeCell ref="H29:I29"/>
    <mergeCell ref="G4:I4"/>
    <mergeCell ref="C31:D31"/>
    <mergeCell ref="H31:I31"/>
    <mergeCell ref="C32:E32"/>
    <mergeCell ref="H32:I32"/>
    <mergeCell ref="C33:E33"/>
    <mergeCell ref="H33:I33"/>
    <mergeCell ref="C34:D34"/>
    <mergeCell ref="H34:I34"/>
    <mergeCell ref="C35:E35"/>
    <mergeCell ref="H35:I35"/>
    <mergeCell ref="C36:E36"/>
    <mergeCell ref="H36:I36"/>
    <mergeCell ref="C37:E37"/>
    <mergeCell ref="H37:I37"/>
    <mergeCell ref="C38:D38"/>
    <mergeCell ref="F38:H38"/>
    <mergeCell ref="C39:D39"/>
    <mergeCell ref="F39:H39"/>
    <mergeCell ref="C40:J40"/>
    <mergeCell ref="C41:F41"/>
    <mergeCell ref="C42:G42"/>
    <mergeCell ref="B43:I43"/>
    <mergeCell ref="B44:I44"/>
    <mergeCell ref="B45:I45"/>
    <mergeCell ref="F47:I47"/>
    <mergeCell ref="B50:I50"/>
    <mergeCell ref="B51:I51"/>
    <mergeCell ref="B110:I110"/>
    <mergeCell ref="B47:B48"/>
    <mergeCell ref="C47:C48"/>
    <mergeCell ref="D47:D48"/>
    <mergeCell ref="E47:E48"/>
    <mergeCell ref="B120:I120"/>
    <mergeCell ref="B127:I127"/>
    <mergeCell ref="B138:I138"/>
    <mergeCell ref="G169:I169"/>
    <mergeCell ref="G170:I170"/>
  </mergeCells>
  <pageMargins left="1.1811023622047201" right="0.59055118110236204" top="0.78740157480314998" bottom="0.78740157480314998" header="0.31496062992126" footer="0.31496062992126"/>
  <pageSetup paperSize="9" scale="48" fitToHeight="0" orientation="portrait" r:id="rId1"/>
  <rowBreaks count="2" manualBreakCount="2">
    <brk id="66" max="8" man="1"/>
    <brk id="9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проект 2026</vt:lpstr>
      <vt:lpstr>'проект 2026'!Заголовки_для_печати</vt:lpstr>
      <vt:lpstr>'проект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Tatiana</cp:lastModifiedBy>
  <cp:lastPrinted>2025-08-21T09:59:06Z</cp:lastPrinted>
  <dcterms:created xsi:type="dcterms:W3CDTF">2019-10-17T10:42:00Z</dcterms:created>
  <dcterms:modified xsi:type="dcterms:W3CDTF">2025-09-25T08:08:17Z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2D73BAA1458A478D8E508BB7214D662C_13</vt:lpwstr>
  </property>
  <property fmtid="{D5CDD505-2E9C-101B-9397-08002B2CF9AE}" pid="3" name="KSOProductBuildVer">
    <vt:lpwstr>1033-12.2.0.21179</vt:lpwstr>
  </property>
</Properties>
</file>