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5\ФІН ПЛАНИ\Проєкти 2026\ДООПРАЦЬОВАНО\Стомат\ріш+розс\"/>
    </mc:Choice>
  </mc:AlternateContent>
  <bookViews>
    <workbookView xWindow="0" yWindow="0" windowWidth="28800" windowHeight="12345" firstSheet="1" activeTab="1"/>
  </bookViews>
  <sheets>
    <sheet name="Лист1" sheetId="3" state="hidden" r:id="rId1"/>
    <sheet name="проект 2026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localSheetId="1" hidden="1">[1]GDP!#REF!</definedName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1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1">#REF!</definedName>
    <definedName name="Cost_Category_National_ID">#REF!</definedName>
    <definedName name="Cе511" localSheetId="1">#REF!</definedName>
    <definedName name="Cе511">#REF!</definedName>
    <definedName name="d">'[9]МТР Газ України'!$B$4</definedName>
    <definedName name="dCPIb" localSheetId="1">[10]попер_роз!#REF!</definedName>
    <definedName name="dCPIb">[10]попер_роз!#REF!</definedName>
    <definedName name="dPPIb" localSheetId="1">[10]попер_роз!#REF!</definedName>
    <definedName name="dPPIb">[10]попер_роз!#REF!</definedName>
    <definedName name="ds" localSheetId="1">'[11]7  Інші витрати'!#REF!</definedName>
    <definedName name="ds">'[11]7  Інші витрати'!#REF!</definedName>
    <definedName name="Fact_Type_ID" localSheetId="1">#REF!</definedName>
    <definedName name="Fact_Type_ID">#REF!</definedName>
    <definedName name="G">'[12]МТР Газ України'!$B$1</definedName>
    <definedName name="ij1sssss" localSheetId="1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1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1">[14]!ShowFil</definedName>
    <definedName name="ShowFil">[14]!ShowFil</definedName>
    <definedName name="SU_ID" localSheetId="1">#REF!</definedName>
    <definedName name="SU_ID">#REF!</definedName>
    <definedName name="Time_ID">'[16]МТР Газ України'!$B$1</definedName>
    <definedName name="Time_ID_10" localSheetId="1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1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1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1">#REF!</definedName>
    <definedName name="yyyy">#REF!</definedName>
    <definedName name="zx">'[4]МТР Газ України'!$F$1</definedName>
    <definedName name="zxc">[5]Inform!$E$38</definedName>
    <definedName name="а" localSheetId="1">'[13]7  Інші витрати'!#REF!</definedName>
    <definedName name="а">'[13]7  Інші витрати'!#REF!</definedName>
    <definedName name="ав" localSheetId="1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1">'[27]БАЗА  '!#REF!</definedName>
    <definedName name="ватт">'[27]БАЗА  '!#REF!</definedName>
    <definedName name="Д">'[15]МТР Газ України'!$B$4</definedName>
    <definedName name="е" localSheetId="1">#REF!</definedName>
    <definedName name="е">#REF!</definedName>
    <definedName name="є" localSheetId="1">#REF!</definedName>
    <definedName name="є">#REF!</definedName>
    <definedName name="Заголовки_для_печати_МИ">'[28]1993'!$1:$3,'[28]1993'!$A:$A</definedName>
    <definedName name="йуц" localSheetId="1">#REF!</definedName>
    <definedName name="йуц">#REF!</definedName>
    <definedName name="йцу" localSheetId="1">#REF!</definedName>
    <definedName name="йцу">#REF!</definedName>
    <definedName name="йцуйй" localSheetId="1">#REF!</definedName>
    <definedName name="йцуйй">#REF!</definedName>
    <definedName name="йцукц" localSheetId="1">'[30]7  Інші витрати'!#REF!</definedName>
    <definedName name="йцукц">'[30]7  Інші витрати'!#REF!</definedName>
    <definedName name="і">[29]Inform!$F$2</definedName>
    <definedName name="ів" localSheetId="1">#REF!</definedName>
    <definedName name="ів">#REF!</definedName>
    <definedName name="ів___0" localSheetId="1">#REF!</definedName>
    <definedName name="ів___0">#REF!</definedName>
    <definedName name="ів_22" localSheetId="1">#REF!</definedName>
    <definedName name="ів_22">#REF!</definedName>
    <definedName name="ів_26" localSheetId="1">#REF!</definedName>
    <definedName name="ів_26">#REF!</definedName>
    <definedName name="іваіа" localSheetId="1">'[30]7  Інші витрати'!#REF!</definedName>
    <definedName name="іваіа">'[30]7  Інші витрати'!#REF!</definedName>
    <definedName name="іваф" localSheetId="1">#REF!</definedName>
    <definedName name="іваф">#REF!</definedName>
    <definedName name="івів">'[12]МТР Газ України'!$B$1</definedName>
    <definedName name="іцу">[23]Inform!$G$2</definedName>
    <definedName name="КЕ" localSheetId="1">#REF!</definedName>
    <definedName name="КЕ">#REF!</definedName>
    <definedName name="КЕ___0" localSheetId="1">#REF!</definedName>
    <definedName name="КЕ___0">#REF!</definedName>
    <definedName name="КЕ_22" localSheetId="1">#REF!</definedName>
    <definedName name="КЕ_22">#REF!</definedName>
    <definedName name="КЕ_26" localSheetId="1">#REF!</definedName>
    <definedName name="КЕ_26">#REF!</definedName>
    <definedName name="кен" localSheetId="1">#REF!</definedName>
    <definedName name="кен">#REF!</definedName>
    <definedName name="л" localSheetId="1">#REF!</definedName>
    <definedName name="л">#REF!</definedName>
    <definedName name="п" localSheetId="1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1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1">#REF!</definedName>
    <definedName name="р">#REF!</definedName>
    <definedName name="т">[32]Inform!$E$6</definedName>
    <definedName name="тариф">[33]Inform!$G$2</definedName>
    <definedName name="уйцукйцуйу" localSheetId="1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1">'[30]7  Інші витрати'!#REF!</definedName>
    <definedName name="фіваіф">'[30]7  Інші витрати'!#REF!</definedName>
    <definedName name="фф">'[26]МТР Газ України'!$F$1</definedName>
    <definedName name="ц" localSheetId="1">'[13]7  Інші витрати'!#REF!</definedName>
    <definedName name="ц">'[13]7  Інші витрати'!#REF!</definedName>
    <definedName name="ччч" localSheetId="1">'[35]БАЗА  '!#REF!</definedName>
    <definedName name="ччч">'[35]БАЗА  '!#REF!</definedName>
    <definedName name="ш" localSheetId="1">#REF!</definedName>
    <definedName name="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0" i="6" l="1"/>
  <c r="G130" i="6"/>
  <c r="H130" i="6"/>
  <c r="E130" i="6"/>
  <c r="D130" i="6"/>
  <c r="H55" i="6" l="1"/>
  <c r="G55" i="6"/>
  <c r="F55" i="6"/>
  <c r="E55" i="6"/>
  <c r="F60" i="6"/>
  <c r="G60" i="6"/>
  <c r="H60" i="6"/>
  <c r="E60" i="6"/>
  <c r="E149" i="6" l="1"/>
  <c r="F150" i="6"/>
  <c r="G151" i="6"/>
  <c r="G150" i="6"/>
  <c r="H151" i="6"/>
  <c r="H156" i="6"/>
  <c r="H155" i="6"/>
  <c r="F156" i="6"/>
  <c r="F149" i="6" s="1"/>
  <c r="E155" i="6"/>
  <c r="E148" i="6" s="1"/>
  <c r="G155" i="6"/>
  <c r="F155" i="6"/>
  <c r="F148" i="6" s="1"/>
  <c r="F154" i="6"/>
  <c r="E154" i="6"/>
  <c r="E157" i="6"/>
  <c r="E150" i="6" l="1"/>
  <c r="F160" i="6"/>
  <c r="H81" i="6" l="1"/>
  <c r="G81" i="6"/>
  <c r="F81" i="6"/>
  <c r="E81" i="6"/>
  <c r="H91" i="6"/>
  <c r="G91" i="6"/>
  <c r="F91" i="6"/>
  <c r="E91" i="6"/>
  <c r="D91" i="6" l="1"/>
  <c r="G156" i="6"/>
  <c r="G149" i="6" s="1"/>
  <c r="G154" i="6"/>
  <c r="E158" i="6"/>
  <c r="E161" i="6"/>
  <c r="H154" i="6"/>
  <c r="H147" i="6" s="1"/>
  <c r="H148" i="6"/>
  <c r="H149" i="6"/>
  <c r="H150" i="6"/>
  <c r="G148" i="6"/>
  <c r="F151" i="6"/>
  <c r="F147" i="6"/>
  <c r="G147" i="6"/>
  <c r="E147" i="6"/>
  <c r="H161" i="6" l="1"/>
  <c r="E151" i="6"/>
  <c r="E152" i="6"/>
  <c r="F146" i="6"/>
  <c r="G146" i="6"/>
  <c r="H146" i="6"/>
  <c r="E146" i="6"/>
  <c r="C73" i="6" l="1"/>
  <c r="F145" i="6" l="1"/>
  <c r="G162" i="6" l="1"/>
  <c r="H160" i="6"/>
  <c r="G160" i="6"/>
  <c r="H145" i="6"/>
  <c r="D55" i="6" l="1"/>
  <c r="D54" i="6"/>
  <c r="D65" i="6" l="1"/>
  <c r="D146" i="6" l="1"/>
  <c r="C56" i="6" l="1"/>
  <c r="D82" i="6" l="1"/>
  <c r="D118" i="6" l="1"/>
  <c r="H164" i="6" l="1"/>
  <c r="D75" i="6" l="1"/>
  <c r="D132" i="6" l="1"/>
  <c r="D133" i="6" s="1"/>
  <c r="F162" i="6" l="1"/>
  <c r="D92" i="6" l="1"/>
  <c r="E110" i="6" l="1"/>
  <c r="E164" i="6" l="1"/>
  <c r="E160" i="6"/>
  <c r="E76" i="6" l="1"/>
  <c r="D60" i="6" l="1"/>
  <c r="E165" i="6" l="1"/>
  <c r="H165" i="6" l="1"/>
  <c r="G165" i="6"/>
  <c r="F165" i="6"/>
  <c r="H163" i="6"/>
  <c r="G163" i="6"/>
  <c r="E163" i="6"/>
  <c r="G161" i="6"/>
  <c r="F161" i="6"/>
  <c r="D158" i="6"/>
  <c r="F164" i="6"/>
  <c r="F163" i="6"/>
  <c r="H162" i="6"/>
  <c r="E162" i="6"/>
  <c r="D155" i="6"/>
  <c r="D162" i="6" s="1"/>
  <c r="D154" i="6"/>
  <c r="D153" i="6"/>
  <c r="G152" i="6"/>
  <c r="F152" i="6"/>
  <c r="D139" i="6"/>
  <c r="H138" i="6"/>
  <c r="G138" i="6"/>
  <c r="F138" i="6"/>
  <c r="E138" i="6"/>
  <c r="D136" i="6"/>
  <c r="D135" i="6"/>
  <c r="D134" i="6"/>
  <c r="D131" i="6"/>
  <c r="D129" i="6"/>
  <c r="D128" i="6"/>
  <c r="D127" i="6"/>
  <c r="H124" i="6"/>
  <c r="G124" i="6"/>
  <c r="F124" i="6"/>
  <c r="E124" i="6"/>
  <c r="C124" i="6"/>
  <c r="D117" i="6"/>
  <c r="D116" i="6"/>
  <c r="D115" i="6"/>
  <c r="D114" i="6"/>
  <c r="D113" i="6"/>
  <c r="D112" i="6"/>
  <c r="D111" i="6"/>
  <c r="H110" i="6"/>
  <c r="H125" i="6" s="1"/>
  <c r="G110" i="6"/>
  <c r="G125" i="6" s="1"/>
  <c r="F110" i="6"/>
  <c r="F125" i="6" s="1"/>
  <c r="D106" i="6"/>
  <c r="H105" i="6"/>
  <c r="G105" i="6"/>
  <c r="F105" i="6"/>
  <c r="E105" i="6"/>
  <c r="C105" i="6"/>
  <c r="D104" i="6"/>
  <c r="D103" i="6"/>
  <c r="D102" i="6"/>
  <c r="D101" i="6"/>
  <c r="D100" i="6"/>
  <c r="D99" i="6"/>
  <c r="D98" i="6"/>
  <c r="D97" i="6"/>
  <c r="H96" i="6"/>
  <c r="G96" i="6"/>
  <c r="F96" i="6"/>
  <c r="E96" i="6"/>
  <c r="C96" i="6"/>
  <c r="D95" i="6"/>
  <c r="D94" i="6"/>
  <c r="D93" i="6"/>
  <c r="D90" i="6"/>
  <c r="D89" i="6"/>
  <c r="D88" i="6"/>
  <c r="H86" i="6"/>
  <c r="G86" i="6"/>
  <c r="F86" i="6"/>
  <c r="E86" i="6"/>
  <c r="C86" i="6"/>
  <c r="D85" i="6"/>
  <c r="D84" i="6"/>
  <c r="D83" i="6"/>
  <c r="D81" i="6"/>
  <c r="D80" i="6"/>
  <c r="D79" i="6"/>
  <c r="D78" i="6"/>
  <c r="D77" i="6"/>
  <c r="H76" i="6"/>
  <c r="H73" i="6" s="1"/>
  <c r="G76" i="6"/>
  <c r="F76" i="6"/>
  <c r="F73" i="6" s="1"/>
  <c r="D74" i="6"/>
  <c r="H70" i="6"/>
  <c r="G70" i="6"/>
  <c r="F70" i="6"/>
  <c r="E70" i="6"/>
  <c r="C70" i="6"/>
  <c r="D69" i="6"/>
  <c r="D68" i="6"/>
  <c r="D67" i="6" s="1"/>
  <c r="H67" i="6"/>
  <c r="G67" i="6"/>
  <c r="F67" i="6"/>
  <c r="F66" i="6" s="1"/>
  <c r="E67" i="6"/>
  <c r="E66" i="6" s="1"/>
  <c r="H66" i="6"/>
  <c r="C66" i="6"/>
  <c r="D64" i="6"/>
  <c r="D63" i="6"/>
  <c r="D62" i="6"/>
  <c r="D61" i="6"/>
  <c r="D59" i="6"/>
  <c r="D58" i="6"/>
  <c r="D57" i="6"/>
  <c r="H56" i="6"/>
  <c r="G56" i="6"/>
  <c r="F56" i="6"/>
  <c r="E56" i="6"/>
  <c r="H53" i="6"/>
  <c r="G53" i="6"/>
  <c r="F53" i="6"/>
  <c r="E53" i="6"/>
  <c r="C53" i="6"/>
  <c r="C107" i="6" l="1"/>
  <c r="D70" i="6"/>
  <c r="D105" i="6"/>
  <c r="C72" i="6"/>
  <c r="C108" i="6" s="1"/>
  <c r="D56" i="6"/>
  <c r="G164" i="6"/>
  <c r="D151" i="6"/>
  <c r="D161" i="6"/>
  <c r="D147" i="6"/>
  <c r="H72" i="6"/>
  <c r="H120" i="6" s="1"/>
  <c r="F72" i="6"/>
  <c r="F120" i="6" s="1"/>
  <c r="D110" i="6"/>
  <c r="D125" i="6" s="1"/>
  <c r="E72" i="6"/>
  <c r="F107" i="6"/>
  <c r="F123" i="6" s="1"/>
  <c r="D96" i="6"/>
  <c r="D160" i="6"/>
  <c r="H152" i="6"/>
  <c r="H159" i="6" s="1"/>
  <c r="D165" i="6"/>
  <c r="D149" i="6"/>
  <c r="D148" i="6"/>
  <c r="H107" i="6"/>
  <c r="H121" i="6" s="1"/>
  <c r="D86" i="6"/>
  <c r="C121" i="6"/>
  <c r="D76" i="6"/>
  <c r="D53" i="6"/>
  <c r="G66" i="6"/>
  <c r="E73" i="6"/>
  <c r="G73" i="6"/>
  <c r="D87" i="6"/>
  <c r="D124" i="6"/>
  <c r="C122" i="6"/>
  <c r="D156" i="6"/>
  <c r="D163" i="6" s="1"/>
  <c r="D157" i="6"/>
  <c r="D164" i="6" s="1"/>
  <c r="E159" i="6"/>
  <c r="G159" i="6"/>
  <c r="F159" i="6"/>
  <c r="C120" i="6" l="1"/>
  <c r="D152" i="6"/>
  <c r="H123" i="6"/>
  <c r="D73" i="6"/>
  <c r="F122" i="6"/>
  <c r="F121" i="6"/>
  <c r="F108" i="6"/>
  <c r="E120" i="6"/>
  <c r="H122" i="6"/>
  <c r="D150" i="6"/>
  <c r="E145" i="6"/>
  <c r="H108" i="6"/>
  <c r="G145" i="6"/>
  <c r="D145" i="6" s="1"/>
  <c r="G107" i="6"/>
  <c r="E107" i="6"/>
  <c r="D66" i="6"/>
  <c r="D72" i="6" s="1"/>
  <c r="G72" i="6"/>
  <c r="E123" i="6" l="1"/>
  <c r="D107" i="6"/>
  <c r="D108" i="6" s="1"/>
  <c r="D159" i="6"/>
  <c r="E108" i="6"/>
  <c r="D120" i="6"/>
  <c r="G121" i="6"/>
  <c r="G122" i="6"/>
  <c r="G123" i="6"/>
  <c r="G120" i="6"/>
  <c r="G108" i="6"/>
  <c r="E121" i="6"/>
  <c r="E122" i="6"/>
  <c r="D121" i="6" l="1"/>
  <c r="D122" i="6"/>
  <c r="D123" i="6"/>
  <c r="J21" i="3" l="1"/>
  <c r="C19" i="3"/>
  <c r="B19" i="3"/>
  <c r="F14" i="3"/>
  <c r="F5" i="3"/>
  <c r="I5" i="3" s="1"/>
  <c r="E5" i="3"/>
  <c r="H5" i="3" s="1"/>
  <c r="E12" i="3"/>
  <c r="H12" i="3" s="1"/>
  <c r="K12" i="3" s="1"/>
  <c r="F12" i="3"/>
  <c r="I12" i="3" s="1"/>
  <c r="F11" i="3"/>
  <c r="E11" i="3"/>
  <c r="F10" i="3"/>
  <c r="E10" i="3"/>
  <c r="F9" i="3"/>
  <c r="E9" i="3"/>
  <c r="F8" i="3"/>
  <c r="E8" i="3"/>
  <c r="H8" i="3" s="1"/>
  <c r="K8" i="3" s="1"/>
  <c r="E7" i="3"/>
  <c r="E6" i="3"/>
  <c r="E21" i="3" s="1"/>
  <c r="H15" i="3"/>
  <c r="K15" i="3" s="1"/>
  <c r="I15" i="3"/>
  <c r="H6" i="3"/>
  <c r="K6" i="3" s="1"/>
  <c r="I6" i="3"/>
  <c r="H7" i="3"/>
  <c r="K7" i="3" s="1"/>
  <c r="L7" i="3" s="1"/>
  <c r="I7" i="3"/>
  <c r="I8" i="3"/>
  <c r="H9" i="3"/>
  <c r="I9" i="3"/>
  <c r="K9" i="3" s="1"/>
  <c r="H10" i="3"/>
  <c r="K10" i="3" s="1"/>
  <c r="I10" i="3"/>
  <c r="H11" i="3"/>
  <c r="K11" i="3" s="1"/>
  <c r="L11" i="3" s="1"/>
  <c r="I11" i="3"/>
  <c r="I14" i="3"/>
  <c r="I4" i="3"/>
  <c r="H4" i="3"/>
  <c r="C16" i="3"/>
  <c r="B16" i="3"/>
  <c r="D13" i="3"/>
  <c r="D14" i="3"/>
  <c r="D15" i="3"/>
  <c r="G15" i="3"/>
  <c r="G6" i="3"/>
  <c r="G7" i="3"/>
  <c r="G11" i="3"/>
  <c r="G4" i="3"/>
  <c r="J4" i="3" s="1"/>
  <c r="D5" i="3"/>
  <c r="D19" i="3" s="1"/>
  <c r="D6" i="3"/>
  <c r="D7" i="3"/>
  <c r="D8" i="3"/>
  <c r="D9" i="3"/>
  <c r="D10" i="3"/>
  <c r="D11" i="3"/>
  <c r="D12" i="3"/>
  <c r="D4" i="3"/>
  <c r="D22" i="3" s="1"/>
  <c r="J22" i="3" l="1"/>
  <c r="J16" i="3"/>
  <c r="M10" i="3"/>
  <c r="L10" i="3"/>
  <c r="N10" i="3"/>
  <c r="N8" i="3"/>
  <c r="M8" i="3"/>
  <c r="L8" i="3"/>
  <c r="M6" i="3"/>
  <c r="L6" i="3"/>
  <c r="N6" i="3"/>
  <c r="M15" i="3"/>
  <c r="N15" i="3"/>
  <c r="N12" i="3"/>
  <c r="M12" i="3"/>
  <c r="L12" i="3"/>
  <c r="L9" i="3"/>
  <c r="F21" i="3"/>
  <c r="K4" i="3"/>
  <c r="K5" i="3"/>
  <c r="H21" i="3"/>
  <c r="D21" i="3"/>
  <c r="E14" i="3"/>
  <c r="H14" i="3" s="1"/>
  <c r="K14" i="3" s="1"/>
  <c r="L14" i="3" s="1"/>
  <c r="K21" i="3"/>
  <c r="I21" i="3"/>
  <c r="G9" i="3"/>
  <c r="M9" i="3"/>
  <c r="M21" i="3" s="1"/>
  <c r="N11" i="3"/>
  <c r="N5" i="3"/>
  <c r="N14" i="3"/>
  <c r="J19" i="3"/>
  <c r="M11" i="3"/>
  <c r="N9" i="3"/>
  <c r="N21" i="3" s="1"/>
  <c r="M7" i="3"/>
  <c r="N7" i="3"/>
  <c r="G10" i="3"/>
  <c r="F13" i="3"/>
  <c r="I13" i="3" s="1"/>
  <c r="I22" i="3" s="1"/>
  <c r="G12" i="3"/>
  <c r="G8" i="3"/>
  <c r="E13" i="3"/>
  <c r="H13" i="3" s="1"/>
  <c r="K13" i="3" s="1"/>
  <c r="K22" i="3" s="1"/>
  <c r="G14" i="3"/>
  <c r="G5" i="3"/>
  <c r="I16" i="3"/>
  <c r="D16" i="3"/>
  <c r="K16" i="3" l="1"/>
  <c r="I17" i="3" s="1"/>
  <c r="F22" i="3"/>
  <c r="E19" i="3"/>
  <c r="I19" i="3"/>
  <c r="H22" i="3"/>
  <c r="L13" i="3"/>
  <c r="M13" i="3"/>
  <c r="E16" i="3"/>
  <c r="F16" i="3"/>
  <c r="K19" i="3"/>
  <c r="M14" i="3"/>
  <c r="N13" i="3"/>
  <c r="N19" i="3" s="1"/>
  <c r="G21" i="3"/>
  <c r="F19" i="3"/>
  <c r="E22" i="3"/>
  <c r="L5" i="3"/>
  <c r="L19" i="3" s="1"/>
  <c r="M5" i="3"/>
  <c r="N4" i="3"/>
  <c r="L4" i="3"/>
  <c r="M4" i="3"/>
  <c r="H19" i="3"/>
  <c r="N22" i="3"/>
  <c r="M19" i="3"/>
  <c r="N16" i="3"/>
  <c r="M16" i="3"/>
  <c r="M17" i="3" s="1"/>
  <c r="L16" i="3"/>
  <c r="H16" i="3"/>
  <c r="H18" i="3" s="1"/>
  <c r="G13" i="3"/>
  <c r="G16" i="3" s="1"/>
  <c r="M22" i="3" l="1"/>
  <c r="G19" i="3"/>
  <c r="G22" i="3"/>
  <c r="L17" i="3"/>
</calcChain>
</file>

<file path=xl/sharedStrings.xml><?xml version="1.0" encoding="utf-8"?>
<sst xmlns="http://schemas.openxmlformats.org/spreadsheetml/2006/main" count="228" uniqueCount="193">
  <si>
    <t xml:space="preserve">         (ініціали, прізвище)    </t>
  </si>
  <si>
    <t xml:space="preserve">               (підпис)</t>
  </si>
  <si>
    <t xml:space="preserve">                                (посада)</t>
  </si>
  <si>
    <t>інший персонал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</si>
  <si>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</si>
  <si>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</si>
  <si>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</si>
  <si>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</si>
  <si>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</si>
  <si>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</si>
  <si>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</si>
  <si>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</si>
  <si>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</si>
  <si>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</si>
  <si>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</si>
  <si>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</si>
  <si>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</si>
  <si>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</si>
  <si>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</si>
  <si>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</si>
  <si>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</si>
  <si>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</si>
  <si>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</si>
  <si>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</si>
  <si>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</si>
  <si>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</si>
  <si>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</si>
  <si>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</si>
  <si>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</si>
  <si>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</si>
  <si>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</si>
  <si>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</si>
  <si>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</si>
  <si>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</si>
  <si>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</si>
  <si>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</si>
  <si>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</si>
  <si>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</si>
  <si>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 xml:space="preserve">за ЄДРПОУ </t>
  </si>
  <si>
    <t>Назва підприємства</t>
  </si>
  <si>
    <t>Коди</t>
  </si>
  <si>
    <t> (число, місяць, рік)</t>
  </si>
  <si>
    <t>(підпис, ініціали, прізвище)</t>
  </si>
  <si>
    <t>( керівник уповноваженого органу управління  )</t>
  </si>
  <si>
    <t>ПОГОДЖЕНО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</si>
  <si>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</si>
  <si>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</si>
  <si>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</si>
  <si>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</si>
  <si>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</si>
  <si>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</si>
  <si>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</si>
  <si>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</si>
  <si>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 xml:space="preserve"> ФІНАНСОВИЙ  ПЛАН ПІДПРИЄМСТВА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</si>
  <si>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</si>
  <si>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</si>
  <si>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</si>
  <si>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</si>
  <si>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</si>
  <si>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</si>
  <si>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</si>
  <si>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>Уточнений</t>
  </si>
  <si>
    <t>зробити позначку"Х"</t>
  </si>
  <si>
    <t>Змінений</t>
  </si>
  <si>
    <t>Додаток 1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</si>
  <si>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</si>
  <si>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</si>
  <si>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</si>
  <si>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</si>
  <si>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</si>
  <si>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</si>
  <si>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</si>
  <si>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</si>
  <si>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</si>
  <si>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</si>
  <si>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 xml:space="preserve">Дохід від надання послуг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</si>
  <si>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</si>
  <si>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</si>
  <si>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</si>
  <si>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</si>
  <si>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</si>
  <si>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</si>
  <si>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</si>
  <si>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</si>
  <si>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</si>
  <si>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</si>
  <si>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</si>
  <si>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</si>
  <si>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</si>
  <si>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</si>
  <si>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</si>
  <si>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</si>
  <si>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</si>
  <si>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</si>
  <si>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</si>
  <si>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</si>
  <si>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</si>
  <si>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</si>
  <si>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</si>
  <si>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</si>
  <si>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</si>
  <si>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</si>
  <si>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</si>
  <si>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</si>
  <si>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</si>
  <si>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</si>
  <si>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</si>
  <si>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</si>
  <si>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</si>
  <si>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</si>
  <si>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</si>
  <si>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</si>
  <si>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</si>
  <si>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</si>
  <si>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</si>
  <si>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</si>
  <si>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</si>
  <si>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</si>
  <si>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</si>
  <si>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</si>
  <si>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</si>
  <si>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</si>
  <si>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</si>
  <si>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</si>
  <si>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</si>
  <si>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</si>
  <si>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</si>
  <si>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</si>
  <si>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</si>
  <si>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</si>
  <si>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</si>
  <si>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</si>
  <si>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03395111</t>
  </si>
  <si>
    <t>Комунальне некомерційне підприємство "Клінічна стоматологічна поліклініка" Сумської міської ради</t>
  </si>
  <si>
    <t xml:space="preserve">Комунальне  підприємство </t>
  </si>
  <si>
    <t>м.Суми</t>
  </si>
  <si>
    <t>Сумська міська рада</t>
  </si>
  <si>
    <t>Стоматологічна практика</t>
  </si>
  <si>
    <t>Комунальна</t>
  </si>
  <si>
    <t xml:space="preserve">Одиниця виміру,                                           </t>
  </si>
  <si>
    <t>тис.грн.</t>
  </si>
  <si>
    <t>40007, Сумська область, м.Суми, вул. Паркова,2/1</t>
  </si>
  <si>
    <t>86.23</t>
  </si>
  <si>
    <t>Директор</t>
  </si>
  <si>
    <t>Разом</t>
  </si>
  <si>
    <t>бюджет</t>
  </si>
  <si>
    <t>разом</t>
  </si>
  <si>
    <t>Категорія</t>
  </si>
  <si>
    <t>Розрахунок фонду оплати праці на 2022 рік</t>
  </si>
  <si>
    <t>Кількість штатних посад</t>
  </si>
  <si>
    <t>платні</t>
  </si>
  <si>
    <t>ФОП на місяць</t>
  </si>
  <si>
    <t>ФОП на рік</t>
  </si>
  <si>
    <t>Завідувач відділення</t>
  </si>
  <si>
    <t>Головна медсестра</t>
  </si>
  <si>
    <t>Лікарі</t>
  </si>
  <si>
    <t>Середній медичний персонал</t>
  </si>
  <si>
    <t>Молодший медичний перс.</t>
  </si>
  <si>
    <t>Інші</t>
  </si>
  <si>
    <t>Заступник директора з ЕП</t>
  </si>
  <si>
    <t>Головний бухгалтер</t>
  </si>
  <si>
    <t>Середня заробітна плата</t>
  </si>
  <si>
    <t>Медичний директор, 95 %</t>
  </si>
  <si>
    <t>Спеціалісти 25 %</t>
  </si>
  <si>
    <t>Кошторис міський бюджет</t>
  </si>
  <si>
    <t>НСЗУ (потреба)</t>
  </si>
  <si>
    <t>премія</t>
  </si>
  <si>
    <t>ФОП на квартал</t>
  </si>
  <si>
    <t>Заробітна плата на квартал</t>
  </si>
  <si>
    <t>Адмінперсонал</t>
  </si>
  <si>
    <t>Фінгансовий план</t>
  </si>
  <si>
    <t>Собівартість</t>
  </si>
  <si>
    <t>Адмінвитрати</t>
  </si>
  <si>
    <t>Лікарняні</t>
  </si>
  <si>
    <t>Охорона здоров'я</t>
  </si>
  <si>
    <t>Шуваєв М.В.</t>
  </si>
  <si>
    <t>Проєкт</t>
  </si>
  <si>
    <t>тис. грн.</t>
  </si>
  <si>
    <t>(0542) 780770</t>
  </si>
  <si>
    <t>х</t>
  </si>
  <si>
    <t>Начальник Управління внутрішнього контролю та                     аудиту Сумської міської ради</t>
  </si>
  <si>
    <t>до Порядку складання, затвердження, внесення змін, звітування та контролю виконання фінансових планів комунальних некомерційних підприємств, що належать до комунальної власності Сумської міської територіальної громади</t>
  </si>
  <si>
    <t xml:space="preserve">М.П. </t>
  </si>
  <si>
    <t>(Рішення Виконавчого комітету Сумської міської ради)</t>
  </si>
  <si>
    <t>Інші операційні доходи, які не включені в рядки 1011-1018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</si>
  <si>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</si>
  <si>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</si>
  <si>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</si>
  <si>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</si>
  <si>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</si>
  <si>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>Максим ШУВАЄВ</t>
  </si>
  <si>
    <t>на     2026         рік</t>
  </si>
  <si>
    <t>від 12.09.2025 № 2659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</si>
</sst>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_(* #,##0_);_(* \(#,##0\);_(* &quot;-&quot;_);_(@_)"/>
    <numFmt numFmtId="166" formatCode="_(* #,##0.0_);_(* \(#,##0.0\);_(* &quot;-&quot;_);_(@_)"/>
    <numFmt numFmtId="167" formatCode="0.0"/>
    <numFmt numFmtId="168" formatCode="0.0%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7" fillId="2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7" fontId="2" fillId="3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/>
    </xf>
    <xf numFmtId="167" fontId="7" fillId="3" borderId="3" xfId="0" applyNumberFormat="1" applyFont="1" applyFill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quotePrefix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0" fillId="0" borderId="0" xfId="0" applyFont="1"/>
    <xf numFmtId="0" fontId="10" fillId="0" borderId="3" xfId="0" applyFont="1" applyBorder="1"/>
    <xf numFmtId="0" fontId="0" fillId="0" borderId="3" xfId="0" applyBorder="1"/>
    <xf numFmtId="0" fontId="0" fillId="0" borderId="4" xfId="0" applyFill="1" applyBorder="1"/>
    <xf numFmtId="4" fontId="10" fillId="0" borderId="0" xfId="0" applyNumberFormat="1" applyFont="1"/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7" fontId="7" fillId="0" borderId="3" xfId="0" applyNumberFormat="1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shrinkToFit="1"/>
    </xf>
    <xf numFmtId="167" fontId="2" fillId="0" borderId="3" xfId="0" quotePrefix="1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167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167" fontId="2" fillId="0" borderId="8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M8" sqref="M8"/>
    </sheetView>
  </sheetViews>
  <sheetFormatPr defaultRowHeight="15.75" x14ac:dyDescent="0.25"/>
  <cols>
    <col min="1" max="1" width="30" style="67" customWidth="1"/>
    <col min="2" max="2" width="8.85546875" style="67" customWidth="1"/>
    <col min="3" max="3" width="8.140625" style="67" customWidth="1"/>
    <col min="4" max="4" width="8.7109375" style="67" customWidth="1"/>
    <col min="5" max="5" width="12.85546875" style="67" customWidth="1"/>
    <col min="6" max="7" width="9.140625" style="67"/>
    <col min="8" max="8" width="13.28515625" style="67" customWidth="1"/>
    <col min="9" max="10" width="11.140625" customWidth="1"/>
    <col min="11" max="11" width="11.5703125" customWidth="1"/>
    <col min="12" max="12" width="14.140625" customWidth="1"/>
    <col min="13" max="13" width="16.5703125" customWidth="1"/>
    <col min="14" max="14" width="17.140625" customWidth="1"/>
  </cols>
  <sheetData>
    <row r="1" spans="1:14" x14ac:dyDescent="0.25">
      <c r="A1" s="67" t="s">
        <v>148</v>
      </c>
    </row>
    <row r="2" spans="1:14" ht="48" customHeight="1" x14ac:dyDescent="0.2">
      <c r="A2" s="117" t="s">
        <v>147</v>
      </c>
      <c r="B2" s="117" t="s">
        <v>149</v>
      </c>
      <c r="C2" s="117"/>
      <c r="D2" s="117"/>
      <c r="E2" s="117" t="s">
        <v>151</v>
      </c>
      <c r="F2" s="117"/>
      <c r="G2" s="117"/>
      <c r="H2" s="117" t="s">
        <v>152</v>
      </c>
      <c r="I2" s="117"/>
      <c r="J2" s="117"/>
      <c r="K2" s="117"/>
      <c r="L2" s="73" t="s">
        <v>161</v>
      </c>
      <c r="M2" s="72" t="s">
        <v>167</v>
      </c>
      <c r="N2" s="73" t="s">
        <v>168</v>
      </c>
    </row>
    <row r="3" spans="1:14" x14ac:dyDescent="0.25">
      <c r="A3" s="117"/>
      <c r="B3" s="68" t="s">
        <v>145</v>
      </c>
      <c r="C3" s="68" t="s">
        <v>150</v>
      </c>
      <c r="D3" s="68" t="s">
        <v>146</v>
      </c>
      <c r="E3" s="68" t="s">
        <v>145</v>
      </c>
      <c r="F3" s="68" t="s">
        <v>150</v>
      </c>
      <c r="G3" s="68" t="s">
        <v>146</v>
      </c>
      <c r="H3" s="68" t="s">
        <v>145</v>
      </c>
      <c r="I3" s="68" t="s">
        <v>150</v>
      </c>
      <c r="J3" s="68" t="s">
        <v>166</v>
      </c>
      <c r="K3" s="68" t="s">
        <v>146</v>
      </c>
      <c r="L3" s="68"/>
      <c r="M3" s="68"/>
      <c r="N3" s="68"/>
    </row>
    <row r="4" spans="1:14" x14ac:dyDescent="0.25">
      <c r="A4" s="68" t="s">
        <v>143</v>
      </c>
      <c r="B4" s="68">
        <v>0.5</v>
      </c>
      <c r="C4" s="68">
        <v>0.5</v>
      </c>
      <c r="D4" s="68">
        <f>B4+C4</f>
        <v>1</v>
      </c>
      <c r="E4" s="68">
        <v>11250</v>
      </c>
      <c r="F4" s="68">
        <v>13050</v>
      </c>
      <c r="G4" s="68">
        <f t="shared" ref="G4:G15" si="0">E4+F4</f>
        <v>24300</v>
      </c>
      <c r="H4" s="68">
        <f>E4*12</f>
        <v>135000</v>
      </c>
      <c r="I4" s="68">
        <f>F4*12</f>
        <v>156600</v>
      </c>
      <c r="J4" s="68">
        <f>G4*7</f>
        <v>170100</v>
      </c>
      <c r="K4" s="68">
        <f>H4+I4+J4</f>
        <v>461700</v>
      </c>
      <c r="L4" s="69">
        <f>K4/12/D4</f>
        <v>38475</v>
      </c>
      <c r="M4" s="69">
        <f>K4/4*1.22</f>
        <v>140818.5</v>
      </c>
      <c r="N4" s="69">
        <f>K4/4</f>
        <v>115425</v>
      </c>
    </row>
    <row r="5" spans="1:14" x14ac:dyDescent="0.25">
      <c r="A5" s="68" t="s">
        <v>162</v>
      </c>
      <c r="B5" s="68">
        <v>0.75</v>
      </c>
      <c r="C5" s="68">
        <v>0.25</v>
      </c>
      <c r="D5" s="68">
        <f t="shared" ref="D5:D12" si="1">B5+C5</f>
        <v>1</v>
      </c>
      <c r="E5" s="68">
        <f>E4*0.95</f>
        <v>10687.5</v>
      </c>
      <c r="F5" s="68">
        <f>F4*0.95</f>
        <v>12397.5</v>
      </c>
      <c r="G5" s="68">
        <f t="shared" si="0"/>
        <v>23085</v>
      </c>
      <c r="H5" s="68">
        <f t="shared" ref="H5:H15" si="2">E5*12</f>
        <v>128250</v>
      </c>
      <c r="I5" s="68">
        <f t="shared" ref="I5:I14" si="3">F5*12</f>
        <v>148770</v>
      </c>
      <c r="J5" s="68"/>
      <c r="K5" s="68">
        <f t="shared" ref="K5:K15" si="4">H5+I5+J5</f>
        <v>277020</v>
      </c>
      <c r="L5" s="69">
        <f t="shared" ref="L5:L16" si="5">K5/12/D5</f>
        <v>23085</v>
      </c>
      <c r="M5" s="69">
        <f t="shared" ref="M5:M16" si="6">K5/4*1.22</f>
        <v>84491.099999999991</v>
      </c>
      <c r="N5" s="69">
        <f t="shared" ref="N5:N15" si="7">K5/4</f>
        <v>69255</v>
      </c>
    </row>
    <row r="6" spans="1:14" x14ac:dyDescent="0.25">
      <c r="A6" s="68" t="s">
        <v>153</v>
      </c>
      <c r="B6" s="68">
        <v>1</v>
      </c>
      <c r="C6" s="68">
        <v>1</v>
      </c>
      <c r="D6" s="68">
        <f t="shared" si="1"/>
        <v>2</v>
      </c>
      <c r="E6" s="68">
        <f>20000*1.25</f>
        <v>25000</v>
      </c>
      <c r="F6" s="68">
        <v>25000</v>
      </c>
      <c r="G6" s="68">
        <f t="shared" si="0"/>
        <v>50000</v>
      </c>
      <c r="H6" s="68">
        <f t="shared" si="2"/>
        <v>300000</v>
      </c>
      <c r="I6" s="68">
        <f t="shared" si="3"/>
        <v>300000</v>
      </c>
      <c r="J6" s="68"/>
      <c r="K6" s="68">
        <f t="shared" si="4"/>
        <v>600000</v>
      </c>
      <c r="L6" s="69">
        <f t="shared" si="5"/>
        <v>25000</v>
      </c>
      <c r="M6" s="69">
        <f t="shared" si="6"/>
        <v>183000</v>
      </c>
      <c r="N6" s="69">
        <f t="shared" si="7"/>
        <v>150000</v>
      </c>
    </row>
    <row r="7" spans="1:14" x14ac:dyDescent="0.25">
      <c r="A7" s="68" t="s">
        <v>154</v>
      </c>
      <c r="B7" s="68">
        <v>1</v>
      </c>
      <c r="C7" s="68">
        <v>0</v>
      </c>
      <c r="D7" s="68">
        <f t="shared" si="1"/>
        <v>1</v>
      </c>
      <c r="E7" s="68">
        <f>20000+819</f>
        <v>20819</v>
      </c>
      <c r="F7" s="68">
        <v>0</v>
      </c>
      <c r="G7" s="68">
        <f t="shared" si="0"/>
        <v>20819</v>
      </c>
      <c r="H7" s="68">
        <f t="shared" si="2"/>
        <v>249828</v>
      </c>
      <c r="I7" s="68">
        <f t="shared" si="3"/>
        <v>0</v>
      </c>
      <c r="J7" s="68"/>
      <c r="K7" s="68">
        <f t="shared" si="4"/>
        <v>249828</v>
      </c>
      <c r="L7" s="69">
        <f t="shared" si="5"/>
        <v>20819</v>
      </c>
      <c r="M7" s="69">
        <f t="shared" si="6"/>
        <v>76197.539999999994</v>
      </c>
      <c r="N7" s="69">
        <f t="shared" si="7"/>
        <v>62457</v>
      </c>
    </row>
    <row r="8" spans="1:14" x14ac:dyDescent="0.25">
      <c r="A8" s="68" t="s">
        <v>155</v>
      </c>
      <c r="B8" s="68">
        <v>22.25</v>
      </c>
      <c r="C8" s="68">
        <v>20.75</v>
      </c>
      <c r="D8" s="68">
        <f t="shared" si="1"/>
        <v>43</v>
      </c>
      <c r="E8" s="68">
        <f>20000*B8</f>
        <v>445000</v>
      </c>
      <c r="F8" s="68">
        <f>20000*C8</f>
        <v>415000</v>
      </c>
      <c r="G8" s="68">
        <f t="shared" si="0"/>
        <v>860000</v>
      </c>
      <c r="H8" s="68">
        <f t="shared" si="2"/>
        <v>5340000</v>
      </c>
      <c r="I8" s="68">
        <f t="shared" si="3"/>
        <v>4980000</v>
      </c>
      <c r="J8" s="68"/>
      <c r="K8" s="68">
        <f t="shared" si="4"/>
        <v>10320000</v>
      </c>
      <c r="L8" s="69">
        <f t="shared" si="5"/>
        <v>20000</v>
      </c>
      <c r="M8" s="69">
        <f t="shared" si="6"/>
        <v>3147600</v>
      </c>
      <c r="N8" s="69">
        <f t="shared" si="7"/>
        <v>2580000</v>
      </c>
    </row>
    <row r="9" spans="1:14" x14ac:dyDescent="0.25">
      <c r="A9" s="68" t="s">
        <v>156</v>
      </c>
      <c r="B9" s="68">
        <v>17.25</v>
      </c>
      <c r="C9" s="68">
        <v>20.75</v>
      </c>
      <c r="D9" s="68">
        <f t="shared" si="1"/>
        <v>38</v>
      </c>
      <c r="E9" s="68">
        <f>13500*B9</f>
        <v>232875</v>
      </c>
      <c r="F9" s="68">
        <f>C9*13500</f>
        <v>280125</v>
      </c>
      <c r="G9" s="68">
        <f t="shared" si="0"/>
        <v>513000</v>
      </c>
      <c r="H9" s="68">
        <f t="shared" si="2"/>
        <v>2794500</v>
      </c>
      <c r="I9" s="68">
        <f t="shared" si="3"/>
        <v>3361500</v>
      </c>
      <c r="J9" s="68"/>
      <c r="K9" s="68">
        <f t="shared" si="4"/>
        <v>6156000</v>
      </c>
      <c r="L9" s="69">
        <f t="shared" si="5"/>
        <v>13500</v>
      </c>
      <c r="M9" s="69">
        <f t="shared" si="6"/>
        <v>1877580</v>
      </c>
      <c r="N9" s="69">
        <f t="shared" si="7"/>
        <v>1539000</v>
      </c>
    </row>
    <row r="10" spans="1:14" x14ac:dyDescent="0.25">
      <c r="A10" s="68" t="s">
        <v>157</v>
      </c>
      <c r="B10" s="68">
        <v>9.75</v>
      </c>
      <c r="C10" s="68">
        <v>7.25</v>
      </c>
      <c r="D10" s="68">
        <f t="shared" si="1"/>
        <v>17</v>
      </c>
      <c r="E10" s="68">
        <f>6500*B10</f>
        <v>63375</v>
      </c>
      <c r="F10" s="68">
        <f>C10*6500</f>
        <v>47125</v>
      </c>
      <c r="G10" s="68">
        <f t="shared" si="0"/>
        <v>110500</v>
      </c>
      <c r="H10" s="68">
        <f t="shared" si="2"/>
        <v>760500</v>
      </c>
      <c r="I10" s="68">
        <f t="shared" si="3"/>
        <v>565500</v>
      </c>
      <c r="J10" s="68"/>
      <c r="K10" s="68">
        <f t="shared" si="4"/>
        <v>1326000</v>
      </c>
      <c r="L10" s="69">
        <f t="shared" si="5"/>
        <v>6500</v>
      </c>
      <c r="M10" s="69">
        <f t="shared" si="6"/>
        <v>404430</v>
      </c>
      <c r="N10" s="69">
        <f t="shared" si="7"/>
        <v>331500</v>
      </c>
    </row>
    <row r="11" spans="1:14" x14ac:dyDescent="0.25">
      <c r="A11" s="68" t="s">
        <v>163</v>
      </c>
      <c r="B11" s="68">
        <v>3.5</v>
      </c>
      <c r="C11" s="68">
        <v>5.75</v>
      </c>
      <c r="D11" s="68">
        <f t="shared" si="1"/>
        <v>9.25</v>
      </c>
      <c r="E11" s="68">
        <f>B11*6500*1.25</f>
        <v>28437.5</v>
      </c>
      <c r="F11" s="68">
        <f>C11*6500*1.25</f>
        <v>46718.75</v>
      </c>
      <c r="G11" s="68">
        <f t="shared" si="0"/>
        <v>75156.25</v>
      </c>
      <c r="H11" s="68">
        <f t="shared" si="2"/>
        <v>341250</v>
      </c>
      <c r="I11" s="68">
        <f t="shared" si="3"/>
        <v>560625</v>
      </c>
      <c r="J11" s="68"/>
      <c r="K11" s="68">
        <f t="shared" si="4"/>
        <v>901875</v>
      </c>
      <c r="L11" s="69">
        <f t="shared" si="5"/>
        <v>8125</v>
      </c>
      <c r="M11" s="69">
        <f t="shared" si="6"/>
        <v>275071.875</v>
      </c>
      <c r="N11" s="69">
        <f t="shared" si="7"/>
        <v>225468.75</v>
      </c>
    </row>
    <row r="12" spans="1:14" x14ac:dyDescent="0.25">
      <c r="A12" s="68" t="s">
        <v>158</v>
      </c>
      <c r="B12" s="68">
        <v>6</v>
      </c>
      <c r="C12" s="68">
        <v>14</v>
      </c>
      <c r="D12" s="68">
        <f t="shared" si="1"/>
        <v>20</v>
      </c>
      <c r="E12" s="68">
        <f>6500*B12+300+500</f>
        <v>39800</v>
      </c>
      <c r="F12" s="68">
        <f>C12*6500+600+800</f>
        <v>92400</v>
      </c>
      <c r="G12" s="68">
        <f t="shared" si="0"/>
        <v>132200</v>
      </c>
      <c r="H12" s="68">
        <f t="shared" si="2"/>
        <v>477600</v>
      </c>
      <c r="I12" s="68">
        <f t="shared" si="3"/>
        <v>1108800</v>
      </c>
      <c r="J12" s="68"/>
      <c r="K12" s="68">
        <f t="shared" si="4"/>
        <v>1586400</v>
      </c>
      <c r="L12" s="69">
        <f t="shared" si="5"/>
        <v>6610</v>
      </c>
      <c r="M12" s="69">
        <f t="shared" si="6"/>
        <v>483852</v>
      </c>
      <c r="N12" s="69">
        <f t="shared" si="7"/>
        <v>396600</v>
      </c>
    </row>
    <row r="13" spans="1:14" x14ac:dyDescent="0.25">
      <c r="A13" s="68" t="s">
        <v>159</v>
      </c>
      <c r="B13" s="68">
        <v>0.75</v>
      </c>
      <c r="C13" s="68">
        <v>0.25</v>
      </c>
      <c r="D13" s="68">
        <f t="shared" ref="D13:D15" si="8">B13+C13</f>
        <v>1</v>
      </c>
      <c r="E13" s="68">
        <f>E5</f>
        <v>10687.5</v>
      </c>
      <c r="F13" s="68">
        <f>F5</f>
        <v>12397.5</v>
      </c>
      <c r="G13" s="68">
        <f t="shared" si="0"/>
        <v>23085</v>
      </c>
      <c r="H13" s="68">
        <f t="shared" si="2"/>
        <v>128250</v>
      </c>
      <c r="I13" s="68">
        <f t="shared" si="3"/>
        <v>148770</v>
      </c>
      <c r="J13" s="68"/>
      <c r="K13" s="68">
        <f t="shared" si="4"/>
        <v>277020</v>
      </c>
      <c r="L13" s="69">
        <f t="shared" si="5"/>
        <v>23085</v>
      </c>
      <c r="M13" s="69">
        <f t="shared" si="6"/>
        <v>84491.099999999991</v>
      </c>
      <c r="N13" s="69">
        <f t="shared" si="7"/>
        <v>69255</v>
      </c>
    </row>
    <row r="14" spans="1:14" x14ac:dyDescent="0.25">
      <c r="A14" s="68" t="s">
        <v>160</v>
      </c>
      <c r="B14" s="68">
        <v>0.75</v>
      </c>
      <c r="C14" s="68">
        <v>0.25</v>
      </c>
      <c r="D14" s="68">
        <f t="shared" si="8"/>
        <v>1</v>
      </c>
      <c r="E14" s="68">
        <f>E6</f>
        <v>25000</v>
      </c>
      <c r="F14" s="68">
        <f>F6</f>
        <v>25000</v>
      </c>
      <c r="G14" s="68">
        <f t="shared" si="0"/>
        <v>50000</v>
      </c>
      <c r="H14" s="68">
        <f t="shared" si="2"/>
        <v>300000</v>
      </c>
      <c r="I14" s="68">
        <f t="shared" si="3"/>
        <v>300000</v>
      </c>
      <c r="J14" s="68"/>
      <c r="K14" s="68">
        <f t="shared" si="4"/>
        <v>600000</v>
      </c>
      <c r="L14" s="69">
        <f t="shared" si="5"/>
        <v>50000</v>
      </c>
      <c r="M14" s="69">
        <f t="shared" si="6"/>
        <v>183000</v>
      </c>
      <c r="N14" s="69">
        <f t="shared" si="7"/>
        <v>150000</v>
      </c>
    </row>
    <row r="15" spans="1:14" x14ac:dyDescent="0.25">
      <c r="A15" s="68"/>
      <c r="B15" s="68"/>
      <c r="C15" s="68"/>
      <c r="D15" s="68">
        <f t="shared" si="8"/>
        <v>0</v>
      </c>
      <c r="E15" s="68"/>
      <c r="F15" s="68"/>
      <c r="G15" s="68">
        <f t="shared" si="0"/>
        <v>0</v>
      </c>
      <c r="H15" s="68">
        <f t="shared" si="2"/>
        <v>0</v>
      </c>
      <c r="I15" s="68">
        <f>F15*12</f>
        <v>0</v>
      </c>
      <c r="J15" s="68"/>
      <c r="K15" s="68">
        <f t="shared" si="4"/>
        <v>0</v>
      </c>
      <c r="L15" s="69"/>
      <c r="M15" s="69">
        <f t="shared" si="6"/>
        <v>0</v>
      </c>
      <c r="N15" s="69">
        <f t="shared" si="7"/>
        <v>0</v>
      </c>
    </row>
    <row r="16" spans="1:14" x14ac:dyDescent="0.25">
      <c r="A16" s="68" t="s">
        <v>144</v>
      </c>
      <c r="B16" s="68">
        <f>SUM(B4:B15)</f>
        <v>63.5</v>
      </c>
      <c r="C16" s="68">
        <f t="shared" ref="C16:J16" si="9">SUM(C4:C15)</f>
        <v>70.75</v>
      </c>
      <c r="D16" s="68">
        <f t="shared" si="9"/>
        <v>134.25</v>
      </c>
      <c r="E16" s="68">
        <f t="shared" si="9"/>
        <v>912931.5</v>
      </c>
      <c r="F16" s="68">
        <f t="shared" si="9"/>
        <v>969213.75</v>
      </c>
      <c r="G16" s="68">
        <f t="shared" si="9"/>
        <v>1882145.25</v>
      </c>
      <c r="H16" s="68">
        <f t="shared" si="9"/>
        <v>10955178</v>
      </c>
      <c r="I16" s="68">
        <f t="shared" si="9"/>
        <v>11630565</v>
      </c>
      <c r="J16" s="68">
        <f t="shared" si="9"/>
        <v>170100</v>
      </c>
      <c r="K16" s="68">
        <f>SUM(K4:K15)</f>
        <v>22755843</v>
      </c>
      <c r="L16" s="69">
        <f t="shared" si="5"/>
        <v>14125.290502793296</v>
      </c>
      <c r="M16" s="69">
        <f t="shared" si="6"/>
        <v>6940532.1150000002</v>
      </c>
      <c r="N16" s="69">
        <f>K16/4</f>
        <v>5688960.75</v>
      </c>
    </row>
    <row r="17" spans="1:14" x14ac:dyDescent="0.25">
      <c r="A17" s="67" t="s">
        <v>164</v>
      </c>
      <c r="H17" s="71">
        <v>8719700</v>
      </c>
      <c r="I17" s="116">
        <f>K16-H17</f>
        <v>14036143</v>
      </c>
      <c r="J17" s="116"/>
      <c r="L17" s="70">
        <f>L16*1.6</f>
        <v>22600.464804469273</v>
      </c>
      <c r="M17" s="70">
        <f>M16*1.6</f>
        <v>11104851.384000001</v>
      </c>
    </row>
    <row r="18" spans="1:14" x14ac:dyDescent="0.25">
      <c r="A18" s="67" t="s">
        <v>165</v>
      </c>
      <c r="H18" s="71">
        <f>H16-H17</f>
        <v>2235478</v>
      </c>
    </row>
    <row r="19" spans="1:14" x14ac:dyDescent="0.25">
      <c r="A19" s="67" t="s">
        <v>169</v>
      </c>
      <c r="B19" s="67">
        <f>B5+B6+B7+B13+B14</f>
        <v>4.25</v>
      </c>
      <c r="C19" s="67">
        <f t="shared" ref="C19:N19" si="10">C5+C6+C7+C13+C14</f>
        <v>1.75</v>
      </c>
      <c r="D19" s="67">
        <f t="shared" si="10"/>
        <v>6</v>
      </c>
      <c r="E19" s="67">
        <f t="shared" si="10"/>
        <v>92194</v>
      </c>
      <c r="F19" s="67">
        <f t="shared" si="10"/>
        <v>74795</v>
      </c>
      <c r="G19" s="67">
        <f t="shared" si="10"/>
        <v>166989</v>
      </c>
      <c r="H19" s="67">
        <f t="shared" si="10"/>
        <v>1106328</v>
      </c>
      <c r="I19" s="67">
        <f t="shared" si="10"/>
        <v>897540</v>
      </c>
      <c r="J19" s="67">
        <f t="shared" si="10"/>
        <v>0</v>
      </c>
      <c r="K19" s="67">
        <f t="shared" si="10"/>
        <v>2003868</v>
      </c>
      <c r="L19" s="67">
        <f t="shared" si="10"/>
        <v>141989</v>
      </c>
      <c r="M19" s="67">
        <f t="shared" si="10"/>
        <v>611179.74</v>
      </c>
      <c r="N19" s="67">
        <f t="shared" si="10"/>
        <v>500967</v>
      </c>
    </row>
    <row r="20" spans="1:14" x14ac:dyDescent="0.25">
      <c r="A20" s="67" t="s">
        <v>170</v>
      </c>
    </row>
    <row r="21" spans="1:14" x14ac:dyDescent="0.25">
      <c r="A21" s="67" t="s">
        <v>171</v>
      </c>
      <c r="B21" s="67">
        <v>1051</v>
      </c>
      <c r="D21" s="67">
        <f>D6+D8+D9+D10</f>
        <v>100</v>
      </c>
      <c r="E21" s="67">
        <f t="shared" ref="E21:N21" si="11">E6+E8+E9+E10</f>
        <v>766250</v>
      </c>
      <c r="F21" s="67">
        <f t="shared" si="11"/>
        <v>767250</v>
      </c>
      <c r="G21" s="67">
        <f t="shared" si="11"/>
        <v>1533500</v>
      </c>
      <c r="H21" s="67">
        <f t="shared" si="11"/>
        <v>9195000</v>
      </c>
      <c r="I21" s="67">
        <f t="shared" si="11"/>
        <v>9207000</v>
      </c>
      <c r="J21" s="67">
        <f t="shared" si="11"/>
        <v>0</v>
      </c>
      <c r="K21" s="67">
        <f t="shared" si="11"/>
        <v>18402000</v>
      </c>
      <c r="L21" s="67"/>
      <c r="M21" s="67">
        <f t="shared" si="11"/>
        <v>5612610</v>
      </c>
      <c r="N21" s="67">
        <f t="shared" si="11"/>
        <v>4600500</v>
      </c>
    </row>
    <row r="22" spans="1:14" x14ac:dyDescent="0.25">
      <c r="A22" s="67" t="s">
        <v>172</v>
      </c>
      <c r="B22" s="67">
        <v>1061</v>
      </c>
      <c r="D22" s="67">
        <f>D4+D5+D7+D11+D13+D14+D12</f>
        <v>34.25</v>
      </c>
      <c r="E22" s="67">
        <f t="shared" ref="E22:N22" si="12">E4+E5+E7+E11+E13+E14+E12</f>
        <v>146681.5</v>
      </c>
      <c r="F22" s="67">
        <f t="shared" si="12"/>
        <v>201963.75</v>
      </c>
      <c r="G22" s="67">
        <f t="shared" si="12"/>
        <v>348645.25</v>
      </c>
      <c r="H22" s="67">
        <f t="shared" si="12"/>
        <v>1760178</v>
      </c>
      <c r="I22" s="67">
        <f t="shared" si="12"/>
        <v>2423565</v>
      </c>
      <c r="J22" s="67">
        <f t="shared" si="12"/>
        <v>170100</v>
      </c>
      <c r="K22" s="67">
        <f t="shared" si="12"/>
        <v>4353843</v>
      </c>
      <c r="L22" s="67"/>
      <c r="M22" s="67">
        <f t="shared" si="12"/>
        <v>1327922.1149999998</v>
      </c>
      <c r="N22" s="67">
        <f t="shared" si="12"/>
        <v>1088460.75</v>
      </c>
    </row>
    <row r="23" spans="1:14" x14ac:dyDescent="0.25">
      <c r="A23" s="67" t="s">
        <v>173</v>
      </c>
      <c r="B23" s="67">
        <v>1072</v>
      </c>
    </row>
  </sheetData>
  <mergeCells count="5">
    <mergeCell ref="I17:J17"/>
    <mergeCell ref="B2:D2"/>
    <mergeCell ref="E2:G2"/>
    <mergeCell ref="H2:K2"/>
    <mergeCell ref="A2:A3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tabSelected="1" view="pageBreakPreview" topLeftCell="A76" zoomScale="84" zoomScaleNormal="84" zoomScaleSheetLayoutView="84" workbookViewId="0">
      <selection activeCell="F5" sqref="F5:H5"/>
    </sheetView>
  </sheetViews>
  <sheetFormatPr defaultColWidth="8.85546875" defaultRowHeight="18.75" x14ac:dyDescent="0.2"/>
  <cols>
    <col min="1" max="1" width="56.42578125" style="1" customWidth="1"/>
    <col min="2" max="2" width="14" style="97" customWidth="1"/>
    <col min="3" max="3" width="17.28515625" style="97" customWidth="1"/>
    <col min="4" max="4" width="16.42578125" style="97" customWidth="1"/>
    <col min="5" max="5" width="17" style="1" customWidth="1"/>
    <col min="6" max="6" width="14.140625" style="30" customWidth="1"/>
    <col min="7" max="7" width="16.7109375" style="1" customWidth="1"/>
    <col min="8" max="8" width="22.5703125" style="1" customWidth="1"/>
    <col min="9" max="16384" width="8.85546875" style="1"/>
  </cols>
  <sheetData>
    <row r="1" spans="2:8" x14ac:dyDescent="0.2">
      <c r="B1" s="1"/>
      <c r="C1" s="1"/>
      <c r="D1" s="1"/>
      <c r="G1" s="121" t="s">
        <v>64</v>
      </c>
      <c r="H1" s="121"/>
    </row>
    <row r="2" spans="2:8" ht="57" customHeight="1" x14ac:dyDescent="0.2">
      <c r="B2" s="1"/>
      <c r="C2" s="1"/>
      <c r="D2" s="1"/>
      <c r="F2" s="129" t="s">
        <v>181</v>
      </c>
      <c r="G2" s="129"/>
      <c r="H2" s="129"/>
    </row>
    <row r="3" spans="2:8" x14ac:dyDescent="0.2">
      <c r="B3" s="1"/>
      <c r="C3" s="1"/>
      <c r="D3" s="1"/>
      <c r="G3" s="111"/>
      <c r="H3" s="111"/>
    </row>
    <row r="4" spans="2:8" x14ac:dyDescent="0.2">
      <c r="B4" s="1"/>
      <c r="C4" s="1"/>
      <c r="D4" s="1"/>
      <c r="F4" s="30" t="s">
        <v>45</v>
      </c>
      <c r="H4" s="28"/>
    </row>
    <row r="5" spans="2:8" x14ac:dyDescent="0.2">
      <c r="B5" s="1"/>
      <c r="C5" s="1"/>
      <c r="D5" s="1"/>
      <c r="F5" s="150" t="s">
        <v>192</v>
      </c>
      <c r="G5" s="150"/>
      <c r="H5" s="150"/>
    </row>
    <row r="6" spans="2:8" x14ac:dyDescent="0.2">
      <c r="B6" s="1"/>
      <c r="C6" s="1"/>
      <c r="D6" s="1"/>
      <c r="F6" s="122" t="s">
        <v>183</v>
      </c>
      <c r="G6" s="122"/>
      <c r="H6" s="122"/>
    </row>
    <row r="7" spans="2:8" x14ac:dyDescent="0.2">
      <c r="B7" s="1"/>
      <c r="C7" s="1"/>
      <c r="D7" s="1"/>
      <c r="F7" s="31"/>
      <c r="G7" s="26"/>
      <c r="H7" s="29"/>
    </row>
    <row r="8" spans="2:8" x14ac:dyDescent="0.2">
      <c r="B8" s="1"/>
      <c r="C8" s="1"/>
      <c r="D8" s="1"/>
      <c r="F8" s="32" t="s">
        <v>182</v>
      </c>
      <c r="H8" s="28"/>
    </row>
    <row r="9" spans="2:8" x14ac:dyDescent="0.2">
      <c r="B9" s="1"/>
      <c r="C9" s="1"/>
      <c r="D9" s="1"/>
      <c r="F9" s="31"/>
      <c r="G9" s="26"/>
      <c r="H9" s="29"/>
    </row>
    <row r="10" spans="2:8" x14ac:dyDescent="0.2">
      <c r="B10" s="1"/>
      <c r="C10" s="1"/>
      <c r="D10" s="1"/>
      <c r="F10" s="32" t="s">
        <v>41</v>
      </c>
      <c r="H10" s="28"/>
    </row>
    <row r="11" spans="2:8" x14ac:dyDescent="0.2">
      <c r="B11" s="1"/>
      <c r="C11" s="1"/>
      <c r="D11" s="1"/>
      <c r="F11" s="32"/>
      <c r="H11" s="28"/>
    </row>
    <row r="12" spans="2:8" x14ac:dyDescent="0.2">
      <c r="B12" s="1"/>
      <c r="C12" s="1"/>
      <c r="D12" s="1"/>
      <c r="E12" s="97"/>
      <c r="F12" s="30" t="s">
        <v>44</v>
      </c>
      <c r="H12" s="28"/>
    </row>
    <row r="13" spans="2:8" ht="4.1500000000000004" customHeight="1" x14ac:dyDescent="0.2">
      <c r="B13" s="1"/>
      <c r="C13" s="1"/>
      <c r="D13" s="1"/>
      <c r="E13" s="97"/>
      <c r="F13" s="109"/>
      <c r="G13" s="74"/>
      <c r="H13" s="110"/>
    </row>
    <row r="14" spans="2:8" ht="30" customHeight="1" x14ac:dyDescent="0.2">
      <c r="B14" s="1"/>
      <c r="C14" s="1"/>
      <c r="D14" s="1"/>
      <c r="E14" s="97"/>
      <c r="F14" s="128" t="s">
        <v>180</v>
      </c>
      <c r="G14" s="128"/>
      <c r="H14" s="128"/>
    </row>
    <row r="15" spans="2:8" ht="21.6" customHeight="1" x14ac:dyDescent="0.2">
      <c r="B15" s="1"/>
      <c r="C15" s="1"/>
      <c r="D15" s="1"/>
      <c r="E15" s="97"/>
      <c r="F15" s="31"/>
      <c r="G15" s="26"/>
      <c r="H15" s="29"/>
    </row>
    <row r="16" spans="2:8" x14ac:dyDescent="0.2">
      <c r="B16" s="1"/>
      <c r="C16" s="1"/>
      <c r="D16" s="1"/>
      <c r="E16" s="97"/>
      <c r="F16" s="32" t="s">
        <v>42</v>
      </c>
      <c r="H16" s="28"/>
    </row>
    <row r="17" spans="1:8" x14ac:dyDescent="0.2">
      <c r="B17" s="1"/>
      <c r="C17" s="1"/>
      <c r="D17" s="1"/>
      <c r="E17" s="97"/>
      <c r="F17" s="31"/>
      <c r="G17" s="26"/>
      <c r="H17" s="29"/>
    </row>
    <row r="18" spans="1:8" x14ac:dyDescent="0.2">
      <c r="B18" s="1"/>
      <c r="C18" s="1"/>
      <c r="D18" s="1"/>
      <c r="E18" s="97"/>
      <c r="F18" s="32" t="s">
        <v>41</v>
      </c>
      <c r="H18" s="28"/>
    </row>
    <row r="19" spans="1:8" x14ac:dyDescent="0.2">
      <c r="E19" s="97"/>
      <c r="H19" s="28"/>
    </row>
    <row r="20" spans="1:8" x14ac:dyDescent="0.2">
      <c r="E20" s="97"/>
      <c r="F20" s="30" t="s">
        <v>44</v>
      </c>
    </row>
    <row r="21" spans="1:8" x14ac:dyDescent="0.2">
      <c r="B21" s="1"/>
      <c r="C21" s="1"/>
      <c r="D21" s="1"/>
      <c r="F21" s="33"/>
      <c r="G21" s="27"/>
      <c r="H21" s="27"/>
    </row>
    <row r="22" spans="1:8" x14ac:dyDescent="0.2">
      <c r="A22" s="25"/>
      <c r="B22" s="1"/>
      <c r="C22" s="1"/>
      <c r="D22" s="1"/>
      <c r="F22" s="32" t="s">
        <v>43</v>
      </c>
    </row>
    <row r="23" spans="1:8" x14ac:dyDescent="0.2">
      <c r="B23" s="1"/>
      <c r="C23" s="1"/>
      <c r="D23" s="1"/>
      <c r="F23" s="31"/>
      <c r="G23" s="26"/>
      <c r="H23" s="26"/>
    </row>
    <row r="24" spans="1:8" x14ac:dyDescent="0.2">
      <c r="A24" s="25"/>
      <c r="B24" s="1"/>
      <c r="C24" s="1"/>
      <c r="D24" s="1"/>
      <c r="F24" s="32" t="s">
        <v>42</v>
      </c>
      <c r="G24" s="25"/>
      <c r="H24" s="25"/>
    </row>
    <row r="25" spans="1:8" x14ac:dyDescent="0.2">
      <c r="B25" s="1"/>
      <c r="C25" s="1"/>
      <c r="D25" s="1"/>
      <c r="F25" s="31"/>
      <c r="G25" s="26"/>
      <c r="H25" s="26"/>
    </row>
    <row r="26" spans="1:8" x14ac:dyDescent="0.2">
      <c r="A26" s="25"/>
      <c r="B26" s="1"/>
      <c r="C26" s="1"/>
      <c r="D26" s="1"/>
      <c r="F26" s="32" t="s">
        <v>41</v>
      </c>
      <c r="G26" s="25"/>
      <c r="H26" s="25"/>
    </row>
    <row r="27" spans="1:8" x14ac:dyDescent="0.2">
      <c r="A27" s="25"/>
      <c r="B27" s="1"/>
      <c r="C27" s="1"/>
      <c r="D27" s="1"/>
      <c r="F27" s="32"/>
      <c r="G27" s="54" t="s">
        <v>176</v>
      </c>
      <c r="H27" s="65" t="s">
        <v>179</v>
      </c>
    </row>
    <row r="28" spans="1:8" x14ac:dyDescent="0.2">
      <c r="A28" s="25"/>
      <c r="B28" s="1"/>
      <c r="C28" s="1"/>
      <c r="D28" s="1"/>
      <c r="F28" s="32"/>
      <c r="G28" s="54" t="s">
        <v>61</v>
      </c>
      <c r="H28" s="65"/>
    </row>
    <row r="29" spans="1:8" x14ac:dyDescent="0.2">
      <c r="A29" s="25"/>
      <c r="B29" s="1"/>
      <c r="C29" s="1"/>
      <c r="D29" s="1"/>
      <c r="F29" s="32"/>
      <c r="G29" s="54" t="s">
        <v>63</v>
      </c>
      <c r="H29" s="65"/>
    </row>
    <row r="30" spans="1:8" x14ac:dyDescent="0.2">
      <c r="A30" s="25"/>
      <c r="B30" s="1"/>
      <c r="C30" s="1"/>
      <c r="D30" s="1"/>
      <c r="F30" s="32"/>
      <c r="G30" s="123" t="s">
        <v>62</v>
      </c>
      <c r="H30" s="124"/>
    </row>
    <row r="32" spans="1:8" x14ac:dyDescent="0.2">
      <c r="B32" s="125"/>
      <c r="C32" s="125"/>
      <c r="D32" s="101"/>
      <c r="E32" s="24"/>
      <c r="F32" s="34"/>
      <c r="G32" s="126" t="s">
        <v>40</v>
      </c>
      <c r="H32" s="127"/>
    </row>
    <row r="33" spans="1:8" ht="48" customHeight="1" x14ac:dyDescent="0.2">
      <c r="A33" s="21" t="s">
        <v>39</v>
      </c>
      <c r="B33" s="118" t="s">
        <v>133</v>
      </c>
      <c r="C33" s="118"/>
      <c r="D33" s="119"/>
      <c r="E33" s="23" t="s">
        <v>38</v>
      </c>
      <c r="F33" s="35"/>
      <c r="G33" s="120" t="s">
        <v>132</v>
      </c>
      <c r="H33" s="120"/>
    </row>
    <row r="34" spans="1:8" x14ac:dyDescent="0.2">
      <c r="A34" s="21" t="s">
        <v>37</v>
      </c>
      <c r="B34" s="118" t="s">
        <v>134</v>
      </c>
      <c r="C34" s="118"/>
      <c r="D34" s="119"/>
      <c r="E34" s="23" t="s">
        <v>36</v>
      </c>
      <c r="F34" s="36"/>
      <c r="G34" s="130">
        <v>150</v>
      </c>
      <c r="H34" s="130"/>
    </row>
    <row r="35" spans="1:8" x14ac:dyDescent="0.2">
      <c r="A35" s="21" t="s">
        <v>35</v>
      </c>
      <c r="B35" s="131" t="s">
        <v>135</v>
      </c>
      <c r="C35" s="131"/>
      <c r="D35" s="100"/>
      <c r="E35" s="23" t="s">
        <v>34</v>
      </c>
      <c r="F35" s="36"/>
      <c r="G35" s="130">
        <v>5910136300</v>
      </c>
      <c r="H35" s="130"/>
    </row>
    <row r="36" spans="1:8" x14ac:dyDescent="0.2">
      <c r="A36" s="21" t="s">
        <v>33</v>
      </c>
      <c r="B36" s="131" t="s">
        <v>136</v>
      </c>
      <c r="C36" s="131"/>
      <c r="D36" s="100"/>
      <c r="E36" s="23" t="s">
        <v>32</v>
      </c>
      <c r="F36" s="37"/>
      <c r="G36" s="130"/>
      <c r="H36" s="130"/>
    </row>
    <row r="37" spans="1:8" x14ac:dyDescent="0.2">
      <c r="A37" s="21" t="s">
        <v>31</v>
      </c>
      <c r="B37" s="118" t="s">
        <v>174</v>
      </c>
      <c r="C37" s="118"/>
      <c r="D37" s="119"/>
      <c r="E37" s="23" t="s">
        <v>30</v>
      </c>
      <c r="F37" s="37"/>
      <c r="G37" s="130">
        <v>17184</v>
      </c>
      <c r="H37" s="130"/>
    </row>
    <row r="38" spans="1:8" x14ac:dyDescent="0.2">
      <c r="A38" s="21" t="s">
        <v>29</v>
      </c>
      <c r="B38" s="118" t="s">
        <v>137</v>
      </c>
      <c r="C38" s="118"/>
      <c r="D38" s="119"/>
      <c r="E38" s="22" t="s">
        <v>28</v>
      </c>
      <c r="F38" s="37"/>
      <c r="G38" s="130" t="s">
        <v>142</v>
      </c>
      <c r="H38" s="130"/>
    </row>
    <row r="39" spans="1:8" x14ac:dyDescent="0.2">
      <c r="A39" s="21" t="s">
        <v>139</v>
      </c>
      <c r="B39" s="134" t="s">
        <v>140</v>
      </c>
      <c r="C39" s="135"/>
      <c r="D39" s="98"/>
      <c r="E39" s="136" t="s">
        <v>27</v>
      </c>
      <c r="F39" s="136"/>
      <c r="G39" s="136"/>
      <c r="H39" s="12"/>
    </row>
    <row r="40" spans="1:8" x14ac:dyDescent="0.2">
      <c r="A40" s="21" t="s">
        <v>26</v>
      </c>
      <c r="B40" s="134" t="s">
        <v>138</v>
      </c>
      <c r="C40" s="135"/>
      <c r="D40" s="98"/>
      <c r="E40" s="136" t="s">
        <v>25</v>
      </c>
      <c r="F40" s="136"/>
      <c r="G40" s="136"/>
      <c r="H40" s="17"/>
    </row>
    <row r="41" spans="1:8" x14ac:dyDescent="0.2">
      <c r="A41" s="21" t="s">
        <v>24</v>
      </c>
      <c r="B41" s="137" t="s">
        <v>141</v>
      </c>
      <c r="C41" s="137"/>
      <c r="D41" s="137"/>
      <c r="E41" s="137"/>
      <c r="F41" s="137"/>
      <c r="G41" s="137"/>
      <c r="H41" s="138"/>
    </row>
    <row r="42" spans="1:8" x14ac:dyDescent="0.2">
      <c r="A42" s="21" t="s">
        <v>23</v>
      </c>
      <c r="B42" s="139" t="s">
        <v>178</v>
      </c>
      <c r="C42" s="139"/>
      <c r="D42" s="139"/>
      <c r="E42" s="139"/>
      <c r="F42" s="49"/>
      <c r="G42" s="50"/>
      <c r="H42" s="51"/>
    </row>
    <row r="43" spans="1:8" x14ac:dyDescent="0.2">
      <c r="A43" s="21" t="s">
        <v>22</v>
      </c>
      <c r="B43" s="137" t="s">
        <v>175</v>
      </c>
      <c r="C43" s="137"/>
      <c r="D43" s="137"/>
      <c r="E43" s="137"/>
      <c r="F43" s="137"/>
      <c r="G43" s="52"/>
      <c r="H43" s="53"/>
    </row>
    <row r="44" spans="1:8" x14ac:dyDescent="0.2">
      <c r="A44" s="132"/>
      <c r="B44" s="133"/>
      <c r="C44" s="133"/>
      <c r="D44" s="133"/>
      <c r="E44" s="133"/>
      <c r="F44" s="133"/>
      <c r="G44" s="133"/>
      <c r="H44" s="133"/>
    </row>
    <row r="45" spans="1:8" x14ac:dyDescent="0.2">
      <c r="A45" s="132" t="s">
        <v>53</v>
      </c>
      <c r="B45" s="132"/>
      <c r="C45" s="132"/>
      <c r="D45" s="132"/>
      <c r="E45" s="132"/>
      <c r="F45" s="132"/>
      <c r="G45" s="132"/>
      <c r="H45" s="132"/>
    </row>
    <row r="46" spans="1:8" x14ac:dyDescent="0.2">
      <c r="A46" s="140" t="s">
        <v>191</v>
      </c>
      <c r="B46" s="140"/>
      <c r="C46" s="140"/>
      <c r="D46" s="140"/>
      <c r="E46" s="140"/>
      <c r="F46" s="140"/>
      <c r="G46" s="140"/>
      <c r="H46" s="140"/>
    </row>
    <row r="47" spans="1:8" x14ac:dyDescent="0.2">
      <c r="A47" s="96"/>
      <c r="B47" s="20"/>
      <c r="C47" s="96"/>
      <c r="D47" s="96"/>
      <c r="E47" s="96"/>
      <c r="F47" s="38"/>
      <c r="G47" s="96"/>
      <c r="H47" s="96" t="s">
        <v>177</v>
      </c>
    </row>
    <row r="48" spans="1:8" s="18" customFormat="1" ht="15.75" x14ac:dyDescent="0.2">
      <c r="A48" s="117" t="s">
        <v>21</v>
      </c>
      <c r="B48" s="141" t="s">
        <v>20</v>
      </c>
      <c r="C48" s="141" t="s">
        <v>54</v>
      </c>
      <c r="D48" s="142" t="s">
        <v>55</v>
      </c>
      <c r="E48" s="141" t="s">
        <v>56</v>
      </c>
      <c r="F48" s="141"/>
      <c r="G48" s="141"/>
      <c r="H48" s="141"/>
    </row>
    <row r="49" spans="1:8" s="18" customFormat="1" ht="45" customHeight="1" x14ac:dyDescent="0.2">
      <c r="A49" s="117"/>
      <c r="B49" s="141"/>
      <c r="C49" s="141"/>
      <c r="D49" s="143"/>
      <c r="E49" s="19" t="s">
        <v>57</v>
      </c>
      <c r="F49" s="39" t="s">
        <v>58</v>
      </c>
      <c r="G49" s="19" t="s">
        <v>59</v>
      </c>
      <c r="H49" s="19" t="s">
        <v>60</v>
      </c>
    </row>
    <row r="50" spans="1:8" x14ac:dyDescent="0.2">
      <c r="A50" s="13">
        <v>1</v>
      </c>
      <c r="B50" s="12">
        <v>2</v>
      </c>
      <c r="C50" s="12">
        <v>3</v>
      </c>
      <c r="D50" s="12">
        <v>4</v>
      </c>
      <c r="E50" s="12">
        <v>5</v>
      </c>
      <c r="F50" s="40">
        <v>6</v>
      </c>
      <c r="G50" s="12">
        <v>7</v>
      </c>
      <c r="H50" s="12">
        <v>8</v>
      </c>
    </row>
    <row r="51" spans="1:8" x14ac:dyDescent="0.2">
      <c r="A51" s="146" t="s">
        <v>19</v>
      </c>
      <c r="B51" s="146"/>
      <c r="C51" s="146"/>
      <c r="D51" s="146"/>
      <c r="E51" s="146"/>
      <c r="F51" s="146"/>
      <c r="G51" s="146"/>
      <c r="H51" s="146"/>
    </row>
    <row r="52" spans="1:8" s="16" customFormat="1" x14ac:dyDescent="0.2">
      <c r="A52" s="147" t="s">
        <v>18</v>
      </c>
      <c r="B52" s="147"/>
      <c r="C52" s="147"/>
      <c r="D52" s="147"/>
      <c r="E52" s="147"/>
      <c r="F52" s="147"/>
      <c r="G52" s="147"/>
      <c r="H52" s="147"/>
    </row>
    <row r="53" spans="1:8" s="16" customFormat="1" x14ac:dyDescent="0.2">
      <c r="A53" s="9" t="s">
        <v>75</v>
      </c>
      <c r="B53" s="11">
        <v>1000</v>
      </c>
      <c r="C53" s="41">
        <f>C54+C55</f>
        <v>31661.5</v>
      </c>
      <c r="D53" s="41">
        <f>E53+F53+G53+H53</f>
        <v>37795.199999999997</v>
      </c>
      <c r="E53" s="47">
        <f>E54+E55</f>
        <v>8594.7000000000007</v>
      </c>
      <c r="F53" s="42">
        <f>F54+F55</f>
        <v>9925.5</v>
      </c>
      <c r="G53" s="42">
        <f t="shared" ref="G53:H53" si="0">G54+G55</f>
        <v>9349.5</v>
      </c>
      <c r="H53" s="41">
        <f t="shared" si="0"/>
        <v>9925.5</v>
      </c>
    </row>
    <row r="54" spans="1:8" s="75" customFormat="1" ht="37.5" x14ac:dyDescent="0.2">
      <c r="A54" s="76" t="s">
        <v>185</v>
      </c>
      <c r="B54" s="62">
        <v>1001</v>
      </c>
      <c r="C54" s="77">
        <v>7431.3</v>
      </c>
      <c r="D54" s="77">
        <f>E54+F54+G54+H54</f>
        <v>9645.2000000000007</v>
      </c>
      <c r="E54" s="78">
        <v>1845.2</v>
      </c>
      <c r="F54" s="84">
        <v>2600</v>
      </c>
      <c r="G54" s="77">
        <v>2600</v>
      </c>
      <c r="H54" s="77">
        <v>2600</v>
      </c>
    </row>
    <row r="55" spans="1:8" s="16" customFormat="1" ht="37.5" x14ac:dyDescent="0.2">
      <c r="A55" s="61" t="s">
        <v>186</v>
      </c>
      <c r="B55" s="62">
        <v>1002</v>
      </c>
      <c r="C55" s="77">
        <v>24230.2</v>
      </c>
      <c r="D55" s="77">
        <f>E55+F55+G55+H55</f>
        <v>28150</v>
      </c>
      <c r="E55" s="78">
        <f>6299.5+450</f>
        <v>6749.5</v>
      </c>
      <c r="F55" s="84">
        <f>6875.5+450</f>
        <v>7325.5</v>
      </c>
      <c r="G55" s="77">
        <f>6299.5+450</f>
        <v>6749.5</v>
      </c>
      <c r="H55" s="77">
        <f>6875.5+450</f>
        <v>7325.5</v>
      </c>
    </row>
    <row r="56" spans="1:8" s="16" customFormat="1" x14ac:dyDescent="0.2">
      <c r="A56" s="79" t="s">
        <v>76</v>
      </c>
      <c r="B56" s="80">
        <v>1010</v>
      </c>
      <c r="C56" s="77">
        <f>C57+C58+C59+C60+C61+C62+C63+C64</f>
        <v>14008.5</v>
      </c>
      <c r="D56" s="77">
        <f>SUM(D57:D64)</f>
        <v>14138.800000000001</v>
      </c>
      <c r="E56" s="77">
        <f t="shared" ref="E56:H56" si="1">SUM(E57:E64)</f>
        <v>3709.5</v>
      </c>
      <c r="F56" s="77">
        <f t="shared" si="1"/>
        <v>3435.4</v>
      </c>
      <c r="G56" s="77">
        <f t="shared" si="1"/>
        <v>3299.7</v>
      </c>
      <c r="H56" s="77">
        <f t="shared" si="1"/>
        <v>3694.2</v>
      </c>
    </row>
    <row r="57" spans="1:8" s="16" customFormat="1" ht="37.5" x14ac:dyDescent="0.2">
      <c r="A57" s="61" t="s">
        <v>92</v>
      </c>
      <c r="B57" s="62">
        <v>1011</v>
      </c>
      <c r="C57" s="77">
        <v>3.4</v>
      </c>
      <c r="D57" s="77">
        <f t="shared" ref="D57:D106" si="2">E57+F57+G57+H57</f>
        <v>4.4000000000000004</v>
      </c>
      <c r="E57" s="78">
        <v>1.1000000000000001</v>
      </c>
      <c r="F57" s="81">
        <v>1.1000000000000001</v>
      </c>
      <c r="G57" s="77">
        <v>1.1000000000000001</v>
      </c>
      <c r="H57" s="77">
        <v>1.1000000000000001</v>
      </c>
    </row>
    <row r="58" spans="1:8" s="16" customFormat="1" x14ac:dyDescent="0.2">
      <c r="A58" s="61" t="s">
        <v>93</v>
      </c>
      <c r="B58" s="62">
        <v>1012</v>
      </c>
      <c r="C58" s="77">
        <v>0</v>
      </c>
      <c r="D58" s="77">
        <f t="shared" si="2"/>
        <v>0</v>
      </c>
      <c r="E58" s="78">
        <v>0</v>
      </c>
      <c r="F58" s="81">
        <v>0</v>
      </c>
      <c r="G58" s="77">
        <v>0</v>
      </c>
      <c r="H58" s="77">
        <v>0</v>
      </c>
    </row>
    <row r="59" spans="1:8" s="16" customFormat="1" x14ac:dyDescent="0.2">
      <c r="A59" s="61" t="s">
        <v>94</v>
      </c>
      <c r="B59" s="62">
        <v>1013</v>
      </c>
      <c r="C59" s="77">
        <v>0</v>
      </c>
      <c r="D59" s="77">
        <f t="shared" si="2"/>
        <v>0</v>
      </c>
      <c r="E59" s="78">
        <v>0</v>
      </c>
      <c r="F59" s="81">
        <v>0</v>
      </c>
      <c r="G59" s="77">
        <v>0</v>
      </c>
      <c r="H59" s="77">
        <v>0</v>
      </c>
    </row>
    <row r="60" spans="1:8" s="16" customFormat="1" x14ac:dyDescent="0.2">
      <c r="A60" s="61" t="s">
        <v>95</v>
      </c>
      <c r="B60" s="62">
        <v>1014</v>
      </c>
      <c r="C60" s="77">
        <v>14005.1</v>
      </c>
      <c r="D60" s="77">
        <f>E60+F60+G60+H60</f>
        <v>14134.400000000001</v>
      </c>
      <c r="E60" s="78">
        <f>3665.3+43.1</f>
        <v>3708.4</v>
      </c>
      <c r="F60" s="77">
        <f>3412.8+21.5</f>
        <v>3434.3</v>
      </c>
      <c r="G60" s="77">
        <f>3277+21.6</f>
        <v>3298.6</v>
      </c>
      <c r="H60" s="77">
        <f>3650+43.1</f>
        <v>3693.1</v>
      </c>
    </row>
    <row r="61" spans="1:8" s="16" customFormat="1" ht="37.5" x14ac:dyDescent="0.2">
      <c r="A61" s="14" t="s">
        <v>96</v>
      </c>
      <c r="B61" s="10">
        <v>1015</v>
      </c>
      <c r="C61" s="44">
        <v>0</v>
      </c>
      <c r="D61" s="44">
        <f t="shared" si="2"/>
        <v>0</v>
      </c>
      <c r="E61" s="78">
        <v>0</v>
      </c>
      <c r="F61" s="81">
        <v>0</v>
      </c>
      <c r="G61" s="77">
        <v>0</v>
      </c>
      <c r="H61" s="77">
        <v>0</v>
      </c>
    </row>
    <row r="62" spans="1:8" s="16" customFormat="1" x14ac:dyDescent="0.2">
      <c r="A62" s="59" t="s">
        <v>97</v>
      </c>
      <c r="B62" s="10">
        <v>1016</v>
      </c>
      <c r="C62" s="43">
        <v>0</v>
      </c>
      <c r="D62" s="43">
        <f t="shared" si="2"/>
        <v>0</v>
      </c>
      <c r="E62" s="45">
        <v>0</v>
      </c>
      <c r="F62" s="46">
        <v>0</v>
      </c>
      <c r="G62" s="43">
        <v>0</v>
      </c>
      <c r="H62" s="44">
        <v>0</v>
      </c>
    </row>
    <row r="63" spans="1:8" s="16" customFormat="1" ht="37.5" x14ac:dyDescent="0.2">
      <c r="A63" s="99" t="s">
        <v>98</v>
      </c>
      <c r="B63" s="10">
        <v>1017</v>
      </c>
      <c r="C63" s="43">
        <v>0</v>
      </c>
      <c r="D63" s="43">
        <f t="shared" si="2"/>
        <v>0</v>
      </c>
      <c r="E63" s="45">
        <v>0</v>
      </c>
      <c r="F63" s="46">
        <v>0</v>
      </c>
      <c r="G63" s="43">
        <v>0</v>
      </c>
      <c r="H63" s="44">
        <v>0</v>
      </c>
    </row>
    <row r="64" spans="1:8" s="16" customFormat="1" ht="37.5" x14ac:dyDescent="0.2">
      <c r="A64" s="99" t="s">
        <v>99</v>
      </c>
      <c r="B64" s="10">
        <v>1018</v>
      </c>
      <c r="C64" s="43">
        <v>0</v>
      </c>
      <c r="D64" s="43">
        <f t="shared" si="2"/>
        <v>0</v>
      </c>
      <c r="E64" s="45">
        <v>0</v>
      </c>
      <c r="F64" s="46">
        <v>0</v>
      </c>
      <c r="G64" s="43">
        <v>0</v>
      </c>
      <c r="H64" s="44">
        <v>0</v>
      </c>
    </row>
    <row r="65" spans="1:8" s="16" customFormat="1" ht="37.5" x14ac:dyDescent="0.2">
      <c r="A65" s="112" t="s">
        <v>184</v>
      </c>
      <c r="B65" s="10">
        <v>1019</v>
      </c>
      <c r="C65" s="43">
        <v>0</v>
      </c>
      <c r="D65" s="43">
        <f t="shared" si="2"/>
        <v>0</v>
      </c>
      <c r="E65" s="45">
        <v>0</v>
      </c>
      <c r="F65" s="46">
        <v>0</v>
      </c>
      <c r="G65" s="43">
        <v>0</v>
      </c>
      <c r="H65" s="44">
        <v>0</v>
      </c>
    </row>
    <row r="66" spans="1:8" s="16" customFormat="1" x14ac:dyDescent="0.2">
      <c r="A66" s="9" t="s">
        <v>73</v>
      </c>
      <c r="B66" s="11">
        <v>1020</v>
      </c>
      <c r="C66" s="41">
        <f>C67+C69</f>
        <v>224.8</v>
      </c>
      <c r="D66" s="41">
        <f t="shared" si="2"/>
        <v>224.8</v>
      </c>
      <c r="E66" s="41">
        <f t="shared" ref="E66:H66" si="3">E67+E69</f>
        <v>56.2</v>
      </c>
      <c r="F66" s="41">
        <f t="shared" si="3"/>
        <v>56.2</v>
      </c>
      <c r="G66" s="41">
        <f t="shared" si="3"/>
        <v>56.2</v>
      </c>
      <c r="H66" s="41">
        <f t="shared" si="3"/>
        <v>56.2</v>
      </c>
    </row>
    <row r="67" spans="1:8" ht="37.5" x14ac:dyDescent="0.3">
      <c r="A67" s="60" t="s">
        <v>118</v>
      </c>
      <c r="B67" s="15">
        <v>1021</v>
      </c>
      <c r="C67" s="44">
        <v>224.8</v>
      </c>
      <c r="D67" s="77">
        <f>D68</f>
        <v>224.8</v>
      </c>
      <c r="E67" s="77">
        <f t="shared" ref="E67:H67" si="4">E68</f>
        <v>56.2</v>
      </c>
      <c r="F67" s="77">
        <f t="shared" si="4"/>
        <v>56.2</v>
      </c>
      <c r="G67" s="77">
        <f t="shared" si="4"/>
        <v>56.2</v>
      </c>
      <c r="H67" s="77">
        <f t="shared" si="4"/>
        <v>56.2</v>
      </c>
    </row>
    <row r="68" spans="1:8" ht="57.75" customHeight="1" x14ac:dyDescent="0.3">
      <c r="A68" s="60" t="s">
        <v>122</v>
      </c>
      <c r="B68" s="62" t="s">
        <v>123</v>
      </c>
      <c r="C68" s="77">
        <v>224.8</v>
      </c>
      <c r="D68" s="77">
        <f t="shared" si="2"/>
        <v>224.8</v>
      </c>
      <c r="E68" s="77">
        <v>56.2</v>
      </c>
      <c r="F68" s="81">
        <v>56.2</v>
      </c>
      <c r="G68" s="77">
        <v>56.2</v>
      </c>
      <c r="H68" s="77">
        <v>56.2</v>
      </c>
    </row>
    <row r="69" spans="1:8" ht="21" customHeight="1" x14ac:dyDescent="0.3">
      <c r="A69" s="48" t="s">
        <v>100</v>
      </c>
      <c r="B69" s="15">
        <v>1022</v>
      </c>
      <c r="C69" s="44">
        <v>0</v>
      </c>
      <c r="D69" s="44">
        <f t="shared" si="2"/>
        <v>0</v>
      </c>
      <c r="E69" s="44">
        <v>0</v>
      </c>
      <c r="F69" s="46">
        <v>0</v>
      </c>
      <c r="G69" s="44">
        <v>0</v>
      </c>
      <c r="H69" s="44">
        <v>0</v>
      </c>
    </row>
    <row r="70" spans="1:8" s="16" customFormat="1" ht="23.25" customHeight="1" x14ac:dyDescent="0.2">
      <c r="A70" s="9" t="s">
        <v>74</v>
      </c>
      <c r="B70" s="11">
        <v>1030</v>
      </c>
      <c r="C70" s="41">
        <f>C71</f>
        <v>0</v>
      </c>
      <c r="D70" s="41">
        <f t="shared" si="2"/>
        <v>0</v>
      </c>
      <c r="E70" s="41">
        <f>E71</f>
        <v>0</v>
      </c>
      <c r="F70" s="42">
        <f>F71</f>
        <v>0</v>
      </c>
      <c r="G70" s="42">
        <f t="shared" ref="G70:H70" si="5">G71</f>
        <v>0</v>
      </c>
      <c r="H70" s="41">
        <f t="shared" si="5"/>
        <v>0</v>
      </c>
    </row>
    <row r="71" spans="1:8" s="16" customFormat="1" ht="19.5" customHeight="1" x14ac:dyDescent="0.2">
      <c r="A71" s="61" t="s">
        <v>101</v>
      </c>
      <c r="B71" s="15">
        <v>1031</v>
      </c>
      <c r="C71" s="43">
        <v>0</v>
      </c>
      <c r="D71" s="44">
        <v>0</v>
      </c>
      <c r="E71" s="43">
        <v>0</v>
      </c>
      <c r="F71" s="46">
        <v>0</v>
      </c>
      <c r="G71" s="44">
        <v>0</v>
      </c>
      <c r="H71" s="44">
        <v>0</v>
      </c>
    </row>
    <row r="72" spans="1:8" s="16" customFormat="1" ht="19.5" customHeight="1" x14ac:dyDescent="0.2">
      <c r="A72" s="9" t="s">
        <v>46</v>
      </c>
      <c r="B72" s="11">
        <v>1040</v>
      </c>
      <c r="C72" s="41">
        <f>C53+C56+C66+C70</f>
        <v>45894.8</v>
      </c>
      <c r="D72" s="41">
        <f>D53+D56+D66+D70</f>
        <v>52158.8</v>
      </c>
      <c r="E72" s="41">
        <f>E53+E56+E66+E70</f>
        <v>12360.400000000001</v>
      </c>
      <c r="F72" s="41">
        <f t="shared" ref="F72:H72" si="6">F53+F56+F66+F70</f>
        <v>13417.1</v>
      </c>
      <c r="G72" s="41">
        <f t="shared" si="6"/>
        <v>12705.400000000001</v>
      </c>
      <c r="H72" s="41">
        <f t="shared" si="6"/>
        <v>13675.900000000001</v>
      </c>
    </row>
    <row r="73" spans="1:8" ht="23.25" customHeight="1" x14ac:dyDescent="0.2">
      <c r="A73" s="9" t="s">
        <v>72</v>
      </c>
      <c r="B73" s="11">
        <v>1050</v>
      </c>
      <c r="C73" s="41">
        <f>C74+C75+C76+C81+C82+C83+C84+C85+C80</f>
        <v>27216.300000000003</v>
      </c>
      <c r="D73" s="41">
        <f>E73+F73+G73+H73</f>
        <v>30323.700000000004</v>
      </c>
      <c r="E73" s="41">
        <f>E74+E75+E76+E80+E81+E82+E83+E84+E85</f>
        <v>7280.5000000000009</v>
      </c>
      <c r="F73" s="41">
        <f>F74+F75+F76+F80+F81+F82+F83+F84+F85</f>
        <v>7884.9000000000015</v>
      </c>
      <c r="G73" s="41">
        <f>G74+G75+G76+G80+G81+G82+G83+G84+G85</f>
        <v>7257.4000000000015</v>
      </c>
      <c r="H73" s="41">
        <f t="shared" ref="H73" si="7">H74+H75+H76+H80+H81+H82+H83+H84+H85</f>
        <v>7900.9</v>
      </c>
    </row>
    <row r="74" spans="1:8" ht="21" customHeight="1" x14ac:dyDescent="0.2">
      <c r="A74" s="61" t="s">
        <v>103</v>
      </c>
      <c r="B74" s="62">
        <v>1051</v>
      </c>
      <c r="C74" s="77">
        <v>16770.900000000001</v>
      </c>
      <c r="D74" s="77">
        <f>E74+F74+G74+H74</f>
        <v>18353.600000000002</v>
      </c>
      <c r="E74" s="77">
        <v>4301.1000000000004</v>
      </c>
      <c r="F74" s="81">
        <v>4789.8</v>
      </c>
      <c r="G74" s="81">
        <v>4599</v>
      </c>
      <c r="H74" s="81">
        <v>4663.7</v>
      </c>
    </row>
    <row r="75" spans="1:8" ht="21.75" customHeight="1" x14ac:dyDescent="0.2">
      <c r="A75" s="61" t="s">
        <v>104</v>
      </c>
      <c r="B75" s="62">
        <v>1052</v>
      </c>
      <c r="C75" s="77">
        <v>3773.5</v>
      </c>
      <c r="D75" s="77">
        <f>E75+F75+G75+H75</f>
        <v>4028.8</v>
      </c>
      <c r="E75" s="81">
        <v>944.2</v>
      </c>
      <c r="F75" s="81">
        <v>1051.4000000000001</v>
      </c>
      <c r="G75" s="81">
        <v>1009.5</v>
      </c>
      <c r="H75" s="81">
        <v>1023.7</v>
      </c>
    </row>
    <row r="76" spans="1:8" s="66" customFormat="1" x14ac:dyDescent="0.2">
      <c r="A76" s="61" t="s">
        <v>119</v>
      </c>
      <c r="B76" s="83">
        <v>1053</v>
      </c>
      <c r="C76" s="77">
        <v>2704.2</v>
      </c>
      <c r="D76" s="77">
        <f>D77+D79+D78</f>
        <v>2903.3999999999996</v>
      </c>
      <c r="E76" s="78">
        <f>E77+E78+E79</f>
        <v>708.80000000000007</v>
      </c>
      <c r="F76" s="78">
        <f t="shared" ref="F76:H76" si="8">F77+F78+F79</f>
        <v>841.2</v>
      </c>
      <c r="G76" s="78">
        <f t="shared" si="8"/>
        <v>590.6</v>
      </c>
      <c r="H76" s="78">
        <f t="shared" si="8"/>
        <v>762.80000000000007</v>
      </c>
    </row>
    <row r="77" spans="1:8" ht="56.25" x14ac:dyDescent="0.2">
      <c r="A77" s="61" t="s">
        <v>91</v>
      </c>
      <c r="B77" s="83" t="s">
        <v>124</v>
      </c>
      <c r="C77" s="77">
        <v>481.8</v>
      </c>
      <c r="D77" s="77">
        <f t="shared" ref="D77:D79" si="9">E77+F77+G77+H77</f>
        <v>355.2</v>
      </c>
      <c r="E77" s="113">
        <v>54.6</v>
      </c>
      <c r="F77" s="114">
        <v>80.2</v>
      </c>
      <c r="G77" s="77">
        <v>100.2</v>
      </c>
      <c r="H77" s="77">
        <v>120.2</v>
      </c>
    </row>
    <row r="78" spans="1:8" x14ac:dyDescent="0.2">
      <c r="A78" s="61" t="s">
        <v>70</v>
      </c>
      <c r="B78" s="83" t="s">
        <v>125</v>
      </c>
      <c r="C78" s="77">
        <v>2222.4</v>
      </c>
      <c r="D78" s="77">
        <f t="shared" si="9"/>
        <v>2548.1999999999998</v>
      </c>
      <c r="E78" s="78">
        <v>654.20000000000005</v>
      </c>
      <c r="F78" s="84">
        <v>761</v>
      </c>
      <c r="G78" s="77">
        <v>490.4</v>
      </c>
      <c r="H78" s="77">
        <v>642.6</v>
      </c>
    </row>
    <row r="79" spans="1:8" x14ac:dyDescent="0.2">
      <c r="A79" s="61" t="s">
        <v>71</v>
      </c>
      <c r="B79" s="83" t="s">
        <v>126</v>
      </c>
      <c r="C79" s="77">
        <v>0</v>
      </c>
      <c r="D79" s="77">
        <f t="shared" si="9"/>
        <v>0</v>
      </c>
      <c r="E79" s="78">
        <v>0</v>
      </c>
      <c r="F79" s="84">
        <v>0</v>
      </c>
      <c r="G79" s="77">
        <v>0</v>
      </c>
      <c r="H79" s="77">
        <v>0</v>
      </c>
    </row>
    <row r="80" spans="1:8" ht="19.5" customHeight="1" x14ac:dyDescent="0.2">
      <c r="A80" s="61" t="s">
        <v>102</v>
      </c>
      <c r="B80" s="62">
        <v>1054</v>
      </c>
      <c r="C80" s="77">
        <v>1668.4</v>
      </c>
      <c r="D80" s="77">
        <f>E80+F80+G80+H80</f>
        <v>1834.3999999999999</v>
      </c>
      <c r="E80" s="78">
        <v>554</v>
      </c>
      <c r="F80" s="85">
        <v>411.3</v>
      </c>
      <c r="G80" s="77">
        <v>246.6</v>
      </c>
      <c r="H80" s="77">
        <v>622.5</v>
      </c>
    </row>
    <row r="81" spans="1:8" ht="145.9" customHeight="1" x14ac:dyDescent="0.2">
      <c r="A81" s="61" t="s">
        <v>105</v>
      </c>
      <c r="B81" s="83">
        <v>1055</v>
      </c>
      <c r="C81" s="77">
        <v>1819.7</v>
      </c>
      <c r="D81" s="77">
        <f t="shared" ref="D81" si="10">E81+F81+G81+H81</f>
        <v>2655.5</v>
      </c>
      <c r="E81" s="78">
        <f>186.8+450</f>
        <v>636.79999999999995</v>
      </c>
      <c r="F81" s="114">
        <f>205.6+450</f>
        <v>655.6</v>
      </c>
      <c r="G81" s="77">
        <f>226.1+450</f>
        <v>676.1</v>
      </c>
      <c r="H81" s="77">
        <f>237+450</f>
        <v>687</v>
      </c>
    </row>
    <row r="82" spans="1:8" ht="37.5" x14ac:dyDescent="0.2">
      <c r="A82" s="61" t="s">
        <v>106</v>
      </c>
      <c r="B82" s="83">
        <v>1056</v>
      </c>
      <c r="C82" s="77">
        <v>479.6</v>
      </c>
      <c r="D82" s="77">
        <f>E82+F82+G82+H82</f>
        <v>548</v>
      </c>
      <c r="E82" s="78">
        <v>135.6</v>
      </c>
      <c r="F82" s="85">
        <v>135.6</v>
      </c>
      <c r="G82" s="77">
        <v>135.6</v>
      </c>
      <c r="H82" s="77">
        <v>141.19999999999999</v>
      </c>
    </row>
    <row r="83" spans="1:8" x14ac:dyDescent="0.2">
      <c r="A83" s="61" t="s">
        <v>107</v>
      </c>
      <c r="B83" s="83">
        <v>1057</v>
      </c>
      <c r="C83" s="77">
        <v>0</v>
      </c>
      <c r="D83" s="77">
        <f t="shared" si="2"/>
        <v>0</v>
      </c>
      <c r="E83" s="78">
        <v>0</v>
      </c>
      <c r="F83" s="85">
        <v>0</v>
      </c>
      <c r="G83" s="77">
        <v>0</v>
      </c>
      <c r="H83" s="77">
        <v>0</v>
      </c>
    </row>
    <row r="84" spans="1:8" ht="37.5" x14ac:dyDescent="0.2">
      <c r="A84" s="61" t="s">
        <v>108</v>
      </c>
      <c r="B84" s="83">
        <v>1058</v>
      </c>
      <c r="C84" s="77">
        <v>0</v>
      </c>
      <c r="D84" s="77">
        <f t="shared" si="2"/>
        <v>0</v>
      </c>
      <c r="E84" s="78">
        <v>0</v>
      </c>
      <c r="F84" s="85">
        <v>0</v>
      </c>
      <c r="G84" s="77">
        <v>0</v>
      </c>
      <c r="H84" s="77">
        <v>0</v>
      </c>
    </row>
    <row r="85" spans="1:8" x14ac:dyDescent="0.2">
      <c r="A85" s="61" t="s">
        <v>109</v>
      </c>
      <c r="B85" s="83">
        <v>1059</v>
      </c>
      <c r="C85" s="77">
        <v>0</v>
      </c>
      <c r="D85" s="77">
        <f t="shared" si="2"/>
        <v>0</v>
      </c>
      <c r="E85" s="78">
        <v>0</v>
      </c>
      <c r="F85" s="85">
        <v>0</v>
      </c>
      <c r="G85" s="77">
        <v>0</v>
      </c>
      <c r="H85" s="77">
        <v>0</v>
      </c>
    </row>
    <row r="86" spans="1:8" x14ac:dyDescent="0.2">
      <c r="A86" s="79" t="s">
        <v>77</v>
      </c>
      <c r="B86" s="80">
        <v>1060</v>
      </c>
      <c r="C86" s="77">
        <f>C87+C88+C89+C90+C91+C92+C93+C94+C95</f>
        <v>6780.9000000000005</v>
      </c>
      <c r="D86" s="77">
        <f>E86+F86+G86+H86</f>
        <v>7356.4</v>
      </c>
      <c r="E86" s="77">
        <f>E87+E88+E89+E90+E91+E92+E93+E94+E95</f>
        <v>1726.7999999999997</v>
      </c>
      <c r="F86" s="77">
        <f t="shared" ref="F86:H86" si="11">F87+F88+F89+F90+F91+F92+F93+F94+F95</f>
        <v>1891.6</v>
      </c>
      <c r="G86" s="77">
        <f t="shared" si="11"/>
        <v>1817.1000000000001</v>
      </c>
      <c r="H86" s="77">
        <f t="shared" si="11"/>
        <v>1920.9</v>
      </c>
    </row>
    <row r="87" spans="1:8" x14ac:dyDescent="0.2">
      <c r="A87" s="61" t="s">
        <v>103</v>
      </c>
      <c r="B87" s="63">
        <v>1061</v>
      </c>
      <c r="C87" s="77">
        <v>4596.1000000000004</v>
      </c>
      <c r="D87" s="77">
        <f>E87+F87+G87+H87</f>
        <v>5176.7000000000007</v>
      </c>
      <c r="E87" s="82">
        <v>1213.0999999999999</v>
      </c>
      <c r="F87" s="86">
        <v>1351</v>
      </c>
      <c r="G87" s="81">
        <v>1297.2</v>
      </c>
      <c r="H87" s="86">
        <v>1315.4</v>
      </c>
    </row>
    <row r="88" spans="1:8" x14ac:dyDescent="0.2">
      <c r="A88" s="61" t="s">
        <v>104</v>
      </c>
      <c r="B88" s="63">
        <v>1062</v>
      </c>
      <c r="C88" s="77">
        <v>1034.0999999999999</v>
      </c>
      <c r="D88" s="77">
        <f>E88+F88+G88+H88</f>
        <v>1136.3</v>
      </c>
      <c r="E88" s="77">
        <v>266.3</v>
      </c>
      <c r="F88" s="81">
        <v>296.5</v>
      </c>
      <c r="G88" s="81">
        <v>284.7</v>
      </c>
      <c r="H88" s="81">
        <v>288.8</v>
      </c>
    </row>
    <row r="89" spans="1:8" ht="112.5" x14ac:dyDescent="0.2">
      <c r="A89" s="61" t="s">
        <v>110</v>
      </c>
      <c r="B89" s="63">
        <v>1063</v>
      </c>
      <c r="C89" s="77">
        <v>151.5</v>
      </c>
      <c r="D89" s="77">
        <f t="shared" si="2"/>
        <v>160.30000000000001</v>
      </c>
      <c r="E89" s="77">
        <v>24.6</v>
      </c>
      <c r="F89" s="115">
        <v>36.200000000000003</v>
      </c>
      <c r="G89" s="77">
        <v>45.2</v>
      </c>
      <c r="H89" s="77">
        <v>54.3</v>
      </c>
    </row>
    <row r="90" spans="1:8" x14ac:dyDescent="0.2">
      <c r="A90" s="76" t="s">
        <v>102</v>
      </c>
      <c r="B90" s="63">
        <v>1064</v>
      </c>
      <c r="C90" s="77">
        <v>294.8</v>
      </c>
      <c r="D90" s="77">
        <f t="shared" si="2"/>
        <v>323.79999999999995</v>
      </c>
      <c r="E90" s="77">
        <v>97.8</v>
      </c>
      <c r="F90" s="115">
        <v>72.599999999999994</v>
      </c>
      <c r="G90" s="77">
        <v>43.5</v>
      </c>
      <c r="H90" s="77">
        <v>109.9</v>
      </c>
    </row>
    <row r="91" spans="1:8" ht="112.5" x14ac:dyDescent="0.2">
      <c r="A91" s="76" t="s">
        <v>127</v>
      </c>
      <c r="B91" s="63">
        <v>1065</v>
      </c>
      <c r="C91" s="77">
        <v>642</v>
      </c>
      <c r="D91" s="77">
        <f>E91+F91+G91+H91</f>
        <v>468.9</v>
      </c>
      <c r="E91" s="77">
        <f>102.4</f>
        <v>102.4</v>
      </c>
      <c r="F91" s="115">
        <f>112.7</f>
        <v>112.7</v>
      </c>
      <c r="G91" s="77">
        <f>123.9</f>
        <v>123.9</v>
      </c>
      <c r="H91" s="77">
        <f>129.9</f>
        <v>129.9</v>
      </c>
    </row>
    <row r="92" spans="1:8" ht="56.25" x14ac:dyDescent="0.2">
      <c r="A92" s="61" t="s">
        <v>111</v>
      </c>
      <c r="B92" s="63">
        <v>1066</v>
      </c>
      <c r="C92" s="77">
        <v>35.200000000000003</v>
      </c>
      <c r="D92" s="77">
        <f>E92+F92+G92+H92</f>
        <v>62.4</v>
      </c>
      <c r="E92" s="77">
        <v>15.6</v>
      </c>
      <c r="F92" s="77">
        <v>15.6</v>
      </c>
      <c r="G92" s="77">
        <v>15.6</v>
      </c>
      <c r="H92" s="77">
        <v>15.6</v>
      </c>
    </row>
    <row r="93" spans="1:8" x14ac:dyDescent="0.2">
      <c r="A93" s="61" t="s">
        <v>107</v>
      </c>
      <c r="B93" s="63">
        <v>1067</v>
      </c>
      <c r="C93" s="77">
        <v>7.2</v>
      </c>
      <c r="D93" s="77">
        <f t="shared" si="2"/>
        <v>8</v>
      </c>
      <c r="E93" s="77">
        <v>2</v>
      </c>
      <c r="F93" s="81">
        <v>2</v>
      </c>
      <c r="G93" s="77">
        <v>2</v>
      </c>
      <c r="H93" s="77">
        <v>2</v>
      </c>
    </row>
    <row r="94" spans="1:8" ht="37.5" x14ac:dyDescent="0.2">
      <c r="A94" s="61" t="s">
        <v>108</v>
      </c>
      <c r="B94" s="63">
        <v>1068</v>
      </c>
      <c r="C94" s="77">
        <v>20</v>
      </c>
      <c r="D94" s="77">
        <f t="shared" si="2"/>
        <v>20</v>
      </c>
      <c r="E94" s="77">
        <v>5</v>
      </c>
      <c r="F94" s="81">
        <v>5</v>
      </c>
      <c r="G94" s="77">
        <v>5</v>
      </c>
      <c r="H94" s="77">
        <v>5</v>
      </c>
    </row>
    <row r="95" spans="1:8" x14ac:dyDescent="0.2">
      <c r="A95" s="61" t="s">
        <v>109</v>
      </c>
      <c r="B95" s="63">
        <v>1069</v>
      </c>
      <c r="C95" s="77">
        <v>0</v>
      </c>
      <c r="D95" s="77">
        <f t="shared" si="2"/>
        <v>0</v>
      </c>
      <c r="E95" s="77">
        <v>0</v>
      </c>
      <c r="F95" s="81">
        <v>0</v>
      </c>
      <c r="G95" s="77">
        <v>0</v>
      </c>
      <c r="H95" s="77">
        <v>0</v>
      </c>
    </row>
    <row r="96" spans="1:8" x14ac:dyDescent="0.2">
      <c r="A96" s="87" t="s">
        <v>78</v>
      </c>
      <c r="B96" s="80">
        <v>1070</v>
      </c>
      <c r="C96" s="77">
        <f>C97+C98+C99+C100+C101+C102+C103+C104</f>
        <v>11309.3</v>
      </c>
      <c r="D96" s="77">
        <f>E96+F96+G96+H96</f>
        <v>13118.900000000001</v>
      </c>
      <c r="E96" s="77">
        <f t="shared" ref="E96:H96" si="12">E97+E98+E99+E100+E101+E102+E103+E104</f>
        <v>3306.2000000000003</v>
      </c>
      <c r="F96" s="77">
        <f t="shared" si="12"/>
        <v>3294.2000000000003</v>
      </c>
      <c r="G96" s="77">
        <f t="shared" si="12"/>
        <v>3208.2000000000003</v>
      </c>
      <c r="H96" s="77">
        <f t="shared" si="12"/>
        <v>3310.3</v>
      </c>
    </row>
    <row r="97" spans="1:8" x14ac:dyDescent="0.2">
      <c r="A97" s="61" t="s">
        <v>112</v>
      </c>
      <c r="B97" s="62">
        <v>1071</v>
      </c>
      <c r="C97" s="77">
        <v>0</v>
      </c>
      <c r="D97" s="77">
        <f t="shared" si="2"/>
        <v>0</v>
      </c>
      <c r="E97" s="77">
        <v>0</v>
      </c>
      <c r="F97" s="81">
        <v>0</v>
      </c>
      <c r="G97" s="77">
        <v>0</v>
      </c>
      <c r="H97" s="77">
        <v>0</v>
      </c>
    </row>
    <row r="98" spans="1:8" ht="51" customHeight="1" x14ac:dyDescent="0.2">
      <c r="A98" s="61" t="s">
        <v>113</v>
      </c>
      <c r="B98" s="62">
        <v>1072</v>
      </c>
      <c r="C98" s="77">
        <v>237.8</v>
      </c>
      <c r="D98" s="77">
        <f>E98+F98+G98+H98</f>
        <v>330</v>
      </c>
      <c r="E98" s="77">
        <v>110</v>
      </c>
      <c r="F98" s="81">
        <v>50</v>
      </c>
      <c r="G98" s="77">
        <v>60</v>
      </c>
      <c r="H98" s="77">
        <v>110</v>
      </c>
    </row>
    <row r="99" spans="1:8" ht="37.5" x14ac:dyDescent="0.2">
      <c r="A99" s="61" t="s">
        <v>128</v>
      </c>
      <c r="B99" s="62">
        <v>1073</v>
      </c>
      <c r="C99" s="77">
        <v>0</v>
      </c>
      <c r="D99" s="77">
        <f t="shared" si="2"/>
        <v>0</v>
      </c>
      <c r="E99" s="77">
        <v>0</v>
      </c>
      <c r="F99" s="81">
        <v>0</v>
      </c>
      <c r="G99" s="77">
        <v>0</v>
      </c>
      <c r="H99" s="77">
        <v>0</v>
      </c>
    </row>
    <row r="100" spans="1:8" ht="37.5" x14ac:dyDescent="0.2">
      <c r="A100" s="61" t="s">
        <v>114</v>
      </c>
      <c r="B100" s="62">
        <v>1074</v>
      </c>
      <c r="C100" s="77">
        <v>3.4</v>
      </c>
      <c r="D100" s="81">
        <f t="shared" si="2"/>
        <v>4.4000000000000004</v>
      </c>
      <c r="E100" s="78">
        <v>1.1000000000000001</v>
      </c>
      <c r="F100" s="81">
        <v>1.1000000000000001</v>
      </c>
      <c r="G100" s="77">
        <v>1.1000000000000001</v>
      </c>
      <c r="H100" s="77">
        <v>1.1000000000000001</v>
      </c>
    </row>
    <row r="101" spans="1:8" x14ac:dyDescent="0.2">
      <c r="A101" s="61" t="s">
        <v>129</v>
      </c>
      <c r="B101" s="62">
        <v>1075</v>
      </c>
      <c r="C101" s="77">
        <v>0</v>
      </c>
      <c r="D101" s="81">
        <f t="shared" si="2"/>
        <v>0</v>
      </c>
      <c r="E101" s="81">
        <v>0</v>
      </c>
      <c r="F101" s="81">
        <v>0</v>
      </c>
      <c r="G101" s="81">
        <v>0</v>
      </c>
      <c r="H101" s="81">
        <v>0</v>
      </c>
    </row>
    <row r="102" spans="1:8" ht="36" customHeight="1" x14ac:dyDescent="0.2">
      <c r="A102" s="61" t="s">
        <v>115</v>
      </c>
      <c r="B102" s="62">
        <v>1076</v>
      </c>
      <c r="C102" s="77">
        <v>12</v>
      </c>
      <c r="D102" s="81">
        <f t="shared" si="2"/>
        <v>12</v>
      </c>
      <c r="E102" s="81">
        <v>2</v>
      </c>
      <c r="F102" s="81">
        <v>0</v>
      </c>
      <c r="G102" s="81">
        <v>4</v>
      </c>
      <c r="H102" s="81">
        <v>6</v>
      </c>
    </row>
    <row r="103" spans="1:8" x14ac:dyDescent="0.2">
      <c r="A103" s="61" t="s">
        <v>130</v>
      </c>
      <c r="B103" s="62">
        <v>1077</v>
      </c>
      <c r="C103" s="77">
        <v>64.8</v>
      </c>
      <c r="D103" s="81">
        <f t="shared" si="2"/>
        <v>71.2</v>
      </c>
      <c r="E103" s="81">
        <v>17.8</v>
      </c>
      <c r="F103" s="81">
        <v>17.8</v>
      </c>
      <c r="G103" s="81">
        <v>17.8</v>
      </c>
      <c r="H103" s="81">
        <v>17.8</v>
      </c>
    </row>
    <row r="104" spans="1:8" x14ac:dyDescent="0.2">
      <c r="A104" s="61" t="s">
        <v>116</v>
      </c>
      <c r="B104" s="62">
        <v>1078</v>
      </c>
      <c r="C104" s="77">
        <v>10991.3</v>
      </c>
      <c r="D104" s="81">
        <f t="shared" si="2"/>
        <v>12701.300000000001</v>
      </c>
      <c r="E104" s="81">
        <v>3175.3</v>
      </c>
      <c r="F104" s="81">
        <v>3225.3</v>
      </c>
      <c r="G104" s="81">
        <v>3125.3</v>
      </c>
      <c r="H104" s="81">
        <v>3175.4</v>
      </c>
    </row>
    <row r="105" spans="1:8" x14ac:dyDescent="0.2">
      <c r="A105" s="79" t="s">
        <v>79</v>
      </c>
      <c r="B105" s="80">
        <v>1080</v>
      </c>
      <c r="C105" s="77">
        <f>C106</f>
        <v>0</v>
      </c>
      <c r="D105" s="81">
        <f t="shared" si="2"/>
        <v>0</v>
      </c>
      <c r="E105" s="81">
        <f>E106</f>
        <v>0</v>
      </c>
      <c r="F105" s="81">
        <f>F106</f>
        <v>0</v>
      </c>
      <c r="G105" s="81">
        <f t="shared" ref="G105:H105" si="13">G106</f>
        <v>0</v>
      </c>
      <c r="H105" s="81">
        <f t="shared" si="13"/>
        <v>0</v>
      </c>
    </row>
    <row r="106" spans="1:8" x14ac:dyDescent="0.2">
      <c r="A106" s="61" t="s">
        <v>117</v>
      </c>
      <c r="B106" s="62" t="s">
        <v>17</v>
      </c>
      <c r="C106" s="77">
        <v>0</v>
      </c>
      <c r="D106" s="77">
        <f t="shared" si="2"/>
        <v>0</v>
      </c>
      <c r="E106" s="77">
        <v>0</v>
      </c>
      <c r="F106" s="81">
        <v>0</v>
      </c>
      <c r="G106" s="77">
        <v>0</v>
      </c>
      <c r="H106" s="77">
        <v>0</v>
      </c>
    </row>
    <row r="107" spans="1:8" ht="24" customHeight="1" x14ac:dyDescent="0.2">
      <c r="A107" s="79" t="s">
        <v>47</v>
      </c>
      <c r="B107" s="80">
        <v>1090</v>
      </c>
      <c r="C107" s="77">
        <f>C73+C86+C96+C105</f>
        <v>45306.5</v>
      </c>
      <c r="D107" s="77">
        <f>E107+F107+G107+H107</f>
        <v>50799.000000000007</v>
      </c>
      <c r="E107" s="77">
        <f>E73+E86+E96+E105</f>
        <v>12313.500000000002</v>
      </c>
      <c r="F107" s="77">
        <f>F73+F86+F96+F105</f>
        <v>13070.700000000003</v>
      </c>
      <c r="G107" s="77">
        <f t="shared" ref="G107:H107" si="14">G73+G86+G96+G105</f>
        <v>12282.700000000003</v>
      </c>
      <c r="H107" s="77">
        <f t="shared" si="14"/>
        <v>13132.099999999999</v>
      </c>
    </row>
    <row r="108" spans="1:8" ht="25.15" customHeight="1" x14ac:dyDescent="0.2">
      <c r="A108" s="79" t="s">
        <v>131</v>
      </c>
      <c r="B108" s="80">
        <v>1100</v>
      </c>
      <c r="C108" s="77">
        <f>C72-C107</f>
        <v>588.30000000000291</v>
      </c>
      <c r="D108" s="77">
        <f>D72-D107</f>
        <v>1359.7999999999956</v>
      </c>
      <c r="E108" s="77">
        <f>E72-E107</f>
        <v>46.899999999999636</v>
      </c>
      <c r="F108" s="77">
        <f t="shared" ref="F108:H108" si="15">F72-F107</f>
        <v>346.39999999999782</v>
      </c>
      <c r="G108" s="77">
        <f t="shared" si="15"/>
        <v>422.69999999999891</v>
      </c>
      <c r="H108" s="77">
        <f t="shared" si="15"/>
        <v>543.80000000000291</v>
      </c>
    </row>
    <row r="109" spans="1:8" ht="28.15" customHeight="1" x14ac:dyDescent="0.2">
      <c r="A109" s="148" t="s">
        <v>48</v>
      </c>
      <c r="B109" s="148"/>
      <c r="C109" s="148"/>
      <c r="D109" s="148"/>
      <c r="E109" s="148"/>
      <c r="F109" s="148"/>
      <c r="G109" s="148"/>
      <c r="H109" s="148"/>
    </row>
    <row r="110" spans="1:8" x14ac:dyDescent="0.2">
      <c r="A110" s="79" t="s">
        <v>80</v>
      </c>
      <c r="B110" s="95">
        <v>2000</v>
      </c>
      <c r="C110" s="77">
        <v>938.6</v>
      </c>
      <c r="D110" s="77">
        <f>E110+F110+G110+H110</f>
        <v>1250</v>
      </c>
      <c r="E110" s="77">
        <f>SUM(E111:E116)</f>
        <v>95</v>
      </c>
      <c r="F110" s="77">
        <f t="shared" ref="F110:H110" si="16">SUM(F111:F116)</f>
        <v>95</v>
      </c>
      <c r="G110" s="77">
        <f t="shared" si="16"/>
        <v>465</v>
      </c>
      <c r="H110" s="77">
        <f t="shared" si="16"/>
        <v>595</v>
      </c>
    </row>
    <row r="111" spans="1:8" x14ac:dyDescent="0.2">
      <c r="A111" s="61" t="s">
        <v>82</v>
      </c>
      <c r="B111" s="83">
        <v>2010</v>
      </c>
      <c r="C111" s="77">
        <v>0</v>
      </c>
      <c r="D111" s="77">
        <f t="shared" ref="D111:D116" si="17">E111+F111+G111+H111</f>
        <v>0</v>
      </c>
      <c r="E111" s="77">
        <v>0</v>
      </c>
      <c r="F111" s="81">
        <v>0</v>
      </c>
      <c r="G111" s="81">
        <v>0</v>
      </c>
      <c r="H111" s="81">
        <v>0</v>
      </c>
    </row>
    <row r="112" spans="1:8" ht="23.25" customHeight="1" x14ac:dyDescent="0.2">
      <c r="A112" s="61" t="s">
        <v>83</v>
      </c>
      <c r="B112" s="83">
        <v>2020</v>
      </c>
      <c r="C112" s="88">
        <v>551.1</v>
      </c>
      <c r="D112" s="77">
        <f t="shared" si="17"/>
        <v>870</v>
      </c>
      <c r="E112" s="77">
        <v>0</v>
      </c>
      <c r="F112" s="81">
        <v>0</v>
      </c>
      <c r="G112" s="81">
        <v>370</v>
      </c>
      <c r="H112" s="81">
        <v>500</v>
      </c>
    </row>
    <row r="113" spans="1:8" ht="40.9" customHeight="1" x14ac:dyDescent="0.2">
      <c r="A113" s="61" t="s">
        <v>84</v>
      </c>
      <c r="B113" s="83">
        <v>2030</v>
      </c>
      <c r="C113" s="77">
        <v>68.599999999999994</v>
      </c>
      <c r="D113" s="77">
        <f t="shared" si="17"/>
        <v>380</v>
      </c>
      <c r="E113" s="77">
        <v>95</v>
      </c>
      <c r="F113" s="81">
        <v>95</v>
      </c>
      <c r="G113" s="81">
        <v>95</v>
      </c>
      <c r="H113" s="81">
        <v>95</v>
      </c>
    </row>
    <row r="114" spans="1:8" ht="25.9" customHeight="1" x14ac:dyDescent="0.2">
      <c r="A114" s="61" t="s">
        <v>85</v>
      </c>
      <c r="B114" s="83">
        <v>2040</v>
      </c>
      <c r="C114" s="88">
        <v>0</v>
      </c>
      <c r="D114" s="77">
        <f t="shared" si="17"/>
        <v>0</v>
      </c>
      <c r="E114" s="77">
        <v>0</v>
      </c>
      <c r="F114" s="81">
        <v>0</v>
      </c>
      <c r="G114" s="81">
        <v>0</v>
      </c>
      <c r="H114" s="81">
        <v>0</v>
      </c>
    </row>
    <row r="115" spans="1:8" ht="42.75" customHeight="1" x14ac:dyDescent="0.2">
      <c r="A115" s="61" t="s">
        <v>86</v>
      </c>
      <c r="B115" s="83">
        <v>2050</v>
      </c>
      <c r="C115" s="77">
        <v>0</v>
      </c>
      <c r="D115" s="77">
        <f t="shared" si="17"/>
        <v>0</v>
      </c>
      <c r="E115" s="77">
        <v>0</v>
      </c>
      <c r="F115" s="81">
        <v>0</v>
      </c>
      <c r="G115" s="81">
        <v>0</v>
      </c>
      <c r="H115" s="81">
        <v>0</v>
      </c>
    </row>
    <row r="116" spans="1:8" ht="22.15" customHeight="1" x14ac:dyDescent="0.2">
      <c r="A116" s="61" t="s">
        <v>87</v>
      </c>
      <c r="B116" s="83">
        <v>2060</v>
      </c>
      <c r="C116" s="77">
        <v>318.89999999999998</v>
      </c>
      <c r="D116" s="77">
        <f t="shared" si="17"/>
        <v>0</v>
      </c>
      <c r="E116" s="77">
        <v>0</v>
      </c>
      <c r="F116" s="81">
        <v>0</v>
      </c>
      <c r="G116" s="81">
        <v>0</v>
      </c>
      <c r="H116" s="81">
        <v>0</v>
      </c>
    </row>
    <row r="117" spans="1:8" ht="24.6" customHeight="1" x14ac:dyDescent="0.2">
      <c r="A117" s="61" t="s">
        <v>16</v>
      </c>
      <c r="B117" s="83">
        <v>2100</v>
      </c>
      <c r="C117" s="77">
        <v>8996.7999999999993</v>
      </c>
      <c r="D117" s="77">
        <f>H117</f>
        <v>9957.7999999999993</v>
      </c>
      <c r="E117" s="77">
        <v>9587.7999999999993</v>
      </c>
      <c r="F117" s="77">
        <v>9587.7999999999993</v>
      </c>
      <c r="G117" s="77">
        <v>9957.7999999999993</v>
      </c>
      <c r="H117" s="77">
        <v>9957.7999999999993</v>
      </c>
    </row>
    <row r="118" spans="1:8" ht="22.15" customHeight="1" x14ac:dyDescent="0.2">
      <c r="A118" s="61" t="s">
        <v>15</v>
      </c>
      <c r="B118" s="83">
        <v>2200</v>
      </c>
      <c r="C118" s="77">
        <v>5537.7</v>
      </c>
      <c r="D118" s="77">
        <f>H118</f>
        <v>6200.9</v>
      </c>
      <c r="E118" s="77">
        <v>5738</v>
      </c>
      <c r="F118" s="81">
        <v>5889.2</v>
      </c>
      <c r="G118" s="81">
        <v>6040.4</v>
      </c>
      <c r="H118" s="81">
        <v>6200.9</v>
      </c>
    </row>
    <row r="119" spans="1:8" ht="25.15" customHeight="1" x14ac:dyDescent="0.2">
      <c r="A119" s="148" t="s">
        <v>49</v>
      </c>
      <c r="B119" s="148"/>
      <c r="C119" s="148"/>
      <c r="D119" s="148"/>
      <c r="E119" s="148"/>
      <c r="F119" s="148"/>
      <c r="G119" s="148"/>
      <c r="H119" s="148"/>
    </row>
    <row r="120" spans="1:8" ht="43.15" customHeight="1" x14ac:dyDescent="0.2">
      <c r="A120" s="64" t="s">
        <v>81</v>
      </c>
      <c r="B120" s="83">
        <v>3010</v>
      </c>
      <c r="C120" s="89">
        <f>C60/C72</f>
        <v>0.30515657547260255</v>
      </c>
      <c r="D120" s="89">
        <f t="shared" ref="D120:H120" si="18">D60/D72</f>
        <v>0.27098782947460448</v>
      </c>
      <c r="E120" s="89">
        <f>E60/E72</f>
        <v>0.30002265298857639</v>
      </c>
      <c r="F120" s="89">
        <f t="shared" si="18"/>
        <v>0.25596440363416834</v>
      </c>
      <c r="G120" s="89">
        <f t="shared" si="18"/>
        <v>0.25962189305334737</v>
      </c>
      <c r="H120" s="89">
        <f t="shared" si="18"/>
        <v>0.27004438464744546</v>
      </c>
    </row>
    <row r="121" spans="1:8" ht="44.45" customHeight="1" x14ac:dyDescent="0.2">
      <c r="A121" s="61" t="s">
        <v>14</v>
      </c>
      <c r="B121" s="83">
        <v>3020</v>
      </c>
      <c r="C121" s="89">
        <f>(C80+C90)/C107</f>
        <v>4.3331530795801931E-2</v>
      </c>
      <c r="D121" s="89">
        <f t="shared" ref="D121:E121" si="19">(D80+D90)/D107</f>
        <v>4.2485088289139543E-2</v>
      </c>
      <c r="E121" s="89">
        <f t="shared" si="19"/>
        <v>5.2933771876395815E-2</v>
      </c>
      <c r="F121" s="89">
        <f>(F80+F90)/F107</f>
        <v>3.7021735637724061E-2</v>
      </c>
      <c r="G121" s="89">
        <f>(G80+G90)/G107</f>
        <v>2.3618585490160954E-2</v>
      </c>
      <c r="H121" s="89">
        <f t="shared" ref="H121" si="20">(H80+H90)/H107</f>
        <v>5.5771734909115835E-2</v>
      </c>
    </row>
    <row r="122" spans="1:8" ht="42" customHeight="1" x14ac:dyDescent="0.2">
      <c r="A122" s="61" t="s">
        <v>52</v>
      </c>
      <c r="B122" s="83">
        <v>3030</v>
      </c>
      <c r="C122" s="89">
        <f>C110/C107</f>
        <v>2.0716674207895115E-2</v>
      </c>
      <c r="D122" s="89">
        <f t="shared" ref="D122:H122" si="21">D110/D107</f>
        <v>2.4606783598102321E-2</v>
      </c>
      <c r="E122" s="89">
        <f t="shared" si="21"/>
        <v>7.7151094327364261E-3</v>
      </c>
      <c r="F122" s="89">
        <f t="shared" si="21"/>
        <v>7.2681646736594049E-3</v>
      </c>
      <c r="G122" s="89">
        <f t="shared" si="21"/>
        <v>3.7858125656411043E-2</v>
      </c>
      <c r="H122" s="89">
        <f t="shared" si="21"/>
        <v>4.5308823417427528E-2</v>
      </c>
    </row>
    <row r="123" spans="1:8" ht="45.6" customHeight="1" x14ac:dyDescent="0.2">
      <c r="A123" s="61" t="s">
        <v>13</v>
      </c>
      <c r="B123" s="83">
        <v>3040</v>
      </c>
      <c r="C123" s="89">
        <v>0.81499999999999995</v>
      </c>
      <c r="D123" s="89">
        <f t="shared" ref="D123:H123" si="22">(D74+D87+D75+D88)/D107</f>
        <v>0.56488119844878826</v>
      </c>
      <c r="E123" s="89">
        <f>(E74+E87+E75+E88+E98)/E107</f>
        <v>0.55505745726235434</v>
      </c>
      <c r="F123" s="89">
        <f t="shared" si="22"/>
        <v>0.57293794517508623</v>
      </c>
      <c r="G123" s="89">
        <f t="shared" si="22"/>
        <v>0.58540874563410306</v>
      </c>
      <c r="H123" s="89">
        <f t="shared" si="22"/>
        <v>0.55525011232019261</v>
      </c>
    </row>
    <row r="124" spans="1:8" ht="22.9" customHeight="1" x14ac:dyDescent="0.2">
      <c r="A124" s="64" t="s">
        <v>12</v>
      </c>
      <c r="B124" s="83">
        <v>3050</v>
      </c>
      <c r="C124" s="77">
        <f>C118/C117</f>
        <v>0.6155188511470745</v>
      </c>
      <c r="D124" s="77">
        <f t="shared" ref="D124:H124" si="23">D118/D117</f>
        <v>0.62271786940890561</v>
      </c>
      <c r="E124" s="77">
        <f t="shared" si="23"/>
        <v>0.59846888754458794</v>
      </c>
      <c r="F124" s="77">
        <f t="shared" si="23"/>
        <v>0.61423892863847807</v>
      </c>
      <c r="G124" s="77">
        <f t="shared" si="23"/>
        <v>0.60659985137279315</v>
      </c>
      <c r="H124" s="77">
        <f t="shared" si="23"/>
        <v>0.62271786940890561</v>
      </c>
    </row>
    <row r="125" spans="1:8" ht="37.5" x14ac:dyDescent="0.2">
      <c r="A125" s="64" t="s">
        <v>11</v>
      </c>
      <c r="B125" s="83">
        <v>3060</v>
      </c>
      <c r="C125" s="81">
        <v>0.7</v>
      </c>
      <c r="D125" s="43">
        <f>(D111+D112+D113)/D110</f>
        <v>1</v>
      </c>
      <c r="E125" s="43">
        <v>0</v>
      </c>
      <c r="F125" s="43">
        <f>(F111+F112+F113)/F110</f>
        <v>1</v>
      </c>
      <c r="G125" s="43">
        <f t="shared" ref="G125" si="24">(G111+G112+G113)/G110</f>
        <v>1</v>
      </c>
      <c r="H125" s="43">
        <f>(H111+H112+H113)/H110</f>
        <v>1</v>
      </c>
    </row>
    <row r="126" spans="1:8" x14ac:dyDescent="0.2">
      <c r="A126" s="149" t="s">
        <v>50</v>
      </c>
      <c r="B126" s="149"/>
      <c r="C126" s="149"/>
      <c r="D126" s="149"/>
      <c r="E126" s="149"/>
      <c r="F126" s="149"/>
      <c r="G126" s="149"/>
      <c r="H126" s="149"/>
    </row>
    <row r="127" spans="1:8" x14ac:dyDescent="0.2">
      <c r="A127" s="64" t="s">
        <v>10</v>
      </c>
      <c r="B127" s="83">
        <v>4010</v>
      </c>
      <c r="C127" s="77">
        <v>3459.1</v>
      </c>
      <c r="D127" s="77">
        <f>H127</f>
        <v>3521.5</v>
      </c>
      <c r="E127" s="77">
        <v>3521.5</v>
      </c>
      <c r="F127" s="77">
        <v>3521.5</v>
      </c>
      <c r="G127" s="77">
        <v>3521.5</v>
      </c>
      <c r="H127" s="77">
        <v>3521.5</v>
      </c>
    </row>
    <row r="128" spans="1:8" x14ac:dyDescent="0.2">
      <c r="A128" s="64" t="s">
        <v>120</v>
      </c>
      <c r="B128" s="83">
        <v>4020</v>
      </c>
      <c r="C128" s="77">
        <v>4462.3</v>
      </c>
      <c r="D128" s="77">
        <f t="shared" ref="D128" si="25">H128</f>
        <v>4113.2</v>
      </c>
      <c r="E128" s="77">
        <v>4113.2</v>
      </c>
      <c r="F128" s="77">
        <v>4113.2</v>
      </c>
      <c r="G128" s="77">
        <v>4113.2</v>
      </c>
      <c r="H128" s="77">
        <v>4113.2</v>
      </c>
    </row>
    <row r="129" spans="1:8" x14ac:dyDescent="0.2">
      <c r="A129" s="64" t="s">
        <v>88</v>
      </c>
      <c r="B129" s="83">
        <v>4021</v>
      </c>
      <c r="C129" s="77">
        <v>798.4</v>
      </c>
      <c r="D129" s="77">
        <f>H129</f>
        <v>894.7</v>
      </c>
      <c r="E129" s="77">
        <v>798.4</v>
      </c>
      <c r="F129" s="77">
        <v>1000</v>
      </c>
      <c r="G129" s="77">
        <v>1000</v>
      </c>
      <c r="H129" s="77">
        <v>894.7</v>
      </c>
    </row>
    <row r="130" spans="1:8" x14ac:dyDescent="0.2">
      <c r="A130" s="79" t="s">
        <v>9</v>
      </c>
      <c r="B130" s="95">
        <v>4030</v>
      </c>
      <c r="C130" s="77">
        <v>7921.4</v>
      </c>
      <c r="D130" s="77">
        <f>H130</f>
        <v>7634.7</v>
      </c>
      <c r="E130" s="77">
        <f>E127+E128</f>
        <v>7634.7</v>
      </c>
      <c r="F130" s="77">
        <f t="shared" ref="F130:H130" si="26">F127+F128</f>
        <v>7634.7</v>
      </c>
      <c r="G130" s="77">
        <f t="shared" si="26"/>
        <v>7634.7</v>
      </c>
      <c r="H130" s="77">
        <f t="shared" si="26"/>
        <v>7634.7</v>
      </c>
    </row>
    <row r="131" spans="1:8" x14ac:dyDescent="0.2">
      <c r="A131" s="64" t="s">
        <v>8</v>
      </c>
      <c r="B131" s="83">
        <v>4040</v>
      </c>
      <c r="C131" s="77">
        <v>0</v>
      </c>
      <c r="D131" s="77">
        <f t="shared" ref="D131:D135" si="27">E131+F131+G131+H131</f>
        <v>0</v>
      </c>
      <c r="E131" s="77">
        <v>0</v>
      </c>
      <c r="F131" s="81">
        <v>0</v>
      </c>
      <c r="G131" s="81">
        <v>0</v>
      </c>
      <c r="H131" s="81">
        <v>0</v>
      </c>
    </row>
    <row r="132" spans="1:8" x14ac:dyDescent="0.2">
      <c r="A132" s="64" t="s">
        <v>7</v>
      </c>
      <c r="B132" s="83">
        <v>4050</v>
      </c>
      <c r="C132" s="77">
        <v>861.5</v>
      </c>
      <c r="D132" s="77">
        <f>H132</f>
        <v>834.2</v>
      </c>
      <c r="E132" s="77">
        <v>899.6</v>
      </c>
      <c r="F132" s="77">
        <v>877.8</v>
      </c>
      <c r="G132" s="77">
        <v>856</v>
      </c>
      <c r="H132" s="77">
        <v>834.2</v>
      </c>
    </row>
    <row r="133" spans="1:8" ht="37.5" x14ac:dyDescent="0.2">
      <c r="A133" s="90" t="s">
        <v>121</v>
      </c>
      <c r="B133" s="95">
        <v>4060</v>
      </c>
      <c r="C133" s="77">
        <v>861.5</v>
      </c>
      <c r="D133" s="77">
        <f>D132</f>
        <v>834.2</v>
      </c>
      <c r="E133" s="81">
        <v>899.6</v>
      </c>
      <c r="F133" s="81">
        <v>877.8</v>
      </c>
      <c r="G133" s="81">
        <v>856</v>
      </c>
      <c r="H133" s="81">
        <v>834.2</v>
      </c>
    </row>
    <row r="134" spans="1:8" x14ac:dyDescent="0.2">
      <c r="A134" s="64" t="s">
        <v>89</v>
      </c>
      <c r="B134" s="83">
        <v>4070</v>
      </c>
      <c r="C134" s="77">
        <v>0</v>
      </c>
      <c r="D134" s="77">
        <f t="shared" si="27"/>
        <v>0</v>
      </c>
      <c r="E134" s="77">
        <v>0</v>
      </c>
      <c r="F134" s="81">
        <v>0</v>
      </c>
      <c r="G134" s="81">
        <v>0</v>
      </c>
      <c r="H134" s="81">
        <v>0</v>
      </c>
    </row>
    <row r="135" spans="1:8" x14ac:dyDescent="0.2">
      <c r="A135" s="64" t="s">
        <v>90</v>
      </c>
      <c r="B135" s="83">
        <v>4080</v>
      </c>
      <c r="C135" s="77">
        <v>0</v>
      </c>
      <c r="D135" s="77">
        <f t="shared" si="27"/>
        <v>0</v>
      </c>
      <c r="E135" s="77">
        <v>0</v>
      </c>
      <c r="F135" s="81">
        <v>0</v>
      </c>
      <c r="G135" s="81">
        <v>0</v>
      </c>
      <c r="H135" s="81">
        <v>0</v>
      </c>
    </row>
    <row r="136" spans="1:8" x14ac:dyDescent="0.2">
      <c r="A136" s="90" t="s">
        <v>6</v>
      </c>
      <c r="B136" s="95">
        <v>4090</v>
      </c>
      <c r="C136" s="77">
        <v>6735.1</v>
      </c>
      <c r="D136" s="77">
        <f>H136</f>
        <v>6735.1</v>
      </c>
      <c r="E136" s="77">
        <v>6735.1</v>
      </c>
      <c r="F136" s="77">
        <v>6735.1</v>
      </c>
      <c r="G136" s="77">
        <v>6735.1</v>
      </c>
      <c r="H136" s="77">
        <v>6735.1</v>
      </c>
    </row>
    <row r="137" spans="1:8" x14ac:dyDescent="0.2">
      <c r="A137" s="148" t="s">
        <v>51</v>
      </c>
      <c r="B137" s="148"/>
      <c r="C137" s="148"/>
      <c r="D137" s="148"/>
      <c r="E137" s="148"/>
      <c r="F137" s="148"/>
      <c r="G137" s="148"/>
      <c r="H137" s="148"/>
    </row>
    <row r="138" spans="1:8" ht="37.5" x14ac:dyDescent="0.2">
      <c r="A138" s="79" t="s">
        <v>67</v>
      </c>
      <c r="B138" s="80">
        <v>5000</v>
      </c>
      <c r="C138" s="91">
        <v>122</v>
      </c>
      <c r="D138" s="91">
        <v>119</v>
      </c>
      <c r="E138" s="91">
        <f t="shared" ref="E138:H138" si="28">SUM(E139:E144)</f>
        <v>119</v>
      </c>
      <c r="F138" s="91">
        <f t="shared" si="28"/>
        <v>119</v>
      </c>
      <c r="G138" s="91">
        <f t="shared" si="28"/>
        <v>119</v>
      </c>
      <c r="H138" s="91">
        <f t="shared" si="28"/>
        <v>119</v>
      </c>
    </row>
    <row r="139" spans="1:8" x14ac:dyDescent="0.2">
      <c r="A139" s="61" t="s">
        <v>5</v>
      </c>
      <c r="B139" s="62">
        <v>5010</v>
      </c>
      <c r="C139" s="92">
        <v>1</v>
      </c>
      <c r="D139" s="92">
        <f>H139</f>
        <v>1</v>
      </c>
      <c r="E139" s="92">
        <v>1</v>
      </c>
      <c r="F139" s="92">
        <v>1</v>
      </c>
      <c r="G139" s="92">
        <v>1</v>
      </c>
      <c r="H139" s="92">
        <v>1</v>
      </c>
    </row>
    <row r="140" spans="1:8" x14ac:dyDescent="0.2">
      <c r="A140" s="61" t="s">
        <v>4</v>
      </c>
      <c r="B140" s="62">
        <v>5020</v>
      </c>
      <c r="C140" s="92">
        <v>18</v>
      </c>
      <c r="D140" s="92">
        <v>18</v>
      </c>
      <c r="E140" s="92">
        <v>18</v>
      </c>
      <c r="F140" s="92">
        <v>18</v>
      </c>
      <c r="G140" s="92">
        <v>18</v>
      </c>
      <c r="H140" s="92">
        <v>18</v>
      </c>
    </row>
    <row r="141" spans="1:8" x14ac:dyDescent="0.2">
      <c r="A141" s="61" t="s">
        <v>187</v>
      </c>
      <c r="B141" s="62">
        <v>5030</v>
      </c>
      <c r="C141" s="92">
        <v>30</v>
      </c>
      <c r="D141" s="92">
        <v>30</v>
      </c>
      <c r="E141" s="92">
        <v>29</v>
      </c>
      <c r="F141" s="92">
        <v>29</v>
      </c>
      <c r="G141" s="92">
        <v>29</v>
      </c>
      <c r="H141" s="92">
        <v>29</v>
      </c>
    </row>
    <row r="142" spans="1:8" ht="37.5" x14ac:dyDescent="0.2">
      <c r="A142" s="61" t="s">
        <v>188</v>
      </c>
      <c r="B142" s="62">
        <v>5040</v>
      </c>
      <c r="C142" s="92">
        <v>36</v>
      </c>
      <c r="D142" s="92">
        <v>36</v>
      </c>
      <c r="E142" s="92">
        <v>35</v>
      </c>
      <c r="F142" s="92">
        <v>35</v>
      </c>
      <c r="G142" s="92">
        <v>35</v>
      </c>
      <c r="H142" s="92">
        <v>35</v>
      </c>
    </row>
    <row r="143" spans="1:8" ht="37.5" x14ac:dyDescent="0.2">
      <c r="A143" s="61" t="s">
        <v>189</v>
      </c>
      <c r="B143" s="62">
        <v>5050</v>
      </c>
      <c r="C143" s="92">
        <v>17</v>
      </c>
      <c r="D143" s="92">
        <v>17</v>
      </c>
      <c r="E143" s="92">
        <v>16</v>
      </c>
      <c r="F143" s="92">
        <v>16</v>
      </c>
      <c r="G143" s="92">
        <v>16</v>
      </c>
      <c r="H143" s="92">
        <v>16</v>
      </c>
    </row>
    <row r="144" spans="1:8" x14ac:dyDescent="0.2">
      <c r="A144" s="61" t="s">
        <v>3</v>
      </c>
      <c r="B144" s="62">
        <v>5060</v>
      </c>
      <c r="C144" s="92">
        <v>20</v>
      </c>
      <c r="D144" s="92">
        <v>20</v>
      </c>
      <c r="E144" s="92">
        <v>20</v>
      </c>
      <c r="F144" s="92">
        <v>20</v>
      </c>
      <c r="G144" s="92">
        <v>20</v>
      </c>
      <c r="H144" s="92">
        <v>20</v>
      </c>
    </row>
    <row r="145" spans="1:8" ht="29.25" customHeight="1" x14ac:dyDescent="0.2">
      <c r="A145" s="79" t="s">
        <v>68</v>
      </c>
      <c r="B145" s="62">
        <v>5100</v>
      </c>
      <c r="C145" s="77">
        <v>26412.400000000001</v>
      </c>
      <c r="D145" s="77">
        <f>E145+F145+G145+H145</f>
        <v>29025.401999999998</v>
      </c>
      <c r="E145" s="77">
        <f>SUM(E146:E151)</f>
        <v>6834.6679999999997</v>
      </c>
      <c r="F145" s="77">
        <f>SUM(F146:F151)</f>
        <v>7538.7340000000004</v>
      </c>
      <c r="G145" s="77">
        <f t="shared" ref="G145" si="29">SUM(G146:G151)</f>
        <v>7250.4159999999993</v>
      </c>
      <c r="H145" s="77">
        <f>SUM(H146:H151)</f>
        <v>7401.5839999999998</v>
      </c>
    </row>
    <row r="146" spans="1:8" x14ac:dyDescent="0.2">
      <c r="A146" s="61" t="s">
        <v>5</v>
      </c>
      <c r="B146" s="62">
        <v>5110</v>
      </c>
      <c r="C146" s="81">
        <v>642.6</v>
      </c>
      <c r="D146" s="77">
        <f>E146+F146+G146+H146</f>
        <v>808.12800000000004</v>
      </c>
      <c r="E146" s="77">
        <f>E153*1.22</f>
        <v>175.68</v>
      </c>
      <c r="F146" s="77">
        <f t="shared" ref="F146:H146" si="30">F153*1.22</f>
        <v>210.816</v>
      </c>
      <c r="G146" s="77">
        <f t="shared" si="30"/>
        <v>210.816</v>
      </c>
      <c r="H146" s="77">
        <f t="shared" si="30"/>
        <v>210.816</v>
      </c>
    </row>
    <row r="147" spans="1:8" x14ac:dyDescent="0.2">
      <c r="A147" s="61" t="s">
        <v>4</v>
      </c>
      <c r="B147" s="62">
        <v>5120</v>
      </c>
      <c r="C147" s="81">
        <v>5023</v>
      </c>
      <c r="D147" s="77">
        <f t="shared" ref="D147:D158" si="31">E147+F147+G147+H147</f>
        <v>5427.5819999999994</v>
      </c>
      <c r="E147" s="77">
        <f>E154*1.22+4.8</f>
        <v>1141.8399999999999</v>
      </c>
      <c r="F147" s="77">
        <f t="shared" ref="F147:H147" si="32">F154*1.22+4.8</f>
        <v>1436.47</v>
      </c>
      <c r="G147" s="77">
        <f t="shared" si="32"/>
        <v>1387.6699999999998</v>
      </c>
      <c r="H147" s="77">
        <f t="shared" si="32"/>
        <v>1461.6019999999999</v>
      </c>
    </row>
    <row r="148" spans="1:8" x14ac:dyDescent="0.2">
      <c r="A148" s="61" t="s">
        <v>187</v>
      </c>
      <c r="B148" s="62">
        <v>5130</v>
      </c>
      <c r="C148" s="81">
        <v>8209.2000000000007</v>
      </c>
      <c r="D148" s="77">
        <f t="shared" si="31"/>
        <v>8918.4259999999995</v>
      </c>
      <c r="E148" s="77">
        <f>E155*1.22+4.2</f>
        <v>2198.2479999999996</v>
      </c>
      <c r="F148" s="77">
        <f>F155*1.22+6.8</f>
        <v>2339.3180000000002</v>
      </c>
      <c r="G148" s="77">
        <f t="shared" ref="G148:H148" si="33">G155*1.22+4.8</f>
        <v>2180.06</v>
      </c>
      <c r="H148" s="77">
        <f t="shared" si="33"/>
        <v>2200.8000000000002</v>
      </c>
    </row>
    <row r="149" spans="1:8" s="66" customFormat="1" ht="37.5" x14ac:dyDescent="0.2">
      <c r="A149" s="61" t="s">
        <v>188</v>
      </c>
      <c r="B149" s="62">
        <v>5140</v>
      </c>
      <c r="C149" s="81">
        <v>7536.5</v>
      </c>
      <c r="D149" s="77">
        <f t="shared" si="31"/>
        <v>8081.5259999999998</v>
      </c>
      <c r="E149" s="77">
        <f>E156*1.22+3</f>
        <v>1955</v>
      </c>
      <c r="F149" s="77">
        <f>F156*1.22+6.8</f>
        <v>2050.91</v>
      </c>
      <c r="G149" s="77">
        <f t="shared" ref="G149:H149" si="34">G156*1.22+4.8</f>
        <v>1996.4499999999998</v>
      </c>
      <c r="H149" s="77">
        <f t="shared" si="34"/>
        <v>2079.1660000000002</v>
      </c>
    </row>
    <row r="150" spans="1:8" ht="37.5" x14ac:dyDescent="0.2">
      <c r="A150" s="61" t="s">
        <v>189</v>
      </c>
      <c r="B150" s="62">
        <v>5150</v>
      </c>
      <c r="C150" s="81">
        <v>2058.6999999999998</v>
      </c>
      <c r="D150" s="77">
        <f t="shared" si="31"/>
        <v>2437.2479999999996</v>
      </c>
      <c r="E150" s="77">
        <f>E157*1.22+6.8</f>
        <v>566.04799999999989</v>
      </c>
      <c r="F150" s="77">
        <f>F157*1.22+6.8</f>
        <v>641.19999999999993</v>
      </c>
      <c r="G150" s="77">
        <f>G157*1.22+5.2</f>
        <v>615.20000000000005</v>
      </c>
      <c r="H150" s="77">
        <f t="shared" ref="H150" si="35">H157*1.22+4.8</f>
        <v>614.79999999999995</v>
      </c>
    </row>
    <row r="151" spans="1:8" x14ac:dyDescent="0.2">
      <c r="A151" s="61" t="s">
        <v>3</v>
      </c>
      <c r="B151" s="62">
        <v>5160</v>
      </c>
      <c r="C151" s="81">
        <v>2942.4</v>
      </c>
      <c r="D151" s="77">
        <f t="shared" si="31"/>
        <v>3352.4919999999997</v>
      </c>
      <c r="E151" s="77">
        <f>E158*1.22+9</f>
        <v>797.85199999999998</v>
      </c>
      <c r="F151" s="77">
        <f t="shared" ref="F151" si="36">F158*1.22+4.8</f>
        <v>860.02</v>
      </c>
      <c r="G151" s="77">
        <f>G158*1.22+5</f>
        <v>860.22</v>
      </c>
      <c r="H151" s="77">
        <f>H158*1.22+4.8</f>
        <v>834.4</v>
      </c>
    </row>
    <row r="152" spans="1:8" ht="37.5" x14ac:dyDescent="0.2">
      <c r="A152" s="79" t="s">
        <v>69</v>
      </c>
      <c r="B152" s="62">
        <v>5200</v>
      </c>
      <c r="C152" s="77">
        <v>21578.1</v>
      </c>
      <c r="D152" s="77">
        <f>E152+F152+G152+H152</f>
        <v>23704.1</v>
      </c>
      <c r="E152" s="77">
        <f>SUM(E153:E158)</f>
        <v>5579.4</v>
      </c>
      <c r="F152" s="77">
        <f>SUM(F153:F158)</f>
        <v>6154.7</v>
      </c>
      <c r="G152" s="77">
        <f>SUM(G153:G158)</f>
        <v>5922.8</v>
      </c>
      <c r="H152" s="77">
        <f>SUM(H153:H158)</f>
        <v>6047.2</v>
      </c>
    </row>
    <row r="153" spans="1:8" x14ac:dyDescent="0.2">
      <c r="A153" s="61" t="s">
        <v>5</v>
      </c>
      <c r="B153" s="62">
        <v>5210</v>
      </c>
      <c r="C153" s="81">
        <v>526.6</v>
      </c>
      <c r="D153" s="77">
        <f t="shared" si="31"/>
        <v>662.40000000000009</v>
      </c>
      <c r="E153" s="78">
        <v>144</v>
      </c>
      <c r="F153" s="78">
        <v>172.8</v>
      </c>
      <c r="G153" s="78">
        <v>172.8</v>
      </c>
      <c r="H153" s="78">
        <v>172.8</v>
      </c>
    </row>
    <row r="154" spans="1:8" x14ac:dyDescent="0.2">
      <c r="A154" s="61" t="s">
        <v>4</v>
      </c>
      <c r="B154" s="62">
        <v>5220</v>
      </c>
      <c r="C154" s="81">
        <v>4101.2</v>
      </c>
      <c r="D154" s="77">
        <f t="shared" si="31"/>
        <v>4433.1000000000004</v>
      </c>
      <c r="E154" s="78">
        <f>932</f>
        <v>932</v>
      </c>
      <c r="F154" s="78">
        <f>1253.5-80</f>
        <v>1173.5</v>
      </c>
      <c r="G154" s="78">
        <f>1253.5-120</f>
        <v>1133.5</v>
      </c>
      <c r="H154" s="78">
        <f>1253.5-59.4</f>
        <v>1194.0999999999999</v>
      </c>
    </row>
    <row r="155" spans="1:8" x14ac:dyDescent="0.2">
      <c r="A155" s="61" t="s">
        <v>187</v>
      </c>
      <c r="B155" s="62">
        <v>5230</v>
      </c>
      <c r="C155" s="81">
        <v>6725.5</v>
      </c>
      <c r="D155" s="77">
        <f t="shared" si="31"/>
        <v>7293.3</v>
      </c>
      <c r="E155" s="78">
        <f>1847.6-50-8.9-3.2+10+2.9</f>
        <v>1798.3999999999999</v>
      </c>
      <c r="F155" s="78">
        <f>1882.4+29.5</f>
        <v>1911.9</v>
      </c>
      <c r="G155" s="78">
        <f>1800-50+33</f>
        <v>1783</v>
      </c>
      <c r="H155" s="78">
        <f>1800</f>
        <v>1800</v>
      </c>
    </row>
    <row r="156" spans="1:8" ht="37.5" x14ac:dyDescent="0.2">
      <c r="A156" s="61" t="s">
        <v>188</v>
      </c>
      <c r="B156" s="62">
        <v>5240</v>
      </c>
      <c r="C156" s="81">
        <v>6174.9</v>
      </c>
      <c r="D156" s="77">
        <f t="shared" si="31"/>
        <v>6608.3</v>
      </c>
      <c r="E156" s="78">
        <v>1600</v>
      </c>
      <c r="F156" s="78">
        <f>1775.5-100</f>
        <v>1675.5</v>
      </c>
      <c r="G156" s="78">
        <f>1700.3-67.8</f>
        <v>1632.5</v>
      </c>
      <c r="H156" s="78">
        <f>1700.3</f>
        <v>1700.3</v>
      </c>
    </row>
    <row r="157" spans="1:8" ht="37.5" x14ac:dyDescent="0.2">
      <c r="A157" s="61" t="s">
        <v>189</v>
      </c>
      <c r="B157" s="62">
        <v>5250</v>
      </c>
      <c r="C157" s="81">
        <v>1674.6</v>
      </c>
      <c r="D157" s="77">
        <f t="shared" si="31"/>
        <v>1978.4</v>
      </c>
      <c r="E157" s="78">
        <f>428.3+23.2+6.9</f>
        <v>458.4</v>
      </c>
      <c r="F157" s="78">
        <v>520</v>
      </c>
      <c r="G157" s="78">
        <v>500</v>
      </c>
      <c r="H157" s="78">
        <v>500</v>
      </c>
    </row>
    <row r="158" spans="1:8" x14ac:dyDescent="0.2">
      <c r="A158" s="61" t="s">
        <v>3</v>
      </c>
      <c r="B158" s="62">
        <v>5260</v>
      </c>
      <c r="C158" s="81">
        <v>2375.3000000000002</v>
      </c>
      <c r="D158" s="77">
        <f t="shared" si="31"/>
        <v>2728.6</v>
      </c>
      <c r="E158" s="78">
        <f>646.6</f>
        <v>646.6</v>
      </c>
      <c r="F158" s="78">
        <v>701</v>
      </c>
      <c r="G158" s="78">
        <v>701</v>
      </c>
      <c r="H158" s="78">
        <v>680</v>
      </c>
    </row>
    <row r="159" spans="1:8" ht="38.25" customHeight="1" x14ac:dyDescent="0.2">
      <c r="A159" s="93" t="s">
        <v>65</v>
      </c>
      <c r="B159" s="62">
        <v>5300</v>
      </c>
      <c r="C159" s="86">
        <v>14739.14</v>
      </c>
      <c r="D159" s="86">
        <f>ROUND(D152/D138*1000,2)/12</f>
        <v>16599.509999999998</v>
      </c>
      <c r="E159" s="86">
        <f>ROUND(E152/E138*1000,2)/3</f>
        <v>15628.57</v>
      </c>
      <c r="F159" s="86">
        <f t="shared" ref="F159:H159" si="37">ROUND(F152/F138*1000,2)/3</f>
        <v>17240.056666666667</v>
      </c>
      <c r="G159" s="86">
        <f t="shared" si="37"/>
        <v>16590.476666666666</v>
      </c>
      <c r="H159" s="86">
        <f t="shared" si="37"/>
        <v>16938.936666666665</v>
      </c>
    </row>
    <row r="160" spans="1:8" x14ac:dyDescent="0.2">
      <c r="A160" s="61" t="s">
        <v>5</v>
      </c>
      <c r="B160" s="62">
        <v>5310</v>
      </c>
      <c r="C160" s="86">
        <v>43883.33</v>
      </c>
      <c r="D160" s="86">
        <f>ROUND(D153/D139*1000,2)/12</f>
        <v>55200</v>
      </c>
      <c r="E160" s="86">
        <f t="shared" ref="E160:E165" si="38">E153/E139/3*1000</f>
        <v>48000</v>
      </c>
      <c r="F160" s="86">
        <f>F153/F139/3*1000</f>
        <v>57600</v>
      </c>
      <c r="G160" s="86">
        <f>G153/G139/3*1000</f>
        <v>57600</v>
      </c>
      <c r="H160" s="86">
        <f>H153/H139/3*1000</f>
        <v>57600</v>
      </c>
    </row>
    <row r="161" spans="1:8" x14ac:dyDescent="0.2">
      <c r="A161" s="61" t="s">
        <v>4</v>
      </c>
      <c r="B161" s="62">
        <v>5320</v>
      </c>
      <c r="C161" s="86">
        <v>18987.04</v>
      </c>
      <c r="D161" s="86">
        <f>ROUND(D154/D140*1000,2)/12</f>
        <v>20523.610833333332</v>
      </c>
      <c r="E161" s="86">
        <f t="shared" si="38"/>
        <v>17259.259259259259</v>
      </c>
      <c r="F161" s="86">
        <f t="shared" ref="F161:H163" si="39">F154/F140/3*1000</f>
        <v>21731.481481481482</v>
      </c>
      <c r="G161" s="86">
        <f>G154/G140/3*1000</f>
        <v>20990.740740740741</v>
      </c>
      <c r="H161" s="86">
        <f>H154/H140/3*1000</f>
        <v>22112.962962962964</v>
      </c>
    </row>
    <row r="162" spans="1:8" x14ac:dyDescent="0.2">
      <c r="A162" s="61" t="s">
        <v>187</v>
      </c>
      <c r="B162" s="62">
        <v>5330</v>
      </c>
      <c r="C162" s="86">
        <v>18681.939999999999</v>
      </c>
      <c r="D162" s="86">
        <f t="shared" ref="D162:D165" si="40">ROUND(D155/D141*1000,2)/12</f>
        <v>20259.166666666668</v>
      </c>
      <c r="E162" s="86">
        <f t="shared" si="38"/>
        <v>20671.264367816089</v>
      </c>
      <c r="F162" s="86">
        <f t="shared" si="39"/>
        <v>21975.862068965514</v>
      </c>
      <c r="G162" s="86">
        <f>G155/G141/3*1000</f>
        <v>20494.252873563219</v>
      </c>
      <c r="H162" s="86">
        <f t="shared" si="39"/>
        <v>20689.655172413793</v>
      </c>
    </row>
    <row r="163" spans="1:8" ht="37.5" x14ac:dyDescent="0.2">
      <c r="A163" s="61" t="s">
        <v>188</v>
      </c>
      <c r="B163" s="62">
        <v>5340</v>
      </c>
      <c r="C163" s="86">
        <v>14293.75</v>
      </c>
      <c r="D163" s="86">
        <f t="shared" si="40"/>
        <v>15296.990833333335</v>
      </c>
      <c r="E163" s="86">
        <f t="shared" si="38"/>
        <v>15238.095238095239</v>
      </c>
      <c r="F163" s="86">
        <f>F156/F142/3*1000</f>
        <v>15957.142857142857</v>
      </c>
      <c r="G163" s="86">
        <f t="shared" si="39"/>
        <v>15547.61904761905</v>
      </c>
      <c r="H163" s="86">
        <f t="shared" si="39"/>
        <v>16193.333333333332</v>
      </c>
    </row>
    <row r="164" spans="1:8" ht="37.5" x14ac:dyDescent="0.2">
      <c r="A164" s="61" t="s">
        <v>189</v>
      </c>
      <c r="B164" s="62">
        <v>5350</v>
      </c>
      <c r="C164" s="86">
        <v>8208.82</v>
      </c>
      <c r="D164" s="86">
        <f>ROUND((D157/D143*1000)/12,2)</f>
        <v>9698.0400000000009</v>
      </c>
      <c r="E164" s="86">
        <f t="shared" si="38"/>
        <v>9549.9999999999982</v>
      </c>
      <c r="F164" s="86">
        <f t="shared" ref="F164:H165" si="41">F157/F143/3*1000</f>
        <v>10833.333333333334</v>
      </c>
      <c r="G164" s="86">
        <f>G157/G143/3*1000</f>
        <v>10416.666666666666</v>
      </c>
      <c r="H164" s="86">
        <f>H157/H143/3*1000</f>
        <v>10416.666666666666</v>
      </c>
    </row>
    <row r="165" spans="1:8" x14ac:dyDescent="0.2">
      <c r="A165" s="61" t="s">
        <v>3</v>
      </c>
      <c r="B165" s="62">
        <v>5360</v>
      </c>
      <c r="C165" s="86">
        <v>9897.08</v>
      </c>
      <c r="D165" s="86">
        <f t="shared" si="40"/>
        <v>11369.166666666666</v>
      </c>
      <c r="E165" s="86">
        <f t="shared" si="38"/>
        <v>10776.666666666666</v>
      </c>
      <c r="F165" s="86">
        <f t="shared" si="41"/>
        <v>11683.333333333332</v>
      </c>
      <c r="G165" s="86">
        <f t="shared" si="41"/>
        <v>11683.333333333332</v>
      </c>
      <c r="H165" s="86">
        <f t="shared" si="41"/>
        <v>11333.333333333334</v>
      </c>
    </row>
    <row r="166" spans="1:8" ht="37.5" x14ac:dyDescent="0.2">
      <c r="A166" s="79" t="s">
        <v>66</v>
      </c>
      <c r="B166" s="62">
        <v>5400</v>
      </c>
      <c r="C166" s="94">
        <v>0</v>
      </c>
      <c r="D166" s="77"/>
      <c r="E166" s="77"/>
      <c r="F166" s="77"/>
      <c r="G166" s="77"/>
      <c r="H166" s="77"/>
    </row>
    <row r="167" spans="1:8" s="106" customFormat="1" x14ac:dyDescent="0.2">
      <c r="A167" s="102"/>
      <c r="B167" s="103"/>
      <c r="C167" s="104"/>
      <c r="D167" s="104"/>
      <c r="E167" s="104"/>
      <c r="F167" s="104"/>
      <c r="G167" s="104"/>
      <c r="H167" s="105"/>
    </row>
    <row r="168" spans="1:8" x14ac:dyDescent="0.2">
      <c r="A168" s="55"/>
      <c r="B168" s="56"/>
      <c r="C168" s="57"/>
      <c r="D168" s="57"/>
      <c r="E168" s="57"/>
      <c r="F168" s="58"/>
      <c r="G168" s="57"/>
      <c r="H168" s="57"/>
    </row>
    <row r="169" spans="1:8" ht="45" customHeight="1" x14ac:dyDescent="0.2">
      <c r="A169" s="107" t="s">
        <v>143</v>
      </c>
      <c r="B169" s="8"/>
      <c r="C169" s="108"/>
      <c r="D169" s="7"/>
      <c r="E169" s="6"/>
      <c r="F169" s="144" t="s">
        <v>190</v>
      </c>
      <c r="G169" s="144"/>
      <c r="H169" s="144"/>
    </row>
    <row r="170" spans="1:8" s="3" customFormat="1" ht="12.75" x14ac:dyDescent="0.2">
      <c r="A170" s="5" t="s">
        <v>2</v>
      </c>
      <c r="C170" s="4" t="s">
        <v>1</v>
      </c>
      <c r="D170" s="5"/>
      <c r="E170" s="4"/>
      <c r="F170" s="145" t="s">
        <v>0</v>
      </c>
      <c r="G170" s="145"/>
      <c r="H170" s="145"/>
    </row>
    <row r="171" spans="1:8" x14ac:dyDescent="0.2">
      <c r="A171" s="2"/>
      <c r="B171" s="1"/>
      <c r="C171" s="1"/>
      <c r="D171" s="1"/>
      <c r="F171" s="1"/>
    </row>
    <row r="172" spans="1:8" x14ac:dyDescent="0.2">
      <c r="A172" s="2"/>
      <c r="B172" s="1"/>
      <c r="C172" s="1"/>
      <c r="D172" s="1"/>
      <c r="F172" s="1"/>
    </row>
    <row r="173" spans="1:8" x14ac:dyDescent="0.2">
      <c r="A173" s="2"/>
      <c r="B173" s="1"/>
      <c r="C173" s="1"/>
      <c r="D173" s="1"/>
      <c r="F173" s="1"/>
    </row>
    <row r="174" spans="1:8" x14ac:dyDescent="0.2">
      <c r="A174" s="2"/>
      <c r="B174" s="1"/>
      <c r="C174" s="1"/>
      <c r="D174" s="1"/>
      <c r="F174" s="1"/>
    </row>
    <row r="175" spans="1:8" x14ac:dyDescent="0.2">
      <c r="A175" s="2"/>
      <c r="B175" s="1"/>
      <c r="C175" s="1"/>
      <c r="D175" s="1"/>
      <c r="F175" s="1"/>
    </row>
    <row r="176" spans="1:8" x14ac:dyDescent="0.2">
      <c r="A176" s="2"/>
      <c r="B176" s="1"/>
      <c r="C176" s="1"/>
      <c r="D176" s="1"/>
      <c r="F176" s="1"/>
    </row>
    <row r="177" spans="1:6" x14ac:dyDescent="0.2">
      <c r="A177" s="2"/>
      <c r="B177" s="1"/>
      <c r="C177" s="1"/>
      <c r="D177" s="1"/>
      <c r="F177" s="1"/>
    </row>
    <row r="178" spans="1:6" x14ac:dyDescent="0.2">
      <c r="A178" s="2"/>
      <c r="B178" s="1"/>
      <c r="C178" s="1"/>
      <c r="D178" s="1"/>
      <c r="F178" s="1"/>
    </row>
    <row r="179" spans="1:6" x14ac:dyDescent="0.2">
      <c r="A179" s="2"/>
      <c r="B179" s="1"/>
      <c r="C179" s="1"/>
      <c r="D179" s="1"/>
      <c r="F179" s="1"/>
    </row>
    <row r="180" spans="1:6" x14ac:dyDescent="0.2">
      <c r="A180" s="2"/>
      <c r="B180" s="1"/>
      <c r="C180" s="1"/>
      <c r="D180" s="1"/>
      <c r="F180" s="1"/>
    </row>
    <row r="181" spans="1:6" x14ac:dyDescent="0.2">
      <c r="A181" s="2"/>
      <c r="B181" s="1"/>
      <c r="C181" s="1"/>
      <c r="D181" s="1"/>
      <c r="F181" s="1"/>
    </row>
    <row r="182" spans="1:6" x14ac:dyDescent="0.2">
      <c r="A182" s="2"/>
      <c r="B182" s="1"/>
      <c r="C182" s="1"/>
      <c r="D182" s="1"/>
      <c r="F182" s="1"/>
    </row>
    <row r="183" spans="1:6" x14ac:dyDescent="0.2">
      <c r="A183" s="2"/>
      <c r="B183" s="1"/>
      <c r="C183" s="1"/>
      <c r="D183" s="1"/>
      <c r="F183" s="1"/>
    </row>
    <row r="184" spans="1:6" x14ac:dyDescent="0.2">
      <c r="A184" s="2"/>
      <c r="B184" s="1"/>
      <c r="C184" s="1"/>
      <c r="D184" s="1"/>
      <c r="F184" s="1"/>
    </row>
    <row r="185" spans="1:6" x14ac:dyDescent="0.2">
      <c r="A185" s="2"/>
      <c r="B185" s="1"/>
      <c r="C185" s="1"/>
      <c r="D185" s="1"/>
      <c r="F185" s="1"/>
    </row>
    <row r="186" spans="1:6" x14ac:dyDescent="0.2">
      <c r="A186" s="2"/>
      <c r="B186" s="1"/>
      <c r="C186" s="1"/>
      <c r="D186" s="1"/>
      <c r="F186" s="1"/>
    </row>
    <row r="187" spans="1:6" x14ac:dyDescent="0.2">
      <c r="A187" s="2"/>
      <c r="B187" s="1"/>
      <c r="C187" s="1"/>
      <c r="D187" s="1"/>
      <c r="F187" s="1"/>
    </row>
    <row r="188" spans="1:6" x14ac:dyDescent="0.2">
      <c r="A188" s="2"/>
      <c r="B188" s="1"/>
      <c r="C188" s="1"/>
      <c r="D188" s="1"/>
      <c r="F188" s="1"/>
    </row>
    <row r="189" spans="1:6" x14ac:dyDescent="0.2">
      <c r="A189" s="2"/>
      <c r="B189" s="1"/>
      <c r="C189" s="1"/>
      <c r="D189" s="1"/>
      <c r="F189" s="1"/>
    </row>
    <row r="190" spans="1:6" x14ac:dyDescent="0.2">
      <c r="A190" s="2"/>
      <c r="B190" s="1"/>
      <c r="C190" s="1"/>
      <c r="D190" s="1"/>
      <c r="F190" s="1"/>
    </row>
    <row r="191" spans="1:6" x14ac:dyDescent="0.2">
      <c r="A191" s="2"/>
      <c r="B191" s="1"/>
      <c r="C191" s="1"/>
      <c r="D191" s="1"/>
      <c r="F191" s="1"/>
    </row>
    <row r="192" spans="1:6" x14ac:dyDescent="0.2">
      <c r="A192" s="2"/>
      <c r="B192" s="1"/>
      <c r="C192" s="1"/>
      <c r="D192" s="1"/>
      <c r="F192" s="1"/>
    </row>
    <row r="193" spans="1:6" x14ac:dyDescent="0.2">
      <c r="A193" s="2"/>
      <c r="B193" s="1"/>
      <c r="C193" s="1"/>
      <c r="D193" s="1"/>
      <c r="F193" s="1"/>
    </row>
    <row r="194" spans="1:6" x14ac:dyDescent="0.2">
      <c r="A194" s="2"/>
      <c r="B194" s="1"/>
      <c r="C194" s="1"/>
      <c r="D194" s="1"/>
      <c r="F194" s="1"/>
    </row>
    <row r="195" spans="1:6" x14ac:dyDescent="0.2">
      <c r="A195" s="2"/>
      <c r="B195" s="1"/>
      <c r="C195" s="1"/>
      <c r="D195" s="1"/>
      <c r="F195" s="1"/>
    </row>
    <row r="196" spans="1:6" x14ac:dyDescent="0.2">
      <c r="A196" s="2"/>
      <c r="B196" s="1"/>
      <c r="C196" s="1"/>
      <c r="D196" s="1"/>
      <c r="F196" s="1"/>
    </row>
    <row r="197" spans="1:6" x14ac:dyDescent="0.2">
      <c r="A197" s="2"/>
      <c r="B197" s="1"/>
      <c r="C197" s="1"/>
      <c r="D197" s="1"/>
      <c r="F197" s="1"/>
    </row>
    <row r="198" spans="1:6" x14ac:dyDescent="0.2">
      <c r="A198" s="2"/>
      <c r="B198" s="1"/>
      <c r="C198" s="1"/>
      <c r="D198" s="1"/>
      <c r="F198" s="1"/>
    </row>
    <row r="199" spans="1:6" x14ac:dyDescent="0.2">
      <c r="A199" s="2"/>
      <c r="B199" s="1"/>
      <c r="C199" s="1"/>
      <c r="D199" s="1"/>
      <c r="F199" s="1"/>
    </row>
    <row r="200" spans="1:6" x14ac:dyDescent="0.2">
      <c r="A200" s="2"/>
      <c r="B200" s="1"/>
      <c r="C200" s="1"/>
      <c r="D200" s="1"/>
      <c r="F200" s="1"/>
    </row>
    <row r="201" spans="1:6" x14ac:dyDescent="0.2">
      <c r="A201" s="2"/>
      <c r="B201" s="1"/>
      <c r="C201" s="1"/>
      <c r="D201" s="1"/>
      <c r="F201" s="1"/>
    </row>
    <row r="202" spans="1:6" x14ac:dyDescent="0.2">
      <c r="A202" s="2"/>
      <c r="B202" s="1"/>
      <c r="C202" s="1"/>
      <c r="D202" s="1"/>
      <c r="F202" s="1"/>
    </row>
    <row r="203" spans="1:6" x14ac:dyDescent="0.2">
      <c r="A203" s="2"/>
      <c r="B203" s="1"/>
      <c r="C203" s="1"/>
      <c r="D203" s="1"/>
      <c r="F203" s="1"/>
    </row>
    <row r="204" spans="1:6" x14ac:dyDescent="0.2">
      <c r="A204" s="2"/>
      <c r="B204" s="1"/>
      <c r="C204" s="1"/>
      <c r="D204" s="1"/>
      <c r="F204" s="1"/>
    </row>
    <row r="205" spans="1:6" x14ac:dyDescent="0.2">
      <c r="A205" s="2"/>
      <c r="B205" s="1"/>
      <c r="C205" s="1"/>
      <c r="D205" s="1"/>
      <c r="F205" s="1"/>
    </row>
    <row r="206" spans="1:6" x14ac:dyDescent="0.2">
      <c r="A206" s="2"/>
      <c r="B206" s="1"/>
      <c r="C206" s="1"/>
      <c r="D206" s="1"/>
      <c r="F206" s="1"/>
    </row>
    <row r="207" spans="1:6" x14ac:dyDescent="0.2">
      <c r="A207" s="2"/>
      <c r="B207" s="1"/>
      <c r="C207" s="1"/>
      <c r="D207" s="1"/>
      <c r="F207" s="1"/>
    </row>
    <row r="208" spans="1:6" x14ac:dyDescent="0.2">
      <c r="A208" s="2"/>
      <c r="B208" s="1"/>
      <c r="C208" s="1"/>
      <c r="D208" s="1"/>
      <c r="F208" s="1"/>
    </row>
    <row r="209" spans="1:6" x14ac:dyDescent="0.2">
      <c r="A209" s="2"/>
      <c r="B209" s="1"/>
      <c r="C209" s="1"/>
      <c r="D209" s="1"/>
      <c r="F209" s="1"/>
    </row>
    <row r="210" spans="1:6" x14ac:dyDescent="0.2">
      <c r="A210" s="2"/>
      <c r="B210" s="1"/>
      <c r="C210" s="1"/>
      <c r="D210" s="1"/>
      <c r="F210" s="1"/>
    </row>
    <row r="211" spans="1:6" x14ac:dyDescent="0.2">
      <c r="A211" s="2"/>
      <c r="B211" s="1"/>
      <c r="C211" s="1"/>
      <c r="D211" s="1"/>
      <c r="F211" s="1"/>
    </row>
    <row r="212" spans="1:6" x14ac:dyDescent="0.2">
      <c r="A212" s="2"/>
      <c r="B212" s="1"/>
      <c r="C212" s="1"/>
      <c r="D212" s="1"/>
      <c r="F212" s="1"/>
    </row>
    <row r="213" spans="1:6" x14ac:dyDescent="0.2">
      <c r="A213" s="2"/>
      <c r="B213" s="1"/>
      <c r="C213" s="1"/>
      <c r="D213" s="1"/>
      <c r="F213" s="1"/>
    </row>
    <row r="214" spans="1:6" x14ac:dyDescent="0.2">
      <c r="A214" s="2"/>
      <c r="B214" s="1"/>
      <c r="C214" s="1"/>
      <c r="D214" s="1"/>
      <c r="F214" s="1"/>
    </row>
    <row r="215" spans="1:6" x14ac:dyDescent="0.2">
      <c r="A215" s="2"/>
      <c r="B215" s="1"/>
      <c r="C215" s="1"/>
      <c r="D215" s="1"/>
      <c r="F215" s="1"/>
    </row>
    <row r="216" spans="1:6" x14ac:dyDescent="0.2">
      <c r="A216" s="2"/>
      <c r="B216" s="1"/>
      <c r="C216" s="1"/>
      <c r="D216" s="1"/>
      <c r="F216" s="1"/>
    </row>
    <row r="217" spans="1:6" x14ac:dyDescent="0.2">
      <c r="A217" s="2"/>
      <c r="B217" s="1"/>
      <c r="C217" s="1"/>
      <c r="D217" s="1"/>
      <c r="F217" s="1"/>
    </row>
    <row r="218" spans="1:6" x14ac:dyDescent="0.2">
      <c r="A218" s="2"/>
      <c r="B218" s="1"/>
      <c r="C218" s="1"/>
      <c r="D218" s="1"/>
      <c r="F218" s="1"/>
    </row>
    <row r="219" spans="1:6" x14ac:dyDescent="0.2">
      <c r="A219" s="2"/>
      <c r="B219" s="1"/>
      <c r="C219" s="1"/>
      <c r="D219" s="1"/>
      <c r="F219" s="1"/>
    </row>
    <row r="220" spans="1:6" x14ac:dyDescent="0.2">
      <c r="A220" s="2"/>
      <c r="B220" s="1"/>
      <c r="C220" s="1"/>
      <c r="D220" s="1"/>
      <c r="F220" s="1"/>
    </row>
    <row r="221" spans="1:6" x14ac:dyDescent="0.2">
      <c r="A221" s="2"/>
      <c r="B221" s="1"/>
      <c r="C221" s="1"/>
      <c r="D221" s="1"/>
      <c r="F221" s="1"/>
    </row>
    <row r="222" spans="1:6" x14ac:dyDescent="0.2">
      <c r="A222" s="2"/>
      <c r="B222" s="1"/>
      <c r="C222" s="1"/>
      <c r="D222" s="1"/>
      <c r="F222" s="1"/>
    </row>
    <row r="223" spans="1:6" x14ac:dyDescent="0.2">
      <c r="A223" s="2"/>
      <c r="B223" s="1"/>
      <c r="C223" s="1"/>
      <c r="D223" s="1"/>
      <c r="F223" s="1"/>
    </row>
    <row r="224" spans="1:6" x14ac:dyDescent="0.2">
      <c r="A224" s="2"/>
      <c r="B224" s="1"/>
      <c r="C224" s="1"/>
      <c r="D224" s="1"/>
      <c r="F224" s="1"/>
    </row>
    <row r="225" spans="1:6" x14ac:dyDescent="0.2">
      <c r="A225" s="2"/>
      <c r="B225" s="1"/>
      <c r="C225" s="1"/>
      <c r="D225" s="1"/>
      <c r="F225" s="1"/>
    </row>
    <row r="226" spans="1:6" x14ac:dyDescent="0.2">
      <c r="A226" s="2"/>
      <c r="B226" s="1"/>
      <c r="C226" s="1"/>
      <c r="D226" s="1"/>
      <c r="F226" s="1"/>
    </row>
    <row r="227" spans="1:6" x14ac:dyDescent="0.2">
      <c r="A227" s="2"/>
      <c r="B227" s="1"/>
      <c r="C227" s="1"/>
      <c r="D227" s="1"/>
      <c r="F227" s="1"/>
    </row>
    <row r="228" spans="1:6" x14ac:dyDescent="0.2">
      <c r="A228" s="2"/>
      <c r="B228" s="1"/>
      <c r="C228" s="1"/>
      <c r="D228" s="1"/>
      <c r="F228" s="1"/>
    </row>
    <row r="229" spans="1:6" x14ac:dyDescent="0.2">
      <c r="A229" s="2"/>
      <c r="B229" s="1"/>
      <c r="C229" s="1"/>
      <c r="D229" s="1"/>
      <c r="F229" s="1"/>
    </row>
    <row r="230" spans="1:6" x14ac:dyDescent="0.2">
      <c r="A230" s="2"/>
      <c r="B230" s="1"/>
      <c r="C230" s="1"/>
      <c r="D230" s="1"/>
      <c r="F230" s="1"/>
    </row>
    <row r="231" spans="1:6" x14ac:dyDescent="0.2">
      <c r="A231" s="2"/>
      <c r="B231" s="1"/>
      <c r="C231" s="1"/>
      <c r="D231" s="1"/>
      <c r="F231" s="1"/>
    </row>
    <row r="232" spans="1:6" x14ac:dyDescent="0.2">
      <c r="A232" s="2"/>
      <c r="B232" s="1"/>
      <c r="C232" s="1"/>
      <c r="D232" s="1"/>
      <c r="F232" s="1"/>
    </row>
    <row r="233" spans="1:6" x14ac:dyDescent="0.2">
      <c r="A233" s="2"/>
      <c r="B233" s="1"/>
      <c r="C233" s="1"/>
      <c r="D233" s="1"/>
      <c r="F233" s="1"/>
    </row>
    <row r="234" spans="1:6" x14ac:dyDescent="0.2">
      <c r="A234" s="2"/>
      <c r="B234" s="1"/>
      <c r="C234" s="1"/>
      <c r="D234" s="1"/>
      <c r="F234" s="1"/>
    </row>
    <row r="235" spans="1:6" x14ac:dyDescent="0.2">
      <c r="A235" s="2"/>
      <c r="B235" s="1"/>
      <c r="C235" s="1"/>
      <c r="D235" s="1"/>
      <c r="F235" s="1"/>
    </row>
    <row r="236" spans="1:6" x14ac:dyDescent="0.2">
      <c r="A236" s="2"/>
      <c r="B236" s="1"/>
      <c r="C236" s="1"/>
      <c r="D236" s="1"/>
      <c r="F236" s="1"/>
    </row>
    <row r="237" spans="1:6" x14ac:dyDescent="0.2">
      <c r="A237" s="2"/>
      <c r="B237" s="1"/>
      <c r="C237" s="1"/>
      <c r="D237" s="1"/>
      <c r="F237" s="1"/>
    </row>
    <row r="238" spans="1:6" x14ac:dyDescent="0.2">
      <c r="A238" s="2"/>
      <c r="B238" s="1"/>
      <c r="C238" s="1"/>
      <c r="D238" s="1"/>
      <c r="F238" s="1"/>
    </row>
    <row r="239" spans="1:6" x14ac:dyDescent="0.2">
      <c r="A239" s="2"/>
      <c r="B239" s="1"/>
      <c r="C239" s="1"/>
      <c r="D239" s="1"/>
      <c r="F239" s="1"/>
    </row>
    <row r="240" spans="1:6" x14ac:dyDescent="0.2">
      <c r="A240" s="2"/>
      <c r="B240" s="1"/>
      <c r="C240" s="1"/>
      <c r="D240" s="1"/>
      <c r="F240" s="1"/>
    </row>
    <row r="241" spans="1:6" x14ac:dyDescent="0.2">
      <c r="A241" s="2"/>
      <c r="B241" s="1"/>
      <c r="C241" s="1"/>
      <c r="D241" s="1"/>
      <c r="F241" s="1"/>
    </row>
    <row r="242" spans="1:6" x14ac:dyDescent="0.2">
      <c r="A242" s="2"/>
      <c r="B242" s="1"/>
      <c r="C242" s="1"/>
      <c r="D242" s="1"/>
      <c r="F242" s="1"/>
    </row>
    <row r="243" spans="1:6" x14ac:dyDescent="0.2">
      <c r="A243" s="2"/>
      <c r="B243" s="1"/>
      <c r="C243" s="1"/>
      <c r="D243" s="1"/>
      <c r="F243" s="1"/>
    </row>
    <row r="244" spans="1:6" x14ac:dyDescent="0.2">
      <c r="A244" s="2"/>
      <c r="B244" s="1"/>
      <c r="C244" s="1"/>
      <c r="D244" s="1"/>
      <c r="F244" s="1"/>
    </row>
    <row r="245" spans="1:6" x14ac:dyDescent="0.2">
      <c r="A245" s="2"/>
      <c r="B245" s="1"/>
      <c r="C245" s="1"/>
      <c r="D245" s="1"/>
      <c r="F245" s="1"/>
    </row>
    <row r="246" spans="1:6" x14ac:dyDescent="0.2">
      <c r="A246" s="2"/>
      <c r="B246" s="1"/>
      <c r="C246" s="1"/>
      <c r="D246" s="1"/>
      <c r="F246" s="1"/>
    </row>
    <row r="247" spans="1:6" x14ac:dyDescent="0.2">
      <c r="A247" s="2"/>
      <c r="B247" s="1"/>
      <c r="C247" s="1"/>
      <c r="D247" s="1"/>
      <c r="F247" s="1"/>
    </row>
    <row r="248" spans="1:6" x14ac:dyDescent="0.2">
      <c r="A248" s="2"/>
      <c r="B248" s="1"/>
      <c r="C248" s="1"/>
      <c r="D248" s="1"/>
      <c r="F248" s="1"/>
    </row>
    <row r="249" spans="1:6" x14ac:dyDescent="0.2">
      <c r="A249" s="2"/>
      <c r="B249" s="1"/>
      <c r="C249" s="1"/>
      <c r="D249" s="1"/>
      <c r="F249" s="1"/>
    </row>
    <row r="250" spans="1:6" x14ac:dyDescent="0.2">
      <c r="A250" s="2"/>
      <c r="B250" s="1"/>
      <c r="C250" s="1"/>
      <c r="D250" s="1"/>
      <c r="F250" s="1"/>
    </row>
    <row r="251" spans="1:6" x14ac:dyDescent="0.2">
      <c r="A251" s="2"/>
      <c r="B251" s="1"/>
      <c r="C251" s="1"/>
      <c r="D251" s="1"/>
      <c r="F251" s="1"/>
    </row>
    <row r="252" spans="1:6" x14ac:dyDescent="0.2">
      <c r="A252" s="2"/>
      <c r="B252" s="1"/>
      <c r="C252" s="1"/>
      <c r="D252" s="1"/>
      <c r="F252" s="1"/>
    </row>
    <row r="253" spans="1:6" x14ac:dyDescent="0.2">
      <c r="A253" s="2"/>
      <c r="B253" s="1"/>
      <c r="C253" s="1"/>
      <c r="D253" s="1"/>
      <c r="F253" s="1"/>
    </row>
    <row r="254" spans="1:6" x14ac:dyDescent="0.2">
      <c r="A254" s="2"/>
      <c r="B254" s="1"/>
      <c r="C254" s="1"/>
      <c r="D254" s="1"/>
      <c r="F254" s="1"/>
    </row>
    <row r="255" spans="1:6" x14ac:dyDescent="0.2">
      <c r="A255" s="2"/>
      <c r="B255" s="1"/>
      <c r="C255" s="1"/>
      <c r="D255" s="1"/>
      <c r="F255" s="1"/>
    </row>
    <row r="256" spans="1:6" x14ac:dyDescent="0.2">
      <c r="A256" s="2"/>
      <c r="B256" s="1"/>
      <c r="C256" s="1"/>
      <c r="D256" s="1"/>
      <c r="F256" s="1"/>
    </row>
    <row r="257" spans="1:6" x14ac:dyDescent="0.2">
      <c r="A257" s="2"/>
      <c r="B257" s="1"/>
      <c r="C257" s="1"/>
      <c r="D257" s="1"/>
      <c r="F257" s="1"/>
    </row>
    <row r="258" spans="1:6" x14ac:dyDescent="0.2">
      <c r="A258" s="2"/>
      <c r="B258" s="1"/>
      <c r="C258" s="1"/>
      <c r="D258" s="1"/>
      <c r="F258" s="1"/>
    </row>
    <row r="259" spans="1:6" x14ac:dyDescent="0.2">
      <c r="A259" s="2"/>
      <c r="B259" s="1"/>
      <c r="C259" s="1"/>
      <c r="D259" s="1"/>
      <c r="F259" s="1"/>
    </row>
    <row r="260" spans="1:6" x14ac:dyDescent="0.2">
      <c r="A260" s="2"/>
      <c r="B260" s="1"/>
      <c r="C260" s="1"/>
      <c r="D260" s="1"/>
      <c r="F260" s="1"/>
    </row>
    <row r="261" spans="1:6" x14ac:dyDescent="0.2">
      <c r="A261" s="2"/>
      <c r="B261" s="1"/>
      <c r="C261" s="1"/>
      <c r="D261" s="1"/>
      <c r="F261" s="1"/>
    </row>
    <row r="262" spans="1:6" x14ac:dyDescent="0.2">
      <c r="A262" s="2"/>
      <c r="B262" s="1"/>
      <c r="C262" s="1"/>
      <c r="D262" s="1"/>
      <c r="F262" s="1"/>
    </row>
    <row r="263" spans="1:6" x14ac:dyDescent="0.2">
      <c r="A263" s="2"/>
      <c r="B263" s="1"/>
      <c r="C263" s="1"/>
      <c r="D263" s="1"/>
      <c r="F263" s="1"/>
    </row>
  </sheetData>
  <mergeCells count="43">
    <mergeCell ref="F169:H169"/>
    <mergeCell ref="F170:H170"/>
    <mergeCell ref="A51:H51"/>
    <mergeCell ref="A52:H52"/>
    <mergeCell ref="A109:H109"/>
    <mergeCell ref="A119:H119"/>
    <mergeCell ref="A126:H126"/>
    <mergeCell ref="A137:H137"/>
    <mergeCell ref="A45:H45"/>
    <mergeCell ref="A46:H46"/>
    <mergeCell ref="A48:A49"/>
    <mergeCell ref="B48:B49"/>
    <mergeCell ref="C48:C49"/>
    <mergeCell ref="D48:D49"/>
    <mergeCell ref="E48:H48"/>
    <mergeCell ref="A44:H44"/>
    <mergeCell ref="B37:D37"/>
    <mergeCell ref="G37:H37"/>
    <mergeCell ref="B38:D38"/>
    <mergeCell ref="G38:H38"/>
    <mergeCell ref="B39:C39"/>
    <mergeCell ref="E39:G39"/>
    <mergeCell ref="B40:C40"/>
    <mergeCell ref="E40:G40"/>
    <mergeCell ref="B41:H41"/>
    <mergeCell ref="B42:E42"/>
    <mergeCell ref="B43:F43"/>
    <mergeCell ref="B34:D34"/>
    <mergeCell ref="G34:H34"/>
    <mergeCell ref="B35:C35"/>
    <mergeCell ref="G35:H35"/>
    <mergeCell ref="B36:C36"/>
    <mergeCell ref="G36:H36"/>
    <mergeCell ref="B33:D33"/>
    <mergeCell ref="G33:H33"/>
    <mergeCell ref="G1:H1"/>
    <mergeCell ref="F6:H6"/>
    <mergeCell ref="G30:H30"/>
    <mergeCell ref="B32:C32"/>
    <mergeCell ref="G32:H32"/>
    <mergeCell ref="F14:H14"/>
    <mergeCell ref="F2:H2"/>
    <mergeCell ref="F5:H5"/>
  </mergeCells>
  <pageMargins left="0.70866141732283472" right="0.31496062992125984" top="0.59055118110236227" bottom="0.59055118110236227" header="0.31496062992125984" footer="0.31496062992125984"/>
  <pageSetup paperSize="9" scale="50" orientation="portrait" verticalDpi="0" r:id="rId1"/>
  <rowBreaks count="2" manualBreakCount="2">
    <brk id="73" max="19" man="1"/>
    <brk id="124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проект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2025-07-07T10:17:15Z</cp:lastPrinted>
  <dcterms:created xsi:type="dcterms:W3CDTF">2019-10-17T10:42:43Z</dcterms:created>
  <dcterms:modified xsi:type="dcterms:W3CDTF">2025-09-25T08:11:53Z</dcterms:modified>
</cp:coreProperties>
</file>