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5\Бюджет\1 Рішення\Звіт\2025\Рішення\МВК\Доопрацьовано\"/>
    </mc:Choice>
  </mc:AlternateContent>
  <bookViews>
    <workbookView xWindow="0" yWindow="0" windowWidth="28800" windowHeight="12345" tabRatio="261" activeTab="1"/>
  </bookViews>
  <sheets>
    <sheet name="дод 2" sheetId="1" r:id="rId1"/>
    <sheet name="дод 5" sheetId="3" r:id="rId2"/>
  </sheets>
  <definedNames>
    <definedName name="_xlnm.Print_Titles" localSheetId="0">'дод 2'!$12:$15</definedName>
    <definedName name="_xlnm.Print_Titles" localSheetId="1">'дод 5'!$14:$17</definedName>
    <definedName name="_xlnm.Print_Area" localSheetId="0">'дод 2'!$A$1:$AC$341</definedName>
    <definedName name="_xlnm.Print_Area" localSheetId="1">'дод 5'!$A$1:$AB$272</definedName>
  </definedNames>
  <calcPr calcId="162913"/>
</workbook>
</file>

<file path=xl/calcChain.xml><?xml version="1.0" encoding="utf-8"?>
<calcChain xmlns="http://schemas.openxmlformats.org/spreadsheetml/2006/main">
  <c r="D210" i="1" l="1"/>
  <c r="U327" i="1" l="1"/>
  <c r="J329" i="1" l="1"/>
  <c r="T99" i="1" l="1"/>
  <c r="T87" i="1"/>
  <c r="T170" i="3" l="1"/>
  <c r="S170" i="3"/>
  <c r="E19" i="3" l="1"/>
  <c r="F19" i="3"/>
  <c r="G19" i="3"/>
  <c r="H19" i="3"/>
  <c r="I19" i="3"/>
  <c r="J19" i="3"/>
  <c r="K19" i="3"/>
  <c r="M19" i="3"/>
  <c r="N19" i="3"/>
  <c r="O19" i="3"/>
  <c r="P19" i="3"/>
  <c r="Q19" i="3"/>
  <c r="R19" i="3"/>
  <c r="T19" i="3"/>
  <c r="U19" i="3"/>
  <c r="V19" i="3"/>
  <c r="W19" i="3"/>
  <c r="X19" i="3"/>
  <c r="E20" i="3"/>
  <c r="F20" i="3"/>
  <c r="G20" i="3"/>
  <c r="H20" i="3"/>
  <c r="I20" i="3"/>
  <c r="J20" i="3"/>
  <c r="K20" i="3"/>
  <c r="M20" i="3"/>
  <c r="N20" i="3"/>
  <c r="O20" i="3"/>
  <c r="P20" i="3"/>
  <c r="Q20" i="3"/>
  <c r="R20" i="3"/>
  <c r="S20" i="3"/>
  <c r="T20" i="3"/>
  <c r="U20" i="3"/>
  <c r="V20" i="3"/>
  <c r="W20" i="3"/>
  <c r="X20" i="3"/>
  <c r="E39" i="3"/>
  <c r="F39" i="3"/>
  <c r="G39" i="3"/>
  <c r="H39" i="3"/>
  <c r="I39" i="3"/>
  <c r="J39" i="3"/>
  <c r="K39" i="3"/>
  <c r="M39" i="3"/>
  <c r="N39" i="3"/>
  <c r="O39" i="3"/>
  <c r="P39" i="3"/>
  <c r="Q39" i="3"/>
  <c r="R39" i="3"/>
  <c r="T39" i="3"/>
  <c r="U39" i="3"/>
  <c r="V39" i="3"/>
  <c r="W39" i="3"/>
  <c r="X39" i="3"/>
  <c r="E40" i="3"/>
  <c r="F40" i="3"/>
  <c r="G40" i="3"/>
  <c r="H40" i="3"/>
  <c r="I40" i="3"/>
  <c r="J40" i="3"/>
  <c r="K40" i="3"/>
  <c r="M40" i="3"/>
  <c r="N40" i="3"/>
  <c r="O40" i="3"/>
  <c r="P40" i="3"/>
  <c r="Q40" i="3"/>
  <c r="R40" i="3"/>
  <c r="T40" i="3"/>
  <c r="U40" i="3"/>
  <c r="V40" i="3"/>
  <c r="W40" i="3"/>
  <c r="X40" i="3"/>
  <c r="E41" i="3"/>
  <c r="F41" i="3"/>
  <c r="G41" i="3"/>
  <c r="H41" i="3"/>
  <c r="I41" i="3"/>
  <c r="J41" i="3"/>
  <c r="K41" i="3"/>
  <c r="M41" i="3"/>
  <c r="N41" i="3"/>
  <c r="O41" i="3"/>
  <c r="P41" i="3"/>
  <c r="Q41" i="3"/>
  <c r="R41" i="3"/>
  <c r="S41" i="3"/>
  <c r="Y41" i="3" s="1"/>
  <c r="T41" i="3"/>
  <c r="U41" i="3"/>
  <c r="V41" i="3"/>
  <c r="W41" i="3"/>
  <c r="X41" i="3"/>
  <c r="E42" i="3"/>
  <c r="F42" i="3"/>
  <c r="G42" i="3"/>
  <c r="H42" i="3"/>
  <c r="I42" i="3"/>
  <c r="J42" i="3"/>
  <c r="K42" i="3"/>
  <c r="M42" i="3"/>
  <c r="N42" i="3"/>
  <c r="O42" i="3"/>
  <c r="P42" i="3"/>
  <c r="Q42" i="3"/>
  <c r="R42" i="3"/>
  <c r="T42" i="3"/>
  <c r="U42" i="3"/>
  <c r="V42" i="3"/>
  <c r="W42" i="3"/>
  <c r="X42" i="3"/>
  <c r="E43" i="3"/>
  <c r="F43" i="3"/>
  <c r="G43" i="3"/>
  <c r="H43" i="3"/>
  <c r="I43" i="3"/>
  <c r="J43" i="3"/>
  <c r="K43" i="3"/>
  <c r="M43" i="3"/>
  <c r="N43" i="3"/>
  <c r="O43" i="3"/>
  <c r="P43" i="3"/>
  <c r="Q43" i="3"/>
  <c r="R43" i="3"/>
  <c r="T43" i="3"/>
  <c r="U43" i="3"/>
  <c r="V43" i="3"/>
  <c r="W43" i="3"/>
  <c r="X43" i="3"/>
  <c r="E44" i="3"/>
  <c r="F44" i="3"/>
  <c r="G44" i="3"/>
  <c r="H44" i="3"/>
  <c r="I44" i="3"/>
  <c r="J44" i="3"/>
  <c r="K44" i="3"/>
  <c r="M44" i="3"/>
  <c r="N44" i="3"/>
  <c r="O44" i="3"/>
  <c r="P44" i="3"/>
  <c r="Q44" i="3"/>
  <c r="R44" i="3"/>
  <c r="S44" i="3"/>
  <c r="T44" i="3"/>
  <c r="U44" i="3"/>
  <c r="V44" i="3"/>
  <c r="W44" i="3"/>
  <c r="X44" i="3"/>
  <c r="E45" i="3"/>
  <c r="F45" i="3"/>
  <c r="G45" i="3"/>
  <c r="H45" i="3"/>
  <c r="I45" i="3"/>
  <c r="J45" i="3"/>
  <c r="K45" i="3"/>
  <c r="M45" i="3"/>
  <c r="N45" i="3"/>
  <c r="O45" i="3"/>
  <c r="P45" i="3"/>
  <c r="Q45" i="3"/>
  <c r="R45" i="3"/>
  <c r="S45" i="3"/>
  <c r="T45" i="3"/>
  <c r="U45" i="3"/>
  <c r="V45" i="3"/>
  <c r="W45" i="3"/>
  <c r="X45" i="3"/>
  <c r="E46" i="3"/>
  <c r="F46" i="3"/>
  <c r="G46" i="3"/>
  <c r="H46" i="3"/>
  <c r="I46" i="3"/>
  <c r="J46" i="3"/>
  <c r="K46" i="3"/>
  <c r="M46" i="3"/>
  <c r="N46" i="3"/>
  <c r="O46" i="3"/>
  <c r="P46" i="3"/>
  <c r="Q46" i="3"/>
  <c r="R46" i="3"/>
  <c r="S46" i="3"/>
  <c r="T46" i="3"/>
  <c r="U46" i="3"/>
  <c r="V46" i="3"/>
  <c r="W46" i="3"/>
  <c r="X46" i="3"/>
  <c r="E47" i="3"/>
  <c r="F47" i="3"/>
  <c r="G47" i="3"/>
  <c r="H47" i="3"/>
  <c r="I47" i="3"/>
  <c r="J47" i="3"/>
  <c r="K47" i="3"/>
  <c r="M47" i="3"/>
  <c r="N47" i="3"/>
  <c r="O47" i="3"/>
  <c r="P47" i="3"/>
  <c r="Q47" i="3"/>
  <c r="R47" i="3"/>
  <c r="S47" i="3"/>
  <c r="Y47" i="3" s="1"/>
  <c r="T47" i="3"/>
  <c r="U47" i="3"/>
  <c r="V47" i="3"/>
  <c r="W47" i="3"/>
  <c r="X47" i="3"/>
  <c r="E48" i="3"/>
  <c r="F48" i="3"/>
  <c r="G48" i="3"/>
  <c r="H48" i="3"/>
  <c r="I48" i="3"/>
  <c r="J48" i="3"/>
  <c r="K48" i="3"/>
  <c r="M48" i="3"/>
  <c r="N48" i="3"/>
  <c r="O48" i="3"/>
  <c r="P48" i="3"/>
  <c r="Q48" i="3"/>
  <c r="R48" i="3"/>
  <c r="S48" i="3"/>
  <c r="T48" i="3"/>
  <c r="U48" i="3"/>
  <c r="V48" i="3"/>
  <c r="W48" i="3"/>
  <c r="X48" i="3"/>
  <c r="E49" i="3"/>
  <c r="F49" i="3"/>
  <c r="G49" i="3"/>
  <c r="H49" i="3"/>
  <c r="I49" i="3"/>
  <c r="J49" i="3"/>
  <c r="K49" i="3"/>
  <c r="M49" i="3"/>
  <c r="N49" i="3"/>
  <c r="O49" i="3"/>
  <c r="P49" i="3"/>
  <c r="Q49" i="3"/>
  <c r="R49" i="3"/>
  <c r="S49" i="3"/>
  <c r="T49" i="3"/>
  <c r="U49" i="3"/>
  <c r="V49" i="3"/>
  <c r="W49" i="3"/>
  <c r="X49" i="3"/>
  <c r="E50" i="3"/>
  <c r="F50" i="3"/>
  <c r="G50" i="3"/>
  <c r="H50" i="3"/>
  <c r="I50" i="3"/>
  <c r="J50" i="3"/>
  <c r="K50" i="3"/>
  <c r="M50" i="3"/>
  <c r="N50" i="3"/>
  <c r="O50" i="3"/>
  <c r="P50" i="3"/>
  <c r="Q50" i="3"/>
  <c r="R50" i="3"/>
  <c r="S50" i="3"/>
  <c r="T50" i="3"/>
  <c r="U50" i="3"/>
  <c r="V50" i="3"/>
  <c r="W50" i="3"/>
  <c r="X50" i="3"/>
  <c r="E51" i="3"/>
  <c r="F51" i="3"/>
  <c r="G51" i="3"/>
  <c r="H51" i="3"/>
  <c r="I51" i="3"/>
  <c r="J51" i="3"/>
  <c r="K51" i="3"/>
  <c r="M51" i="3"/>
  <c r="N51" i="3"/>
  <c r="O51" i="3"/>
  <c r="P51" i="3"/>
  <c r="Q51" i="3"/>
  <c r="R51" i="3"/>
  <c r="T51" i="3"/>
  <c r="U51" i="3"/>
  <c r="V51" i="3"/>
  <c r="W51" i="3"/>
  <c r="X51" i="3"/>
  <c r="E52" i="3"/>
  <c r="F52" i="3"/>
  <c r="G52" i="3"/>
  <c r="H52" i="3"/>
  <c r="I52" i="3"/>
  <c r="J52" i="3"/>
  <c r="K52" i="3"/>
  <c r="M52" i="3"/>
  <c r="N52" i="3"/>
  <c r="O52" i="3"/>
  <c r="P52" i="3"/>
  <c r="Q52" i="3"/>
  <c r="R52" i="3"/>
  <c r="T52" i="3"/>
  <c r="U52" i="3"/>
  <c r="V52" i="3"/>
  <c r="W52" i="3"/>
  <c r="X52" i="3"/>
  <c r="E53" i="3"/>
  <c r="F53" i="3"/>
  <c r="G53" i="3"/>
  <c r="H53" i="3"/>
  <c r="I53" i="3"/>
  <c r="J53" i="3"/>
  <c r="K53" i="3"/>
  <c r="M53" i="3"/>
  <c r="N53" i="3"/>
  <c r="O53" i="3"/>
  <c r="P53" i="3"/>
  <c r="Q53" i="3"/>
  <c r="R53" i="3"/>
  <c r="T53" i="3"/>
  <c r="U53" i="3"/>
  <c r="V53" i="3"/>
  <c r="W53" i="3"/>
  <c r="X53" i="3"/>
  <c r="E54" i="3"/>
  <c r="F54" i="3"/>
  <c r="G54" i="3"/>
  <c r="H54" i="3"/>
  <c r="I54" i="3"/>
  <c r="J54" i="3"/>
  <c r="K54" i="3"/>
  <c r="M54" i="3"/>
  <c r="N54" i="3"/>
  <c r="O54" i="3"/>
  <c r="P54" i="3"/>
  <c r="Q54" i="3"/>
  <c r="R54" i="3"/>
  <c r="T54" i="3"/>
  <c r="U54" i="3"/>
  <c r="V54" i="3"/>
  <c r="W54" i="3"/>
  <c r="X54" i="3"/>
  <c r="E55" i="3"/>
  <c r="E31" i="3" s="1"/>
  <c r="F55" i="3"/>
  <c r="F31" i="3" s="1"/>
  <c r="G55" i="3"/>
  <c r="G31" i="3" s="1"/>
  <c r="H55" i="3"/>
  <c r="H31" i="3" s="1"/>
  <c r="I55" i="3"/>
  <c r="I31" i="3" s="1"/>
  <c r="J55" i="3"/>
  <c r="J31" i="3" s="1"/>
  <c r="K55" i="3"/>
  <c r="K31" i="3" s="1"/>
  <c r="M55" i="3"/>
  <c r="M31" i="3" s="1"/>
  <c r="N55" i="3"/>
  <c r="N31" i="3" s="1"/>
  <c r="O55" i="3"/>
  <c r="O31" i="3" s="1"/>
  <c r="P55" i="3"/>
  <c r="P31" i="3" s="1"/>
  <c r="Q55" i="3"/>
  <c r="Q31" i="3" s="1"/>
  <c r="R55" i="3"/>
  <c r="R31" i="3" s="1"/>
  <c r="T55" i="3"/>
  <c r="T31" i="3" s="1"/>
  <c r="U55" i="3"/>
  <c r="U31" i="3" s="1"/>
  <c r="V55" i="3"/>
  <c r="V31" i="3" s="1"/>
  <c r="W55" i="3"/>
  <c r="W31" i="3" s="1"/>
  <c r="X55" i="3"/>
  <c r="X31" i="3" s="1"/>
  <c r="E56" i="3"/>
  <c r="F56" i="3"/>
  <c r="G56" i="3"/>
  <c r="H56" i="3"/>
  <c r="I56" i="3"/>
  <c r="J56" i="3"/>
  <c r="K56" i="3"/>
  <c r="M56" i="3"/>
  <c r="N56" i="3"/>
  <c r="O56" i="3"/>
  <c r="P56" i="3"/>
  <c r="Q56" i="3"/>
  <c r="R56" i="3"/>
  <c r="S56" i="3"/>
  <c r="T56" i="3"/>
  <c r="U56" i="3"/>
  <c r="V56" i="3"/>
  <c r="W56" i="3"/>
  <c r="X56" i="3"/>
  <c r="E57" i="3"/>
  <c r="F57" i="3"/>
  <c r="G57" i="3"/>
  <c r="H57" i="3"/>
  <c r="I57" i="3"/>
  <c r="J57" i="3"/>
  <c r="K57" i="3"/>
  <c r="M57" i="3"/>
  <c r="N57" i="3"/>
  <c r="O57" i="3"/>
  <c r="P57" i="3"/>
  <c r="Q57" i="3"/>
  <c r="R57" i="3"/>
  <c r="S57" i="3"/>
  <c r="T57" i="3"/>
  <c r="U57" i="3"/>
  <c r="V57" i="3"/>
  <c r="W57" i="3"/>
  <c r="X57" i="3"/>
  <c r="E58" i="3"/>
  <c r="F58" i="3"/>
  <c r="G58" i="3"/>
  <c r="H58" i="3"/>
  <c r="I58" i="3"/>
  <c r="J58" i="3"/>
  <c r="K58" i="3"/>
  <c r="M58" i="3"/>
  <c r="N58" i="3"/>
  <c r="O58" i="3"/>
  <c r="P58" i="3"/>
  <c r="Q58" i="3"/>
  <c r="R58" i="3"/>
  <c r="S58" i="3"/>
  <c r="T58" i="3"/>
  <c r="U58" i="3"/>
  <c r="V58" i="3"/>
  <c r="W58" i="3"/>
  <c r="X58" i="3"/>
  <c r="E59" i="3"/>
  <c r="F59" i="3"/>
  <c r="G59" i="3"/>
  <c r="H59" i="3"/>
  <c r="I59" i="3"/>
  <c r="J59" i="3"/>
  <c r="K59" i="3"/>
  <c r="M59" i="3"/>
  <c r="N59" i="3"/>
  <c r="O59" i="3"/>
  <c r="P59" i="3"/>
  <c r="Q59" i="3"/>
  <c r="R59" i="3"/>
  <c r="S59" i="3"/>
  <c r="T59" i="3"/>
  <c r="U59" i="3"/>
  <c r="V59" i="3"/>
  <c r="W59" i="3"/>
  <c r="X59" i="3"/>
  <c r="E60" i="3"/>
  <c r="F60" i="3"/>
  <c r="G60" i="3"/>
  <c r="H60" i="3"/>
  <c r="I60" i="3"/>
  <c r="J60" i="3"/>
  <c r="K60" i="3"/>
  <c r="M60" i="3"/>
  <c r="N60" i="3"/>
  <c r="O60" i="3"/>
  <c r="P60" i="3"/>
  <c r="Q60" i="3"/>
  <c r="R60" i="3"/>
  <c r="T60" i="3"/>
  <c r="U60" i="3"/>
  <c r="V60" i="3"/>
  <c r="W60" i="3"/>
  <c r="X60" i="3"/>
  <c r="E61" i="3"/>
  <c r="F61" i="3"/>
  <c r="G61" i="3"/>
  <c r="H61" i="3"/>
  <c r="I61" i="3"/>
  <c r="J61" i="3"/>
  <c r="K61" i="3"/>
  <c r="M61" i="3"/>
  <c r="N61" i="3"/>
  <c r="O61" i="3"/>
  <c r="P61" i="3"/>
  <c r="Q61" i="3"/>
  <c r="R61" i="3"/>
  <c r="S61" i="3"/>
  <c r="T61" i="3"/>
  <c r="U61" i="3"/>
  <c r="V61" i="3"/>
  <c r="W61" i="3"/>
  <c r="X61" i="3"/>
  <c r="E62" i="3"/>
  <c r="F62" i="3"/>
  <c r="G62" i="3"/>
  <c r="H62" i="3"/>
  <c r="I62" i="3"/>
  <c r="J62" i="3"/>
  <c r="K62" i="3"/>
  <c r="M62" i="3"/>
  <c r="N62" i="3"/>
  <c r="O62" i="3"/>
  <c r="P62" i="3"/>
  <c r="Q62" i="3"/>
  <c r="R62" i="3"/>
  <c r="T62" i="3"/>
  <c r="U62" i="3"/>
  <c r="V62" i="3"/>
  <c r="W62" i="3"/>
  <c r="X62" i="3"/>
  <c r="E63" i="3"/>
  <c r="F63" i="3"/>
  <c r="G63" i="3"/>
  <c r="H63" i="3"/>
  <c r="I63" i="3"/>
  <c r="J63" i="3"/>
  <c r="K63" i="3"/>
  <c r="M63" i="3"/>
  <c r="N63" i="3"/>
  <c r="O63" i="3"/>
  <c r="P63" i="3"/>
  <c r="Q63" i="3"/>
  <c r="R63" i="3"/>
  <c r="S63" i="3"/>
  <c r="T63" i="3"/>
  <c r="U63" i="3"/>
  <c r="V63" i="3"/>
  <c r="W63" i="3"/>
  <c r="X63" i="3"/>
  <c r="E64" i="3"/>
  <c r="F64" i="3"/>
  <c r="G64" i="3"/>
  <c r="H64" i="3"/>
  <c r="I64" i="3"/>
  <c r="J64" i="3"/>
  <c r="K64" i="3"/>
  <c r="M64" i="3"/>
  <c r="N64" i="3"/>
  <c r="O64" i="3"/>
  <c r="P64" i="3"/>
  <c r="Q64" i="3"/>
  <c r="R64" i="3"/>
  <c r="S64" i="3"/>
  <c r="T64" i="3"/>
  <c r="U64" i="3"/>
  <c r="V64" i="3"/>
  <c r="W64" i="3"/>
  <c r="X64" i="3"/>
  <c r="E65" i="3"/>
  <c r="F65" i="3"/>
  <c r="G65" i="3"/>
  <c r="H65" i="3"/>
  <c r="I65" i="3"/>
  <c r="J65" i="3"/>
  <c r="K65" i="3"/>
  <c r="M65" i="3"/>
  <c r="N65" i="3"/>
  <c r="O65" i="3"/>
  <c r="P65" i="3"/>
  <c r="Q65" i="3"/>
  <c r="R65" i="3"/>
  <c r="T65" i="3"/>
  <c r="U65" i="3"/>
  <c r="V65" i="3"/>
  <c r="W65" i="3"/>
  <c r="X65" i="3"/>
  <c r="E66" i="3"/>
  <c r="F66" i="3"/>
  <c r="G66" i="3"/>
  <c r="H66" i="3"/>
  <c r="I66" i="3"/>
  <c r="J66" i="3"/>
  <c r="K66" i="3"/>
  <c r="M66" i="3"/>
  <c r="N66" i="3"/>
  <c r="O66" i="3"/>
  <c r="P66" i="3"/>
  <c r="Q66" i="3"/>
  <c r="R66" i="3"/>
  <c r="T66" i="3"/>
  <c r="U66" i="3"/>
  <c r="V66" i="3"/>
  <c r="W66" i="3"/>
  <c r="X66" i="3"/>
  <c r="E67" i="3"/>
  <c r="F67" i="3"/>
  <c r="G67" i="3"/>
  <c r="H67" i="3"/>
  <c r="I67" i="3"/>
  <c r="J67" i="3"/>
  <c r="K67" i="3"/>
  <c r="M67" i="3"/>
  <c r="N67" i="3"/>
  <c r="O67" i="3"/>
  <c r="P67" i="3"/>
  <c r="Q67" i="3"/>
  <c r="R67" i="3"/>
  <c r="T67" i="3"/>
  <c r="U67" i="3"/>
  <c r="V67" i="3"/>
  <c r="W67" i="3"/>
  <c r="X67" i="3"/>
  <c r="E68" i="3"/>
  <c r="E23" i="3" s="1"/>
  <c r="F68" i="3"/>
  <c r="F23" i="3" s="1"/>
  <c r="G68" i="3"/>
  <c r="G23" i="3" s="1"/>
  <c r="H68" i="3"/>
  <c r="H23" i="3" s="1"/>
  <c r="I68" i="3"/>
  <c r="J68" i="3"/>
  <c r="J23" i="3" s="1"/>
  <c r="K68" i="3"/>
  <c r="K23" i="3" s="1"/>
  <c r="M68" i="3"/>
  <c r="M23" i="3" s="1"/>
  <c r="N68" i="3"/>
  <c r="N23" i="3" s="1"/>
  <c r="O68" i="3"/>
  <c r="O23" i="3" s="1"/>
  <c r="P68" i="3"/>
  <c r="P23" i="3" s="1"/>
  <c r="Q68" i="3"/>
  <c r="Q23" i="3" s="1"/>
  <c r="R68" i="3"/>
  <c r="R23" i="3" s="1"/>
  <c r="S68" i="3"/>
  <c r="S23" i="3" s="1"/>
  <c r="T68" i="3"/>
  <c r="T23" i="3" s="1"/>
  <c r="U68" i="3"/>
  <c r="U23" i="3" s="1"/>
  <c r="V68" i="3"/>
  <c r="V23" i="3" s="1"/>
  <c r="W68" i="3"/>
  <c r="W23" i="3" s="1"/>
  <c r="X68" i="3"/>
  <c r="X23" i="3" s="1"/>
  <c r="E69" i="3"/>
  <c r="F69" i="3"/>
  <c r="G69" i="3"/>
  <c r="H69" i="3"/>
  <c r="I69" i="3"/>
  <c r="J69" i="3"/>
  <c r="K69" i="3"/>
  <c r="M69" i="3"/>
  <c r="N69" i="3"/>
  <c r="O69" i="3"/>
  <c r="P69" i="3"/>
  <c r="Q69" i="3"/>
  <c r="R69" i="3"/>
  <c r="S69" i="3"/>
  <c r="T69" i="3"/>
  <c r="U69" i="3"/>
  <c r="V69" i="3"/>
  <c r="W69" i="3"/>
  <c r="X69" i="3"/>
  <c r="E70" i="3"/>
  <c r="F70" i="3"/>
  <c r="G70" i="3"/>
  <c r="H70" i="3"/>
  <c r="I70" i="3"/>
  <c r="J70" i="3"/>
  <c r="K70" i="3"/>
  <c r="M70" i="3"/>
  <c r="N70" i="3"/>
  <c r="O70" i="3"/>
  <c r="P70" i="3"/>
  <c r="Q70" i="3"/>
  <c r="R70" i="3"/>
  <c r="S70" i="3"/>
  <c r="T70" i="3"/>
  <c r="U70" i="3"/>
  <c r="V70" i="3"/>
  <c r="W70" i="3"/>
  <c r="X70" i="3"/>
  <c r="E71" i="3"/>
  <c r="F71" i="3"/>
  <c r="G71" i="3"/>
  <c r="H71" i="3"/>
  <c r="I71" i="3"/>
  <c r="J71" i="3"/>
  <c r="K71" i="3"/>
  <c r="M71" i="3"/>
  <c r="N71" i="3"/>
  <c r="O71" i="3"/>
  <c r="P71" i="3"/>
  <c r="Q71" i="3"/>
  <c r="R71" i="3"/>
  <c r="S71" i="3"/>
  <c r="T71" i="3"/>
  <c r="U71" i="3"/>
  <c r="V71" i="3"/>
  <c r="W71" i="3"/>
  <c r="X71" i="3"/>
  <c r="E72" i="3"/>
  <c r="F72" i="3"/>
  <c r="G72" i="3"/>
  <c r="H72" i="3"/>
  <c r="I72" i="3"/>
  <c r="J72" i="3"/>
  <c r="K72" i="3"/>
  <c r="M72" i="3"/>
  <c r="N72" i="3"/>
  <c r="O72" i="3"/>
  <c r="P72" i="3"/>
  <c r="Q72" i="3"/>
  <c r="R72" i="3"/>
  <c r="T72" i="3"/>
  <c r="U72" i="3"/>
  <c r="V72" i="3"/>
  <c r="W72" i="3"/>
  <c r="X72" i="3"/>
  <c r="E73" i="3"/>
  <c r="E28" i="3" s="1"/>
  <c r="F73" i="3"/>
  <c r="F28" i="3" s="1"/>
  <c r="G73" i="3"/>
  <c r="G28" i="3" s="1"/>
  <c r="H73" i="3"/>
  <c r="H28" i="3" s="1"/>
  <c r="I73" i="3"/>
  <c r="J73" i="3"/>
  <c r="J28" i="3" s="1"/>
  <c r="K73" i="3"/>
  <c r="K28" i="3" s="1"/>
  <c r="M73" i="3"/>
  <c r="M28" i="3" s="1"/>
  <c r="N73" i="3"/>
  <c r="N28" i="3" s="1"/>
  <c r="O73" i="3"/>
  <c r="O28" i="3" s="1"/>
  <c r="P73" i="3"/>
  <c r="P28" i="3" s="1"/>
  <c r="Q73" i="3"/>
  <c r="Q28" i="3" s="1"/>
  <c r="R73" i="3"/>
  <c r="R28" i="3" s="1"/>
  <c r="T73" i="3"/>
  <c r="T28" i="3" s="1"/>
  <c r="U73" i="3"/>
  <c r="U28" i="3" s="1"/>
  <c r="V73" i="3"/>
  <c r="V28" i="3" s="1"/>
  <c r="W73" i="3"/>
  <c r="W28" i="3" s="1"/>
  <c r="X73" i="3"/>
  <c r="X28" i="3" s="1"/>
  <c r="E74" i="3"/>
  <c r="F74" i="3"/>
  <c r="G74" i="3"/>
  <c r="H74" i="3"/>
  <c r="I74" i="3"/>
  <c r="J74" i="3"/>
  <c r="K74" i="3"/>
  <c r="M74" i="3"/>
  <c r="N74" i="3"/>
  <c r="O74" i="3"/>
  <c r="P74" i="3"/>
  <c r="Q74" i="3"/>
  <c r="R74" i="3"/>
  <c r="S74" i="3"/>
  <c r="T74" i="3"/>
  <c r="U74" i="3"/>
  <c r="V74" i="3"/>
  <c r="W74" i="3"/>
  <c r="X74" i="3"/>
  <c r="E75" i="3"/>
  <c r="F75" i="3"/>
  <c r="G75" i="3"/>
  <c r="H75" i="3"/>
  <c r="I75" i="3"/>
  <c r="J75" i="3"/>
  <c r="K75" i="3"/>
  <c r="M75" i="3"/>
  <c r="N75" i="3"/>
  <c r="O75" i="3"/>
  <c r="P75" i="3"/>
  <c r="Q75" i="3"/>
  <c r="R75" i="3"/>
  <c r="S75" i="3"/>
  <c r="T75" i="3"/>
  <c r="U75" i="3"/>
  <c r="V75" i="3"/>
  <c r="W75" i="3"/>
  <c r="X75" i="3"/>
  <c r="E76" i="3"/>
  <c r="E37" i="3" s="1"/>
  <c r="F76" i="3"/>
  <c r="F37" i="3" s="1"/>
  <c r="G76" i="3"/>
  <c r="G37" i="3" s="1"/>
  <c r="H76" i="3"/>
  <c r="H37" i="3" s="1"/>
  <c r="I76" i="3"/>
  <c r="J76" i="3"/>
  <c r="J37" i="3" s="1"/>
  <c r="K76" i="3"/>
  <c r="K37" i="3" s="1"/>
  <c r="M76" i="3"/>
  <c r="M37" i="3" s="1"/>
  <c r="N76" i="3"/>
  <c r="N37" i="3" s="1"/>
  <c r="O76" i="3"/>
  <c r="O37" i="3" s="1"/>
  <c r="P76" i="3"/>
  <c r="P37" i="3" s="1"/>
  <c r="Q76" i="3"/>
  <c r="Q37" i="3" s="1"/>
  <c r="R76" i="3"/>
  <c r="R37" i="3" s="1"/>
  <c r="S76" i="3"/>
  <c r="T76" i="3"/>
  <c r="T37" i="3" s="1"/>
  <c r="U76" i="3"/>
  <c r="U37" i="3" s="1"/>
  <c r="V76" i="3"/>
  <c r="V37" i="3" s="1"/>
  <c r="W76" i="3"/>
  <c r="W37" i="3" s="1"/>
  <c r="X76" i="3"/>
  <c r="X37" i="3" s="1"/>
  <c r="E77" i="3"/>
  <c r="F77" i="3"/>
  <c r="G77" i="3"/>
  <c r="H77" i="3"/>
  <c r="I77" i="3"/>
  <c r="J77" i="3"/>
  <c r="K77" i="3"/>
  <c r="M77" i="3"/>
  <c r="N77" i="3"/>
  <c r="O77" i="3"/>
  <c r="P77" i="3"/>
  <c r="Q77" i="3"/>
  <c r="R77" i="3"/>
  <c r="T77" i="3"/>
  <c r="U77" i="3"/>
  <c r="V77" i="3"/>
  <c r="W77" i="3"/>
  <c r="X77" i="3"/>
  <c r="E78" i="3"/>
  <c r="F78" i="3"/>
  <c r="G78" i="3"/>
  <c r="H78" i="3"/>
  <c r="I78" i="3"/>
  <c r="J78" i="3"/>
  <c r="K78" i="3"/>
  <c r="M78" i="3"/>
  <c r="N78" i="3"/>
  <c r="O78" i="3"/>
  <c r="P78" i="3"/>
  <c r="Q78" i="3"/>
  <c r="R78" i="3"/>
  <c r="T78" i="3"/>
  <c r="U78" i="3"/>
  <c r="V78" i="3"/>
  <c r="W78" i="3"/>
  <c r="X78" i="3"/>
  <c r="E79" i="3"/>
  <c r="E34" i="3" s="1"/>
  <c r="F79" i="3"/>
  <c r="F34" i="3" s="1"/>
  <c r="G79" i="3"/>
  <c r="G34" i="3" s="1"/>
  <c r="H79" i="3"/>
  <c r="H34" i="3" s="1"/>
  <c r="I79" i="3"/>
  <c r="I34" i="3" s="1"/>
  <c r="J79" i="3"/>
  <c r="J34" i="3" s="1"/>
  <c r="K79" i="3"/>
  <c r="K34" i="3" s="1"/>
  <c r="M79" i="3"/>
  <c r="M34" i="3" s="1"/>
  <c r="N79" i="3"/>
  <c r="N34" i="3" s="1"/>
  <c r="O79" i="3"/>
  <c r="O34" i="3" s="1"/>
  <c r="P79" i="3"/>
  <c r="P34" i="3" s="1"/>
  <c r="Q79" i="3"/>
  <c r="Q34" i="3" s="1"/>
  <c r="R79" i="3"/>
  <c r="R34" i="3" s="1"/>
  <c r="T79" i="3"/>
  <c r="T34" i="3" s="1"/>
  <c r="U79" i="3"/>
  <c r="U34" i="3" s="1"/>
  <c r="V79" i="3"/>
  <c r="V34" i="3" s="1"/>
  <c r="W79" i="3"/>
  <c r="W34" i="3" s="1"/>
  <c r="X79" i="3"/>
  <c r="X34" i="3" s="1"/>
  <c r="E80" i="3"/>
  <c r="F80" i="3"/>
  <c r="G80" i="3"/>
  <c r="H80" i="3"/>
  <c r="I80" i="3"/>
  <c r="J80" i="3"/>
  <c r="K80" i="3"/>
  <c r="M80" i="3"/>
  <c r="N80" i="3"/>
  <c r="O80" i="3"/>
  <c r="P80" i="3"/>
  <c r="Q80" i="3"/>
  <c r="R80" i="3"/>
  <c r="T80" i="3"/>
  <c r="U80" i="3"/>
  <c r="V80" i="3"/>
  <c r="W80" i="3"/>
  <c r="X80" i="3"/>
  <c r="E81" i="3"/>
  <c r="F81" i="3"/>
  <c r="G81" i="3"/>
  <c r="H81" i="3"/>
  <c r="I81" i="3"/>
  <c r="J81" i="3"/>
  <c r="K81" i="3"/>
  <c r="M81" i="3"/>
  <c r="N81" i="3"/>
  <c r="O81" i="3"/>
  <c r="P81" i="3"/>
  <c r="Q81" i="3"/>
  <c r="R81" i="3"/>
  <c r="T81" i="3"/>
  <c r="U81" i="3"/>
  <c r="V81" i="3"/>
  <c r="W81" i="3"/>
  <c r="X81" i="3"/>
  <c r="E82" i="3"/>
  <c r="F82" i="3"/>
  <c r="G82" i="3"/>
  <c r="H82" i="3"/>
  <c r="I82" i="3"/>
  <c r="J82" i="3"/>
  <c r="K82" i="3"/>
  <c r="M82" i="3"/>
  <c r="N82" i="3"/>
  <c r="O82" i="3"/>
  <c r="P82" i="3"/>
  <c r="Q82" i="3"/>
  <c r="R82" i="3"/>
  <c r="T82" i="3"/>
  <c r="U82" i="3"/>
  <c r="V82" i="3"/>
  <c r="W82" i="3"/>
  <c r="X82" i="3"/>
  <c r="E83" i="3"/>
  <c r="F83" i="3"/>
  <c r="G83" i="3"/>
  <c r="H83" i="3"/>
  <c r="I83" i="3"/>
  <c r="J83" i="3"/>
  <c r="K83" i="3"/>
  <c r="M83" i="3"/>
  <c r="N83" i="3"/>
  <c r="O83" i="3"/>
  <c r="P83" i="3"/>
  <c r="Q83" i="3"/>
  <c r="R83" i="3"/>
  <c r="S83" i="3"/>
  <c r="T83" i="3"/>
  <c r="U83" i="3"/>
  <c r="V83" i="3"/>
  <c r="W83" i="3"/>
  <c r="X83" i="3"/>
  <c r="Z83" i="3"/>
  <c r="E84" i="3"/>
  <c r="F84" i="3"/>
  <c r="G84" i="3"/>
  <c r="H84" i="3"/>
  <c r="I84" i="3"/>
  <c r="J84" i="3"/>
  <c r="K84" i="3"/>
  <c r="M84" i="3"/>
  <c r="N84" i="3"/>
  <c r="O84" i="3"/>
  <c r="P84" i="3"/>
  <c r="Q84" i="3"/>
  <c r="R84" i="3"/>
  <c r="S84" i="3"/>
  <c r="T84" i="3"/>
  <c r="U84" i="3"/>
  <c r="V84" i="3"/>
  <c r="W84" i="3"/>
  <c r="X84" i="3"/>
  <c r="Z84" i="3"/>
  <c r="E85" i="3"/>
  <c r="F85" i="3"/>
  <c r="G85" i="3"/>
  <c r="H85" i="3"/>
  <c r="I85" i="3"/>
  <c r="J85" i="3"/>
  <c r="K85" i="3"/>
  <c r="M85" i="3"/>
  <c r="N85" i="3"/>
  <c r="O85" i="3"/>
  <c r="P85" i="3"/>
  <c r="Q85" i="3"/>
  <c r="R85" i="3"/>
  <c r="S85" i="3"/>
  <c r="T85" i="3"/>
  <c r="U85" i="3"/>
  <c r="V85" i="3"/>
  <c r="W85" i="3"/>
  <c r="X85" i="3"/>
  <c r="Z85" i="3"/>
  <c r="E86" i="3"/>
  <c r="F86" i="3"/>
  <c r="G86" i="3"/>
  <c r="H86" i="3"/>
  <c r="I86" i="3"/>
  <c r="J86" i="3"/>
  <c r="K86" i="3"/>
  <c r="M86" i="3"/>
  <c r="N86" i="3"/>
  <c r="O86" i="3"/>
  <c r="P86" i="3"/>
  <c r="Q86" i="3"/>
  <c r="R86" i="3"/>
  <c r="T86" i="3"/>
  <c r="U86" i="3"/>
  <c r="V86" i="3"/>
  <c r="W86" i="3"/>
  <c r="X86" i="3"/>
  <c r="E87" i="3"/>
  <c r="F87" i="3"/>
  <c r="G87" i="3"/>
  <c r="H87" i="3"/>
  <c r="I87" i="3"/>
  <c r="J87" i="3"/>
  <c r="K87" i="3"/>
  <c r="M87" i="3"/>
  <c r="N87" i="3"/>
  <c r="O87" i="3"/>
  <c r="P87" i="3"/>
  <c r="Q87" i="3"/>
  <c r="R87" i="3"/>
  <c r="T87" i="3"/>
  <c r="U87" i="3"/>
  <c r="V87" i="3"/>
  <c r="W87" i="3"/>
  <c r="X87" i="3"/>
  <c r="E88" i="3"/>
  <c r="F88" i="3"/>
  <c r="G88" i="3"/>
  <c r="H88" i="3"/>
  <c r="I88" i="3"/>
  <c r="J88" i="3"/>
  <c r="K88" i="3"/>
  <c r="M88" i="3"/>
  <c r="N88" i="3"/>
  <c r="O88" i="3"/>
  <c r="P88" i="3"/>
  <c r="Q88" i="3"/>
  <c r="R88" i="3"/>
  <c r="T88" i="3"/>
  <c r="U88" i="3"/>
  <c r="V88" i="3"/>
  <c r="W88" i="3"/>
  <c r="X88" i="3"/>
  <c r="E89" i="3"/>
  <c r="F89" i="3"/>
  <c r="G89" i="3"/>
  <c r="H89" i="3"/>
  <c r="I89" i="3"/>
  <c r="J89" i="3"/>
  <c r="K89" i="3"/>
  <c r="M89" i="3"/>
  <c r="N89" i="3"/>
  <c r="O89" i="3"/>
  <c r="P89" i="3"/>
  <c r="Q89" i="3"/>
  <c r="R89" i="3"/>
  <c r="T89" i="3"/>
  <c r="U89" i="3"/>
  <c r="V89" i="3"/>
  <c r="W89" i="3"/>
  <c r="X89" i="3"/>
  <c r="E90" i="3"/>
  <c r="E35" i="3" s="1"/>
  <c r="F90" i="3"/>
  <c r="F35" i="3" s="1"/>
  <c r="G90" i="3"/>
  <c r="G35" i="3" s="1"/>
  <c r="H90" i="3"/>
  <c r="H35" i="3" s="1"/>
  <c r="I90" i="3"/>
  <c r="J90" i="3"/>
  <c r="J35" i="3" s="1"/>
  <c r="K90" i="3"/>
  <c r="K35" i="3" s="1"/>
  <c r="M90" i="3"/>
  <c r="M35" i="3" s="1"/>
  <c r="N90" i="3"/>
  <c r="N35" i="3" s="1"/>
  <c r="O90" i="3"/>
  <c r="O35" i="3" s="1"/>
  <c r="P90" i="3"/>
  <c r="P35" i="3" s="1"/>
  <c r="Q90" i="3"/>
  <c r="Q35" i="3" s="1"/>
  <c r="R90" i="3"/>
  <c r="R35" i="3" s="1"/>
  <c r="T90" i="3"/>
  <c r="T35" i="3" s="1"/>
  <c r="U90" i="3"/>
  <c r="U35" i="3" s="1"/>
  <c r="V90" i="3"/>
  <c r="V35" i="3" s="1"/>
  <c r="W90" i="3"/>
  <c r="W35" i="3" s="1"/>
  <c r="X90" i="3"/>
  <c r="X35" i="3" s="1"/>
  <c r="E91" i="3"/>
  <c r="F91" i="3"/>
  <c r="G91" i="3"/>
  <c r="H91" i="3"/>
  <c r="I91" i="3"/>
  <c r="J91" i="3"/>
  <c r="K91" i="3"/>
  <c r="M91" i="3"/>
  <c r="N91" i="3"/>
  <c r="O91" i="3"/>
  <c r="P91" i="3"/>
  <c r="Q91" i="3"/>
  <c r="R91" i="3"/>
  <c r="T91" i="3"/>
  <c r="U91" i="3"/>
  <c r="V91" i="3"/>
  <c r="W91" i="3"/>
  <c r="X91" i="3"/>
  <c r="E92" i="3"/>
  <c r="F92" i="3"/>
  <c r="G92" i="3"/>
  <c r="H92" i="3"/>
  <c r="I92" i="3"/>
  <c r="J92" i="3"/>
  <c r="K92" i="3"/>
  <c r="M92" i="3"/>
  <c r="M30" i="3" s="1"/>
  <c r="N92" i="3"/>
  <c r="O92" i="3"/>
  <c r="P92" i="3"/>
  <c r="Q92" i="3"/>
  <c r="R92" i="3"/>
  <c r="T92" i="3"/>
  <c r="U92" i="3"/>
  <c r="V92" i="3"/>
  <c r="W92" i="3"/>
  <c r="X92" i="3"/>
  <c r="E93" i="3"/>
  <c r="F93" i="3"/>
  <c r="G93" i="3"/>
  <c r="H93" i="3"/>
  <c r="I93" i="3"/>
  <c r="J93" i="3"/>
  <c r="K93" i="3"/>
  <c r="M93" i="3"/>
  <c r="N93" i="3"/>
  <c r="O93" i="3"/>
  <c r="P93" i="3"/>
  <c r="Q93" i="3"/>
  <c r="R93" i="3"/>
  <c r="T93" i="3"/>
  <c r="U93" i="3"/>
  <c r="V93" i="3"/>
  <c r="W93" i="3"/>
  <c r="X93" i="3"/>
  <c r="E94" i="3"/>
  <c r="E29" i="3" s="1"/>
  <c r="F94" i="3"/>
  <c r="F29" i="3" s="1"/>
  <c r="G94" i="3"/>
  <c r="G29" i="3" s="1"/>
  <c r="H94" i="3"/>
  <c r="H29" i="3" s="1"/>
  <c r="I94" i="3"/>
  <c r="J94" i="3"/>
  <c r="J29" i="3" s="1"/>
  <c r="K94" i="3"/>
  <c r="K29" i="3" s="1"/>
  <c r="M94" i="3"/>
  <c r="M29" i="3" s="1"/>
  <c r="N94" i="3"/>
  <c r="N29" i="3" s="1"/>
  <c r="O94" i="3"/>
  <c r="O29" i="3" s="1"/>
  <c r="P94" i="3"/>
  <c r="P29" i="3" s="1"/>
  <c r="Q94" i="3"/>
  <c r="Q29" i="3" s="1"/>
  <c r="R94" i="3"/>
  <c r="R29" i="3" s="1"/>
  <c r="T94" i="3"/>
  <c r="T29" i="3" s="1"/>
  <c r="U94" i="3"/>
  <c r="U29" i="3" s="1"/>
  <c r="V94" i="3"/>
  <c r="V29" i="3" s="1"/>
  <c r="W94" i="3"/>
  <c r="W29" i="3" s="1"/>
  <c r="X94" i="3"/>
  <c r="X29" i="3" s="1"/>
  <c r="E95" i="3"/>
  <c r="F95" i="3"/>
  <c r="G95" i="3"/>
  <c r="H95" i="3"/>
  <c r="I95" i="3"/>
  <c r="J95" i="3"/>
  <c r="K95" i="3"/>
  <c r="M95" i="3"/>
  <c r="N95" i="3"/>
  <c r="O95" i="3"/>
  <c r="P95" i="3"/>
  <c r="Q95" i="3"/>
  <c r="R95" i="3"/>
  <c r="T95" i="3"/>
  <c r="U95" i="3"/>
  <c r="V95" i="3"/>
  <c r="W95" i="3"/>
  <c r="X95" i="3"/>
  <c r="E96" i="3"/>
  <c r="F96" i="3"/>
  <c r="G96" i="3"/>
  <c r="H96" i="3"/>
  <c r="I96" i="3"/>
  <c r="J96" i="3"/>
  <c r="K96" i="3"/>
  <c r="M96" i="3"/>
  <c r="N96" i="3"/>
  <c r="O96" i="3"/>
  <c r="P96" i="3"/>
  <c r="Q96" i="3"/>
  <c r="R96" i="3"/>
  <c r="T96" i="3"/>
  <c r="U96" i="3"/>
  <c r="V96" i="3"/>
  <c r="W96" i="3"/>
  <c r="X96" i="3"/>
  <c r="E97" i="3"/>
  <c r="E26" i="3" s="1"/>
  <c r="F97" i="3"/>
  <c r="F26" i="3" s="1"/>
  <c r="G97" i="3"/>
  <c r="G26" i="3" s="1"/>
  <c r="H97" i="3"/>
  <c r="H26" i="3" s="1"/>
  <c r="I97" i="3"/>
  <c r="I26" i="3" s="1"/>
  <c r="J97" i="3"/>
  <c r="J26" i="3" s="1"/>
  <c r="K97" i="3"/>
  <c r="K26" i="3" s="1"/>
  <c r="M97" i="3"/>
  <c r="M26" i="3" s="1"/>
  <c r="N97" i="3"/>
  <c r="N26" i="3" s="1"/>
  <c r="O97" i="3"/>
  <c r="O26" i="3" s="1"/>
  <c r="P97" i="3"/>
  <c r="P26" i="3" s="1"/>
  <c r="Q97" i="3"/>
  <c r="Q26" i="3" s="1"/>
  <c r="R97" i="3"/>
  <c r="R26" i="3" s="1"/>
  <c r="T97" i="3"/>
  <c r="T26" i="3" s="1"/>
  <c r="U97" i="3"/>
  <c r="U26" i="3" s="1"/>
  <c r="V97" i="3"/>
  <c r="V26" i="3" s="1"/>
  <c r="W97" i="3"/>
  <c r="W26" i="3" s="1"/>
  <c r="X97" i="3"/>
  <c r="X26" i="3" s="1"/>
  <c r="E98" i="3"/>
  <c r="F98" i="3"/>
  <c r="G98" i="3"/>
  <c r="H98" i="3"/>
  <c r="I98" i="3"/>
  <c r="J98" i="3"/>
  <c r="K98" i="3"/>
  <c r="M98" i="3"/>
  <c r="N98" i="3"/>
  <c r="O98" i="3"/>
  <c r="P98" i="3"/>
  <c r="Q98" i="3"/>
  <c r="R98" i="3"/>
  <c r="T98" i="3"/>
  <c r="U98" i="3"/>
  <c r="V98" i="3"/>
  <c r="W98" i="3"/>
  <c r="X98" i="3"/>
  <c r="E99" i="3"/>
  <c r="F99" i="3"/>
  <c r="G99" i="3"/>
  <c r="H99" i="3"/>
  <c r="I99" i="3"/>
  <c r="J99" i="3"/>
  <c r="K99" i="3"/>
  <c r="M99" i="3"/>
  <c r="N99" i="3"/>
  <c r="O99" i="3"/>
  <c r="P99" i="3"/>
  <c r="Q99" i="3"/>
  <c r="R99" i="3"/>
  <c r="T99" i="3"/>
  <c r="U99" i="3"/>
  <c r="V99" i="3"/>
  <c r="W99" i="3"/>
  <c r="X99" i="3"/>
  <c r="E100" i="3"/>
  <c r="F100" i="3"/>
  <c r="G100" i="3"/>
  <c r="H100" i="3"/>
  <c r="I100" i="3"/>
  <c r="J100" i="3"/>
  <c r="K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E101" i="3"/>
  <c r="E25" i="3" s="1"/>
  <c r="F101" i="3"/>
  <c r="F25" i="3" s="1"/>
  <c r="G101" i="3"/>
  <c r="G25" i="3" s="1"/>
  <c r="H101" i="3"/>
  <c r="H25" i="3" s="1"/>
  <c r="I101" i="3"/>
  <c r="I25" i="3" s="1"/>
  <c r="J101" i="3"/>
  <c r="J25" i="3" s="1"/>
  <c r="K101" i="3"/>
  <c r="K25" i="3" s="1"/>
  <c r="M101" i="3"/>
  <c r="M25" i="3" s="1"/>
  <c r="N101" i="3"/>
  <c r="N25" i="3" s="1"/>
  <c r="O101" i="3"/>
  <c r="O25" i="3" s="1"/>
  <c r="P101" i="3"/>
  <c r="P25" i="3" s="1"/>
  <c r="Q101" i="3"/>
  <c r="Q25" i="3" s="1"/>
  <c r="R101" i="3"/>
  <c r="R25" i="3" s="1"/>
  <c r="S101" i="3"/>
  <c r="T101" i="3"/>
  <c r="T25" i="3" s="1"/>
  <c r="U101" i="3"/>
  <c r="U25" i="3" s="1"/>
  <c r="V101" i="3"/>
  <c r="V25" i="3" s="1"/>
  <c r="W101" i="3"/>
  <c r="W25" i="3" s="1"/>
  <c r="X101" i="3"/>
  <c r="X25" i="3" s="1"/>
  <c r="E102" i="3"/>
  <c r="F102" i="3"/>
  <c r="G102" i="3"/>
  <c r="H102" i="3"/>
  <c r="I102" i="3"/>
  <c r="J102" i="3"/>
  <c r="K102" i="3"/>
  <c r="M102" i="3"/>
  <c r="N102" i="3"/>
  <c r="O102" i="3"/>
  <c r="P102" i="3"/>
  <c r="Q102" i="3"/>
  <c r="R102" i="3"/>
  <c r="T102" i="3"/>
  <c r="U102" i="3"/>
  <c r="V102" i="3"/>
  <c r="W102" i="3"/>
  <c r="X102" i="3"/>
  <c r="E103" i="3"/>
  <c r="E32" i="3" s="1"/>
  <c r="F103" i="3"/>
  <c r="F32" i="3" s="1"/>
  <c r="G103" i="3"/>
  <c r="G32" i="3" s="1"/>
  <c r="H103" i="3"/>
  <c r="H32" i="3" s="1"/>
  <c r="I103" i="3"/>
  <c r="I32" i="3" s="1"/>
  <c r="J103" i="3"/>
  <c r="J32" i="3" s="1"/>
  <c r="K103" i="3"/>
  <c r="K32" i="3" s="1"/>
  <c r="M103" i="3"/>
  <c r="M32" i="3" s="1"/>
  <c r="N103" i="3"/>
  <c r="N32" i="3" s="1"/>
  <c r="O103" i="3"/>
  <c r="O32" i="3" s="1"/>
  <c r="P103" i="3"/>
  <c r="P32" i="3" s="1"/>
  <c r="Q103" i="3"/>
  <c r="Q32" i="3" s="1"/>
  <c r="R103" i="3"/>
  <c r="R32" i="3" s="1"/>
  <c r="T103" i="3"/>
  <c r="T32" i="3" s="1"/>
  <c r="U103" i="3"/>
  <c r="U32" i="3" s="1"/>
  <c r="V103" i="3"/>
  <c r="V32" i="3" s="1"/>
  <c r="W103" i="3"/>
  <c r="W32" i="3" s="1"/>
  <c r="X103" i="3"/>
  <c r="X32" i="3" s="1"/>
  <c r="E104" i="3"/>
  <c r="E33" i="3" s="1"/>
  <c r="F104" i="3"/>
  <c r="F33" i="3" s="1"/>
  <c r="G104" i="3"/>
  <c r="G33" i="3" s="1"/>
  <c r="H104" i="3"/>
  <c r="H33" i="3" s="1"/>
  <c r="I104" i="3"/>
  <c r="J104" i="3"/>
  <c r="J33" i="3" s="1"/>
  <c r="K104" i="3"/>
  <c r="K33" i="3" s="1"/>
  <c r="M104" i="3"/>
  <c r="M33" i="3" s="1"/>
  <c r="N104" i="3"/>
  <c r="N33" i="3" s="1"/>
  <c r="O104" i="3"/>
  <c r="O33" i="3" s="1"/>
  <c r="P104" i="3"/>
  <c r="P33" i="3" s="1"/>
  <c r="Q104" i="3"/>
  <c r="Q33" i="3" s="1"/>
  <c r="R104" i="3"/>
  <c r="R33" i="3" s="1"/>
  <c r="T104" i="3"/>
  <c r="T33" i="3" s="1"/>
  <c r="U104" i="3"/>
  <c r="U33" i="3" s="1"/>
  <c r="V104" i="3"/>
  <c r="V33" i="3" s="1"/>
  <c r="W104" i="3"/>
  <c r="W33" i="3" s="1"/>
  <c r="X104" i="3"/>
  <c r="X33" i="3" s="1"/>
  <c r="E105" i="3"/>
  <c r="F105" i="3"/>
  <c r="G105" i="3"/>
  <c r="H105" i="3"/>
  <c r="I105" i="3"/>
  <c r="J105" i="3"/>
  <c r="K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E106" i="3"/>
  <c r="E27" i="3" s="1"/>
  <c r="F106" i="3"/>
  <c r="F27" i="3" s="1"/>
  <c r="G106" i="3"/>
  <c r="G27" i="3" s="1"/>
  <c r="H106" i="3"/>
  <c r="H27" i="3" s="1"/>
  <c r="I106" i="3"/>
  <c r="J106" i="3"/>
  <c r="J27" i="3" s="1"/>
  <c r="K106" i="3"/>
  <c r="K27" i="3" s="1"/>
  <c r="M106" i="3"/>
  <c r="M27" i="3" s="1"/>
  <c r="N106" i="3"/>
  <c r="N27" i="3" s="1"/>
  <c r="O106" i="3"/>
  <c r="O27" i="3" s="1"/>
  <c r="P106" i="3"/>
  <c r="P27" i="3" s="1"/>
  <c r="Q106" i="3"/>
  <c r="Q27" i="3" s="1"/>
  <c r="R106" i="3"/>
  <c r="R27" i="3" s="1"/>
  <c r="S106" i="3"/>
  <c r="T106" i="3"/>
  <c r="T27" i="3" s="1"/>
  <c r="U106" i="3"/>
  <c r="U27" i="3" s="1"/>
  <c r="V106" i="3"/>
  <c r="V27" i="3" s="1"/>
  <c r="W106" i="3"/>
  <c r="W27" i="3" s="1"/>
  <c r="X106" i="3"/>
  <c r="X27" i="3" s="1"/>
  <c r="E108" i="3"/>
  <c r="F108" i="3"/>
  <c r="G108" i="3"/>
  <c r="H108" i="3"/>
  <c r="I108" i="3"/>
  <c r="J108" i="3"/>
  <c r="K108" i="3"/>
  <c r="M108" i="3"/>
  <c r="N108" i="3"/>
  <c r="O108" i="3"/>
  <c r="P108" i="3"/>
  <c r="Q108" i="3"/>
  <c r="R108" i="3"/>
  <c r="T108" i="3"/>
  <c r="U108" i="3"/>
  <c r="V108" i="3"/>
  <c r="W108" i="3"/>
  <c r="X108" i="3"/>
  <c r="E109" i="3"/>
  <c r="F109" i="3"/>
  <c r="G109" i="3"/>
  <c r="H109" i="3"/>
  <c r="I109" i="3"/>
  <c r="J109" i="3"/>
  <c r="K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E110" i="3"/>
  <c r="F110" i="3"/>
  <c r="G110" i="3"/>
  <c r="H110" i="3"/>
  <c r="I110" i="3"/>
  <c r="J110" i="3"/>
  <c r="K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E111" i="3"/>
  <c r="F111" i="3"/>
  <c r="G111" i="3"/>
  <c r="H111" i="3"/>
  <c r="I111" i="3"/>
  <c r="J111" i="3"/>
  <c r="K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E112" i="3"/>
  <c r="F112" i="3"/>
  <c r="G112" i="3"/>
  <c r="H112" i="3"/>
  <c r="I112" i="3"/>
  <c r="J112" i="3"/>
  <c r="K112" i="3"/>
  <c r="M112" i="3"/>
  <c r="N112" i="3"/>
  <c r="O112" i="3"/>
  <c r="P112" i="3"/>
  <c r="Q112" i="3"/>
  <c r="R112" i="3"/>
  <c r="T112" i="3"/>
  <c r="U112" i="3"/>
  <c r="V112" i="3"/>
  <c r="W112" i="3"/>
  <c r="X112" i="3"/>
  <c r="E113" i="3"/>
  <c r="F113" i="3"/>
  <c r="G113" i="3"/>
  <c r="H113" i="3"/>
  <c r="I113" i="3"/>
  <c r="J113" i="3"/>
  <c r="K113" i="3"/>
  <c r="M113" i="3"/>
  <c r="N113" i="3"/>
  <c r="O113" i="3"/>
  <c r="P113" i="3"/>
  <c r="Q113" i="3"/>
  <c r="R113" i="3"/>
  <c r="T113" i="3"/>
  <c r="U113" i="3"/>
  <c r="V113" i="3"/>
  <c r="W113" i="3"/>
  <c r="X113" i="3"/>
  <c r="E114" i="3"/>
  <c r="F114" i="3"/>
  <c r="G114" i="3"/>
  <c r="H114" i="3"/>
  <c r="I114" i="3"/>
  <c r="J114" i="3"/>
  <c r="K114" i="3"/>
  <c r="M114" i="3"/>
  <c r="N114" i="3"/>
  <c r="O114" i="3"/>
  <c r="P114" i="3"/>
  <c r="Q114" i="3"/>
  <c r="R114" i="3"/>
  <c r="T114" i="3"/>
  <c r="U114" i="3"/>
  <c r="V114" i="3"/>
  <c r="W114" i="3"/>
  <c r="X114" i="3"/>
  <c r="E115" i="3"/>
  <c r="F115" i="3"/>
  <c r="G115" i="3"/>
  <c r="H115" i="3"/>
  <c r="I115" i="3"/>
  <c r="J115" i="3"/>
  <c r="K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E122" i="3"/>
  <c r="F122" i="3"/>
  <c r="G122" i="3"/>
  <c r="H122" i="3"/>
  <c r="I122" i="3"/>
  <c r="J122" i="3"/>
  <c r="K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E123" i="3"/>
  <c r="F123" i="3"/>
  <c r="G123" i="3"/>
  <c r="H123" i="3"/>
  <c r="I123" i="3"/>
  <c r="J123" i="3"/>
  <c r="K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E124" i="3"/>
  <c r="F124" i="3"/>
  <c r="G124" i="3"/>
  <c r="H124" i="3"/>
  <c r="I124" i="3"/>
  <c r="J124" i="3"/>
  <c r="K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E125" i="3"/>
  <c r="F125" i="3"/>
  <c r="G125" i="3"/>
  <c r="H125" i="3"/>
  <c r="I125" i="3"/>
  <c r="J125" i="3"/>
  <c r="K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E126" i="3"/>
  <c r="F126" i="3"/>
  <c r="G126" i="3"/>
  <c r="H126" i="3"/>
  <c r="I126" i="3"/>
  <c r="J126" i="3"/>
  <c r="K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E127" i="3"/>
  <c r="F127" i="3"/>
  <c r="G127" i="3"/>
  <c r="H127" i="3"/>
  <c r="I127" i="3"/>
  <c r="J127" i="3"/>
  <c r="K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E128" i="3"/>
  <c r="F128" i="3"/>
  <c r="G128" i="3"/>
  <c r="H128" i="3"/>
  <c r="I128" i="3"/>
  <c r="J128" i="3"/>
  <c r="K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E129" i="3"/>
  <c r="F129" i="3"/>
  <c r="G129" i="3"/>
  <c r="H129" i="3"/>
  <c r="I129" i="3"/>
  <c r="J129" i="3"/>
  <c r="K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E130" i="3"/>
  <c r="F130" i="3"/>
  <c r="G130" i="3"/>
  <c r="H130" i="3"/>
  <c r="I130" i="3"/>
  <c r="J130" i="3"/>
  <c r="K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E131" i="3"/>
  <c r="F131" i="3"/>
  <c r="G131" i="3"/>
  <c r="H131" i="3"/>
  <c r="I131" i="3"/>
  <c r="J131" i="3"/>
  <c r="K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E132" i="3"/>
  <c r="F132" i="3"/>
  <c r="G132" i="3"/>
  <c r="H132" i="3"/>
  <c r="I132" i="3"/>
  <c r="J132" i="3"/>
  <c r="K132" i="3"/>
  <c r="M132" i="3"/>
  <c r="N132" i="3"/>
  <c r="O132" i="3"/>
  <c r="P132" i="3"/>
  <c r="Q132" i="3"/>
  <c r="R132" i="3"/>
  <c r="T132" i="3"/>
  <c r="U132" i="3"/>
  <c r="V132" i="3"/>
  <c r="W132" i="3"/>
  <c r="X132" i="3"/>
  <c r="E133" i="3"/>
  <c r="F133" i="3"/>
  <c r="G133" i="3"/>
  <c r="H133" i="3"/>
  <c r="I133" i="3"/>
  <c r="J133" i="3"/>
  <c r="K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Z133" i="3"/>
  <c r="E134" i="3"/>
  <c r="F134" i="3"/>
  <c r="G134" i="3"/>
  <c r="H134" i="3"/>
  <c r="I134" i="3"/>
  <c r="J134" i="3"/>
  <c r="K134" i="3"/>
  <c r="M134" i="3"/>
  <c r="N134" i="3"/>
  <c r="O134" i="3"/>
  <c r="P134" i="3"/>
  <c r="Q134" i="3"/>
  <c r="R134" i="3"/>
  <c r="T134" i="3"/>
  <c r="U134" i="3"/>
  <c r="V134" i="3"/>
  <c r="W134" i="3"/>
  <c r="X134" i="3"/>
  <c r="E135" i="3"/>
  <c r="F135" i="3"/>
  <c r="G135" i="3"/>
  <c r="H135" i="3"/>
  <c r="I135" i="3"/>
  <c r="J135" i="3"/>
  <c r="K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E136" i="3"/>
  <c r="F136" i="3"/>
  <c r="G136" i="3"/>
  <c r="H136" i="3"/>
  <c r="I136" i="3"/>
  <c r="J136" i="3"/>
  <c r="K136" i="3"/>
  <c r="M136" i="3"/>
  <c r="N136" i="3"/>
  <c r="O136" i="3"/>
  <c r="P136" i="3"/>
  <c r="Q136" i="3"/>
  <c r="R136" i="3"/>
  <c r="T136" i="3"/>
  <c r="U136" i="3"/>
  <c r="V136" i="3"/>
  <c r="W136" i="3"/>
  <c r="X136" i="3"/>
  <c r="E137" i="3"/>
  <c r="F137" i="3"/>
  <c r="G137" i="3"/>
  <c r="H137" i="3"/>
  <c r="I137" i="3"/>
  <c r="J137" i="3"/>
  <c r="K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E138" i="3"/>
  <c r="F138" i="3"/>
  <c r="G138" i="3"/>
  <c r="H138" i="3"/>
  <c r="I138" i="3"/>
  <c r="J138" i="3"/>
  <c r="K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E139" i="3"/>
  <c r="F139" i="3"/>
  <c r="G139" i="3"/>
  <c r="H139" i="3"/>
  <c r="I139" i="3"/>
  <c r="J139" i="3"/>
  <c r="K139" i="3"/>
  <c r="M139" i="3"/>
  <c r="N139" i="3"/>
  <c r="O139" i="3"/>
  <c r="P139" i="3"/>
  <c r="Q139" i="3"/>
  <c r="R139" i="3"/>
  <c r="T139" i="3"/>
  <c r="U139" i="3"/>
  <c r="V139" i="3"/>
  <c r="W139" i="3"/>
  <c r="X139" i="3"/>
  <c r="E140" i="3"/>
  <c r="F140" i="3"/>
  <c r="G140" i="3"/>
  <c r="H140" i="3"/>
  <c r="I140" i="3"/>
  <c r="J140" i="3"/>
  <c r="K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E141" i="3"/>
  <c r="F141" i="3"/>
  <c r="G141" i="3"/>
  <c r="H141" i="3"/>
  <c r="I141" i="3"/>
  <c r="J141" i="3"/>
  <c r="K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E142" i="3"/>
  <c r="F142" i="3"/>
  <c r="G142" i="3"/>
  <c r="H142" i="3"/>
  <c r="I142" i="3"/>
  <c r="J142" i="3"/>
  <c r="K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E143" i="3"/>
  <c r="F143" i="3"/>
  <c r="G143" i="3"/>
  <c r="H143" i="3"/>
  <c r="I143" i="3"/>
  <c r="J143" i="3"/>
  <c r="K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E144" i="3"/>
  <c r="F144" i="3"/>
  <c r="G144" i="3"/>
  <c r="H144" i="3"/>
  <c r="I144" i="3"/>
  <c r="J144" i="3"/>
  <c r="K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E145" i="3"/>
  <c r="F145" i="3"/>
  <c r="G145" i="3"/>
  <c r="H145" i="3"/>
  <c r="I145" i="3"/>
  <c r="J145" i="3"/>
  <c r="K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E146" i="3"/>
  <c r="F146" i="3"/>
  <c r="G146" i="3"/>
  <c r="H146" i="3"/>
  <c r="I146" i="3"/>
  <c r="J146" i="3"/>
  <c r="K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E147" i="3"/>
  <c r="F147" i="3"/>
  <c r="G147" i="3"/>
  <c r="H147" i="3"/>
  <c r="I147" i="3"/>
  <c r="J147" i="3"/>
  <c r="K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E148" i="3"/>
  <c r="F148" i="3"/>
  <c r="G148" i="3"/>
  <c r="H148" i="3"/>
  <c r="I148" i="3"/>
  <c r="J148" i="3"/>
  <c r="K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E149" i="3"/>
  <c r="E120" i="3" s="1"/>
  <c r="F149" i="3"/>
  <c r="F120" i="3" s="1"/>
  <c r="G149" i="3"/>
  <c r="G120" i="3" s="1"/>
  <c r="H149" i="3"/>
  <c r="H120" i="3" s="1"/>
  <c r="I149" i="3"/>
  <c r="I120" i="3" s="1"/>
  <c r="J149" i="3"/>
  <c r="J120" i="3" s="1"/>
  <c r="K149" i="3"/>
  <c r="K120" i="3" s="1"/>
  <c r="M149" i="3"/>
  <c r="M120" i="3" s="1"/>
  <c r="N149" i="3"/>
  <c r="N120" i="3" s="1"/>
  <c r="O149" i="3"/>
  <c r="O120" i="3" s="1"/>
  <c r="P149" i="3"/>
  <c r="P120" i="3" s="1"/>
  <c r="Q149" i="3"/>
  <c r="Q120" i="3" s="1"/>
  <c r="R149" i="3"/>
  <c r="R120" i="3" s="1"/>
  <c r="S149" i="3"/>
  <c r="T149" i="3"/>
  <c r="T120" i="3" s="1"/>
  <c r="U149" i="3"/>
  <c r="U120" i="3" s="1"/>
  <c r="V149" i="3"/>
  <c r="V120" i="3" s="1"/>
  <c r="W149" i="3"/>
  <c r="W120" i="3" s="1"/>
  <c r="X149" i="3"/>
  <c r="X120" i="3" s="1"/>
  <c r="E150" i="3"/>
  <c r="F150" i="3"/>
  <c r="G150" i="3"/>
  <c r="H150" i="3"/>
  <c r="I150" i="3"/>
  <c r="J150" i="3"/>
  <c r="K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E151" i="3"/>
  <c r="F151" i="3"/>
  <c r="G151" i="3"/>
  <c r="H151" i="3"/>
  <c r="I151" i="3"/>
  <c r="J151" i="3"/>
  <c r="K151" i="3"/>
  <c r="M151" i="3"/>
  <c r="N151" i="3"/>
  <c r="O151" i="3"/>
  <c r="P151" i="3"/>
  <c r="Q151" i="3"/>
  <c r="R151" i="3"/>
  <c r="T151" i="3"/>
  <c r="U151" i="3"/>
  <c r="V151" i="3"/>
  <c r="W151" i="3"/>
  <c r="X151" i="3"/>
  <c r="E152" i="3"/>
  <c r="E121" i="3" s="1"/>
  <c r="F152" i="3"/>
  <c r="F121" i="3" s="1"/>
  <c r="G152" i="3"/>
  <c r="G121" i="3" s="1"/>
  <c r="H152" i="3"/>
  <c r="H121" i="3" s="1"/>
  <c r="I152" i="3"/>
  <c r="J152" i="3"/>
  <c r="J121" i="3" s="1"/>
  <c r="K152" i="3"/>
  <c r="K121" i="3" s="1"/>
  <c r="M152" i="3"/>
  <c r="M121" i="3" s="1"/>
  <c r="N152" i="3"/>
  <c r="N121" i="3" s="1"/>
  <c r="O152" i="3"/>
  <c r="O121" i="3" s="1"/>
  <c r="P152" i="3"/>
  <c r="P121" i="3" s="1"/>
  <c r="Q152" i="3"/>
  <c r="Q121" i="3" s="1"/>
  <c r="R152" i="3"/>
  <c r="R121" i="3" s="1"/>
  <c r="T152" i="3"/>
  <c r="T121" i="3" s="1"/>
  <c r="U152" i="3"/>
  <c r="U121" i="3" s="1"/>
  <c r="V152" i="3"/>
  <c r="V121" i="3" s="1"/>
  <c r="W152" i="3"/>
  <c r="W121" i="3" s="1"/>
  <c r="X152" i="3"/>
  <c r="X121" i="3" s="1"/>
  <c r="E153" i="3"/>
  <c r="F153" i="3"/>
  <c r="G153" i="3"/>
  <c r="H153" i="3"/>
  <c r="I153" i="3"/>
  <c r="J153" i="3"/>
  <c r="K153" i="3"/>
  <c r="N153" i="3"/>
  <c r="O153" i="3"/>
  <c r="P153" i="3"/>
  <c r="Q153" i="3"/>
  <c r="R153" i="3"/>
  <c r="T153" i="3"/>
  <c r="U153" i="3"/>
  <c r="V153" i="3"/>
  <c r="W153" i="3"/>
  <c r="X153" i="3"/>
  <c r="E154" i="3"/>
  <c r="F154" i="3"/>
  <c r="G154" i="3"/>
  <c r="H154" i="3"/>
  <c r="I154" i="3"/>
  <c r="J154" i="3"/>
  <c r="K154" i="3"/>
  <c r="M154" i="3"/>
  <c r="N154" i="3"/>
  <c r="O154" i="3"/>
  <c r="P154" i="3"/>
  <c r="Q154" i="3"/>
  <c r="R154" i="3"/>
  <c r="T154" i="3"/>
  <c r="U154" i="3"/>
  <c r="V154" i="3"/>
  <c r="W154" i="3"/>
  <c r="X154" i="3"/>
  <c r="E155" i="3"/>
  <c r="F155" i="3"/>
  <c r="G155" i="3"/>
  <c r="H155" i="3"/>
  <c r="I155" i="3"/>
  <c r="J155" i="3"/>
  <c r="K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E156" i="3"/>
  <c r="F156" i="3"/>
  <c r="G156" i="3"/>
  <c r="H156" i="3"/>
  <c r="I156" i="3"/>
  <c r="J156" i="3"/>
  <c r="K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E157" i="3"/>
  <c r="E118" i="3" s="1"/>
  <c r="F157" i="3"/>
  <c r="F118" i="3" s="1"/>
  <c r="G157" i="3"/>
  <c r="G118" i="3" s="1"/>
  <c r="H157" i="3"/>
  <c r="H118" i="3" s="1"/>
  <c r="I157" i="3"/>
  <c r="I118" i="3" s="1"/>
  <c r="J157" i="3"/>
  <c r="J118" i="3" s="1"/>
  <c r="K157" i="3"/>
  <c r="K118" i="3" s="1"/>
  <c r="M157" i="3"/>
  <c r="M118" i="3" s="1"/>
  <c r="N157" i="3"/>
  <c r="N118" i="3" s="1"/>
  <c r="O157" i="3"/>
  <c r="O118" i="3" s="1"/>
  <c r="P157" i="3"/>
  <c r="P118" i="3" s="1"/>
  <c r="Q157" i="3"/>
  <c r="Q118" i="3" s="1"/>
  <c r="R157" i="3"/>
  <c r="R118" i="3" s="1"/>
  <c r="S157" i="3"/>
  <c r="T157" i="3"/>
  <c r="T118" i="3" s="1"/>
  <c r="U157" i="3"/>
  <c r="U118" i="3" s="1"/>
  <c r="V157" i="3"/>
  <c r="V118" i="3" s="1"/>
  <c r="W157" i="3"/>
  <c r="W118" i="3" s="1"/>
  <c r="X157" i="3"/>
  <c r="X118" i="3" s="1"/>
  <c r="E158" i="3"/>
  <c r="E119" i="3" s="1"/>
  <c r="F158" i="3"/>
  <c r="F119" i="3" s="1"/>
  <c r="G158" i="3"/>
  <c r="G119" i="3" s="1"/>
  <c r="H158" i="3"/>
  <c r="H119" i="3" s="1"/>
  <c r="I158" i="3"/>
  <c r="J158" i="3"/>
  <c r="J119" i="3" s="1"/>
  <c r="K158" i="3"/>
  <c r="K119" i="3" s="1"/>
  <c r="M158" i="3"/>
  <c r="M119" i="3" s="1"/>
  <c r="N158" i="3"/>
  <c r="N119" i="3" s="1"/>
  <c r="O158" i="3"/>
  <c r="O119" i="3" s="1"/>
  <c r="P158" i="3"/>
  <c r="P119" i="3" s="1"/>
  <c r="Q158" i="3"/>
  <c r="Q119" i="3" s="1"/>
  <c r="R158" i="3"/>
  <c r="R119" i="3" s="1"/>
  <c r="S158" i="3"/>
  <c r="T158" i="3"/>
  <c r="T119" i="3" s="1"/>
  <c r="U158" i="3"/>
  <c r="U119" i="3" s="1"/>
  <c r="V158" i="3"/>
  <c r="V119" i="3" s="1"/>
  <c r="W158" i="3"/>
  <c r="W119" i="3" s="1"/>
  <c r="X158" i="3"/>
  <c r="X119" i="3" s="1"/>
  <c r="E160" i="3"/>
  <c r="F160" i="3"/>
  <c r="G160" i="3"/>
  <c r="H160" i="3"/>
  <c r="I160" i="3"/>
  <c r="J160" i="3"/>
  <c r="K160" i="3"/>
  <c r="M160" i="3"/>
  <c r="N160" i="3"/>
  <c r="O160" i="3"/>
  <c r="P160" i="3"/>
  <c r="Q160" i="3"/>
  <c r="R160" i="3"/>
  <c r="T160" i="3"/>
  <c r="U160" i="3"/>
  <c r="V160" i="3"/>
  <c r="W160" i="3"/>
  <c r="X160" i="3"/>
  <c r="E161" i="3"/>
  <c r="F161" i="3"/>
  <c r="G161" i="3"/>
  <c r="H161" i="3"/>
  <c r="I161" i="3"/>
  <c r="J161" i="3"/>
  <c r="K161" i="3"/>
  <c r="M161" i="3"/>
  <c r="N161" i="3"/>
  <c r="O161" i="3"/>
  <c r="P161" i="3"/>
  <c r="Q161" i="3"/>
  <c r="R161" i="3"/>
  <c r="T161" i="3"/>
  <c r="U161" i="3"/>
  <c r="V161" i="3"/>
  <c r="W161" i="3"/>
  <c r="X161" i="3"/>
  <c r="E162" i="3"/>
  <c r="F162" i="3"/>
  <c r="G162" i="3"/>
  <c r="H162" i="3"/>
  <c r="I162" i="3"/>
  <c r="J162" i="3"/>
  <c r="K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E163" i="3"/>
  <c r="F163" i="3"/>
  <c r="G163" i="3"/>
  <c r="H163" i="3"/>
  <c r="I163" i="3"/>
  <c r="J163" i="3"/>
  <c r="K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E164" i="3"/>
  <c r="F164" i="3"/>
  <c r="G164" i="3"/>
  <c r="H164" i="3"/>
  <c r="I164" i="3"/>
  <c r="J164" i="3"/>
  <c r="K164" i="3"/>
  <c r="M164" i="3"/>
  <c r="N164" i="3"/>
  <c r="O164" i="3"/>
  <c r="P164" i="3"/>
  <c r="Q164" i="3"/>
  <c r="R164" i="3"/>
  <c r="T164" i="3"/>
  <c r="U164" i="3"/>
  <c r="V164" i="3"/>
  <c r="W164" i="3"/>
  <c r="X164" i="3"/>
  <c r="E165" i="3"/>
  <c r="F165" i="3"/>
  <c r="G165" i="3"/>
  <c r="H165" i="3"/>
  <c r="I165" i="3"/>
  <c r="J165" i="3"/>
  <c r="K165" i="3"/>
  <c r="M165" i="3"/>
  <c r="N165" i="3"/>
  <c r="O165" i="3"/>
  <c r="P165" i="3"/>
  <c r="Q165" i="3"/>
  <c r="R165" i="3"/>
  <c r="T165" i="3"/>
  <c r="U165" i="3"/>
  <c r="V165" i="3"/>
  <c r="W165" i="3"/>
  <c r="X165" i="3"/>
  <c r="E167" i="3"/>
  <c r="F167" i="3"/>
  <c r="G167" i="3"/>
  <c r="H167" i="3"/>
  <c r="I167" i="3"/>
  <c r="J167" i="3"/>
  <c r="K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E168" i="3"/>
  <c r="F168" i="3"/>
  <c r="G168" i="3"/>
  <c r="H168" i="3"/>
  <c r="I168" i="3"/>
  <c r="J168" i="3"/>
  <c r="K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E169" i="3"/>
  <c r="F169" i="3"/>
  <c r="G169" i="3"/>
  <c r="H169" i="3"/>
  <c r="I169" i="3"/>
  <c r="J169" i="3"/>
  <c r="K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E170" i="3"/>
  <c r="F170" i="3"/>
  <c r="G170" i="3"/>
  <c r="H170" i="3"/>
  <c r="I170" i="3"/>
  <c r="J170" i="3"/>
  <c r="K170" i="3"/>
  <c r="M170" i="3"/>
  <c r="N170" i="3"/>
  <c r="O170" i="3"/>
  <c r="P170" i="3"/>
  <c r="Q170" i="3"/>
  <c r="R170" i="3"/>
  <c r="U170" i="3"/>
  <c r="V170" i="3"/>
  <c r="W170" i="3"/>
  <c r="X170" i="3"/>
  <c r="E171" i="3"/>
  <c r="F171" i="3"/>
  <c r="G171" i="3"/>
  <c r="H171" i="3"/>
  <c r="I171" i="3"/>
  <c r="J171" i="3"/>
  <c r="K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E172" i="3"/>
  <c r="F172" i="3"/>
  <c r="G172" i="3"/>
  <c r="H172" i="3"/>
  <c r="I172" i="3"/>
  <c r="J172" i="3"/>
  <c r="K172" i="3"/>
  <c r="M172" i="3"/>
  <c r="N172" i="3"/>
  <c r="O172" i="3"/>
  <c r="P172" i="3"/>
  <c r="Q172" i="3"/>
  <c r="R172" i="3"/>
  <c r="T172" i="3"/>
  <c r="U172" i="3"/>
  <c r="V172" i="3"/>
  <c r="W172" i="3"/>
  <c r="X172" i="3"/>
  <c r="E173" i="3"/>
  <c r="F173" i="3"/>
  <c r="G173" i="3"/>
  <c r="H173" i="3"/>
  <c r="I173" i="3"/>
  <c r="J173" i="3"/>
  <c r="K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E179" i="3"/>
  <c r="F179" i="3"/>
  <c r="G179" i="3"/>
  <c r="H179" i="3"/>
  <c r="I179" i="3"/>
  <c r="J179" i="3"/>
  <c r="K179" i="3"/>
  <c r="M179" i="3"/>
  <c r="N179" i="3"/>
  <c r="O179" i="3"/>
  <c r="P179" i="3"/>
  <c r="Q179" i="3"/>
  <c r="R179" i="3"/>
  <c r="T179" i="3"/>
  <c r="U179" i="3"/>
  <c r="V179" i="3"/>
  <c r="W179" i="3"/>
  <c r="X179" i="3"/>
  <c r="E180" i="3"/>
  <c r="F180" i="3"/>
  <c r="G180" i="3"/>
  <c r="H180" i="3"/>
  <c r="I180" i="3"/>
  <c r="J180" i="3"/>
  <c r="K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E181" i="3"/>
  <c r="F181" i="3"/>
  <c r="G181" i="3"/>
  <c r="H181" i="3"/>
  <c r="I181" i="3"/>
  <c r="J181" i="3"/>
  <c r="K181" i="3"/>
  <c r="M181" i="3"/>
  <c r="N181" i="3"/>
  <c r="O181" i="3"/>
  <c r="P181" i="3"/>
  <c r="Q181" i="3"/>
  <c r="R181" i="3"/>
  <c r="T181" i="3"/>
  <c r="U181" i="3"/>
  <c r="V181" i="3"/>
  <c r="W181" i="3"/>
  <c r="X181" i="3"/>
  <c r="E182" i="3"/>
  <c r="F182" i="3"/>
  <c r="G182" i="3"/>
  <c r="H182" i="3"/>
  <c r="I182" i="3"/>
  <c r="J182" i="3"/>
  <c r="K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E183" i="3"/>
  <c r="F183" i="3"/>
  <c r="G183" i="3"/>
  <c r="H183" i="3"/>
  <c r="I183" i="3"/>
  <c r="J183" i="3"/>
  <c r="K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E184" i="3"/>
  <c r="F184" i="3"/>
  <c r="G184" i="3"/>
  <c r="H184" i="3"/>
  <c r="I184" i="3"/>
  <c r="J184" i="3"/>
  <c r="K184" i="3"/>
  <c r="M184" i="3"/>
  <c r="N184" i="3"/>
  <c r="O184" i="3"/>
  <c r="P184" i="3"/>
  <c r="Q184" i="3"/>
  <c r="R184" i="3"/>
  <c r="T184" i="3"/>
  <c r="U184" i="3"/>
  <c r="V184" i="3"/>
  <c r="W184" i="3"/>
  <c r="X184" i="3"/>
  <c r="E185" i="3"/>
  <c r="F185" i="3"/>
  <c r="G185" i="3"/>
  <c r="H185" i="3"/>
  <c r="I185" i="3"/>
  <c r="J185" i="3"/>
  <c r="K185" i="3"/>
  <c r="M185" i="3"/>
  <c r="N185" i="3"/>
  <c r="O185" i="3"/>
  <c r="P185" i="3"/>
  <c r="Q185" i="3"/>
  <c r="R185" i="3"/>
  <c r="T185" i="3"/>
  <c r="U185" i="3"/>
  <c r="V185" i="3"/>
  <c r="W185" i="3"/>
  <c r="X185" i="3"/>
  <c r="E186" i="3"/>
  <c r="F186" i="3"/>
  <c r="G186" i="3"/>
  <c r="H186" i="3"/>
  <c r="I186" i="3"/>
  <c r="J186" i="3"/>
  <c r="K186" i="3"/>
  <c r="M186" i="3"/>
  <c r="N186" i="3"/>
  <c r="O186" i="3"/>
  <c r="P186" i="3"/>
  <c r="Q186" i="3"/>
  <c r="R186" i="3"/>
  <c r="T186" i="3"/>
  <c r="U186" i="3"/>
  <c r="V186" i="3"/>
  <c r="W186" i="3"/>
  <c r="X186" i="3"/>
  <c r="E187" i="3"/>
  <c r="F187" i="3"/>
  <c r="G187" i="3"/>
  <c r="H187" i="3"/>
  <c r="I187" i="3"/>
  <c r="J187" i="3"/>
  <c r="K187" i="3"/>
  <c r="M187" i="3"/>
  <c r="N187" i="3"/>
  <c r="O187" i="3"/>
  <c r="P187" i="3"/>
  <c r="Q187" i="3"/>
  <c r="R187" i="3"/>
  <c r="T187" i="3"/>
  <c r="U187" i="3"/>
  <c r="V187" i="3"/>
  <c r="W187" i="3"/>
  <c r="X187" i="3"/>
  <c r="E188" i="3"/>
  <c r="F188" i="3"/>
  <c r="G188" i="3"/>
  <c r="H188" i="3"/>
  <c r="I188" i="3"/>
  <c r="J188" i="3"/>
  <c r="K188" i="3"/>
  <c r="M188" i="3"/>
  <c r="N188" i="3"/>
  <c r="O188" i="3"/>
  <c r="P188" i="3"/>
  <c r="Q188" i="3"/>
  <c r="R188" i="3"/>
  <c r="T188" i="3"/>
  <c r="U188" i="3"/>
  <c r="V188" i="3"/>
  <c r="W188" i="3"/>
  <c r="X188" i="3"/>
  <c r="E189" i="3"/>
  <c r="E177" i="3" s="1"/>
  <c r="F189" i="3"/>
  <c r="F177" i="3" s="1"/>
  <c r="G189" i="3"/>
  <c r="G177" i="3" s="1"/>
  <c r="H189" i="3"/>
  <c r="H177" i="3" s="1"/>
  <c r="I189" i="3"/>
  <c r="I177" i="3" s="1"/>
  <c r="J189" i="3"/>
  <c r="J177" i="3" s="1"/>
  <c r="K189" i="3"/>
  <c r="K177" i="3" s="1"/>
  <c r="M189" i="3"/>
  <c r="M177" i="3" s="1"/>
  <c r="N189" i="3"/>
  <c r="N177" i="3" s="1"/>
  <c r="O189" i="3"/>
  <c r="O177" i="3" s="1"/>
  <c r="P189" i="3"/>
  <c r="P177" i="3" s="1"/>
  <c r="Q189" i="3"/>
  <c r="Q177" i="3" s="1"/>
  <c r="R189" i="3"/>
  <c r="R177" i="3" s="1"/>
  <c r="T189" i="3"/>
  <c r="T177" i="3" s="1"/>
  <c r="U189" i="3"/>
  <c r="U177" i="3" s="1"/>
  <c r="V189" i="3"/>
  <c r="V177" i="3" s="1"/>
  <c r="W189" i="3"/>
  <c r="W177" i="3" s="1"/>
  <c r="X189" i="3"/>
  <c r="X177" i="3" s="1"/>
  <c r="E190" i="3"/>
  <c r="E178" i="3" s="1"/>
  <c r="F190" i="3"/>
  <c r="F178" i="3" s="1"/>
  <c r="G190" i="3"/>
  <c r="G178" i="3" s="1"/>
  <c r="H190" i="3"/>
  <c r="H178" i="3" s="1"/>
  <c r="I190" i="3"/>
  <c r="J190" i="3"/>
  <c r="J178" i="3" s="1"/>
  <c r="K190" i="3"/>
  <c r="K178" i="3" s="1"/>
  <c r="M190" i="3"/>
  <c r="M178" i="3" s="1"/>
  <c r="N190" i="3"/>
  <c r="N178" i="3" s="1"/>
  <c r="O190" i="3"/>
  <c r="O178" i="3" s="1"/>
  <c r="P190" i="3"/>
  <c r="P178" i="3" s="1"/>
  <c r="Q190" i="3"/>
  <c r="Q178" i="3" s="1"/>
  <c r="R190" i="3"/>
  <c r="R178" i="3" s="1"/>
  <c r="T190" i="3"/>
  <c r="T178" i="3" s="1"/>
  <c r="U190" i="3"/>
  <c r="U178" i="3" s="1"/>
  <c r="V190" i="3"/>
  <c r="V178" i="3" s="1"/>
  <c r="W190" i="3"/>
  <c r="W178" i="3" s="1"/>
  <c r="X190" i="3"/>
  <c r="X178" i="3" s="1"/>
  <c r="E191" i="3"/>
  <c r="F191" i="3"/>
  <c r="G191" i="3"/>
  <c r="H191" i="3"/>
  <c r="I191" i="3"/>
  <c r="J191" i="3"/>
  <c r="K191" i="3"/>
  <c r="M191" i="3"/>
  <c r="N191" i="3"/>
  <c r="O191" i="3"/>
  <c r="P191" i="3"/>
  <c r="Q191" i="3"/>
  <c r="R191" i="3"/>
  <c r="T191" i="3"/>
  <c r="U191" i="3"/>
  <c r="V191" i="3"/>
  <c r="W191" i="3"/>
  <c r="X191" i="3"/>
  <c r="E192" i="3"/>
  <c r="F192" i="3"/>
  <c r="G192" i="3"/>
  <c r="H192" i="3"/>
  <c r="I192" i="3"/>
  <c r="J192" i="3"/>
  <c r="K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E193" i="3"/>
  <c r="F193" i="3"/>
  <c r="G193" i="3"/>
  <c r="H193" i="3"/>
  <c r="I193" i="3"/>
  <c r="J193" i="3"/>
  <c r="K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E194" i="3"/>
  <c r="F194" i="3"/>
  <c r="G194" i="3"/>
  <c r="H194" i="3"/>
  <c r="I194" i="3"/>
  <c r="J194" i="3"/>
  <c r="K194" i="3"/>
  <c r="M194" i="3"/>
  <c r="N194" i="3"/>
  <c r="O194" i="3"/>
  <c r="P194" i="3"/>
  <c r="Q194" i="3"/>
  <c r="R194" i="3"/>
  <c r="T194" i="3"/>
  <c r="U194" i="3"/>
  <c r="V194" i="3"/>
  <c r="W194" i="3"/>
  <c r="X194" i="3"/>
  <c r="E195" i="3"/>
  <c r="E175" i="3" s="1"/>
  <c r="F195" i="3"/>
  <c r="F175" i="3" s="1"/>
  <c r="G195" i="3"/>
  <c r="G175" i="3" s="1"/>
  <c r="H195" i="3"/>
  <c r="H175" i="3" s="1"/>
  <c r="I195" i="3"/>
  <c r="I175" i="3" s="1"/>
  <c r="J195" i="3"/>
  <c r="J175" i="3" s="1"/>
  <c r="K195" i="3"/>
  <c r="K175" i="3" s="1"/>
  <c r="M195" i="3"/>
  <c r="M175" i="3" s="1"/>
  <c r="N195" i="3"/>
  <c r="N175" i="3" s="1"/>
  <c r="O195" i="3"/>
  <c r="O175" i="3" s="1"/>
  <c r="P195" i="3"/>
  <c r="P175" i="3" s="1"/>
  <c r="Q195" i="3"/>
  <c r="Q175" i="3" s="1"/>
  <c r="R195" i="3"/>
  <c r="R175" i="3" s="1"/>
  <c r="T195" i="3"/>
  <c r="T175" i="3" s="1"/>
  <c r="U195" i="3"/>
  <c r="U175" i="3" s="1"/>
  <c r="V195" i="3"/>
  <c r="V175" i="3" s="1"/>
  <c r="W195" i="3"/>
  <c r="W175" i="3" s="1"/>
  <c r="X195" i="3"/>
  <c r="X175" i="3" s="1"/>
  <c r="E203" i="3"/>
  <c r="E202" i="3" s="1"/>
  <c r="F203" i="3"/>
  <c r="F202" i="3" s="1"/>
  <c r="G203" i="3"/>
  <c r="G202" i="3" s="1"/>
  <c r="H203" i="3"/>
  <c r="H202" i="3" s="1"/>
  <c r="I203" i="3"/>
  <c r="I202" i="3" s="1"/>
  <c r="J203" i="3"/>
  <c r="J202" i="3" s="1"/>
  <c r="K203" i="3"/>
  <c r="K202" i="3" s="1"/>
  <c r="M203" i="3"/>
  <c r="M202" i="3" s="1"/>
  <c r="N203" i="3"/>
  <c r="N202" i="3" s="1"/>
  <c r="O203" i="3"/>
  <c r="O202" i="3" s="1"/>
  <c r="P203" i="3"/>
  <c r="P202" i="3" s="1"/>
  <c r="Q203" i="3"/>
  <c r="Q202" i="3" s="1"/>
  <c r="R203" i="3"/>
  <c r="R202" i="3" s="1"/>
  <c r="S203" i="3"/>
  <c r="T203" i="3"/>
  <c r="T202" i="3" s="1"/>
  <c r="U203" i="3"/>
  <c r="U202" i="3" s="1"/>
  <c r="V203" i="3"/>
  <c r="V202" i="3" s="1"/>
  <c r="W203" i="3"/>
  <c r="W202" i="3" s="1"/>
  <c r="X203" i="3"/>
  <c r="X202" i="3" s="1"/>
  <c r="E207" i="3"/>
  <c r="F207" i="3"/>
  <c r="G207" i="3"/>
  <c r="H207" i="3"/>
  <c r="I207" i="3"/>
  <c r="J207" i="3"/>
  <c r="K207" i="3"/>
  <c r="M207" i="3"/>
  <c r="N207" i="3"/>
  <c r="O207" i="3"/>
  <c r="P207" i="3"/>
  <c r="Q207" i="3"/>
  <c r="R207" i="3"/>
  <c r="T207" i="3"/>
  <c r="U207" i="3"/>
  <c r="V207" i="3"/>
  <c r="W207" i="3"/>
  <c r="X207" i="3"/>
  <c r="E208" i="3"/>
  <c r="F208" i="3"/>
  <c r="G208" i="3"/>
  <c r="H208" i="3"/>
  <c r="I208" i="3"/>
  <c r="J208" i="3"/>
  <c r="K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Z208" i="3"/>
  <c r="E209" i="3"/>
  <c r="E205" i="3" s="1"/>
  <c r="E197" i="3" s="1"/>
  <c r="F209" i="3"/>
  <c r="F205" i="3" s="1"/>
  <c r="F197" i="3" s="1"/>
  <c r="G209" i="3"/>
  <c r="G205" i="3" s="1"/>
  <c r="G197" i="3" s="1"/>
  <c r="H209" i="3"/>
  <c r="H205" i="3" s="1"/>
  <c r="H197" i="3" s="1"/>
  <c r="I209" i="3"/>
  <c r="I205" i="3" s="1"/>
  <c r="I197" i="3" s="1"/>
  <c r="J209" i="3"/>
  <c r="J205" i="3" s="1"/>
  <c r="J197" i="3" s="1"/>
  <c r="K209" i="3"/>
  <c r="K205" i="3" s="1"/>
  <c r="K197" i="3" s="1"/>
  <c r="M209" i="3"/>
  <c r="M205" i="3" s="1"/>
  <c r="M197" i="3" s="1"/>
  <c r="N209" i="3"/>
  <c r="N205" i="3" s="1"/>
  <c r="N197" i="3" s="1"/>
  <c r="O209" i="3"/>
  <c r="O205" i="3" s="1"/>
  <c r="O197" i="3" s="1"/>
  <c r="P209" i="3"/>
  <c r="P205" i="3" s="1"/>
  <c r="P197" i="3" s="1"/>
  <c r="Q209" i="3"/>
  <c r="Q205" i="3" s="1"/>
  <c r="Q197" i="3" s="1"/>
  <c r="R209" i="3"/>
  <c r="R205" i="3" s="1"/>
  <c r="R197" i="3" s="1"/>
  <c r="S209" i="3"/>
  <c r="T209" i="3"/>
  <c r="T205" i="3" s="1"/>
  <c r="T197" i="3" s="1"/>
  <c r="U209" i="3"/>
  <c r="U205" i="3" s="1"/>
  <c r="U197" i="3" s="1"/>
  <c r="V209" i="3"/>
  <c r="V205" i="3" s="1"/>
  <c r="V197" i="3" s="1"/>
  <c r="W209" i="3"/>
  <c r="W205" i="3" s="1"/>
  <c r="W197" i="3" s="1"/>
  <c r="X209" i="3"/>
  <c r="X205" i="3" s="1"/>
  <c r="X197" i="3" s="1"/>
  <c r="Z209" i="3"/>
  <c r="Z205" i="3" s="1"/>
  <c r="Z197" i="3" s="1"/>
  <c r="E210" i="3"/>
  <c r="F210" i="3"/>
  <c r="G210" i="3"/>
  <c r="H210" i="3"/>
  <c r="I210" i="3"/>
  <c r="J210" i="3"/>
  <c r="K210" i="3"/>
  <c r="M210" i="3"/>
  <c r="N210" i="3"/>
  <c r="O210" i="3"/>
  <c r="P210" i="3"/>
  <c r="Q210" i="3"/>
  <c r="R210" i="3"/>
  <c r="T210" i="3"/>
  <c r="U210" i="3"/>
  <c r="V210" i="3"/>
  <c r="W210" i="3"/>
  <c r="X210" i="3"/>
  <c r="E211" i="3"/>
  <c r="F211" i="3"/>
  <c r="G211" i="3"/>
  <c r="H211" i="3"/>
  <c r="I211" i="3"/>
  <c r="J211" i="3"/>
  <c r="K211" i="3"/>
  <c r="M211" i="3"/>
  <c r="N211" i="3"/>
  <c r="O211" i="3"/>
  <c r="P211" i="3"/>
  <c r="Q211" i="3"/>
  <c r="R211" i="3"/>
  <c r="T211" i="3"/>
  <c r="U211" i="3"/>
  <c r="V211" i="3"/>
  <c r="W211" i="3"/>
  <c r="X211" i="3"/>
  <c r="E212" i="3"/>
  <c r="F212" i="3"/>
  <c r="G212" i="3"/>
  <c r="H212" i="3"/>
  <c r="I212" i="3"/>
  <c r="J212" i="3"/>
  <c r="K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Z212" i="3"/>
  <c r="E213" i="3"/>
  <c r="E206" i="3" s="1"/>
  <c r="E199" i="3" s="1"/>
  <c r="F213" i="3"/>
  <c r="F206" i="3" s="1"/>
  <c r="F199" i="3" s="1"/>
  <c r="G213" i="3"/>
  <c r="G206" i="3" s="1"/>
  <c r="G199" i="3" s="1"/>
  <c r="H213" i="3"/>
  <c r="H206" i="3" s="1"/>
  <c r="H199" i="3" s="1"/>
  <c r="I213" i="3"/>
  <c r="I206" i="3" s="1"/>
  <c r="I199" i="3" s="1"/>
  <c r="J213" i="3"/>
  <c r="J206" i="3" s="1"/>
  <c r="J199" i="3" s="1"/>
  <c r="K213" i="3"/>
  <c r="K206" i="3" s="1"/>
  <c r="K199" i="3" s="1"/>
  <c r="M213" i="3"/>
  <c r="M206" i="3" s="1"/>
  <c r="M199" i="3" s="1"/>
  <c r="N213" i="3"/>
  <c r="N206" i="3" s="1"/>
  <c r="N199" i="3" s="1"/>
  <c r="O213" i="3"/>
  <c r="O206" i="3" s="1"/>
  <c r="O199" i="3" s="1"/>
  <c r="P213" i="3"/>
  <c r="P206" i="3" s="1"/>
  <c r="P199" i="3" s="1"/>
  <c r="Q213" i="3"/>
  <c r="Q206" i="3" s="1"/>
  <c r="Q199" i="3" s="1"/>
  <c r="R213" i="3"/>
  <c r="R206" i="3" s="1"/>
  <c r="R199" i="3" s="1"/>
  <c r="S213" i="3"/>
  <c r="T213" i="3"/>
  <c r="T206" i="3" s="1"/>
  <c r="T199" i="3" s="1"/>
  <c r="U213" i="3"/>
  <c r="U206" i="3" s="1"/>
  <c r="U199" i="3" s="1"/>
  <c r="V213" i="3"/>
  <c r="V206" i="3" s="1"/>
  <c r="V199" i="3" s="1"/>
  <c r="W213" i="3"/>
  <c r="W206" i="3" s="1"/>
  <c r="W199" i="3" s="1"/>
  <c r="X213" i="3"/>
  <c r="X206" i="3" s="1"/>
  <c r="X199" i="3" s="1"/>
  <c r="Z213" i="3"/>
  <c r="Z206" i="3" s="1"/>
  <c r="Z199" i="3" s="1"/>
  <c r="E215" i="3"/>
  <c r="F215" i="3"/>
  <c r="G215" i="3"/>
  <c r="H215" i="3"/>
  <c r="I215" i="3"/>
  <c r="J215" i="3"/>
  <c r="K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E216" i="3"/>
  <c r="F216" i="3"/>
  <c r="G216" i="3"/>
  <c r="H216" i="3"/>
  <c r="I216" i="3"/>
  <c r="J216" i="3"/>
  <c r="K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E217" i="3"/>
  <c r="F217" i="3"/>
  <c r="G217" i="3"/>
  <c r="H217" i="3"/>
  <c r="I217" i="3"/>
  <c r="J217" i="3"/>
  <c r="K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E218" i="3"/>
  <c r="F218" i="3"/>
  <c r="G218" i="3"/>
  <c r="H218" i="3"/>
  <c r="I218" i="3"/>
  <c r="J218" i="3"/>
  <c r="K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E219" i="3"/>
  <c r="F219" i="3"/>
  <c r="G219" i="3"/>
  <c r="H219" i="3"/>
  <c r="I219" i="3"/>
  <c r="J219" i="3"/>
  <c r="K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Z219" i="3"/>
  <c r="E221" i="3"/>
  <c r="E220" i="3" s="1"/>
  <c r="F221" i="3"/>
  <c r="F220" i="3" s="1"/>
  <c r="G221" i="3"/>
  <c r="G220" i="3" s="1"/>
  <c r="H221" i="3"/>
  <c r="H220" i="3" s="1"/>
  <c r="I221" i="3"/>
  <c r="J221" i="3"/>
  <c r="J220" i="3" s="1"/>
  <c r="K221" i="3"/>
  <c r="K220" i="3" s="1"/>
  <c r="M221" i="3"/>
  <c r="M220" i="3" s="1"/>
  <c r="N221" i="3"/>
  <c r="N220" i="3" s="1"/>
  <c r="O221" i="3"/>
  <c r="O220" i="3" s="1"/>
  <c r="P221" i="3"/>
  <c r="P220" i="3" s="1"/>
  <c r="Q221" i="3"/>
  <c r="Q220" i="3" s="1"/>
  <c r="R221" i="3"/>
  <c r="R220" i="3" s="1"/>
  <c r="T221" i="3"/>
  <c r="T220" i="3" s="1"/>
  <c r="U221" i="3"/>
  <c r="U220" i="3" s="1"/>
  <c r="V221" i="3"/>
  <c r="V220" i="3" s="1"/>
  <c r="W221" i="3"/>
  <c r="W220" i="3" s="1"/>
  <c r="X221" i="3"/>
  <c r="X220" i="3" s="1"/>
  <c r="E226" i="3"/>
  <c r="F226" i="3"/>
  <c r="G226" i="3"/>
  <c r="H226" i="3"/>
  <c r="I226" i="3"/>
  <c r="J226" i="3"/>
  <c r="K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E227" i="3"/>
  <c r="F227" i="3"/>
  <c r="G227" i="3"/>
  <c r="H227" i="3"/>
  <c r="I227" i="3"/>
  <c r="J227" i="3"/>
  <c r="K227" i="3"/>
  <c r="M227" i="3"/>
  <c r="N227" i="3"/>
  <c r="O227" i="3"/>
  <c r="P227" i="3"/>
  <c r="Q227" i="3"/>
  <c r="R227" i="3"/>
  <c r="T227" i="3"/>
  <c r="U227" i="3"/>
  <c r="V227" i="3"/>
  <c r="W227" i="3"/>
  <c r="X227" i="3"/>
  <c r="E228" i="3"/>
  <c r="E224" i="3" s="1"/>
  <c r="E200" i="3" s="1"/>
  <c r="F228" i="3"/>
  <c r="F224" i="3" s="1"/>
  <c r="F200" i="3" s="1"/>
  <c r="G228" i="3"/>
  <c r="G224" i="3" s="1"/>
  <c r="G200" i="3" s="1"/>
  <c r="H228" i="3"/>
  <c r="H224" i="3" s="1"/>
  <c r="H200" i="3" s="1"/>
  <c r="I228" i="3"/>
  <c r="J228" i="3"/>
  <c r="J224" i="3" s="1"/>
  <c r="J200" i="3" s="1"/>
  <c r="K228" i="3"/>
  <c r="K224" i="3" s="1"/>
  <c r="K200" i="3" s="1"/>
  <c r="M228" i="3"/>
  <c r="M224" i="3" s="1"/>
  <c r="M200" i="3" s="1"/>
  <c r="N228" i="3"/>
  <c r="N224" i="3" s="1"/>
  <c r="N200" i="3" s="1"/>
  <c r="O228" i="3"/>
  <c r="O224" i="3" s="1"/>
  <c r="O200" i="3" s="1"/>
  <c r="P228" i="3"/>
  <c r="P224" i="3" s="1"/>
  <c r="P200" i="3" s="1"/>
  <c r="Q228" i="3"/>
  <c r="Q224" i="3" s="1"/>
  <c r="Q200" i="3" s="1"/>
  <c r="R228" i="3"/>
  <c r="R224" i="3" s="1"/>
  <c r="R200" i="3" s="1"/>
  <c r="T228" i="3"/>
  <c r="T224" i="3" s="1"/>
  <c r="T200" i="3" s="1"/>
  <c r="U228" i="3"/>
  <c r="U224" i="3" s="1"/>
  <c r="U200" i="3" s="1"/>
  <c r="V228" i="3"/>
  <c r="V224" i="3" s="1"/>
  <c r="V200" i="3" s="1"/>
  <c r="W228" i="3"/>
  <c r="W224" i="3" s="1"/>
  <c r="W200" i="3" s="1"/>
  <c r="X228" i="3"/>
  <c r="X224" i="3" s="1"/>
  <c r="X200" i="3" s="1"/>
  <c r="E229" i="3"/>
  <c r="E225" i="3" s="1"/>
  <c r="E201" i="3" s="1"/>
  <c r="F229" i="3"/>
  <c r="F225" i="3" s="1"/>
  <c r="F201" i="3" s="1"/>
  <c r="G229" i="3"/>
  <c r="G225" i="3" s="1"/>
  <c r="G201" i="3" s="1"/>
  <c r="H229" i="3"/>
  <c r="H225" i="3" s="1"/>
  <c r="H201" i="3" s="1"/>
  <c r="I229" i="3"/>
  <c r="J229" i="3"/>
  <c r="J225" i="3" s="1"/>
  <c r="J201" i="3" s="1"/>
  <c r="K229" i="3"/>
  <c r="K225" i="3" s="1"/>
  <c r="K201" i="3" s="1"/>
  <c r="M229" i="3"/>
  <c r="M225" i="3" s="1"/>
  <c r="M201" i="3" s="1"/>
  <c r="N229" i="3"/>
  <c r="N225" i="3" s="1"/>
  <c r="N201" i="3" s="1"/>
  <c r="O229" i="3"/>
  <c r="O225" i="3" s="1"/>
  <c r="O201" i="3" s="1"/>
  <c r="P229" i="3"/>
  <c r="P225" i="3" s="1"/>
  <c r="P201" i="3" s="1"/>
  <c r="Q229" i="3"/>
  <c r="Q225" i="3" s="1"/>
  <c r="Q201" i="3" s="1"/>
  <c r="R229" i="3"/>
  <c r="R225" i="3" s="1"/>
  <c r="R201" i="3" s="1"/>
  <c r="T229" i="3"/>
  <c r="T225" i="3" s="1"/>
  <c r="T201" i="3" s="1"/>
  <c r="U229" i="3"/>
  <c r="U225" i="3" s="1"/>
  <c r="U201" i="3" s="1"/>
  <c r="V229" i="3"/>
  <c r="V225" i="3" s="1"/>
  <c r="V201" i="3" s="1"/>
  <c r="W229" i="3"/>
  <c r="W225" i="3" s="1"/>
  <c r="W201" i="3" s="1"/>
  <c r="X229" i="3"/>
  <c r="X225" i="3" s="1"/>
  <c r="X201" i="3" s="1"/>
  <c r="E230" i="3"/>
  <c r="F230" i="3"/>
  <c r="G230" i="3"/>
  <c r="H230" i="3"/>
  <c r="I230" i="3"/>
  <c r="J230" i="3"/>
  <c r="K230" i="3"/>
  <c r="M230" i="3"/>
  <c r="N230" i="3"/>
  <c r="O230" i="3"/>
  <c r="P230" i="3"/>
  <c r="Q230" i="3"/>
  <c r="R230" i="3"/>
  <c r="T230" i="3"/>
  <c r="U230" i="3"/>
  <c r="V230" i="3"/>
  <c r="W230" i="3"/>
  <c r="X230" i="3"/>
  <c r="E231" i="3"/>
  <c r="F231" i="3"/>
  <c r="G231" i="3"/>
  <c r="H231" i="3"/>
  <c r="I231" i="3"/>
  <c r="J231" i="3"/>
  <c r="K231" i="3"/>
  <c r="M231" i="3"/>
  <c r="N231" i="3"/>
  <c r="O231" i="3"/>
  <c r="P231" i="3"/>
  <c r="Q231" i="3"/>
  <c r="R231" i="3"/>
  <c r="T231" i="3"/>
  <c r="U231" i="3"/>
  <c r="V231" i="3"/>
  <c r="W231" i="3"/>
  <c r="X231" i="3"/>
  <c r="E232" i="3"/>
  <c r="F232" i="3"/>
  <c r="G232" i="3"/>
  <c r="H232" i="3"/>
  <c r="I232" i="3"/>
  <c r="J232" i="3"/>
  <c r="K232" i="3"/>
  <c r="M232" i="3"/>
  <c r="N232" i="3"/>
  <c r="O232" i="3"/>
  <c r="P232" i="3"/>
  <c r="Q232" i="3"/>
  <c r="R232" i="3"/>
  <c r="T232" i="3"/>
  <c r="U232" i="3"/>
  <c r="V232" i="3"/>
  <c r="W232" i="3"/>
  <c r="X232" i="3"/>
  <c r="E233" i="3"/>
  <c r="E223" i="3" s="1"/>
  <c r="E198" i="3" s="1"/>
  <c r="F233" i="3"/>
  <c r="F223" i="3" s="1"/>
  <c r="F198" i="3" s="1"/>
  <c r="G233" i="3"/>
  <c r="G223" i="3" s="1"/>
  <c r="G198" i="3" s="1"/>
  <c r="H233" i="3"/>
  <c r="H223" i="3" s="1"/>
  <c r="H198" i="3" s="1"/>
  <c r="I233" i="3"/>
  <c r="J233" i="3"/>
  <c r="J223" i="3" s="1"/>
  <c r="J198" i="3" s="1"/>
  <c r="K233" i="3"/>
  <c r="K223" i="3" s="1"/>
  <c r="K198" i="3" s="1"/>
  <c r="M233" i="3"/>
  <c r="M223" i="3" s="1"/>
  <c r="M198" i="3" s="1"/>
  <c r="N233" i="3"/>
  <c r="N223" i="3" s="1"/>
  <c r="N198" i="3" s="1"/>
  <c r="O233" i="3"/>
  <c r="O223" i="3" s="1"/>
  <c r="O198" i="3" s="1"/>
  <c r="P233" i="3"/>
  <c r="P223" i="3" s="1"/>
  <c r="P198" i="3" s="1"/>
  <c r="Q233" i="3"/>
  <c r="Q223" i="3" s="1"/>
  <c r="Q198" i="3" s="1"/>
  <c r="R233" i="3"/>
  <c r="R223" i="3" s="1"/>
  <c r="R198" i="3" s="1"/>
  <c r="T233" i="3"/>
  <c r="T223" i="3" s="1"/>
  <c r="T198" i="3" s="1"/>
  <c r="U233" i="3"/>
  <c r="U223" i="3" s="1"/>
  <c r="U198" i="3" s="1"/>
  <c r="V233" i="3"/>
  <c r="V223" i="3" s="1"/>
  <c r="V198" i="3" s="1"/>
  <c r="W233" i="3"/>
  <c r="W223" i="3" s="1"/>
  <c r="W198" i="3" s="1"/>
  <c r="X233" i="3"/>
  <c r="X223" i="3" s="1"/>
  <c r="X198" i="3" s="1"/>
  <c r="E234" i="3"/>
  <c r="F234" i="3"/>
  <c r="G234" i="3"/>
  <c r="H234" i="3"/>
  <c r="I234" i="3"/>
  <c r="J234" i="3"/>
  <c r="K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E235" i="3"/>
  <c r="F235" i="3"/>
  <c r="G235" i="3"/>
  <c r="H235" i="3"/>
  <c r="I235" i="3"/>
  <c r="J235" i="3"/>
  <c r="K235" i="3"/>
  <c r="M235" i="3"/>
  <c r="N235" i="3"/>
  <c r="O235" i="3"/>
  <c r="P235" i="3"/>
  <c r="Q235" i="3"/>
  <c r="R235" i="3"/>
  <c r="T235" i="3"/>
  <c r="U235" i="3"/>
  <c r="V235" i="3"/>
  <c r="W235" i="3"/>
  <c r="X235" i="3"/>
  <c r="E236" i="3"/>
  <c r="F236" i="3"/>
  <c r="G236" i="3"/>
  <c r="H236" i="3"/>
  <c r="I236" i="3"/>
  <c r="J236" i="3"/>
  <c r="K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E241" i="3"/>
  <c r="F241" i="3"/>
  <c r="G241" i="3"/>
  <c r="H241" i="3"/>
  <c r="I241" i="3"/>
  <c r="J241" i="3"/>
  <c r="K241" i="3"/>
  <c r="M241" i="3"/>
  <c r="N241" i="3"/>
  <c r="O241" i="3"/>
  <c r="P241" i="3"/>
  <c r="Q241" i="3"/>
  <c r="R241" i="3"/>
  <c r="T241" i="3"/>
  <c r="U241" i="3"/>
  <c r="V241" i="3"/>
  <c r="W241" i="3"/>
  <c r="X241" i="3"/>
  <c r="E242" i="3"/>
  <c r="F242" i="3"/>
  <c r="G242" i="3"/>
  <c r="H242" i="3"/>
  <c r="I242" i="3"/>
  <c r="J242" i="3"/>
  <c r="K242" i="3"/>
  <c r="M242" i="3"/>
  <c r="N242" i="3"/>
  <c r="O242" i="3"/>
  <c r="P242" i="3"/>
  <c r="Q242" i="3"/>
  <c r="R242" i="3"/>
  <c r="T242" i="3"/>
  <c r="U242" i="3"/>
  <c r="V242" i="3"/>
  <c r="W242" i="3"/>
  <c r="X242" i="3"/>
  <c r="E243" i="3"/>
  <c r="E240" i="3" s="1"/>
  <c r="E238" i="3" s="1"/>
  <c r="F243" i="3"/>
  <c r="F240" i="3" s="1"/>
  <c r="F238" i="3" s="1"/>
  <c r="G243" i="3"/>
  <c r="G240" i="3" s="1"/>
  <c r="G238" i="3" s="1"/>
  <c r="H243" i="3"/>
  <c r="H240" i="3" s="1"/>
  <c r="H238" i="3" s="1"/>
  <c r="I243" i="3"/>
  <c r="J243" i="3"/>
  <c r="J240" i="3" s="1"/>
  <c r="J238" i="3" s="1"/>
  <c r="K243" i="3"/>
  <c r="K240" i="3" s="1"/>
  <c r="K238" i="3" s="1"/>
  <c r="M243" i="3"/>
  <c r="M240" i="3" s="1"/>
  <c r="M238" i="3" s="1"/>
  <c r="N243" i="3"/>
  <c r="N240" i="3" s="1"/>
  <c r="N238" i="3" s="1"/>
  <c r="O243" i="3"/>
  <c r="O240" i="3" s="1"/>
  <c r="O238" i="3" s="1"/>
  <c r="P243" i="3"/>
  <c r="P240" i="3" s="1"/>
  <c r="P238" i="3" s="1"/>
  <c r="Q243" i="3"/>
  <c r="Q240" i="3" s="1"/>
  <c r="Q238" i="3" s="1"/>
  <c r="R243" i="3"/>
  <c r="R240" i="3" s="1"/>
  <c r="R238" i="3" s="1"/>
  <c r="S243" i="3"/>
  <c r="T243" i="3"/>
  <c r="T240" i="3" s="1"/>
  <c r="T238" i="3" s="1"/>
  <c r="U243" i="3"/>
  <c r="U240" i="3" s="1"/>
  <c r="U238" i="3" s="1"/>
  <c r="V243" i="3"/>
  <c r="V240" i="3" s="1"/>
  <c r="V238" i="3" s="1"/>
  <c r="W243" i="3"/>
  <c r="W240" i="3" s="1"/>
  <c r="W238" i="3" s="1"/>
  <c r="X243" i="3"/>
  <c r="X240" i="3" s="1"/>
  <c r="X238" i="3" s="1"/>
  <c r="E245" i="3"/>
  <c r="F245" i="3"/>
  <c r="G245" i="3"/>
  <c r="H245" i="3"/>
  <c r="I245" i="3"/>
  <c r="J245" i="3"/>
  <c r="K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E246" i="3"/>
  <c r="F246" i="3"/>
  <c r="G246" i="3"/>
  <c r="H246" i="3"/>
  <c r="I246" i="3"/>
  <c r="J246" i="3"/>
  <c r="K246" i="3"/>
  <c r="M246" i="3"/>
  <c r="N246" i="3"/>
  <c r="O246" i="3"/>
  <c r="P246" i="3"/>
  <c r="Q246" i="3"/>
  <c r="R246" i="3"/>
  <c r="T246" i="3"/>
  <c r="U246" i="3"/>
  <c r="V246" i="3"/>
  <c r="W246" i="3"/>
  <c r="X246" i="3"/>
  <c r="E248" i="3"/>
  <c r="F248" i="3"/>
  <c r="G248" i="3"/>
  <c r="H248" i="3"/>
  <c r="I248" i="3"/>
  <c r="J248" i="3"/>
  <c r="K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E249" i="3"/>
  <c r="F249" i="3"/>
  <c r="G249" i="3"/>
  <c r="H249" i="3"/>
  <c r="I249" i="3"/>
  <c r="J249" i="3"/>
  <c r="K249" i="3"/>
  <c r="M249" i="3"/>
  <c r="N249" i="3"/>
  <c r="O249" i="3"/>
  <c r="P249" i="3"/>
  <c r="Q249" i="3"/>
  <c r="R249" i="3"/>
  <c r="T249" i="3"/>
  <c r="U249" i="3"/>
  <c r="V249" i="3"/>
  <c r="W249" i="3"/>
  <c r="X249" i="3"/>
  <c r="E250" i="3"/>
  <c r="F250" i="3"/>
  <c r="G250" i="3"/>
  <c r="H250" i="3"/>
  <c r="I250" i="3"/>
  <c r="J250" i="3"/>
  <c r="K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E252" i="3"/>
  <c r="E251" i="3" s="1"/>
  <c r="F252" i="3"/>
  <c r="F251" i="3" s="1"/>
  <c r="G252" i="3"/>
  <c r="G251" i="3" s="1"/>
  <c r="H252" i="3"/>
  <c r="H251" i="3" s="1"/>
  <c r="I252" i="3"/>
  <c r="J252" i="3"/>
  <c r="J251" i="3" s="1"/>
  <c r="K252" i="3"/>
  <c r="K251" i="3" s="1"/>
  <c r="M252" i="3"/>
  <c r="M251" i="3" s="1"/>
  <c r="N252" i="3"/>
  <c r="N251" i="3" s="1"/>
  <c r="O252" i="3"/>
  <c r="O251" i="3" s="1"/>
  <c r="P252" i="3"/>
  <c r="P251" i="3" s="1"/>
  <c r="Q252" i="3"/>
  <c r="Q251" i="3" s="1"/>
  <c r="R252" i="3"/>
  <c r="R251" i="3" s="1"/>
  <c r="S252" i="3"/>
  <c r="T252" i="3"/>
  <c r="T251" i="3" s="1"/>
  <c r="U252" i="3"/>
  <c r="U251" i="3" s="1"/>
  <c r="V252" i="3"/>
  <c r="V251" i="3" s="1"/>
  <c r="W252" i="3"/>
  <c r="W251" i="3" s="1"/>
  <c r="X252" i="3"/>
  <c r="X251" i="3" s="1"/>
  <c r="Z252" i="3"/>
  <c r="Z251" i="3" s="1"/>
  <c r="E257" i="3"/>
  <c r="E255" i="3" s="1"/>
  <c r="F257" i="3"/>
  <c r="F255" i="3" s="1"/>
  <c r="G257" i="3"/>
  <c r="G255" i="3" s="1"/>
  <c r="H257" i="3"/>
  <c r="H255" i="3" s="1"/>
  <c r="I257" i="3"/>
  <c r="J257" i="3"/>
  <c r="J255" i="3" s="1"/>
  <c r="K257" i="3"/>
  <c r="K255" i="3" s="1"/>
  <c r="M257" i="3"/>
  <c r="M255" i="3" s="1"/>
  <c r="N257" i="3"/>
  <c r="N255" i="3" s="1"/>
  <c r="O257" i="3"/>
  <c r="O255" i="3" s="1"/>
  <c r="P257" i="3"/>
  <c r="P255" i="3" s="1"/>
  <c r="Q257" i="3"/>
  <c r="Q255" i="3" s="1"/>
  <c r="R257" i="3"/>
  <c r="R255" i="3" s="1"/>
  <c r="S257" i="3"/>
  <c r="T257" i="3"/>
  <c r="T255" i="3" s="1"/>
  <c r="U257" i="3"/>
  <c r="U255" i="3" s="1"/>
  <c r="V257" i="3"/>
  <c r="V255" i="3" s="1"/>
  <c r="W257" i="3"/>
  <c r="W255" i="3" s="1"/>
  <c r="X257" i="3"/>
  <c r="X255" i="3" s="1"/>
  <c r="E258" i="3"/>
  <c r="E256" i="3" s="1"/>
  <c r="E254" i="3" s="1"/>
  <c r="F258" i="3"/>
  <c r="F256" i="3" s="1"/>
  <c r="F254" i="3" s="1"/>
  <c r="G258" i="3"/>
  <c r="G256" i="3" s="1"/>
  <c r="G254" i="3" s="1"/>
  <c r="H258" i="3"/>
  <c r="H256" i="3" s="1"/>
  <c r="H254" i="3" s="1"/>
  <c r="I258" i="3"/>
  <c r="J258" i="3"/>
  <c r="J256" i="3" s="1"/>
  <c r="J254" i="3" s="1"/>
  <c r="K258" i="3"/>
  <c r="K256" i="3" s="1"/>
  <c r="K254" i="3" s="1"/>
  <c r="M258" i="3"/>
  <c r="M256" i="3" s="1"/>
  <c r="M254" i="3" s="1"/>
  <c r="N258" i="3"/>
  <c r="N256" i="3" s="1"/>
  <c r="N254" i="3" s="1"/>
  <c r="O258" i="3"/>
  <c r="O256" i="3" s="1"/>
  <c r="O254" i="3" s="1"/>
  <c r="P258" i="3"/>
  <c r="P256" i="3" s="1"/>
  <c r="P254" i="3" s="1"/>
  <c r="Q258" i="3"/>
  <c r="Q256" i="3" s="1"/>
  <c r="Q254" i="3" s="1"/>
  <c r="R258" i="3"/>
  <c r="R256" i="3" s="1"/>
  <c r="R254" i="3" s="1"/>
  <c r="S258" i="3"/>
  <c r="T258" i="3"/>
  <c r="T256" i="3" s="1"/>
  <c r="T254" i="3" s="1"/>
  <c r="U258" i="3"/>
  <c r="U256" i="3" s="1"/>
  <c r="U254" i="3" s="1"/>
  <c r="V258" i="3"/>
  <c r="V256" i="3" s="1"/>
  <c r="V254" i="3" s="1"/>
  <c r="W258" i="3"/>
  <c r="W256" i="3" s="1"/>
  <c r="W254" i="3" s="1"/>
  <c r="X258" i="3"/>
  <c r="X256" i="3" s="1"/>
  <c r="X254" i="3" s="1"/>
  <c r="E260" i="3"/>
  <c r="E259" i="3" s="1"/>
  <c r="F260" i="3"/>
  <c r="F259" i="3" s="1"/>
  <c r="G260" i="3"/>
  <c r="G259" i="3" s="1"/>
  <c r="H260" i="3"/>
  <c r="H259" i="3" s="1"/>
  <c r="I260" i="3"/>
  <c r="J260" i="3"/>
  <c r="J259" i="3" s="1"/>
  <c r="K260" i="3"/>
  <c r="K259" i="3" s="1"/>
  <c r="M260" i="3"/>
  <c r="M259" i="3" s="1"/>
  <c r="N260" i="3"/>
  <c r="N259" i="3" s="1"/>
  <c r="O260" i="3"/>
  <c r="O259" i="3" s="1"/>
  <c r="P260" i="3"/>
  <c r="P259" i="3" s="1"/>
  <c r="Q260" i="3"/>
  <c r="Q259" i="3" s="1"/>
  <c r="R260" i="3"/>
  <c r="R259" i="3" s="1"/>
  <c r="T260" i="3"/>
  <c r="T259" i="3" s="1"/>
  <c r="U260" i="3"/>
  <c r="U259" i="3" s="1"/>
  <c r="V260" i="3"/>
  <c r="V259" i="3" s="1"/>
  <c r="W260" i="3"/>
  <c r="W259" i="3" s="1"/>
  <c r="X260" i="3"/>
  <c r="X259" i="3" s="1"/>
  <c r="E261" i="3"/>
  <c r="F261" i="3"/>
  <c r="G261" i="3"/>
  <c r="H261" i="3"/>
  <c r="I261" i="3"/>
  <c r="J261" i="3"/>
  <c r="K261" i="3"/>
  <c r="M261" i="3"/>
  <c r="N261" i="3"/>
  <c r="O261" i="3"/>
  <c r="P261" i="3"/>
  <c r="Q261" i="3"/>
  <c r="R261" i="3"/>
  <c r="T261" i="3"/>
  <c r="U261" i="3"/>
  <c r="V261" i="3"/>
  <c r="W261" i="3"/>
  <c r="X261" i="3"/>
  <c r="X18" i="3" l="1"/>
  <c r="R267" i="3"/>
  <c r="Y75" i="3"/>
  <c r="Y69" i="3"/>
  <c r="Y64" i="3"/>
  <c r="Y61" i="3"/>
  <c r="Y58" i="3"/>
  <c r="T267" i="3"/>
  <c r="W247" i="3"/>
  <c r="V267" i="3"/>
  <c r="Y218" i="3"/>
  <c r="X176" i="3"/>
  <c r="X264" i="3" s="1"/>
  <c r="T176" i="3"/>
  <c r="T264" i="3" s="1"/>
  <c r="Y192" i="3"/>
  <c r="Y173" i="3"/>
  <c r="Y168" i="3"/>
  <c r="Y147" i="3"/>
  <c r="Y143" i="3"/>
  <c r="Y133" i="3"/>
  <c r="Y130" i="3"/>
  <c r="Y126" i="3"/>
  <c r="Y111" i="3"/>
  <c r="X267" i="3"/>
  <c r="Y250" i="3"/>
  <c r="V247" i="3"/>
  <c r="Y236" i="3"/>
  <c r="N267" i="3"/>
  <c r="P267" i="3"/>
  <c r="Y219" i="3"/>
  <c r="Y212" i="3"/>
  <c r="Y208" i="3"/>
  <c r="Y171" i="3"/>
  <c r="Y169" i="3"/>
  <c r="Y162" i="3"/>
  <c r="Y155" i="3"/>
  <c r="P176" i="3"/>
  <c r="P264" i="3" s="1"/>
  <c r="K176" i="3"/>
  <c r="G176" i="3"/>
  <c r="P24" i="3"/>
  <c r="E36" i="3"/>
  <c r="E265" i="3" s="1"/>
  <c r="Y148" i="3"/>
  <c r="Y144" i="3"/>
  <c r="Y140" i="3"/>
  <c r="Y137" i="3"/>
  <c r="Y131" i="3"/>
  <c r="Y127" i="3"/>
  <c r="Y123" i="3"/>
  <c r="Y76" i="3"/>
  <c r="Y70" i="3"/>
  <c r="Y59" i="3"/>
  <c r="Y48" i="3"/>
  <c r="Y44" i="3"/>
  <c r="R176" i="3"/>
  <c r="R264" i="3" s="1"/>
  <c r="N176" i="3"/>
  <c r="N264" i="3" s="1"/>
  <c r="E176" i="3"/>
  <c r="H247" i="3"/>
  <c r="U247" i="3"/>
  <c r="X247" i="3"/>
  <c r="T247" i="3"/>
  <c r="O247" i="3"/>
  <c r="J247" i="3"/>
  <c r="F247" i="3"/>
  <c r="Y217" i="3"/>
  <c r="Y183" i="3"/>
  <c r="Y180" i="3"/>
  <c r="Y150" i="3"/>
  <c r="Y146" i="3"/>
  <c r="Y142" i="3"/>
  <c r="Y125" i="3"/>
  <c r="Y115" i="3"/>
  <c r="Y110" i="3"/>
  <c r="Y74" i="3"/>
  <c r="Y23" i="3"/>
  <c r="Y63" i="3"/>
  <c r="Y57" i="3"/>
  <c r="E38" i="3"/>
  <c r="E30" i="3"/>
  <c r="Y50" i="3"/>
  <c r="Y20" i="3"/>
  <c r="X24" i="3"/>
  <c r="Q247" i="3"/>
  <c r="M247" i="3"/>
  <c r="Y248" i="3"/>
  <c r="Y234" i="3"/>
  <c r="Y216" i="3"/>
  <c r="V176" i="3"/>
  <c r="V264" i="3" s="1"/>
  <c r="Y182" i="3"/>
  <c r="Y163" i="3"/>
  <c r="Y156" i="3"/>
  <c r="Y145" i="3"/>
  <c r="Y141" i="3"/>
  <c r="Y138" i="3"/>
  <c r="Y135" i="3"/>
  <c r="Y128" i="3"/>
  <c r="Y124" i="3"/>
  <c r="Y109" i="3"/>
  <c r="Y105" i="3"/>
  <c r="Y100" i="3"/>
  <c r="M38" i="3"/>
  <c r="Y85" i="3"/>
  <c r="Y84" i="3"/>
  <c r="Y83" i="3"/>
  <c r="Y71" i="3"/>
  <c r="Y49" i="3"/>
  <c r="Y45" i="3"/>
  <c r="E174" i="3"/>
  <c r="R21" i="3"/>
  <c r="R247" i="3"/>
  <c r="P247" i="3"/>
  <c r="N247" i="3"/>
  <c r="K247" i="3"/>
  <c r="G247" i="3"/>
  <c r="E247" i="3"/>
  <c r="W176" i="3"/>
  <c r="W264" i="3" s="1"/>
  <c r="U176" i="3"/>
  <c r="U264" i="3" s="1"/>
  <c r="Q176" i="3"/>
  <c r="Q264" i="3" s="1"/>
  <c r="O176" i="3"/>
  <c r="O264" i="3" s="1"/>
  <c r="M176" i="3"/>
  <c r="M264" i="3" s="1"/>
  <c r="J176" i="3"/>
  <c r="J264" i="3" s="1"/>
  <c r="H176" i="3"/>
  <c r="H264" i="3" s="1"/>
  <c r="F176" i="3"/>
  <c r="F264" i="3" s="1"/>
  <c r="M174" i="3"/>
  <c r="Q159" i="3"/>
  <c r="U36" i="3"/>
  <c r="U265" i="3" s="1"/>
  <c r="X22" i="3"/>
  <c r="P22" i="3"/>
  <c r="P18" i="3"/>
  <c r="I204" i="3"/>
  <c r="E204" i="3"/>
  <c r="I174" i="3"/>
  <c r="U159" i="3"/>
  <c r="M159" i="3"/>
  <c r="T24" i="3"/>
  <c r="T22" i="3"/>
  <c r="V21" i="3"/>
  <c r="N21" i="3"/>
  <c r="S37" i="3"/>
  <c r="Y37" i="3" s="1"/>
  <c r="T18" i="3"/>
  <c r="Q204" i="3"/>
  <c r="U174" i="3"/>
  <c r="U38" i="3"/>
  <c r="U30" i="3"/>
  <c r="M36" i="3"/>
  <c r="M265" i="3" s="1"/>
  <c r="J253" i="3"/>
  <c r="F253" i="3"/>
  <c r="S256" i="3"/>
  <c r="S254" i="3" s="1"/>
  <c r="Y254" i="3" s="1"/>
  <c r="Y258" i="3"/>
  <c r="S251" i="3"/>
  <c r="Y251" i="3" s="1"/>
  <c r="Y252" i="3"/>
  <c r="X253" i="3"/>
  <c r="V253" i="3"/>
  <c r="T253" i="3"/>
  <c r="P253" i="3"/>
  <c r="N253" i="3"/>
  <c r="I259" i="3"/>
  <c r="I256" i="3"/>
  <c r="I255" i="3"/>
  <c r="I251" i="3"/>
  <c r="I247" i="3"/>
  <c r="X244" i="3"/>
  <c r="V244" i="3"/>
  <c r="T244" i="3"/>
  <c r="R244" i="3"/>
  <c r="P244" i="3"/>
  <c r="N244" i="3"/>
  <c r="K244" i="3"/>
  <c r="I244" i="3"/>
  <c r="G244" i="3"/>
  <c r="E244" i="3"/>
  <c r="I240" i="3"/>
  <c r="X239" i="3"/>
  <c r="V239" i="3"/>
  <c r="T239" i="3"/>
  <c r="R239" i="3"/>
  <c r="P239" i="3"/>
  <c r="N239" i="3"/>
  <c r="K239" i="3"/>
  <c r="I239" i="3"/>
  <c r="G239" i="3"/>
  <c r="E239" i="3"/>
  <c r="I223" i="3"/>
  <c r="I198" i="3" s="1"/>
  <c r="I225" i="3"/>
  <c r="I201" i="3" s="1"/>
  <c r="I224" i="3"/>
  <c r="X222" i="3"/>
  <c r="V222" i="3"/>
  <c r="T222" i="3"/>
  <c r="R222" i="3"/>
  <c r="P222" i="3"/>
  <c r="N222" i="3"/>
  <c r="K222" i="3"/>
  <c r="I222" i="3"/>
  <c r="G222" i="3"/>
  <c r="E222" i="3"/>
  <c r="I220" i="3"/>
  <c r="X214" i="3"/>
  <c r="V214" i="3"/>
  <c r="T214" i="3"/>
  <c r="R214" i="3"/>
  <c r="S202" i="3"/>
  <c r="Y202" i="3" s="1"/>
  <c r="Y203" i="3"/>
  <c r="Y193" i="3"/>
  <c r="W174" i="3"/>
  <c r="Q174" i="3"/>
  <c r="O174" i="3"/>
  <c r="J174" i="3"/>
  <c r="H174" i="3"/>
  <c r="F174" i="3"/>
  <c r="X166" i="3"/>
  <c r="V166" i="3"/>
  <c r="T166" i="3"/>
  <c r="R166" i="3"/>
  <c r="P166" i="3"/>
  <c r="N166" i="3"/>
  <c r="K166" i="3"/>
  <c r="I166" i="3"/>
  <c r="G166" i="3"/>
  <c r="E166" i="3"/>
  <c r="X159" i="3"/>
  <c r="V159" i="3"/>
  <c r="T159" i="3"/>
  <c r="R159" i="3"/>
  <c r="P159" i="3"/>
  <c r="N159" i="3"/>
  <c r="K159" i="3"/>
  <c r="G159" i="3"/>
  <c r="E159" i="3"/>
  <c r="I159" i="3"/>
  <c r="H253" i="3"/>
  <c r="S255" i="3"/>
  <c r="Y255" i="3" s="1"/>
  <c r="Y257" i="3"/>
  <c r="W244" i="3"/>
  <c r="U244" i="3"/>
  <c r="Y245" i="3"/>
  <c r="Q244" i="3"/>
  <c r="O244" i="3"/>
  <c r="M244" i="3"/>
  <c r="J244" i="3"/>
  <c r="H244" i="3"/>
  <c r="F244" i="3"/>
  <c r="S240" i="3"/>
  <c r="S238" i="3" s="1"/>
  <c r="Y238" i="3" s="1"/>
  <c r="Y243" i="3"/>
  <c r="W239" i="3"/>
  <c r="U239" i="3"/>
  <c r="Q239" i="3"/>
  <c r="O239" i="3"/>
  <c r="M239" i="3"/>
  <c r="J239" i="3"/>
  <c r="H239" i="3"/>
  <c r="F239" i="3"/>
  <c r="H267" i="3"/>
  <c r="W222" i="3"/>
  <c r="U222" i="3"/>
  <c r="Y226" i="3"/>
  <c r="Q222" i="3"/>
  <c r="O222" i="3"/>
  <c r="M222" i="3"/>
  <c r="J222" i="3"/>
  <c r="H222" i="3"/>
  <c r="F222" i="3"/>
  <c r="W214" i="3"/>
  <c r="U214" i="3"/>
  <c r="S214" i="3"/>
  <c r="Y215" i="3"/>
  <c r="Q214" i="3"/>
  <c r="O214" i="3"/>
  <c r="M214" i="3"/>
  <c r="J214" i="3"/>
  <c r="H214" i="3"/>
  <c r="F214" i="3"/>
  <c r="S206" i="3"/>
  <c r="S199" i="3" s="1"/>
  <c r="Y199" i="3" s="1"/>
  <c r="Y213" i="3"/>
  <c r="S205" i="3"/>
  <c r="S197" i="3" s="1"/>
  <c r="Y197" i="3" s="1"/>
  <c r="Y209" i="3"/>
  <c r="W204" i="3"/>
  <c r="U204" i="3"/>
  <c r="O204" i="3"/>
  <c r="M204" i="3"/>
  <c r="S119" i="3"/>
  <c r="Y119" i="3" s="1"/>
  <c r="Y158" i="3"/>
  <c r="S118" i="3"/>
  <c r="Y118" i="3" s="1"/>
  <c r="Y157" i="3"/>
  <c r="S120" i="3"/>
  <c r="Y120" i="3" s="1"/>
  <c r="Y149" i="3"/>
  <c r="W117" i="3"/>
  <c r="U117" i="3"/>
  <c r="S117" i="3"/>
  <c r="Y129" i="3"/>
  <c r="Q117" i="3"/>
  <c r="O117" i="3"/>
  <c r="M117" i="3"/>
  <c r="J117" i="3"/>
  <c r="H117" i="3"/>
  <c r="F117" i="3"/>
  <c r="W116" i="3"/>
  <c r="U116" i="3"/>
  <c r="Y122" i="3"/>
  <c r="Q116" i="3"/>
  <c r="O116" i="3"/>
  <c r="J116" i="3"/>
  <c r="H116" i="3"/>
  <c r="F116" i="3"/>
  <c r="W107" i="3"/>
  <c r="U107" i="3"/>
  <c r="Q107" i="3"/>
  <c r="O107" i="3"/>
  <c r="M107" i="3"/>
  <c r="S27" i="3"/>
  <c r="Y27" i="3" s="1"/>
  <c r="Y106" i="3"/>
  <c r="S25" i="3"/>
  <c r="Y25" i="3" s="1"/>
  <c r="Y101" i="3"/>
  <c r="J21" i="3"/>
  <c r="W18" i="3"/>
  <c r="U18" i="3"/>
  <c r="Q18" i="3"/>
  <c r="O18" i="3"/>
  <c r="M18" i="3"/>
  <c r="J18" i="3"/>
  <c r="H18" i="3"/>
  <c r="F18" i="3"/>
  <c r="Y68" i="3"/>
  <c r="J24" i="3"/>
  <c r="H24" i="3"/>
  <c r="F24" i="3"/>
  <c r="W38" i="3"/>
  <c r="Q38" i="3"/>
  <c r="O38" i="3"/>
  <c r="J38" i="3"/>
  <c r="J266" i="3" s="1"/>
  <c r="H38" i="3"/>
  <c r="F38" i="3"/>
  <c r="W30" i="3"/>
  <c r="Q30" i="3"/>
  <c r="O30" i="3"/>
  <c r="J30" i="3"/>
  <c r="H30" i="3"/>
  <c r="F30" i="3"/>
  <c r="W36" i="3"/>
  <c r="W265" i="3" s="1"/>
  <c r="S36" i="3"/>
  <c r="Y46" i="3"/>
  <c r="Q36" i="3"/>
  <c r="Q265" i="3" s="1"/>
  <c r="O36" i="3"/>
  <c r="O265" i="3" s="1"/>
  <c r="J36" i="3"/>
  <c r="J265" i="3" s="1"/>
  <c r="H36" i="3"/>
  <c r="H265" i="3" s="1"/>
  <c r="F36" i="3"/>
  <c r="F265" i="3" s="1"/>
  <c r="J22" i="3"/>
  <c r="H22" i="3"/>
  <c r="F22" i="3"/>
  <c r="H21" i="3"/>
  <c r="F21" i="3"/>
  <c r="Y56" i="3"/>
  <c r="P214" i="3"/>
  <c r="N214" i="3"/>
  <c r="K214" i="3"/>
  <c r="I214" i="3"/>
  <c r="G214" i="3"/>
  <c r="E214" i="3"/>
  <c r="K204" i="3"/>
  <c r="G204" i="3"/>
  <c r="X174" i="3"/>
  <c r="V174" i="3"/>
  <c r="T174" i="3"/>
  <c r="R174" i="3"/>
  <c r="P174" i="3"/>
  <c r="N174" i="3"/>
  <c r="K174" i="3"/>
  <c r="G174" i="3"/>
  <c r="I178" i="3"/>
  <c r="I176" i="3"/>
  <c r="W166" i="3"/>
  <c r="U166" i="3"/>
  <c r="Y167" i="3"/>
  <c r="Q166" i="3"/>
  <c r="O166" i="3"/>
  <c r="M166" i="3"/>
  <c r="J166" i="3"/>
  <c r="H166" i="3"/>
  <c r="F166" i="3"/>
  <c r="W159" i="3"/>
  <c r="O159" i="3"/>
  <c r="J159" i="3"/>
  <c r="H159" i="3"/>
  <c r="F159" i="3"/>
  <c r="I119" i="3"/>
  <c r="I121" i="3"/>
  <c r="X117" i="3"/>
  <c r="V117" i="3"/>
  <c r="T117" i="3"/>
  <c r="R117" i="3"/>
  <c r="P117" i="3"/>
  <c r="N117" i="3"/>
  <c r="K117" i="3"/>
  <c r="I117" i="3"/>
  <c r="G117" i="3"/>
  <c r="E117" i="3"/>
  <c r="X116" i="3"/>
  <c r="V116" i="3"/>
  <c r="T116" i="3"/>
  <c r="R116" i="3"/>
  <c r="P116" i="3"/>
  <c r="N116" i="3"/>
  <c r="K116" i="3"/>
  <c r="I116" i="3"/>
  <c r="G116" i="3"/>
  <c r="E116" i="3"/>
  <c r="X107" i="3"/>
  <c r="V107" i="3"/>
  <c r="T107" i="3"/>
  <c r="R107" i="3"/>
  <c r="P107" i="3"/>
  <c r="N107" i="3"/>
  <c r="K107" i="3"/>
  <c r="G107" i="3"/>
  <c r="I27" i="3"/>
  <c r="I33" i="3"/>
  <c r="I29" i="3"/>
  <c r="I35" i="3"/>
  <c r="I37" i="3"/>
  <c r="V24" i="3"/>
  <c r="R24" i="3"/>
  <c r="N24" i="3"/>
  <c r="I23" i="3"/>
  <c r="X38" i="3"/>
  <c r="V38" i="3"/>
  <c r="T38" i="3"/>
  <c r="R38" i="3"/>
  <c r="P38" i="3"/>
  <c r="N38" i="3"/>
  <c r="K38" i="3"/>
  <c r="G38" i="3"/>
  <c r="X30" i="3"/>
  <c r="V30" i="3"/>
  <c r="T30" i="3"/>
  <c r="R30" i="3"/>
  <c r="P30" i="3"/>
  <c r="N30" i="3"/>
  <c r="K30" i="3"/>
  <c r="G30" i="3"/>
  <c r="X36" i="3"/>
  <c r="X265" i="3" s="1"/>
  <c r="V36" i="3"/>
  <c r="V265" i="3" s="1"/>
  <c r="T36" i="3"/>
  <c r="T265" i="3" s="1"/>
  <c r="R36" i="3"/>
  <c r="R265" i="3" s="1"/>
  <c r="P36" i="3"/>
  <c r="P265" i="3" s="1"/>
  <c r="N36" i="3"/>
  <c r="N265" i="3" s="1"/>
  <c r="K36" i="3"/>
  <c r="K265" i="3" s="1"/>
  <c r="G36" i="3"/>
  <c r="G265" i="3" s="1"/>
  <c r="V22" i="3"/>
  <c r="R22" i="3"/>
  <c r="N22" i="3"/>
  <c r="X21" i="3"/>
  <c r="T21" i="3"/>
  <c r="P21" i="3"/>
  <c r="I38" i="3"/>
  <c r="I36" i="3"/>
  <c r="I30" i="3"/>
  <c r="I28" i="3"/>
  <c r="V18" i="3"/>
  <c r="R18" i="3"/>
  <c r="N18" i="3"/>
  <c r="K18" i="3"/>
  <c r="I18" i="3"/>
  <c r="G18" i="3"/>
  <c r="E18" i="3"/>
  <c r="F267" i="3"/>
  <c r="J267" i="3"/>
  <c r="R253" i="3"/>
  <c r="W267" i="3"/>
  <c r="U267" i="3"/>
  <c r="Q267" i="3"/>
  <c r="O267" i="3"/>
  <c r="M267" i="3"/>
  <c r="K267" i="3"/>
  <c r="G267" i="3"/>
  <c r="E267" i="3"/>
  <c r="W253" i="3"/>
  <c r="U253" i="3"/>
  <c r="Q253" i="3"/>
  <c r="O253" i="3"/>
  <c r="M253" i="3"/>
  <c r="K253" i="3"/>
  <c r="G253" i="3"/>
  <c r="E253" i="3"/>
  <c r="K264" i="3"/>
  <c r="G264" i="3"/>
  <c r="E264" i="3"/>
  <c r="X204" i="3"/>
  <c r="V204" i="3"/>
  <c r="T204" i="3"/>
  <c r="R204" i="3"/>
  <c r="P204" i="3"/>
  <c r="N204" i="3"/>
  <c r="J204" i="3"/>
  <c r="H204" i="3"/>
  <c r="F204" i="3"/>
  <c r="I107" i="3"/>
  <c r="E107" i="3"/>
  <c r="J107" i="3"/>
  <c r="H107" i="3"/>
  <c r="F107" i="3"/>
  <c r="W24" i="3"/>
  <c r="U24" i="3"/>
  <c r="Q24" i="3"/>
  <c r="O24" i="3"/>
  <c r="M24" i="3"/>
  <c r="K24" i="3"/>
  <c r="I24" i="3"/>
  <c r="G24" i="3"/>
  <c r="E24" i="3"/>
  <c r="W22" i="3"/>
  <c r="U22" i="3"/>
  <c r="Q22" i="3"/>
  <c r="O22" i="3"/>
  <c r="M22" i="3"/>
  <c r="K22" i="3"/>
  <c r="I22" i="3"/>
  <c r="G22" i="3"/>
  <c r="E22" i="3"/>
  <c r="W21" i="3"/>
  <c r="U21" i="3"/>
  <c r="Q21" i="3"/>
  <c r="O21" i="3"/>
  <c r="M21" i="3"/>
  <c r="K21" i="3"/>
  <c r="I21" i="3"/>
  <c r="G21" i="3"/>
  <c r="E21" i="3"/>
  <c r="F237" i="3" l="1"/>
  <c r="O237" i="3"/>
  <c r="J237" i="3"/>
  <c r="R263" i="3"/>
  <c r="I253" i="3"/>
  <c r="G266" i="3"/>
  <c r="W237" i="3"/>
  <c r="Q266" i="3"/>
  <c r="O196" i="3"/>
  <c r="N237" i="3"/>
  <c r="E237" i="3"/>
  <c r="Y205" i="3"/>
  <c r="E196" i="3"/>
  <c r="J196" i="3"/>
  <c r="V237" i="3"/>
  <c r="N196" i="3"/>
  <c r="F196" i="3"/>
  <c r="F262" i="3" s="1"/>
  <c r="P196" i="3"/>
  <c r="X196" i="3"/>
  <c r="P263" i="3"/>
  <c r="E266" i="3"/>
  <c r="Y36" i="3"/>
  <c r="U266" i="3"/>
  <c r="I264" i="3"/>
  <c r="W196" i="3"/>
  <c r="M237" i="3"/>
  <c r="R237" i="3"/>
  <c r="M266" i="3"/>
  <c r="H237" i="3"/>
  <c r="Q237" i="3"/>
  <c r="G263" i="3"/>
  <c r="O263" i="3"/>
  <c r="T196" i="3"/>
  <c r="F266" i="3"/>
  <c r="R196" i="3"/>
  <c r="R262" i="3" s="1"/>
  <c r="K196" i="3"/>
  <c r="G196" i="3"/>
  <c r="F263" i="3"/>
  <c r="O266" i="3"/>
  <c r="M196" i="3"/>
  <c r="I265" i="3"/>
  <c r="W263" i="3"/>
  <c r="U196" i="3"/>
  <c r="U237" i="3"/>
  <c r="V196" i="3"/>
  <c r="G237" i="3"/>
  <c r="P237" i="3"/>
  <c r="P262" i="3" s="1"/>
  <c r="X237" i="3"/>
  <c r="K266" i="3"/>
  <c r="H263" i="3"/>
  <c r="Q196" i="3"/>
  <c r="Q262" i="3" s="1"/>
  <c r="K263" i="3"/>
  <c r="J263" i="3"/>
  <c r="W266" i="3"/>
  <c r="Y240" i="3"/>
  <c r="T237" i="3"/>
  <c r="O262" i="3"/>
  <c r="H196" i="3"/>
  <c r="Y206" i="3"/>
  <c r="Y256" i="3"/>
  <c r="N263" i="3"/>
  <c r="V263" i="3"/>
  <c r="T263" i="3"/>
  <c r="X263" i="3"/>
  <c r="K237" i="3"/>
  <c r="I237" i="3"/>
  <c r="E262" i="3"/>
  <c r="I196" i="3"/>
  <c r="P266" i="3"/>
  <c r="T266" i="3"/>
  <c r="X266" i="3"/>
  <c r="N266" i="3"/>
  <c r="R266" i="3"/>
  <c r="V266" i="3"/>
  <c r="H266" i="3"/>
  <c r="Y117" i="3"/>
  <c r="Y214" i="3"/>
  <c r="I200" i="3"/>
  <c r="I238" i="3"/>
  <c r="I254" i="3"/>
  <c r="I263" i="3" s="1"/>
  <c r="E263" i="3"/>
  <c r="M263" i="3"/>
  <c r="Q263" i="3"/>
  <c r="U263" i="3"/>
  <c r="J262" i="3" l="1"/>
  <c r="W262" i="3"/>
  <c r="T262" i="3"/>
  <c r="H262" i="3"/>
  <c r="G262" i="3"/>
  <c r="X262" i="3"/>
  <c r="U262" i="3"/>
  <c r="N262" i="3"/>
  <c r="K262" i="3"/>
  <c r="I262" i="3"/>
  <c r="V262" i="3"/>
  <c r="I267" i="3"/>
  <c r="I266" i="3"/>
  <c r="M242" i="1" l="1"/>
  <c r="M278" i="1"/>
  <c r="M290" i="1"/>
  <c r="L331" i="1"/>
  <c r="I325" i="1"/>
  <c r="I324" i="1" s="1"/>
  <c r="J325" i="1"/>
  <c r="K325" i="1"/>
  <c r="K324" i="1" s="1"/>
  <c r="L325" i="1"/>
  <c r="L324" i="1" s="1"/>
  <c r="P325" i="1"/>
  <c r="P324" i="1" s="1"/>
  <c r="Q325" i="1"/>
  <c r="Q324" i="1" s="1"/>
  <c r="R325" i="1"/>
  <c r="R324" i="1" s="1"/>
  <c r="U325" i="1"/>
  <c r="U324" i="1" s="1"/>
  <c r="V325" i="1"/>
  <c r="V324" i="1" s="1"/>
  <c r="W325" i="1"/>
  <c r="W324" i="1" s="1"/>
  <c r="X325" i="1"/>
  <c r="X324" i="1" s="1"/>
  <c r="Y325" i="1"/>
  <c r="Y324" i="1" s="1"/>
  <c r="I316" i="1"/>
  <c r="I315" i="1" s="1"/>
  <c r="J316" i="1"/>
  <c r="J315" i="1" s="1"/>
  <c r="K316" i="1"/>
  <c r="K315" i="1" s="1"/>
  <c r="L316" i="1"/>
  <c r="L315" i="1" s="1"/>
  <c r="Q316" i="1"/>
  <c r="Q315" i="1" s="1"/>
  <c r="R316" i="1"/>
  <c r="R315" i="1" s="1"/>
  <c r="U316" i="1"/>
  <c r="U315" i="1" s="1"/>
  <c r="V316" i="1"/>
  <c r="V315" i="1" s="1"/>
  <c r="W316" i="1"/>
  <c r="W315" i="1" s="1"/>
  <c r="X316" i="1"/>
  <c r="X315" i="1" s="1"/>
  <c r="Y316" i="1"/>
  <c r="Y315" i="1" s="1"/>
  <c r="I307" i="1"/>
  <c r="I306" i="1" s="1"/>
  <c r="J307" i="1"/>
  <c r="K307" i="1"/>
  <c r="K306" i="1" s="1"/>
  <c r="L307" i="1"/>
  <c r="L306" i="1" s="1"/>
  <c r="O307" i="1"/>
  <c r="O306" i="1" s="1"/>
  <c r="Q307" i="1"/>
  <c r="Q306" i="1" s="1"/>
  <c r="R307" i="1"/>
  <c r="R306" i="1" s="1"/>
  <c r="U307" i="1"/>
  <c r="U306" i="1" s="1"/>
  <c r="V307" i="1"/>
  <c r="V306" i="1" s="1"/>
  <c r="W307" i="1"/>
  <c r="W306" i="1" s="1"/>
  <c r="X307" i="1"/>
  <c r="X306" i="1" s="1"/>
  <c r="Y307" i="1"/>
  <c r="Y306" i="1" s="1"/>
  <c r="I303" i="1"/>
  <c r="I302" i="1" s="1"/>
  <c r="J303" i="1"/>
  <c r="K303" i="1"/>
  <c r="K302" i="1" s="1"/>
  <c r="L303" i="1"/>
  <c r="L302" i="1" s="1"/>
  <c r="P303" i="1"/>
  <c r="P302" i="1" s="1"/>
  <c r="Q303" i="1"/>
  <c r="Q302" i="1" s="1"/>
  <c r="R303" i="1"/>
  <c r="R302" i="1" s="1"/>
  <c r="U303" i="1"/>
  <c r="U302" i="1" s="1"/>
  <c r="V303" i="1"/>
  <c r="V302" i="1" s="1"/>
  <c r="W303" i="1"/>
  <c r="W302" i="1" s="1"/>
  <c r="X303" i="1"/>
  <c r="X302" i="1" s="1"/>
  <c r="Y303" i="1"/>
  <c r="Y302" i="1" s="1"/>
  <c r="H299" i="1"/>
  <c r="H298" i="1" s="1"/>
  <c r="I299" i="1"/>
  <c r="I298" i="1" s="1"/>
  <c r="J299" i="1"/>
  <c r="K299" i="1"/>
  <c r="K298" i="1" s="1"/>
  <c r="L299" i="1"/>
  <c r="L298" i="1" s="1"/>
  <c r="P299" i="1"/>
  <c r="P298" i="1" s="1"/>
  <c r="Q299" i="1"/>
  <c r="Q298" i="1" s="1"/>
  <c r="R299" i="1"/>
  <c r="R298" i="1" s="1"/>
  <c r="U299" i="1"/>
  <c r="U298" i="1" s="1"/>
  <c r="V299" i="1"/>
  <c r="V298" i="1" s="1"/>
  <c r="W299" i="1"/>
  <c r="W298" i="1" s="1"/>
  <c r="X299" i="1"/>
  <c r="X298" i="1" s="1"/>
  <c r="Y299" i="1"/>
  <c r="Y298" i="1" s="1"/>
  <c r="I296" i="1"/>
  <c r="I295" i="1" s="1"/>
  <c r="J296" i="1"/>
  <c r="J295" i="1" s="1"/>
  <c r="K296" i="1"/>
  <c r="K295" i="1" s="1"/>
  <c r="L296" i="1"/>
  <c r="L295" i="1" s="1"/>
  <c r="O296" i="1"/>
  <c r="O295" i="1" s="1"/>
  <c r="P296" i="1"/>
  <c r="P295" i="1" s="1"/>
  <c r="Q296" i="1"/>
  <c r="Q295" i="1" s="1"/>
  <c r="R296" i="1"/>
  <c r="R295" i="1" s="1"/>
  <c r="S296" i="1"/>
  <c r="S295" i="1" s="1"/>
  <c r="U296" i="1"/>
  <c r="U295" i="1" s="1"/>
  <c r="V296" i="1"/>
  <c r="V295" i="1" s="1"/>
  <c r="W296" i="1"/>
  <c r="W295" i="1" s="1"/>
  <c r="X296" i="1"/>
  <c r="X295" i="1" s="1"/>
  <c r="Y296" i="1"/>
  <c r="Y295" i="1" s="1"/>
  <c r="K291" i="1"/>
  <c r="G292" i="1"/>
  <c r="G291" i="1" s="1"/>
  <c r="H292" i="1"/>
  <c r="H291" i="1" s="1"/>
  <c r="I292" i="1"/>
  <c r="I291" i="1" s="1"/>
  <c r="J292" i="1"/>
  <c r="J291" i="1" s="1"/>
  <c r="K292" i="1"/>
  <c r="L292" i="1"/>
  <c r="L291" i="1" s="1"/>
  <c r="O292" i="1"/>
  <c r="O291" i="1" s="1"/>
  <c r="P292" i="1"/>
  <c r="P291" i="1" s="1"/>
  <c r="Q292" i="1"/>
  <c r="Q291" i="1" s="1"/>
  <c r="R292" i="1"/>
  <c r="R291" i="1" s="1"/>
  <c r="S292" i="1"/>
  <c r="S291" i="1" s="1"/>
  <c r="U292" i="1"/>
  <c r="U291" i="1" s="1"/>
  <c r="V292" i="1"/>
  <c r="V291" i="1" s="1"/>
  <c r="W292" i="1"/>
  <c r="W291" i="1" s="1"/>
  <c r="X292" i="1"/>
  <c r="X291" i="1" s="1"/>
  <c r="Y292" i="1"/>
  <c r="Y291" i="1" s="1"/>
  <c r="H262" i="1"/>
  <c r="H261" i="1" s="1"/>
  <c r="I262" i="1"/>
  <c r="I261" i="1" s="1"/>
  <c r="J262" i="1"/>
  <c r="J261" i="1" s="1"/>
  <c r="K262" i="1"/>
  <c r="K261" i="1" s="1"/>
  <c r="L262" i="1"/>
  <c r="L261" i="1" s="1"/>
  <c r="P262" i="1"/>
  <c r="P261" i="1" s="1"/>
  <c r="Q262" i="1"/>
  <c r="Q261" i="1" s="1"/>
  <c r="R262" i="1"/>
  <c r="R261" i="1" s="1"/>
  <c r="U262" i="1"/>
  <c r="U261" i="1" s="1"/>
  <c r="V262" i="1"/>
  <c r="V261" i="1" s="1"/>
  <c r="W262" i="1"/>
  <c r="W261" i="1" s="1"/>
  <c r="X262" i="1"/>
  <c r="X261" i="1" s="1"/>
  <c r="Y262" i="1"/>
  <c r="Y261" i="1" s="1"/>
  <c r="F263" i="1"/>
  <c r="G263" i="1"/>
  <c r="H263" i="1"/>
  <c r="I263" i="1"/>
  <c r="J263" i="1"/>
  <c r="K263" i="1"/>
  <c r="L263" i="1"/>
  <c r="P263" i="1"/>
  <c r="Q263" i="1"/>
  <c r="R263" i="1"/>
  <c r="U263" i="1"/>
  <c r="V263" i="1"/>
  <c r="W263" i="1"/>
  <c r="X263" i="1"/>
  <c r="Y263" i="1"/>
  <c r="F264" i="1"/>
  <c r="G264" i="1"/>
  <c r="H264" i="1"/>
  <c r="I264" i="1"/>
  <c r="J264" i="1"/>
  <c r="K264" i="1"/>
  <c r="L264" i="1"/>
  <c r="P264" i="1"/>
  <c r="Q264" i="1"/>
  <c r="R264" i="1"/>
  <c r="U264" i="1"/>
  <c r="V264" i="1"/>
  <c r="W264" i="1"/>
  <c r="W329" i="1" s="1"/>
  <c r="X264" i="1"/>
  <c r="Y264" i="1"/>
  <c r="F265" i="1"/>
  <c r="G265" i="1"/>
  <c r="H265" i="1"/>
  <c r="I265" i="1"/>
  <c r="J265" i="1"/>
  <c r="K265" i="1"/>
  <c r="L265" i="1"/>
  <c r="O265" i="1"/>
  <c r="P265" i="1"/>
  <c r="Q265" i="1"/>
  <c r="R265" i="1"/>
  <c r="S265" i="1"/>
  <c r="U265" i="1"/>
  <c r="V265" i="1"/>
  <c r="W265" i="1"/>
  <c r="X265" i="1"/>
  <c r="Y265" i="1"/>
  <c r="F266" i="1"/>
  <c r="F332" i="1" s="1"/>
  <c r="G266" i="1"/>
  <c r="H266" i="1"/>
  <c r="H332" i="1" s="1"/>
  <c r="I266" i="1"/>
  <c r="J266" i="1"/>
  <c r="J332" i="1" s="1"/>
  <c r="K266" i="1"/>
  <c r="L266" i="1"/>
  <c r="L332" i="1" s="1"/>
  <c r="O266" i="1"/>
  <c r="P266" i="1"/>
  <c r="Q266" i="1"/>
  <c r="R266" i="1"/>
  <c r="S266" i="1"/>
  <c r="U266" i="1"/>
  <c r="U332" i="1" s="1"/>
  <c r="V266" i="1"/>
  <c r="W266" i="1"/>
  <c r="W332" i="1" s="1"/>
  <c r="X266" i="1"/>
  <c r="Y266" i="1"/>
  <c r="Y332" i="1" s="1"/>
  <c r="F267" i="1"/>
  <c r="G267" i="1"/>
  <c r="H267" i="1"/>
  <c r="I267" i="1"/>
  <c r="J267" i="1"/>
  <c r="K267" i="1"/>
  <c r="L267" i="1"/>
  <c r="O267" i="1"/>
  <c r="P267" i="1"/>
  <c r="Q267" i="1"/>
  <c r="Q332" i="1" s="1"/>
  <c r="R267" i="1"/>
  <c r="S267" i="1"/>
  <c r="U267" i="1"/>
  <c r="V267" i="1"/>
  <c r="W267" i="1"/>
  <c r="X267" i="1"/>
  <c r="Y267" i="1"/>
  <c r="J213" i="1"/>
  <c r="J212" i="1" s="1"/>
  <c r="K213" i="1"/>
  <c r="K212" i="1" s="1"/>
  <c r="L213" i="1"/>
  <c r="L212" i="1" s="1"/>
  <c r="Q213" i="1"/>
  <c r="Q212" i="1" s="1"/>
  <c r="R213" i="1"/>
  <c r="R212" i="1" s="1"/>
  <c r="U213" i="1"/>
  <c r="U212" i="1" s="1"/>
  <c r="V213" i="1"/>
  <c r="V212" i="1" s="1"/>
  <c r="W213" i="1"/>
  <c r="W212" i="1" s="1"/>
  <c r="X213" i="1"/>
  <c r="X212" i="1" s="1"/>
  <c r="Y213" i="1"/>
  <c r="Y212" i="1" s="1"/>
  <c r="F214" i="1"/>
  <c r="G214" i="1"/>
  <c r="H214" i="1"/>
  <c r="I214" i="1"/>
  <c r="J214" i="1"/>
  <c r="K214" i="1"/>
  <c r="L214" i="1"/>
  <c r="O214" i="1"/>
  <c r="P214" i="1"/>
  <c r="Q214" i="1"/>
  <c r="R214" i="1"/>
  <c r="S214" i="1"/>
  <c r="U214" i="1"/>
  <c r="V214" i="1"/>
  <c r="W214" i="1"/>
  <c r="X214" i="1"/>
  <c r="Y214" i="1"/>
  <c r="F215" i="1"/>
  <c r="G215" i="1"/>
  <c r="H215" i="1"/>
  <c r="I215" i="1"/>
  <c r="J215" i="1"/>
  <c r="K215" i="1"/>
  <c r="L215" i="1"/>
  <c r="O215" i="1"/>
  <c r="P215" i="1"/>
  <c r="Q215" i="1"/>
  <c r="R215" i="1"/>
  <c r="U215" i="1"/>
  <c r="V215" i="1"/>
  <c r="W215" i="1"/>
  <c r="X215" i="1"/>
  <c r="Y215" i="1"/>
  <c r="F216" i="1"/>
  <c r="G216" i="1"/>
  <c r="H216" i="1"/>
  <c r="I216" i="1"/>
  <c r="J216" i="1"/>
  <c r="K216" i="1"/>
  <c r="L216" i="1"/>
  <c r="P216" i="1"/>
  <c r="Q216" i="1"/>
  <c r="R216" i="1"/>
  <c r="U216" i="1"/>
  <c r="V216" i="1"/>
  <c r="W216" i="1"/>
  <c r="X216" i="1"/>
  <c r="Y216" i="1"/>
  <c r="F217" i="1"/>
  <c r="G217" i="1"/>
  <c r="H217" i="1"/>
  <c r="I217" i="1"/>
  <c r="J217" i="1"/>
  <c r="K217" i="1"/>
  <c r="L217" i="1"/>
  <c r="O217" i="1"/>
  <c r="P217" i="1"/>
  <c r="Q217" i="1"/>
  <c r="R217" i="1"/>
  <c r="S217" i="1"/>
  <c r="U217" i="1"/>
  <c r="U330" i="1" s="1"/>
  <c r="V217" i="1"/>
  <c r="W217" i="1"/>
  <c r="X217" i="1"/>
  <c r="Y217" i="1"/>
  <c r="F218" i="1"/>
  <c r="G218" i="1"/>
  <c r="H218" i="1"/>
  <c r="I218" i="1"/>
  <c r="J218" i="1"/>
  <c r="K218" i="1"/>
  <c r="L218" i="1"/>
  <c r="P218" i="1"/>
  <c r="Q218" i="1"/>
  <c r="R218" i="1"/>
  <c r="U218" i="1"/>
  <c r="V218" i="1"/>
  <c r="W218" i="1"/>
  <c r="X218" i="1"/>
  <c r="Y218" i="1"/>
  <c r="F219" i="1"/>
  <c r="G219" i="1"/>
  <c r="H219" i="1"/>
  <c r="I219" i="1"/>
  <c r="J219" i="1"/>
  <c r="K219" i="1"/>
  <c r="L219" i="1"/>
  <c r="P219" i="1"/>
  <c r="Q219" i="1"/>
  <c r="R219" i="1"/>
  <c r="U219" i="1"/>
  <c r="V219" i="1"/>
  <c r="W219" i="1"/>
  <c r="X219" i="1"/>
  <c r="Y219" i="1"/>
  <c r="H203" i="1"/>
  <c r="H202" i="1" s="1"/>
  <c r="I203" i="1"/>
  <c r="I202" i="1" s="1"/>
  <c r="J203" i="1"/>
  <c r="J202" i="1" s="1"/>
  <c r="K203" i="1"/>
  <c r="K202" i="1" s="1"/>
  <c r="L203" i="1"/>
  <c r="L202" i="1" s="1"/>
  <c r="P203" i="1"/>
  <c r="P202" i="1" s="1"/>
  <c r="Q203" i="1"/>
  <c r="Q202" i="1" s="1"/>
  <c r="R203" i="1"/>
  <c r="R202" i="1" s="1"/>
  <c r="U203" i="1"/>
  <c r="U202" i="1" s="1"/>
  <c r="V203" i="1"/>
  <c r="V202" i="1" s="1"/>
  <c r="W203" i="1"/>
  <c r="W202" i="1" s="1"/>
  <c r="X203" i="1"/>
  <c r="X202" i="1" s="1"/>
  <c r="Y203" i="1"/>
  <c r="Y202" i="1" s="1"/>
  <c r="H197" i="1"/>
  <c r="H196" i="1" s="1"/>
  <c r="I197" i="1"/>
  <c r="I196" i="1" s="1"/>
  <c r="J197" i="1"/>
  <c r="J196" i="1" s="1"/>
  <c r="K197" i="1"/>
  <c r="K196" i="1" s="1"/>
  <c r="L197" i="1"/>
  <c r="L196" i="1" s="1"/>
  <c r="P197" i="1"/>
  <c r="P196" i="1" s="1"/>
  <c r="Q197" i="1"/>
  <c r="Q196" i="1" s="1"/>
  <c r="R197" i="1"/>
  <c r="R196" i="1" s="1"/>
  <c r="U197" i="1"/>
  <c r="U196" i="1" s="1"/>
  <c r="V197" i="1"/>
  <c r="V196" i="1" s="1"/>
  <c r="W197" i="1"/>
  <c r="W196" i="1" s="1"/>
  <c r="X197" i="1"/>
  <c r="X196" i="1" s="1"/>
  <c r="Y197" i="1"/>
  <c r="Y196" i="1" s="1"/>
  <c r="I157" i="1"/>
  <c r="I156" i="1" s="1"/>
  <c r="J157" i="1"/>
  <c r="J156" i="1" s="1"/>
  <c r="K157" i="1"/>
  <c r="K156" i="1" s="1"/>
  <c r="L157" i="1"/>
  <c r="L156" i="1" s="1"/>
  <c r="P157" i="1"/>
  <c r="P156" i="1" s="1"/>
  <c r="Q157" i="1"/>
  <c r="Q156" i="1" s="1"/>
  <c r="R157" i="1"/>
  <c r="R156" i="1" s="1"/>
  <c r="U157" i="1"/>
  <c r="U156" i="1" s="1"/>
  <c r="V157" i="1"/>
  <c r="V156" i="1" s="1"/>
  <c r="W157" i="1"/>
  <c r="W156" i="1" s="1"/>
  <c r="X157" i="1"/>
  <c r="X156" i="1" s="1"/>
  <c r="Y157" i="1"/>
  <c r="Y156" i="1" s="1"/>
  <c r="G158" i="1"/>
  <c r="H158" i="1"/>
  <c r="H331" i="1" s="1"/>
  <c r="I158" i="1"/>
  <c r="J158" i="1"/>
  <c r="K158" i="1"/>
  <c r="L158" i="1"/>
  <c r="O158" i="1"/>
  <c r="P158" i="1"/>
  <c r="Q158" i="1"/>
  <c r="R158" i="1"/>
  <c r="S158" i="1"/>
  <c r="U158" i="1"/>
  <c r="V158" i="1"/>
  <c r="W158" i="1"/>
  <c r="X158" i="1"/>
  <c r="Y158" i="1"/>
  <c r="G159" i="1"/>
  <c r="H159" i="1"/>
  <c r="I159" i="1"/>
  <c r="J159" i="1"/>
  <c r="K159" i="1"/>
  <c r="L159" i="1"/>
  <c r="O159" i="1"/>
  <c r="P159" i="1"/>
  <c r="Q159" i="1"/>
  <c r="Q329" i="1" s="1"/>
  <c r="R159" i="1"/>
  <c r="S159" i="1"/>
  <c r="U159" i="1"/>
  <c r="V159" i="1"/>
  <c r="W159" i="1"/>
  <c r="X159" i="1"/>
  <c r="Y159" i="1"/>
  <c r="F160" i="1"/>
  <c r="G160" i="1"/>
  <c r="H160" i="1"/>
  <c r="I160" i="1"/>
  <c r="J160" i="1"/>
  <c r="K160" i="1"/>
  <c r="L160" i="1"/>
  <c r="O160" i="1"/>
  <c r="P160" i="1"/>
  <c r="Q160" i="1"/>
  <c r="R160" i="1"/>
  <c r="S160" i="1"/>
  <c r="U160" i="1"/>
  <c r="V160" i="1"/>
  <c r="W160" i="1"/>
  <c r="X160" i="1"/>
  <c r="Y160" i="1"/>
  <c r="H161" i="1"/>
  <c r="I161" i="1"/>
  <c r="J161" i="1"/>
  <c r="K161" i="1"/>
  <c r="L161" i="1"/>
  <c r="O161" i="1"/>
  <c r="P161" i="1"/>
  <c r="Q161" i="1"/>
  <c r="R161" i="1"/>
  <c r="S161" i="1"/>
  <c r="U161" i="1"/>
  <c r="V161" i="1"/>
  <c r="W161" i="1"/>
  <c r="X161" i="1"/>
  <c r="Y161" i="1"/>
  <c r="F162" i="1"/>
  <c r="G162" i="1"/>
  <c r="H162" i="1"/>
  <c r="I162" i="1"/>
  <c r="J162" i="1"/>
  <c r="K162" i="1"/>
  <c r="L162" i="1"/>
  <c r="P162" i="1"/>
  <c r="Q162" i="1"/>
  <c r="R162" i="1"/>
  <c r="U162" i="1"/>
  <c r="V162" i="1"/>
  <c r="W162" i="1"/>
  <c r="X162" i="1"/>
  <c r="Y162" i="1"/>
  <c r="H141" i="1"/>
  <c r="H140" i="1" s="1"/>
  <c r="J141" i="1"/>
  <c r="J140" i="1" s="1"/>
  <c r="K141" i="1"/>
  <c r="K140" i="1" s="1"/>
  <c r="L141" i="1"/>
  <c r="L140" i="1" s="1"/>
  <c r="P141" i="1"/>
  <c r="P140" i="1" s="1"/>
  <c r="Q141" i="1"/>
  <c r="Q140" i="1" s="1"/>
  <c r="R141" i="1"/>
  <c r="R140" i="1" s="1"/>
  <c r="U141" i="1"/>
  <c r="U140" i="1" s="1"/>
  <c r="V141" i="1"/>
  <c r="V140" i="1" s="1"/>
  <c r="W141" i="1"/>
  <c r="W140" i="1" s="1"/>
  <c r="X141" i="1"/>
  <c r="X140" i="1" s="1"/>
  <c r="Y141" i="1"/>
  <c r="Y140" i="1" s="1"/>
  <c r="G142" i="1"/>
  <c r="H142" i="1"/>
  <c r="I142" i="1"/>
  <c r="J142" i="1"/>
  <c r="K142" i="1"/>
  <c r="L142" i="1"/>
  <c r="O142" i="1"/>
  <c r="P142" i="1"/>
  <c r="Q142" i="1"/>
  <c r="R142" i="1"/>
  <c r="S142" i="1"/>
  <c r="U142" i="1"/>
  <c r="V142" i="1"/>
  <c r="W142" i="1"/>
  <c r="X142" i="1"/>
  <c r="Y142" i="1"/>
  <c r="J54" i="1"/>
  <c r="J53" i="1" s="1"/>
  <c r="K54" i="1"/>
  <c r="K53" i="1" s="1"/>
  <c r="L54" i="1"/>
  <c r="L53" i="1" s="1"/>
  <c r="U54" i="1"/>
  <c r="U53" i="1" s="1"/>
  <c r="V54" i="1"/>
  <c r="V53" i="1" s="1"/>
  <c r="W54" i="1"/>
  <c r="W53" i="1" s="1"/>
  <c r="X54" i="1"/>
  <c r="X53" i="1" s="1"/>
  <c r="Y54" i="1"/>
  <c r="Y53" i="1" s="1"/>
  <c r="H55" i="1"/>
  <c r="I55" i="1"/>
  <c r="J55" i="1"/>
  <c r="K55" i="1"/>
  <c r="L55" i="1"/>
  <c r="O55" i="1"/>
  <c r="P55" i="1"/>
  <c r="Q55" i="1"/>
  <c r="R55" i="1"/>
  <c r="S55" i="1"/>
  <c r="U55" i="1"/>
  <c r="V55" i="1"/>
  <c r="W55" i="1"/>
  <c r="X55" i="1"/>
  <c r="Y55" i="1"/>
  <c r="J56" i="1"/>
  <c r="K56" i="1"/>
  <c r="L56" i="1"/>
  <c r="L328" i="1" s="1"/>
  <c r="U56" i="1"/>
  <c r="V56" i="1"/>
  <c r="W56" i="1"/>
  <c r="X56" i="1"/>
  <c r="Y56" i="1"/>
  <c r="F57" i="1"/>
  <c r="G57" i="1"/>
  <c r="H57" i="1"/>
  <c r="I57" i="1"/>
  <c r="J57" i="1"/>
  <c r="K57" i="1"/>
  <c r="L57" i="1"/>
  <c r="O57" i="1"/>
  <c r="P57" i="1"/>
  <c r="Q57" i="1"/>
  <c r="R57" i="1"/>
  <c r="S57" i="1"/>
  <c r="U57" i="1"/>
  <c r="V57" i="1"/>
  <c r="W57" i="1"/>
  <c r="X57" i="1"/>
  <c r="Y57" i="1"/>
  <c r="H58" i="1"/>
  <c r="I58" i="1"/>
  <c r="J58" i="1"/>
  <c r="K58" i="1"/>
  <c r="L58" i="1"/>
  <c r="O58" i="1"/>
  <c r="P58" i="1"/>
  <c r="Q58" i="1"/>
  <c r="R58" i="1"/>
  <c r="S58" i="1"/>
  <c r="U58" i="1"/>
  <c r="V58" i="1"/>
  <c r="W58" i="1"/>
  <c r="X58" i="1"/>
  <c r="Y58" i="1"/>
  <c r="F59" i="1"/>
  <c r="G59" i="1"/>
  <c r="H59" i="1"/>
  <c r="I59" i="1"/>
  <c r="J59" i="1"/>
  <c r="K59" i="1"/>
  <c r="L59" i="1"/>
  <c r="O59" i="1"/>
  <c r="P59" i="1"/>
  <c r="Q59" i="1"/>
  <c r="R59" i="1"/>
  <c r="S59" i="1"/>
  <c r="U59" i="1"/>
  <c r="V59" i="1"/>
  <c r="W59" i="1"/>
  <c r="W328" i="1" s="1"/>
  <c r="X59" i="1"/>
  <c r="Y59" i="1"/>
  <c r="J60" i="1"/>
  <c r="K60" i="1"/>
  <c r="L60" i="1"/>
  <c r="T60" i="1"/>
  <c r="U60" i="1"/>
  <c r="V60" i="1"/>
  <c r="W60" i="1"/>
  <c r="X60" i="1"/>
  <c r="Y60" i="1"/>
  <c r="F61" i="1"/>
  <c r="G61" i="1"/>
  <c r="H61" i="1"/>
  <c r="I61" i="1"/>
  <c r="J61" i="1"/>
  <c r="K61" i="1"/>
  <c r="L61" i="1"/>
  <c r="O61" i="1"/>
  <c r="P61" i="1"/>
  <c r="Q61" i="1"/>
  <c r="R61" i="1"/>
  <c r="S61" i="1"/>
  <c r="T61" i="1"/>
  <c r="U61" i="1"/>
  <c r="V61" i="1"/>
  <c r="W61" i="1"/>
  <c r="X61" i="1"/>
  <c r="Y61" i="1"/>
  <c r="F62" i="1"/>
  <c r="G62" i="1"/>
  <c r="H62" i="1"/>
  <c r="I62" i="1"/>
  <c r="J62" i="1"/>
  <c r="K62" i="1"/>
  <c r="L62" i="1"/>
  <c r="P62" i="1"/>
  <c r="Q62" i="1"/>
  <c r="R62" i="1"/>
  <c r="U62" i="1"/>
  <c r="V62" i="1"/>
  <c r="W62" i="1"/>
  <c r="X62" i="1"/>
  <c r="Y62" i="1"/>
  <c r="F63" i="1"/>
  <c r="G63" i="1"/>
  <c r="H63" i="1"/>
  <c r="I63" i="1"/>
  <c r="J63" i="1"/>
  <c r="K63" i="1"/>
  <c r="L63" i="1"/>
  <c r="P63" i="1"/>
  <c r="Q63" i="1"/>
  <c r="R63" i="1"/>
  <c r="U63" i="1"/>
  <c r="V63" i="1"/>
  <c r="W63" i="1"/>
  <c r="X63" i="1"/>
  <c r="Y63" i="1"/>
  <c r="F64" i="1"/>
  <c r="G64" i="1"/>
  <c r="H64" i="1"/>
  <c r="I64" i="1"/>
  <c r="J64" i="1"/>
  <c r="K64" i="1"/>
  <c r="L64" i="1"/>
  <c r="O64" i="1"/>
  <c r="Q64" i="1"/>
  <c r="R64" i="1"/>
  <c r="S64" i="1"/>
  <c r="U64" i="1"/>
  <c r="V64" i="1"/>
  <c r="W64" i="1"/>
  <c r="X64" i="1"/>
  <c r="Y64" i="1"/>
  <c r="F65" i="1"/>
  <c r="G65" i="1"/>
  <c r="H65" i="1"/>
  <c r="I65" i="1"/>
  <c r="J65" i="1"/>
  <c r="K65" i="1"/>
  <c r="L65" i="1"/>
  <c r="O65" i="1"/>
  <c r="P65" i="1"/>
  <c r="Q65" i="1"/>
  <c r="R65" i="1"/>
  <c r="S65" i="1"/>
  <c r="U65" i="1"/>
  <c r="V65" i="1"/>
  <c r="W65" i="1"/>
  <c r="X65" i="1"/>
  <c r="Y65" i="1"/>
  <c r="J66" i="1"/>
  <c r="K66" i="1"/>
  <c r="L66" i="1"/>
  <c r="U66" i="1"/>
  <c r="V66" i="1"/>
  <c r="W66" i="1"/>
  <c r="X66" i="1"/>
  <c r="Y66" i="1"/>
  <c r="Y330" i="1" s="1"/>
  <c r="H67" i="1"/>
  <c r="I67" i="1"/>
  <c r="J67" i="1"/>
  <c r="K67" i="1"/>
  <c r="L67" i="1"/>
  <c r="L330" i="1" s="1"/>
  <c r="O67" i="1"/>
  <c r="P67" i="1"/>
  <c r="Q67" i="1"/>
  <c r="R67" i="1"/>
  <c r="S67" i="1"/>
  <c r="U67" i="1"/>
  <c r="V67" i="1"/>
  <c r="W67" i="1"/>
  <c r="W330" i="1" s="1"/>
  <c r="X67" i="1"/>
  <c r="Y67" i="1"/>
  <c r="F68" i="1"/>
  <c r="G68" i="1"/>
  <c r="H68" i="1"/>
  <c r="I68" i="1"/>
  <c r="J68" i="1"/>
  <c r="K68" i="1"/>
  <c r="L68" i="1"/>
  <c r="O68" i="1"/>
  <c r="P68" i="1"/>
  <c r="Q68" i="1"/>
  <c r="R68" i="1"/>
  <c r="S68" i="1"/>
  <c r="U68" i="1"/>
  <c r="V68" i="1"/>
  <c r="W68" i="1"/>
  <c r="X68" i="1"/>
  <c r="Y68" i="1"/>
  <c r="H69" i="1"/>
  <c r="I69" i="1"/>
  <c r="J69" i="1"/>
  <c r="K69" i="1"/>
  <c r="L69" i="1"/>
  <c r="P69" i="1"/>
  <c r="Q69" i="1"/>
  <c r="Q331" i="1" s="1"/>
  <c r="R69" i="1"/>
  <c r="U69" i="1"/>
  <c r="V69" i="1"/>
  <c r="W69" i="1"/>
  <c r="X69" i="1"/>
  <c r="Y69" i="1"/>
  <c r="J17" i="1"/>
  <c r="K17" i="1"/>
  <c r="K16" i="1" s="1"/>
  <c r="L17" i="1"/>
  <c r="L16" i="1" s="1"/>
  <c r="Q17" i="1"/>
  <c r="Q16" i="1" s="1"/>
  <c r="R17" i="1"/>
  <c r="R16" i="1" s="1"/>
  <c r="U17" i="1"/>
  <c r="U16" i="1" s="1"/>
  <c r="V17" i="1"/>
  <c r="V16" i="1" s="1"/>
  <c r="W17" i="1"/>
  <c r="W16" i="1" s="1"/>
  <c r="X17" i="1"/>
  <c r="X16" i="1" s="1"/>
  <c r="Y17" i="1"/>
  <c r="Y16" i="1" s="1"/>
  <c r="G18" i="1"/>
  <c r="H18" i="1"/>
  <c r="I18" i="1"/>
  <c r="J18" i="1"/>
  <c r="K18" i="1"/>
  <c r="L18" i="1"/>
  <c r="O18" i="1"/>
  <c r="P18" i="1"/>
  <c r="Q18" i="1"/>
  <c r="R18" i="1"/>
  <c r="S18" i="1"/>
  <c r="U18" i="1"/>
  <c r="U331" i="1" s="1"/>
  <c r="V18" i="1"/>
  <c r="W18" i="1"/>
  <c r="X18" i="1"/>
  <c r="Y18" i="1"/>
  <c r="T19" i="1"/>
  <c r="T20" i="1"/>
  <c r="T21" i="1"/>
  <c r="T22" i="1"/>
  <c r="T23" i="1"/>
  <c r="T24" i="1"/>
  <c r="S139" i="3" s="1"/>
  <c r="Y139" i="3" s="1"/>
  <c r="T25" i="1"/>
  <c r="T26" i="1"/>
  <c r="T27" i="1"/>
  <c r="T28" i="1"/>
  <c r="T29" i="1"/>
  <c r="T30" i="1"/>
  <c r="T31" i="1"/>
  <c r="T32" i="1"/>
  <c r="S172" i="3" s="1"/>
  <c r="Y172" i="3" s="1"/>
  <c r="T33" i="1"/>
  <c r="T34" i="1"/>
  <c r="T35" i="1"/>
  <c r="T36" i="1"/>
  <c r="T37" i="1"/>
  <c r="T38" i="1"/>
  <c r="T39" i="1"/>
  <c r="S221" i="3" s="1"/>
  <c r="T40" i="1"/>
  <c r="T41" i="1"/>
  <c r="T42" i="1"/>
  <c r="S235" i="3" s="1"/>
  <c r="Y235" i="3" s="1"/>
  <c r="T43" i="1"/>
  <c r="T44" i="1"/>
  <c r="S241" i="3" s="1"/>
  <c r="T45" i="1"/>
  <c r="S242" i="3" s="1"/>
  <c r="Y242" i="3" s="1"/>
  <c r="T47" i="1"/>
  <c r="T48" i="1"/>
  <c r="T49" i="1"/>
  <c r="T50" i="1"/>
  <c r="T51" i="1"/>
  <c r="T52" i="1"/>
  <c r="S261" i="3" s="1"/>
  <c r="T70" i="1"/>
  <c r="T71" i="1"/>
  <c r="S39" i="3" s="1"/>
  <c r="T72" i="1"/>
  <c r="T73" i="1"/>
  <c r="Z73" i="1" s="1"/>
  <c r="T74" i="1"/>
  <c r="S42" i="3" s="1"/>
  <c r="Y42" i="3" s="1"/>
  <c r="T75" i="1"/>
  <c r="S43" i="3" s="1"/>
  <c r="Y43" i="3" s="1"/>
  <c r="T76" i="1"/>
  <c r="T77" i="1"/>
  <c r="T78" i="1"/>
  <c r="T79" i="1"/>
  <c r="T80" i="1"/>
  <c r="T81" i="1"/>
  <c r="T82" i="1"/>
  <c r="Z82" i="1" s="1"/>
  <c r="T83" i="1"/>
  <c r="S51" i="3" s="1"/>
  <c r="Y51" i="3" s="1"/>
  <c r="T84" i="1"/>
  <c r="S53" i="3" s="1"/>
  <c r="Y53" i="3" s="1"/>
  <c r="T85" i="1"/>
  <c r="S54" i="3" s="1"/>
  <c r="T86" i="1"/>
  <c r="T88" i="1"/>
  <c r="T89" i="1"/>
  <c r="T90" i="1"/>
  <c r="T91" i="1"/>
  <c r="S60" i="3" s="1"/>
  <c r="Y60" i="3" s="1"/>
  <c r="T92" i="1"/>
  <c r="T93" i="1"/>
  <c r="S62" i="3" s="1"/>
  <c r="Y62" i="3" s="1"/>
  <c r="T94" i="1"/>
  <c r="T95" i="1"/>
  <c r="T96" i="1"/>
  <c r="S65" i="3" s="1"/>
  <c r="Y65" i="3" s="1"/>
  <c r="T97" i="1"/>
  <c r="S66" i="3" s="1"/>
  <c r="Y66" i="3" s="1"/>
  <c r="T98" i="1"/>
  <c r="S67" i="3" s="1"/>
  <c r="Y67" i="3" s="1"/>
  <c r="T100" i="1"/>
  <c r="T101" i="1"/>
  <c r="T102" i="1"/>
  <c r="T103" i="1"/>
  <c r="S72" i="3" s="1"/>
  <c r="Y72" i="3" s="1"/>
  <c r="T104" i="1"/>
  <c r="S73" i="3" s="1"/>
  <c r="T105" i="1"/>
  <c r="T106" i="1"/>
  <c r="T107" i="1"/>
  <c r="T108" i="1"/>
  <c r="T109" i="1"/>
  <c r="S80" i="3" s="1"/>
  <c r="Y80" i="3" s="1"/>
  <c r="T110" i="1"/>
  <c r="S81" i="3" s="1"/>
  <c r="Y81" i="3" s="1"/>
  <c r="T111" i="1"/>
  <c r="S82" i="3" s="1"/>
  <c r="T112" i="1"/>
  <c r="T113" i="1"/>
  <c r="T114" i="1"/>
  <c r="T115" i="1"/>
  <c r="S86" i="3" s="1"/>
  <c r="Y86" i="3" s="1"/>
  <c r="T116" i="1"/>
  <c r="S87" i="3" s="1"/>
  <c r="Y87" i="3" s="1"/>
  <c r="T117" i="1"/>
  <c r="S88" i="3" s="1"/>
  <c r="Y88" i="3" s="1"/>
  <c r="T118" i="1"/>
  <c r="S89" i="3" s="1"/>
  <c r="Y89" i="3" s="1"/>
  <c r="T119" i="1"/>
  <c r="S90" i="3" s="1"/>
  <c r="T120" i="1"/>
  <c r="T121" i="1"/>
  <c r="S92" i="3" s="1"/>
  <c r="Y92" i="3" s="1"/>
  <c r="T122" i="1"/>
  <c r="S96" i="3" s="1"/>
  <c r="Y96" i="3" s="1"/>
  <c r="T123" i="1"/>
  <c r="S97" i="3" s="1"/>
  <c r="T124" i="1"/>
  <c r="S98" i="3" s="1"/>
  <c r="Y98" i="3" s="1"/>
  <c r="T125" i="1"/>
  <c r="S99" i="3" s="1"/>
  <c r="T126" i="1"/>
  <c r="T127" i="1"/>
  <c r="T128" i="1"/>
  <c r="S102" i="3" s="1"/>
  <c r="Y102" i="3" s="1"/>
  <c r="T129" i="1"/>
  <c r="S103" i="3" s="1"/>
  <c r="T130" i="1"/>
  <c r="T131" i="1"/>
  <c r="T132" i="1"/>
  <c r="T133" i="1"/>
  <c r="T134" i="1"/>
  <c r="T135" i="1"/>
  <c r="T136" i="1"/>
  <c r="S246" i="3" s="1"/>
  <c r="T137" i="1"/>
  <c r="T138" i="1"/>
  <c r="T139" i="1"/>
  <c r="T143" i="1"/>
  <c r="T144" i="1"/>
  <c r="S108" i="3" s="1"/>
  <c r="T145" i="1"/>
  <c r="T146" i="1"/>
  <c r="T147" i="1"/>
  <c r="T148" i="1"/>
  <c r="S112" i="3" s="1"/>
  <c r="Y112" i="3" s="1"/>
  <c r="T149" i="1"/>
  <c r="S113" i="3" s="1"/>
  <c r="Y113" i="3" s="1"/>
  <c r="T150" i="1"/>
  <c r="T151" i="1"/>
  <c r="T152" i="1"/>
  <c r="T153" i="1"/>
  <c r="T154" i="1"/>
  <c r="T155" i="1"/>
  <c r="S260" i="3" s="1"/>
  <c r="T163" i="1"/>
  <c r="T164" i="1"/>
  <c r="T165" i="1"/>
  <c r="T166" i="1"/>
  <c r="T167" i="1"/>
  <c r="T168" i="1"/>
  <c r="T169" i="1"/>
  <c r="T170" i="1"/>
  <c r="Z170" i="1" s="1"/>
  <c r="T171" i="1"/>
  <c r="Z171" i="1" s="1"/>
  <c r="T172" i="1"/>
  <c r="Z172" i="1" s="1"/>
  <c r="T173" i="1"/>
  <c r="Z173" i="1" s="1"/>
  <c r="T174" i="1"/>
  <c r="S132" i="3" s="1"/>
  <c r="T175" i="1"/>
  <c r="S136" i="3" s="1"/>
  <c r="Y136" i="3" s="1"/>
  <c r="T176" i="1"/>
  <c r="T177" i="1"/>
  <c r="Z177" i="1" s="1"/>
  <c r="T178" i="1"/>
  <c r="T179" i="1"/>
  <c r="T180" i="1"/>
  <c r="Z180" i="1" s="1"/>
  <c r="T181" i="1"/>
  <c r="Z181" i="1" s="1"/>
  <c r="T182" i="1"/>
  <c r="T183" i="1"/>
  <c r="Z183" i="1" s="1"/>
  <c r="T184" i="1"/>
  <c r="T185" i="1"/>
  <c r="T186" i="1"/>
  <c r="T187" i="1"/>
  <c r="T188" i="1"/>
  <c r="S151" i="3" s="1"/>
  <c r="Y151" i="3" s="1"/>
  <c r="T189" i="1"/>
  <c r="T190" i="1"/>
  <c r="S154" i="3" s="1"/>
  <c r="Y154" i="3" s="1"/>
  <c r="T191" i="1"/>
  <c r="T192" i="1"/>
  <c r="T193" i="1"/>
  <c r="T194" i="1"/>
  <c r="T195" i="1"/>
  <c r="T198" i="1"/>
  <c r="T199" i="1"/>
  <c r="T200" i="1"/>
  <c r="S134" i="3" s="1"/>
  <c r="Y134" i="3" s="1"/>
  <c r="T201" i="1"/>
  <c r="Z201" i="1" s="1"/>
  <c r="T204" i="1"/>
  <c r="T205" i="1"/>
  <c r="S52" i="3" s="1"/>
  <c r="Y52" i="3" s="1"/>
  <c r="T206" i="1"/>
  <c r="S160" i="3" s="1"/>
  <c r="T207" i="1"/>
  <c r="S161" i="3" s="1"/>
  <c r="Y161" i="3" s="1"/>
  <c r="T208" i="1"/>
  <c r="T209" i="1"/>
  <c r="T210" i="1"/>
  <c r="S164" i="3" s="1"/>
  <c r="Y164" i="3" s="1"/>
  <c r="T211" i="1"/>
  <c r="T220" i="1"/>
  <c r="T221" i="1"/>
  <c r="T222" i="1"/>
  <c r="S153" i="3" s="1"/>
  <c r="T223" i="1"/>
  <c r="S165" i="3" s="1"/>
  <c r="Y165" i="3" s="1"/>
  <c r="T224" i="1"/>
  <c r="S179" i="3" s="1"/>
  <c r="T225" i="1"/>
  <c r="T226" i="1"/>
  <c r="S181" i="3" s="1"/>
  <c r="Y181" i="3" s="1"/>
  <c r="T227" i="1"/>
  <c r="T228" i="1"/>
  <c r="T229" i="1"/>
  <c r="S184" i="3" s="1"/>
  <c r="Y184" i="3" s="1"/>
  <c r="T230" i="1"/>
  <c r="S186" i="3" s="1"/>
  <c r="Y186" i="3" s="1"/>
  <c r="T231" i="1"/>
  <c r="S187" i="3" s="1"/>
  <c r="Y187" i="3" s="1"/>
  <c r="T232" i="1"/>
  <c r="T233" i="1"/>
  <c r="T234" i="1"/>
  <c r="S189" i="3" s="1"/>
  <c r="T235" i="1"/>
  <c r="S190" i="3" s="1"/>
  <c r="T236" i="1"/>
  <c r="T237" i="1"/>
  <c r="T238" i="1"/>
  <c r="S194" i="3" s="1"/>
  <c r="Y194" i="3" s="1"/>
  <c r="T239" i="1"/>
  <c r="S195" i="3" s="1"/>
  <c r="T240" i="1"/>
  <c r="T241" i="1"/>
  <c r="T242" i="1"/>
  <c r="T243" i="1"/>
  <c r="T244" i="1"/>
  <c r="S211" i="3" s="1"/>
  <c r="Y211" i="3" s="1"/>
  <c r="T245" i="1"/>
  <c r="T246" i="1"/>
  <c r="T247" i="1"/>
  <c r="T248" i="1"/>
  <c r="T249" i="1"/>
  <c r="T250" i="1"/>
  <c r="T251" i="1"/>
  <c r="T252" i="1"/>
  <c r="T253" i="1"/>
  <c r="S232" i="3" s="1"/>
  <c r="Y232" i="3" s="1"/>
  <c r="T254" i="1"/>
  <c r="S233" i="3" s="1"/>
  <c r="T255" i="1"/>
  <c r="T256" i="1"/>
  <c r="T257" i="1"/>
  <c r="T258" i="1"/>
  <c r="T259" i="1"/>
  <c r="T260" i="1"/>
  <c r="T268" i="1"/>
  <c r="T269" i="1"/>
  <c r="T270" i="1"/>
  <c r="T271" i="1"/>
  <c r="T272" i="1"/>
  <c r="T273" i="1"/>
  <c r="S78" i="3" s="1"/>
  <c r="Y78" i="3" s="1"/>
  <c r="T274" i="1"/>
  <c r="S79" i="3" s="1"/>
  <c r="T275" i="1"/>
  <c r="T276" i="1"/>
  <c r="S93" i="3" s="1"/>
  <c r="Y93" i="3" s="1"/>
  <c r="T277" i="1"/>
  <c r="S94" i="3" s="1"/>
  <c r="T278" i="1"/>
  <c r="S95" i="3" s="1"/>
  <c r="T279" i="1"/>
  <c r="T280" i="1"/>
  <c r="T281" i="1"/>
  <c r="T282" i="1"/>
  <c r="S185" i="3" s="1"/>
  <c r="Y185" i="3" s="1"/>
  <c r="T283" i="1"/>
  <c r="T284" i="1"/>
  <c r="T285" i="1"/>
  <c r="T286" i="1"/>
  <c r="T287" i="1"/>
  <c r="T288" i="1"/>
  <c r="T289" i="1"/>
  <c r="S228" i="3" s="1"/>
  <c r="T290" i="1"/>
  <c r="S229" i="3" s="1"/>
  <c r="T293" i="1"/>
  <c r="T294" i="1"/>
  <c r="T297" i="1"/>
  <c r="T296" i="1" s="1"/>
  <c r="T300" i="1"/>
  <c r="T301" i="1"/>
  <c r="T304" i="1"/>
  <c r="T305" i="1"/>
  <c r="T308" i="1"/>
  <c r="T309" i="1"/>
  <c r="T310" i="1"/>
  <c r="T311" i="1"/>
  <c r="S230" i="3" s="1"/>
  <c r="Y230" i="3" s="1"/>
  <c r="T312" i="1"/>
  <c r="S231" i="3" s="1"/>
  <c r="Y231" i="3" s="1"/>
  <c r="T313" i="1"/>
  <c r="T314" i="1"/>
  <c r="T317" i="1"/>
  <c r="T318" i="1"/>
  <c r="T319" i="1"/>
  <c r="T320" i="1"/>
  <c r="T321" i="1"/>
  <c r="T322" i="1"/>
  <c r="T323" i="1"/>
  <c r="T326" i="1"/>
  <c r="AA19" i="1"/>
  <c r="AA20" i="1"/>
  <c r="Z20" i="3" s="1"/>
  <c r="AA21" i="1"/>
  <c r="AA22" i="1"/>
  <c r="AA23" i="1"/>
  <c r="Z138" i="3" s="1"/>
  <c r="AA24" i="1"/>
  <c r="Z139" i="3" s="1"/>
  <c r="AA25" i="1"/>
  <c r="AA26" i="1"/>
  <c r="Z162" i="3" s="1"/>
  <c r="AA27" i="1"/>
  <c r="Z167" i="3" s="1"/>
  <c r="AA28" i="1"/>
  <c r="Z168" i="3" s="1"/>
  <c r="AA29" i="1"/>
  <c r="Z169" i="3" s="1"/>
  <c r="AA30" i="1"/>
  <c r="Z170" i="3" s="1"/>
  <c r="AA31" i="1"/>
  <c r="Z171" i="3" s="1"/>
  <c r="AA32" i="1"/>
  <c r="Z172" i="3" s="1"/>
  <c r="AA33" i="1"/>
  <c r="Z173" i="3" s="1"/>
  <c r="AA34" i="1"/>
  <c r="AA35" i="1"/>
  <c r="AA36" i="1"/>
  <c r="AA37" i="1"/>
  <c r="AA38" i="1"/>
  <c r="AA39" i="1"/>
  <c r="Z221" i="3" s="1"/>
  <c r="Z220" i="3" s="1"/>
  <c r="AA40" i="1"/>
  <c r="AA41" i="1"/>
  <c r="Z234" i="3" s="1"/>
  <c r="AA42" i="1"/>
  <c r="Z235" i="3" s="1"/>
  <c r="AA43" i="1"/>
  <c r="AA44" i="1"/>
  <c r="Z241" i="3" s="1"/>
  <c r="AA45" i="1"/>
  <c r="Z242" i="3" s="1"/>
  <c r="AA46" i="1"/>
  <c r="AA47" i="1"/>
  <c r="Z245" i="3" s="1"/>
  <c r="AA48" i="1"/>
  <c r="AA49" i="1"/>
  <c r="Z248" i="3" s="1"/>
  <c r="AA50" i="1"/>
  <c r="AA51" i="1"/>
  <c r="AA52" i="1"/>
  <c r="Z261" i="3" s="1"/>
  <c r="AA70" i="1"/>
  <c r="AA71" i="1"/>
  <c r="Z39" i="3" s="1"/>
  <c r="AA72" i="1"/>
  <c r="AA73" i="1"/>
  <c r="Z41" i="3" s="1"/>
  <c r="AA74" i="1"/>
  <c r="Z42" i="3" s="1"/>
  <c r="AA75" i="1"/>
  <c r="Z43" i="3" s="1"/>
  <c r="AA76" i="1"/>
  <c r="Z44" i="3" s="1"/>
  <c r="AA77" i="1"/>
  <c r="Z45" i="3" s="1"/>
  <c r="AA78" i="1"/>
  <c r="Z46" i="3" s="1"/>
  <c r="AA79" i="1"/>
  <c r="Z47" i="3" s="1"/>
  <c r="AA80" i="1"/>
  <c r="Z48" i="3" s="1"/>
  <c r="AA81" i="1"/>
  <c r="Z49" i="3" s="1"/>
  <c r="AA82" i="1"/>
  <c r="Z50" i="3" s="1"/>
  <c r="AA83" i="1"/>
  <c r="Z51" i="3" s="1"/>
  <c r="AA84" i="1"/>
  <c r="Z53" i="3" s="1"/>
  <c r="AA86" i="1"/>
  <c r="AA87" i="1"/>
  <c r="AA88" i="1"/>
  <c r="Z57" i="3" s="1"/>
  <c r="AA89" i="1"/>
  <c r="Z58" i="3" s="1"/>
  <c r="AA90" i="1"/>
  <c r="Z59" i="3" s="1"/>
  <c r="AA91" i="1"/>
  <c r="Z60" i="3" s="1"/>
  <c r="AA92" i="1"/>
  <c r="Z61" i="3" s="1"/>
  <c r="AA93" i="1"/>
  <c r="Z62" i="3" s="1"/>
  <c r="AA94" i="1"/>
  <c r="Z63" i="3" s="1"/>
  <c r="AA95" i="1"/>
  <c r="Z64" i="3" s="1"/>
  <c r="AA96" i="1"/>
  <c r="Z65" i="3" s="1"/>
  <c r="AA97" i="1"/>
  <c r="Z66" i="3" s="1"/>
  <c r="AA98" i="1"/>
  <c r="Z67" i="3" s="1"/>
  <c r="AA99" i="1"/>
  <c r="AA100" i="1"/>
  <c r="Z69" i="3" s="1"/>
  <c r="AA101" i="1"/>
  <c r="Z70" i="3" s="1"/>
  <c r="AA102" i="1"/>
  <c r="Z71" i="3" s="1"/>
  <c r="AA103" i="1"/>
  <c r="Z72" i="3" s="1"/>
  <c r="AA104" i="1"/>
  <c r="AA105" i="1"/>
  <c r="Z74" i="3" s="1"/>
  <c r="AA106" i="1"/>
  <c r="Z75" i="3" s="1"/>
  <c r="AA107" i="1"/>
  <c r="AA108" i="1"/>
  <c r="AA109" i="1"/>
  <c r="Z80" i="3" s="1"/>
  <c r="AA110" i="1"/>
  <c r="Z81" i="3" s="1"/>
  <c r="AA111" i="1"/>
  <c r="Z82" i="3" s="1"/>
  <c r="AA112" i="1"/>
  <c r="AA113" i="1"/>
  <c r="AA114" i="1"/>
  <c r="AA115" i="1"/>
  <c r="Z86" i="3" s="1"/>
  <c r="AA116" i="1"/>
  <c r="Z87" i="3" s="1"/>
  <c r="AA117" i="1"/>
  <c r="Z88" i="3" s="1"/>
  <c r="AA118" i="1"/>
  <c r="Z89" i="3" s="1"/>
  <c r="AA120" i="1"/>
  <c r="AA121" i="1"/>
  <c r="Z92" i="3" s="1"/>
  <c r="AA122" i="1"/>
  <c r="Z96" i="3" s="1"/>
  <c r="AA123" i="1"/>
  <c r="AA124" i="1"/>
  <c r="Z98" i="3" s="1"/>
  <c r="AA125" i="1"/>
  <c r="Z99" i="3" s="1"/>
  <c r="AA126" i="1"/>
  <c r="Z100" i="3" s="1"/>
  <c r="AA127" i="1"/>
  <c r="AA128" i="1"/>
  <c r="Z102" i="3" s="1"/>
  <c r="AA129" i="1"/>
  <c r="AA130" i="1"/>
  <c r="AA131" i="1"/>
  <c r="Z105" i="3" s="1"/>
  <c r="AA132" i="1"/>
  <c r="AA133" i="1"/>
  <c r="AA134" i="1"/>
  <c r="AA135" i="1"/>
  <c r="AA136" i="1"/>
  <c r="AA137" i="1"/>
  <c r="AA138" i="1"/>
  <c r="Z257" i="3" s="1"/>
  <c r="Z255" i="3" s="1"/>
  <c r="AA139" i="1"/>
  <c r="Z258" i="3" s="1"/>
  <c r="Z256" i="3" s="1"/>
  <c r="Z254" i="3" s="1"/>
  <c r="AA143" i="1"/>
  <c r="AA144" i="1"/>
  <c r="Z108" i="3" s="1"/>
  <c r="AA145" i="1"/>
  <c r="Z109" i="3" s="1"/>
  <c r="AA146" i="1"/>
  <c r="Z110" i="3" s="1"/>
  <c r="AA147" i="1"/>
  <c r="Z111" i="3" s="1"/>
  <c r="AA148" i="1"/>
  <c r="Z112" i="3" s="1"/>
  <c r="AA149" i="1"/>
  <c r="Z113" i="3" s="1"/>
  <c r="AA150" i="1"/>
  <c r="AA151" i="1"/>
  <c r="Z115" i="3" s="1"/>
  <c r="AA152" i="1"/>
  <c r="AA153" i="1"/>
  <c r="AA154" i="1"/>
  <c r="AA155" i="1"/>
  <c r="AA163" i="1"/>
  <c r="AA164" i="1"/>
  <c r="Z122" i="3" s="1"/>
  <c r="AA165" i="1"/>
  <c r="Z123" i="3" s="1"/>
  <c r="AA166" i="1"/>
  <c r="Z124" i="3" s="1"/>
  <c r="AA167" i="1"/>
  <c r="Z125" i="3" s="1"/>
  <c r="AA168" i="1"/>
  <c r="Z126" i="3" s="1"/>
  <c r="AA169" i="1"/>
  <c r="Z127" i="3" s="1"/>
  <c r="AA170" i="1"/>
  <c r="Z128" i="3" s="1"/>
  <c r="AA171" i="1"/>
  <c r="Z129" i="3" s="1"/>
  <c r="AA172" i="1"/>
  <c r="Z130" i="3" s="1"/>
  <c r="AA173" i="1"/>
  <c r="Z131" i="3" s="1"/>
  <c r="AA174" i="1"/>
  <c r="Z132" i="3" s="1"/>
  <c r="AA175" i="1"/>
  <c r="Z136" i="3" s="1"/>
  <c r="AA176" i="1"/>
  <c r="Z137" i="3" s="1"/>
  <c r="AA177" i="1"/>
  <c r="Z140" i="3" s="1"/>
  <c r="AA178" i="1"/>
  <c r="Z141" i="3" s="1"/>
  <c r="AA179" i="1"/>
  <c r="Z142" i="3" s="1"/>
  <c r="AA180" i="1"/>
  <c r="Z143" i="3" s="1"/>
  <c r="AA181" i="1"/>
  <c r="Z144" i="3" s="1"/>
  <c r="AA182" i="1"/>
  <c r="Z145" i="3" s="1"/>
  <c r="AA183" i="1"/>
  <c r="Z146" i="3" s="1"/>
  <c r="AA184" i="1"/>
  <c r="Z147" i="3" s="1"/>
  <c r="AA185" i="1"/>
  <c r="AA186" i="1"/>
  <c r="AA161" i="1" s="1"/>
  <c r="AA187" i="1"/>
  <c r="Z150" i="3" s="1"/>
  <c r="AA188" i="1"/>
  <c r="Z151" i="3" s="1"/>
  <c r="AA189" i="1"/>
  <c r="AA190" i="1"/>
  <c r="Z154" i="3" s="1"/>
  <c r="AA191" i="1"/>
  <c r="AA192" i="1"/>
  <c r="Z156" i="3" s="1"/>
  <c r="AA193" i="1"/>
  <c r="AA194" i="1"/>
  <c r="AA195" i="1"/>
  <c r="AA198" i="1"/>
  <c r="AA199" i="1"/>
  <c r="AA200" i="1"/>
  <c r="Z134" i="3" s="1"/>
  <c r="AA201" i="1"/>
  <c r="Z135" i="3" s="1"/>
  <c r="AA204" i="1"/>
  <c r="AA205" i="1"/>
  <c r="Z52" i="3" s="1"/>
  <c r="AA206" i="1"/>
  <c r="Z160" i="3" s="1"/>
  <c r="AA207" i="1"/>
  <c r="Z161" i="3" s="1"/>
  <c r="AA208" i="1"/>
  <c r="AA209" i="1"/>
  <c r="Z163" i="3" s="1"/>
  <c r="AA210" i="1"/>
  <c r="Z164" i="3" s="1"/>
  <c r="AA211" i="1"/>
  <c r="AA220" i="1"/>
  <c r="AA221" i="1"/>
  <c r="AA222" i="1"/>
  <c r="Z153" i="3" s="1"/>
  <c r="AA223" i="1"/>
  <c r="Z165" i="3" s="1"/>
  <c r="AA224" i="1"/>
  <c r="Z179" i="3" s="1"/>
  <c r="AA225" i="1"/>
  <c r="Z180" i="3" s="1"/>
  <c r="AA226" i="1"/>
  <c r="Z181" i="3" s="1"/>
  <c r="AA227" i="1"/>
  <c r="Z182" i="3" s="1"/>
  <c r="AA228" i="1"/>
  <c r="Z183" i="3" s="1"/>
  <c r="AA229" i="1"/>
  <c r="Z184" i="3" s="1"/>
  <c r="AA230" i="1"/>
  <c r="Z186" i="3" s="1"/>
  <c r="AA231" i="1"/>
  <c r="Z187" i="3" s="1"/>
  <c r="AA232" i="1"/>
  <c r="AA233" i="1"/>
  <c r="AA234" i="1"/>
  <c r="AA235" i="1"/>
  <c r="AA236" i="1"/>
  <c r="Z192" i="3" s="1"/>
  <c r="AA237" i="1"/>
  <c r="AA238" i="1"/>
  <c r="Z194" i="3" s="1"/>
  <c r="AA239" i="1"/>
  <c r="AA240" i="1"/>
  <c r="AA241" i="1"/>
  <c r="AA242" i="1"/>
  <c r="AA215" i="1" s="1"/>
  <c r="AA243" i="1"/>
  <c r="AA244" i="1"/>
  <c r="Z211" i="3" s="1"/>
  <c r="AA245" i="1"/>
  <c r="AA246" i="1"/>
  <c r="AA217" i="1" s="1"/>
  <c r="AA247" i="1"/>
  <c r="AA248" i="1"/>
  <c r="Z216" i="3" s="1"/>
  <c r="AA249" i="1"/>
  <c r="AA250" i="1"/>
  <c r="Z218" i="3" s="1"/>
  <c r="AA251" i="1"/>
  <c r="AA252" i="1"/>
  <c r="AA253" i="1"/>
  <c r="Z232" i="3" s="1"/>
  <c r="AA254" i="1"/>
  <c r="Z233" i="3" s="1"/>
  <c r="Z223" i="3" s="1"/>
  <c r="Z198" i="3" s="1"/>
  <c r="AA255" i="1"/>
  <c r="AA256" i="1"/>
  <c r="AA257" i="1"/>
  <c r="AA258" i="1"/>
  <c r="AA259" i="1"/>
  <c r="AA260" i="1"/>
  <c r="AA268" i="1"/>
  <c r="AA269" i="1"/>
  <c r="AA270" i="1"/>
  <c r="AA271" i="1"/>
  <c r="AA272" i="1"/>
  <c r="AA273" i="1"/>
  <c r="Z78" i="3" s="1"/>
  <c r="AA274" i="1"/>
  <c r="AA275" i="1"/>
  <c r="AA276" i="1"/>
  <c r="Z93" i="3" s="1"/>
  <c r="AA277" i="1"/>
  <c r="Z94" i="3" s="1"/>
  <c r="Z29" i="3" s="1"/>
  <c r="AA278" i="1"/>
  <c r="AA279" i="1"/>
  <c r="AA280" i="1"/>
  <c r="AA281" i="1"/>
  <c r="AA282" i="1"/>
  <c r="Z185" i="3" s="1"/>
  <c r="AA283" i="1"/>
  <c r="AA284" i="1"/>
  <c r="AA285" i="1"/>
  <c r="AA286" i="1"/>
  <c r="AA287" i="1"/>
  <c r="AA288" i="1"/>
  <c r="AA289" i="1"/>
  <c r="AA290" i="1"/>
  <c r="AA293" i="1"/>
  <c r="AA294" i="1"/>
  <c r="AA297" i="1"/>
  <c r="AA296" i="1" s="1"/>
  <c r="AA295" i="1" s="1"/>
  <c r="AA300" i="1"/>
  <c r="AA299" i="1" s="1"/>
  <c r="AA298" i="1" s="1"/>
  <c r="AA301" i="1"/>
  <c r="Z226" i="3" s="1"/>
  <c r="AA304" i="1"/>
  <c r="AA303" i="1" s="1"/>
  <c r="AA302" i="1" s="1"/>
  <c r="AA305" i="1"/>
  <c r="AA308" i="1"/>
  <c r="AA309" i="1"/>
  <c r="Z203" i="3" s="1"/>
  <c r="Z202" i="3" s="1"/>
  <c r="AA310" i="1"/>
  <c r="Z210" i="3" s="1"/>
  <c r="AA311" i="1"/>
  <c r="Z230" i="3" s="1"/>
  <c r="AA312" i="1"/>
  <c r="Z231" i="3" s="1"/>
  <c r="AA313" i="1"/>
  <c r="AA314" i="1"/>
  <c r="AA317" i="1"/>
  <c r="AA318" i="1"/>
  <c r="AA319" i="1"/>
  <c r="AA320" i="1"/>
  <c r="AA321" i="1"/>
  <c r="AA322" i="1"/>
  <c r="Z250" i="3" s="1"/>
  <c r="AA323" i="1"/>
  <c r="AA326" i="1"/>
  <c r="AA325" i="1" s="1"/>
  <c r="AA324" i="1" s="1"/>
  <c r="Z24" i="3" l="1"/>
  <c r="AA266" i="1"/>
  <c r="Z228" i="3"/>
  <c r="Z224" i="3" s="1"/>
  <c r="Z200" i="3" s="1"/>
  <c r="Y228" i="3"/>
  <c r="S224" i="3"/>
  <c r="AA267" i="1"/>
  <c r="Z229" i="3"/>
  <c r="Z225" i="3" s="1"/>
  <c r="Z201" i="3" s="1"/>
  <c r="Z267" i="3" s="1"/>
  <c r="S225" i="3"/>
  <c r="Y229" i="3"/>
  <c r="Z191" i="3"/>
  <c r="S191" i="3"/>
  <c r="S176" i="3" s="1"/>
  <c r="Y94" i="3"/>
  <c r="S29" i="3"/>
  <c r="Y29" i="3" s="1"/>
  <c r="AA265" i="1"/>
  <c r="Z95" i="3"/>
  <c r="Y95" i="3"/>
  <c r="S38" i="3"/>
  <c r="Y38" i="3" s="1"/>
  <c r="AA263" i="1"/>
  <c r="Z79" i="3"/>
  <c r="Z34" i="3" s="1"/>
  <c r="S34" i="3"/>
  <c r="Y34" i="3" s="1"/>
  <c r="Y79" i="3"/>
  <c r="S223" i="3"/>
  <c r="Y233" i="3"/>
  <c r="AA214" i="1"/>
  <c r="Z195" i="3"/>
  <c r="Z175" i="3" s="1"/>
  <c r="Y195" i="3"/>
  <c r="S175" i="3"/>
  <c r="Y175" i="3" s="1"/>
  <c r="AA219" i="1"/>
  <c r="Z190" i="3"/>
  <c r="Z178" i="3" s="1"/>
  <c r="Y190" i="3"/>
  <c r="S178" i="3"/>
  <c r="Y178" i="3" s="1"/>
  <c r="AA218" i="1"/>
  <c r="Z189" i="3"/>
  <c r="Z177" i="3" s="1"/>
  <c r="Y189" i="3"/>
  <c r="S177" i="3"/>
  <c r="Y177" i="3" s="1"/>
  <c r="AA64" i="1"/>
  <c r="Z104" i="3"/>
  <c r="Z33" i="3" s="1"/>
  <c r="T64" i="1"/>
  <c r="S104" i="3"/>
  <c r="AA65" i="1"/>
  <c r="Z103" i="3"/>
  <c r="Z32" i="3" s="1"/>
  <c r="Y103" i="3"/>
  <c r="S32" i="3"/>
  <c r="Y32" i="3" s="1"/>
  <c r="Y99" i="3"/>
  <c r="S24" i="3"/>
  <c r="Y24" i="3" s="1"/>
  <c r="AA59" i="1"/>
  <c r="Z97" i="3"/>
  <c r="Z26" i="3" s="1"/>
  <c r="Y97" i="3"/>
  <c r="S26" i="3"/>
  <c r="Y26" i="3" s="1"/>
  <c r="Y90" i="3"/>
  <c r="S35" i="3"/>
  <c r="Y35" i="3" s="1"/>
  <c r="AA119" i="1"/>
  <c r="Y82" i="3"/>
  <c r="S22" i="3"/>
  <c r="Y22" i="3" s="1"/>
  <c r="S28" i="3"/>
  <c r="Y28" i="3" s="1"/>
  <c r="Y73" i="3"/>
  <c r="AA63" i="1"/>
  <c r="Z55" i="3"/>
  <c r="Z31" i="3" s="1"/>
  <c r="T63" i="1"/>
  <c r="S55" i="3"/>
  <c r="S30" i="3"/>
  <c r="Y54" i="3"/>
  <c r="AA85" i="1"/>
  <c r="Z54" i="3" s="1"/>
  <c r="Z30" i="3" s="1"/>
  <c r="Y331" i="1"/>
  <c r="AA60" i="1"/>
  <c r="Z106" i="3"/>
  <c r="Z27" i="3" s="1"/>
  <c r="AA58" i="1"/>
  <c r="Z101" i="3"/>
  <c r="Z25" i="3" s="1"/>
  <c r="AA68" i="1"/>
  <c r="Z76" i="3"/>
  <c r="Z37" i="3" s="1"/>
  <c r="AA61" i="1"/>
  <c r="Z73" i="3"/>
  <c r="Z28" i="3" s="1"/>
  <c r="AA56" i="1"/>
  <c r="Z68" i="3"/>
  <c r="Z23" i="3" s="1"/>
  <c r="Z36" i="3"/>
  <c r="Z22" i="3"/>
  <c r="AA69" i="1"/>
  <c r="Z56" i="3"/>
  <c r="AA159" i="1"/>
  <c r="Z157" i="3"/>
  <c r="AA160" i="1"/>
  <c r="Z158" i="3"/>
  <c r="Z119" i="3" s="1"/>
  <c r="J330" i="1"/>
  <c r="Z118" i="3"/>
  <c r="Z117" i="3"/>
  <c r="AA18" i="1"/>
  <c r="Z243" i="3"/>
  <c r="Z240" i="3" s="1"/>
  <c r="Z238" i="3" s="1"/>
  <c r="J331" i="1"/>
  <c r="Y260" i="3"/>
  <c r="S259" i="3"/>
  <c r="Y259" i="3" s="1"/>
  <c r="Y261" i="3"/>
  <c r="Z249" i="3"/>
  <c r="Z247" i="3" s="1"/>
  <c r="S249" i="3"/>
  <c r="S247" i="3" s="1"/>
  <c r="Y247" i="3" s="1"/>
  <c r="Y246" i="3"/>
  <c r="S244" i="3"/>
  <c r="Y244" i="3" s="1"/>
  <c r="Z239" i="3"/>
  <c r="Y241" i="3"/>
  <c r="S239" i="3"/>
  <c r="S227" i="3"/>
  <c r="Y227" i="3" s="1"/>
  <c r="S220" i="3"/>
  <c r="Y220" i="3" s="1"/>
  <c r="Y221" i="3"/>
  <c r="S210" i="3"/>
  <c r="Y210" i="3" s="1"/>
  <c r="Z207" i="3"/>
  <c r="Z204" i="3" s="1"/>
  <c r="S207" i="3"/>
  <c r="Y207" i="3" s="1"/>
  <c r="Z188" i="3"/>
  <c r="Z174" i="3" s="1"/>
  <c r="S188" i="3"/>
  <c r="Y188" i="3" s="1"/>
  <c r="Y179" i="3"/>
  <c r="Y170" i="3"/>
  <c r="S166" i="3"/>
  <c r="Y166" i="3" s="1"/>
  <c r="Y160" i="3"/>
  <c r="S159" i="3"/>
  <c r="Y159" i="3" s="1"/>
  <c r="AA162" i="1"/>
  <c r="Z152" i="3"/>
  <c r="Z121" i="3" s="1"/>
  <c r="T162" i="1"/>
  <c r="S152" i="3"/>
  <c r="Y132" i="3"/>
  <c r="S116" i="3"/>
  <c r="Z114" i="3"/>
  <c r="Z107" i="3" s="1"/>
  <c r="S114" i="3"/>
  <c r="Y114" i="3" s="1"/>
  <c r="Y108" i="3"/>
  <c r="Z91" i="3"/>
  <c r="S91" i="3"/>
  <c r="Y91" i="3" s="1"/>
  <c r="Z77" i="3"/>
  <c r="S77" i="3"/>
  <c r="Y77" i="3" s="1"/>
  <c r="Z40" i="3"/>
  <c r="S40" i="3"/>
  <c r="Y40" i="3" s="1"/>
  <c r="Y39" i="3"/>
  <c r="S19" i="3"/>
  <c r="Y19" i="3" s="1"/>
  <c r="Z260" i="3"/>
  <c r="Z259" i="3" s="1"/>
  <c r="Z253" i="3" s="1"/>
  <c r="Z246" i="3"/>
  <c r="Z244" i="3" s="1"/>
  <c r="Z236" i="3"/>
  <c r="Z227" i="3"/>
  <c r="Z217" i="3"/>
  <c r="Z215" i="3"/>
  <c r="AA216" i="1"/>
  <c r="Z193" i="3"/>
  <c r="Z176" i="3" s="1"/>
  <c r="Z264" i="3" s="1"/>
  <c r="Z166" i="3"/>
  <c r="Z159" i="3"/>
  <c r="Z155" i="3"/>
  <c r="Z148" i="3"/>
  <c r="AA142" i="1"/>
  <c r="Z149" i="3"/>
  <c r="Z120" i="3" s="1"/>
  <c r="Z19" i="3"/>
  <c r="Z18" i="3" s="1"/>
  <c r="AA262" i="1"/>
  <c r="AA261" i="1" s="1"/>
  <c r="AA157" i="1"/>
  <c r="AA156" i="1" s="1"/>
  <c r="AA332" i="1"/>
  <c r="AA264" i="1"/>
  <c r="AA213" i="1"/>
  <c r="AA212" i="1" s="1"/>
  <c r="AA203" i="1"/>
  <c r="AA202" i="1" s="1"/>
  <c r="AA197" i="1"/>
  <c r="AA196" i="1" s="1"/>
  <c r="AA158" i="1"/>
  <c r="AA141" i="1"/>
  <c r="AA140" i="1" s="1"/>
  <c r="AA54" i="1"/>
  <c r="AA53" i="1" s="1"/>
  <c r="T264" i="1"/>
  <c r="Y328" i="1"/>
  <c r="U328" i="1"/>
  <c r="L329" i="1"/>
  <c r="J328" i="1"/>
  <c r="H329" i="1"/>
  <c r="W331" i="1"/>
  <c r="S332" i="1"/>
  <c r="O332" i="1"/>
  <c r="Y327" i="1"/>
  <c r="W327" i="1"/>
  <c r="L327" i="1"/>
  <c r="AA57" i="1"/>
  <c r="AA67" i="1"/>
  <c r="AA62" i="1"/>
  <c r="AA55" i="1"/>
  <c r="AA17" i="1"/>
  <c r="AA16" i="1" s="1"/>
  <c r="T216" i="1"/>
  <c r="T141" i="1"/>
  <c r="T140" i="1" s="1"/>
  <c r="X327" i="1"/>
  <c r="V327" i="1"/>
  <c r="K327" i="1"/>
  <c r="Y329" i="1"/>
  <c r="U329" i="1"/>
  <c r="AA331" i="1"/>
  <c r="AA307" i="1"/>
  <c r="AA306" i="1" s="1"/>
  <c r="T325" i="1"/>
  <c r="T307" i="1"/>
  <c r="T303" i="1"/>
  <c r="T299" i="1"/>
  <c r="T18" i="1"/>
  <c r="T17" i="1"/>
  <c r="T69" i="1"/>
  <c r="T68" i="1"/>
  <c r="X330" i="1"/>
  <c r="V330" i="1"/>
  <c r="T67" i="1"/>
  <c r="K330" i="1"/>
  <c r="T66" i="1"/>
  <c r="T59" i="1"/>
  <c r="T58" i="1"/>
  <c r="T57" i="1"/>
  <c r="T56" i="1"/>
  <c r="J302" i="1"/>
  <c r="AA316" i="1"/>
  <c r="AA315" i="1" s="1"/>
  <c r="AA292" i="1"/>
  <c r="AA291" i="1" s="1"/>
  <c r="T316" i="1"/>
  <c r="T295" i="1"/>
  <c r="T292" i="1"/>
  <c r="T65" i="1"/>
  <c r="T62" i="1"/>
  <c r="T55" i="1"/>
  <c r="T54" i="1"/>
  <c r="T142" i="1"/>
  <c r="T161" i="1"/>
  <c r="T160" i="1"/>
  <c r="X328" i="1"/>
  <c r="X329" i="1"/>
  <c r="V328" i="1"/>
  <c r="V329" i="1"/>
  <c r="T159" i="1"/>
  <c r="R329" i="1"/>
  <c r="P329" i="1"/>
  <c r="K328" i="1"/>
  <c r="K329" i="1"/>
  <c r="I329" i="1"/>
  <c r="G329" i="1"/>
  <c r="X331" i="1"/>
  <c r="V331" i="1"/>
  <c r="T158" i="1"/>
  <c r="R331" i="1"/>
  <c r="P331" i="1"/>
  <c r="K331" i="1"/>
  <c r="I331" i="1"/>
  <c r="T157" i="1"/>
  <c r="T197" i="1"/>
  <c r="T203" i="1"/>
  <c r="T219" i="1"/>
  <c r="T218" i="1"/>
  <c r="T217" i="1"/>
  <c r="T215" i="1"/>
  <c r="T214" i="1"/>
  <c r="T213" i="1"/>
  <c r="T267" i="1"/>
  <c r="X332" i="1"/>
  <c r="V332" i="1"/>
  <c r="T266" i="1"/>
  <c r="R332" i="1"/>
  <c r="P332" i="1"/>
  <c r="K332" i="1"/>
  <c r="I332" i="1"/>
  <c r="G332" i="1"/>
  <c r="T265" i="1"/>
  <c r="T263" i="1"/>
  <c r="T262" i="1"/>
  <c r="J298" i="1"/>
  <c r="J306" i="1"/>
  <c r="J324" i="1"/>
  <c r="J16" i="1"/>
  <c r="G78" i="1"/>
  <c r="Z21" i="3" l="1"/>
  <c r="Z116" i="3"/>
  <c r="Z214" i="3"/>
  <c r="S21" i="3"/>
  <c r="Y21" i="3" s="1"/>
  <c r="Y191" i="3"/>
  <c r="S204" i="3"/>
  <c r="Y204" i="3" s="1"/>
  <c r="Z222" i="3"/>
  <c r="S222" i="3"/>
  <c r="Y222" i="3" s="1"/>
  <c r="Z237" i="3"/>
  <c r="S253" i="3"/>
  <c r="Y253" i="3" s="1"/>
  <c r="S200" i="3"/>
  <c r="Y200" i="3" s="1"/>
  <c r="Y224" i="3"/>
  <c r="Y225" i="3"/>
  <c r="S201" i="3"/>
  <c r="AA329" i="1"/>
  <c r="Z38" i="3"/>
  <c r="Z266" i="3" s="1"/>
  <c r="Y223" i="3"/>
  <c r="S198" i="3"/>
  <c r="Y198" i="3" s="1"/>
  <c r="Y176" i="3"/>
  <c r="S33" i="3"/>
  <c r="Y33" i="3" s="1"/>
  <c r="Y104" i="3"/>
  <c r="AA66" i="1"/>
  <c r="AA330" i="1" s="1"/>
  <c r="Z90" i="3"/>
  <c r="Z35" i="3" s="1"/>
  <c r="Z265" i="3" s="1"/>
  <c r="Y55" i="3"/>
  <c r="S31" i="3"/>
  <c r="Y30" i="3"/>
  <c r="S18" i="3"/>
  <c r="Y18" i="3" s="1"/>
  <c r="Y249" i="3"/>
  <c r="S237" i="3"/>
  <c r="Y237" i="3" s="1"/>
  <c r="Y239" i="3"/>
  <c r="Z196" i="3"/>
  <c r="S196" i="3"/>
  <c r="Y196" i="3" s="1"/>
  <c r="S174" i="3"/>
  <c r="Y174" i="3" s="1"/>
  <c r="Y152" i="3"/>
  <c r="S121" i="3"/>
  <c r="S107" i="3"/>
  <c r="Y107" i="3" s="1"/>
  <c r="Z263" i="3"/>
  <c r="AA328" i="1"/>
  <c r="AA327" i="1"/>
  <c r="T261" i="1"/>
  <c r="T332" i="1"/>
  <c r="T212" i="1"/>
  <c r="T202" i="1"/>
  <c r="T156" i="1"/>
  <c r="T331" i="1"/>
  <c r="T16" i="1"/>
  <c r="J327" i="1"/>
  <c r="T196" i="1"/>
  <c r="T328" i="1"/>
  <c r="T329" i="1"/>
  <c r="T53" i="1"/>
  <c r="T291" i="1"/>
  <c r="T315" i="1"/>
  <c r="T330" i="1"/>
  <c r="T298" i="1"/>
  <c r="T302" i="1"/>
  <c r="T306" i="1"/>
  <c r="T324" i="1"/>
  <c r="F78" i="1"/>
  <c r="Z262" i="3" l="1"/>
  <c r="S264" i="3"/>
  <c r="Y264" i="3" s="1"/>
  <c r="S262" i="3"/>
  <c r="Y201" i="3"/>
  <c r="S267" i="3"/>
  <c r="Y267" i="3" s="1"/>
  <c r="S263" i="3"/>
  <c r="Y263" i="3" s="1"/>
  <c r="Y31" i="3"/>
  <c r="S266" i="3"/>
  <c r="Y266" i="3" s="1"/>
  <c r="Y121" i="3"/>
  <c r="S265" i="3"/>
  <c r="Y265" i="3" s="1"/>
  <c r="T327" i="1"/>
  <c r="F180" i="1"/>
  <c r="F181" i="1"/>
  <c r="G220" i="1" l="1"/>
  <c r="G213" i="1" s="1"/>
  <c r="G212" i="1" s="1"/>
  <c r="S241" i="1" l="1"/>
  <c r="O241" i="1"/>
  <c r="S256" i="1"/>
  <c r="O256" i="1"/>
  <c r="H317" i="1" l="1"/>
  <c r="H316" i="1" s="1"/>
  <c r="H315" i="1" s="1"/>
  <c r="G317" i="1"/>
  <c r="G316" i="1" s="1"/>
  <c r="G315" i="1" s="1"/>
  <c r="E323" i="1"/>
  <c r="M323" i="1" s="1"/>
  <c r="S84" i="1"/>
  <c r="O84" i="1"/>
  <c r="S86" i="1"/>
  <c r="S63" i="1" s="1"/>
  <c r="O86" i="1"/>
  <c r="O63" i="1" s="1"/>
  <c r="S231" i="1" l="1"/>
  <c r="O231" i="1"/>
  <c r="S240" i="1"/>
  <c r="O240" i="1"/>
  <c r="S144" i="1"/>
  <c r="O144" i="1"/>
  <c r="F144" i="1"/>
  <c r="F71" i="1"/>
  <c r="F72" i="1"/>
  <c r="S135" i="1"/>
  <c r="O135" i="1"/>
  <c r="S72" i="1"/>
  <c r="O72" i="1"/>
  <c r="F33" i="1"/>
  <c r="G26" i="1"/>
  <c r="S326" i="1"/>
  <c r="S325" i="1" s="1"/>
  <c r="S324" i="1" s="1"/>
  <c r="O326" i="1"/>
  <c r="O325" i="1" s="1"/>
  <c r="O324" i="1" s="1"/>
  <c r="S39" i="1"/>
  <c r="O39" i="1"/>
  <c r="F230" i="1" l="1"/>
  <c r="S230" i="1" l="1"/>
  <c r="O230" i="1"/>
  <c r="I230" i="1"/>
  <c r="G143" i="1" l="1"/>
  <c r="F31" i="1" l="1"/>
  <c r="F30" i="1"/>
  <c r="F192" i="1" l="1"/>
  <c r="F191" i="1"/>
  <c r="S87" i="1"/>
  <c r="S69" i="1" s="1"/>
  <c r="O87" i="1"/>
  <c r="O69" i="1" s="1"/>
  <c r="F183" i="1" l="1"/>
  <c r="F193" i="1"/>
  <c r="F134" i="1"/>
  <c r="F32" i="1"/>
  <c r="S287" i="1"/>
  <c r="O287" i="1"/>
  <c r="O276" i="1"/>
  <c r="O275" i="1"/>
  <c r="S275" i="1"/>
  <c r="S276" i="1"/>
  <c r="S288" i="1"/>
  <c r="O288" i="1"/>
  <c r="S272" i="1"/>
  <c r="O272" i="1"/>
  <c r="I224" i="1"/>
  <c r="F257" i="1"/>
  <c r="F256" i="1"/>
  <c r="F136" i="1"/>
  <c r="F179" i="1"/>
  <c r="F178" i="1"/>
  <c r="F182" i="1"/>
  <c r="F184" i="1"/>
  <c r="F143" i="1"/>
  <c r="F52" i="1"/>
  <c r="F159" i="1" l="1"/>
  <c r="F329" i="1" s="1"/>
  <c r="F288" i="1"/>
  <c r="F38" i="1"/>
  <c r="S283" i="1"/>
  <c r="O283" i="1"/>
  <c r="I36" i="1" l="1"/>
  <c r="I34" i="1"/>
  <c r="S281" i="1" l="1"/>
  <c r="O281" i="1"/>
  <c r="S286" i="1"/>
  <c r="O286" i="1"/>
  <c r="S270" i="1"/>
  <c r="O270" i="1"/>
  <c r="S284" i="1"/>
  <c r="O284" i="1"/>
  <c r="S253" i="1"/>
  <c r="O253" i="1"/>
  <c r="F229" i="1"/>
  <c r="S150" i="1"/>
  <c r="O150" i="1"/>
  <c r="F145" i="1"/>
  <c r="F146" i="1"/>
  <c r="F133" i="1"/>
  <c r="H72" i="1"/>
  <c r="H71" i="1"/>
  <c r="H84" i="1"/>
  <c r="F84" i="1"/>
  <c r="G89" i="1"/>
  <c r="G88" i="1"/>
  <c r="F82" i="1"/>
  <c r="F77" i="1"/>
  <c r="G71" i="1"/>
  <c r="G70" i="1"/>
  <c r="H26" i="1"/>
  <c r="F26" i="1"/>
  <c r="F39" i="1"/>
  <c r="F28" i="1"/>
  <c r="F169" i="1"/>
  <c r="F166" i="1"/>
  <c r="N102" i="1"/>
  <c r="E102" i="1"/>
  <c r="I37" i="1"/>
  <c r="I17" i="1" s="1"/>
  <c r="I16" i="1" s="1"/>
  <c r="F322" i="1"/>
  <c r="H229" i="1"/>
  <c r="H213" i="1" s="1"/>
  <c r="H212" i="1" s="1"/>
  <c r="S44" i="1"/>
  <c r="O44" i="1"/>
  <c r="F44" i="1"/>
  <c r="Z102" i="1" l="1"/>
  <c r="AB102" i="1"/>
  <c r="AA71" i="3" s="1"/>
  <c r="M102" i="1"/>
  <c r="D71" i="3"/>
  <c r="L71" i="3" s="1"/>
  <c r="S52" i="1"/>
  <c r="S17" i="1" s="1"/>
  <c r="S16" i="1" s="1"/>
  <c r="O52" i="1"/>
  <c r="O17" i="1" s="1"/>
  <c r="O16" i="1" s="1"/>
  <c r="F51" i="1"/>
  <c r="G73" i="1" l="1"/>
  <c r="F73" i="1"/>
  <c r="G72" i="1"/>
  <c r="S189" i="1"/>
  <c r="S162" i="1" s="1"/>
  <c r="S188" i="1"/>
  <c r="S157" i="1" s="1"/>
  <c r="S156" i="1" s="1"/>
  <c r="O189" i="1"/>
  <c r="O162" i="1" s="1"/>
  <c r="O188" i="1"/>
  <c r="O157" i="1" s="1"/>
  <c r="O156" i="1" s="1"/>
  <c r="G90" i="1"/>
  <c r="F90" i="1"/>
  <c r="F88" i="1"/>
  <c r="G45" i="1" l="1"/>
  <c r="F46" i="1" l="1"/>
  <c r="F18" i="1" s="1"/>
  <c r="F45" i="1"/>
  <c r="G174" i="1" l="1"/>
  <c r="F326" i="1" l="1"/>
  <c r="F325" i="1" s="1"/>
  <c r="F324" i="1" s="1"/>
  <c r="O232" i="1"/>
  <c r="S232" i="1"/>
  <c r="S229" i="1"/>
  <c r="O229" i="1"/>
  <c r="I228" i="1"/>
  <c r="F149" i="1"/>
  <c r="F19" i="1"/>
  <c r="G308" i="1"/>
  <c r="G307" i="1" s="1"/>
  <c r="G306" i="1" s="1"/>
  <c r="E183" i="1"/>
  <c r="F165" i="1"/>
  <c r="F164" i="1"/>
  <c r="S108" i="1"/>
  <c r="O108" i="1"/>
  <c r="S98" i="1"/>
  <c r="O98" i="1"/>
  <c r="F98" i="1"/>
  <c r="S97" i="1"/>
  <c r="O97" i="1"/>
  <c r="F97" i="1"/>
  <c r="D146" i="3" l="1"/>
  <c r="L146" i="3" s="1"/>
  <c r="M183" i="1"/>
  <c r="AB183" i="1"/>
  <c r="AA146" i="3" s="1"/>
  <c r="G19" i="1"/>
  <c r="G84" i="1" l="1"/>
  <c r="G87" i="1"/>
  <c r="G69" i="1" s="1"/>
  <c r="G331" i="1" s="1"/>
  <c r="F87" i="1"/>
  <c r="F69" i="1" s="1"/>
  <c r="F76" i="1" l="1"/>
  <c r="F167" i="1"/>
  <c r="I229" i="1" l="1"/>
  <c r="D95" i="3" l="1"/>
  <c r="L95" i="3" s="1"/>
  <c r="E265" i="1"/>
  <c r="M265" i="1" s="1"/>
  <c r="D265" i="1"/>
  <c r="N278" i="1"/>
  <c r="S235" i="1"/>
  <c r="S219" i="1" s="1"/>
  <c r="O235" i="1"/>
  <c r="O219" i="1" s="1"/>
  <c r="AB278" i="1" l="1"/>
  <c r="N265" i="1"/>
  <c r="Z265" i="1" s="1"/>
  <c r="Z278" i="1"/>
  <c r="S234" i="1"/>
  <c r="S218" i="1" s="1"/>
  <c r="S331" i="1" s="1"/>
  <c r="O234" i="1"/>
  <c r="O218" i="1" s="1"/>
  <c r="O331" i="1" s="1"/>
  <c r="AA95" i="3" l="1"/>
  <c r="AB265" i="1"/>
  <c r="F317" i="1"/>
  <c r="F224" i="1"/>
  <c r="G326" i="1" l="1"/>
  <c r="G325" i="1" s="1"/>
  <c r="G324" i="1" s="1"/>
  <c r="F308" i="1"/>
  <c r="F307" i="1" s="1"/>
  <c r="F306" i="1" s="1"/>
  <c r="G304" i="1"/>
  <c r="G303" i="1" s="1"/>
  <c r="G302" i="1" s="1"/>
  <c r="F304" i="1"/>
  <c r="G300" i="1"/>
  <c r="G299" i="1" s="1"/>
  <c r="G298" i="1" s="1"/>
  <c r="F300" i="1"/>
  <c r="F299" i="1" s="1"/>
  <c r="F298" i="1" s="1"/>
  <c r="G297" i="1"/>
  <c r="G296" i="1" s="1"/>
  <c r="G295" i="1" s="1"/>
  <c r="F297" i="1"/>
  <c r="F296" i="1" s="1"/>
  <c r="F295" i="1" s="1"/>
  <c r="F220" i="1"/>
  <c r="G208" i="1"/>
  <c r="F208" i="1"/>
  <c r="G207" i="1"/>
  <c r="F207" i="1"/>
  <c r="G206" i="1"/>
  <c r="F206" i="1"/>
  <c r="G205" i="1"/>
  <c r="F205" i="1"/>
  <c r="G204" i="1"/>
  <c r="G203" i="1" s="1"/>
  <c r="G202" i="1" s="1"/>
  <c r="F204" i="1"/>
  <c r="G198" i="1"/>
  <c r="G197" i="1" s="1"/>
  <c r="G196" i="1" s="1"/>
  <c r="F198" i="1"/>
  <c r="G190" i="1"/>
  <c r="F190" i="1"/>
  <c r="G175" i="1"/>
  <c r="F175" i="1"/>
  <c r="F174" i="1"/>
  <c r="G163" i="1"/>
  <c r="F163" i="1"/>
  <c r="G148" i="1"/>
  <c r="G141" i="1" s="1"/>
  <c r="G140" i="1" s="1"/>
  <c r="F148" i="1"/>
  <c r="G83" i="1"/>
  <c r="F83" i="1"/>
  <c r="G75" i="1"/>
  <c r="F75" i="1"/>
  <c r="G74" i="1"/>
  <c r="F74" i="1"/>
  <c r="F70" i="1"/>
  <c r="G32" i="1"/>
  <c r="G30" i="1"/>
  <c r="G17" i="1" s="1"/>
  <c r="G16" i="1" s="1"/>
  <c r="G24" i="1"/>
  <c r="F24" i="1"/>
  <c r="G82" i="1" l="1"/>
  <c r="G134" i="1"/>
  <c r="G96" i="1"/>
  <c r="F96" i="1"/>
  <c r="G91" i="1"/>
  <c r="F91" i="1"/>
  <c r="G77" i="1"/>
  <c r="S317" i="1"/>
  <c r="S316" i="1" s="1"/>
  <c r="S315" i="1" s="1"/>
  <c r="O317" i="1"/>
  <c r="O316" i="1" s="1"/>
  <c r="O315" i="1" s="1"/>
  <c r="H304" i="1"/>
  <c r="H303" i="1" s="1"/>
  <c r="H302" i="1" s="1"/>
  <c r="H297" i="1"/>
  <c r="H296" i="1" s="1"/>
  <c r="H295" i="1" s="1"/>
  <c r="F227" i="1"/>
  <c r="S244" i="1"/>
  <c r="S213" i="1" s="1"/>
  <c r="S212" i="1" s="1"/>
  <c r="O244" i="1"/>
  <c r="O213" i="1" s="1"/>
  <c r="O212" i="1" s="1"/>
  <c r="F222" i="1"/>
  <c r="F225" i="1"/>
  <c r="N138" i="1" l="1"/>
  <c r="N139" i="1"/>
  <c r="E138" i="1"/>
  <c r="E139" i="1"/>
  <c r="S121" i="1"/>
  <c r="S62" i="1" s="1"/>
  <c r="O121" i="1"/>
  <c r="O62" i="1" s="1"/>
  <c r="O120" i="1"/>
  <c r="S120" i="1"/>
  <c r="D63" i="1"/>
  <c r="N86" i="1"/>
  <c r="E86" i="1"/>
  <c r="D55" i="3" l="1"/>
  <c r="M86" i="1"/>
  <c r="D258" i="3"/>
  <c r="M139" i="1"/>
  <c r="Z139" i="1"/>
  <c r="N63" i="1"/>
  <c r="Z63" i="1" s="1"/>
  <c r="Z86" i="1"/>
  <c r="AB138" i="1"/>
  <c r="AA257" i="3" s="1"/>
  <c r="AA255" i="3" s="1"/>
  <c r="M138" i="1"/>
  <c r="Z138" i="1"/>
  <c r="AB139" i="1"/>
  <c r="AA258" i="3" s="1"/>
  <c r="AA256" i="3" s="1"/>
  <c r="AA254" i="3" s="1"/>
  <c r="D257" i="3"/>
  <c r="E63" i="1"/>
  <c r="M63" i="1" s="1"/>
  <c r="AB86" i="1"/>
  <c r="D255" i="3" l="1"/>
  <c r="L255" i="3" s="1"/>
  <c r="L257" i="3"/>
  <c r="D256" i="3"/>
  <c r="L258" i="3"/>
  <c r="D31" i="3"/>
  <c r="L31" i="3" s="1"/>
  <c r="L55" i="3"/>
  <c r="AA55" i="3"/>
  <c r="AA31" i="3" s="1"/>
  <c r="AB63" i="1"/>
  <c r="S313" i="1"/>
  <c r="S307" i="1" s="1"/>
  <c r="S306" i="1" s="1"/>
  <c r="P313" i="1"/>
  <c r="P307" i="1" s="1"/>
  <c r="P306" i="1" s="1"/>
  <c r="D254" i="3" l="1"/>
  <c r="L254" i="3" s="1"/>
  <c r="L256" i="3"/>
  <c r="F293" i="1"/>
  <c r="F292" i="1" s="1"/>
  <c r="F291" i="1" s="1"/>
  <c r="I248" i="1" l="1"/>
  <c r="I250" i="1"/>
  <c r="H47" i="1" l="1"/>
  <c r="F47" i="1" l="1"/>
  <c r="P321" i="1" l="1"/>
  <c r="P316" i="1" s="1"/>
  <c r="P315" i="1" s="1"/>
  <c r="F320" i="1"/>
  <c r="F319" i="1"/>
  <c r="F318" i="1"/>
  <c r="F316" i="1" s="1"/>
  <c r="F315" i="1" s="1"/>
  <c r="H308" i="1"/>
  <c r="H307" i="1" s="1"/>
  <c r="H306" i="1" s="1"/>
  <c r="E294" i="1"/>
  <c r="M294" i="1" s="1"/>
  <c r="N294" i="1"/>
  <c r="Z294" i="1" s="1"/>
  <c r="C294" i="1"/>
  <c r="D294" i="1"/>
  <c r="B294" i="1"/>
  <c r="C293" i="1"/>
  <c r="D293" i="1"/>
  <c r="B293" i="1"/>
  <c r="N293" i="1"/>
  <c r="E293" i="1"/>
  <c r="M293" i="1" s="1"/>
  <c r="F251" i="1"/>
  <c r="P50" i="1"/>
  <c r="N292" i="1" l="1"/>
  <c r="Z293" i="1"/>
  <c r="AB293" i="1"/>
  <c r="E292" i="1"/>
  <c r="M292" i="1" s="1"/>
  <c r="AB294" i="1"/>
  <c r="E291" i="1"/>
  <c r="M291" i="1" s="1"/>
  <c r="AB292" i="1" l="1"/>
  <c r="AB291" i="1" s="1"/>
  <c r="N291" i="1"/>
  <c r="Z291" i="1" s="1"/>
  <c r="Z292" i="1"/>
  <c r="I249" i="1"/>
  <c r="I247" i="1"/>
  <c r="I213" i="1" s="1"/>
  <c r="I212" i="1" s="1"/>
  <c r="C49" i="1"/>
  <c r="D49" i="1"/>
  <c r="B49" i="1"/>
  <c r="N49" i="1"/>
  <c r="Z49" i="1" s="1"/>
  <c r="E49" i="1"/>
  <c r="M49" i="1" s="1"/>
  <c r="F43" i="1"/>
  <c r="N40" i="1"/>
  <c r="Z40" i="1" s="1"/>
  <c r="E40" i="1"/>
  <c r="M40" i="1" s="1"/>
  <c r="C40" i="1"/>
  <c r="B40" i="1"/>
  <c r="C38" i="1"/>
  <c r="D38" i="1"/>
  <c r="B38" i="1"/>
  <c r="N38" i="1"/>
  <c r="Z38" i="1" s="1"/>
  <c r="E38" i="1"/>
  <c r="M38" i="1" s="1"/>
  <c r="N37" i="1"/>
  <c r="Z37" i="1" s="1"/>
  <c r="E37" i="1"/>
  <c r="N36" i="1"/>
  <c r="Z36" i="1" s="1"/>
  <c r="E36" i="1"/>
  <c r="M36" i="1" s="1"/>
  <c r="C36" i="1"/>
  <c r="D36" i="1"/>
  <c r="C37" i="1"/>
  <c r="D37" i="1"/>
  <c r="B37" i="1"/>
  <c r="B36" i="1"/>
  <c r="C34" i="1"/>
  <c r="D34" i="1"/>
  <c r="C35" i="1"/>
  <c r="D35" i="1"/>
  <c r="B35" i="1"/>
  <c r="B34" i="1"/>
  <c r="N35" i="1"/>
  <c r="Z35" i="1" s="1"/>
  <c r="E35" i="1"/>
  <c r="M35" i="1" s="1"/>
  <c r="N34" i="1"/>
  <c r="Z34" i="1" s="1"/>
  <c r="E34" i="1"/>
  <c r="AB34" i="1" l="1"/>
  <c r="M34" i="1"/>
  <c r="AB37" i="1"/>
  <c r="M37" i="1"/>
  <c r="AB38" i="1"/>
  <c r="AB35" i="1"/>
  <c r="AB40" i="1"/>
  <c r="AB49" i="1"/>
  <c r="AB36" i="1"/>
  <c r="N151" i="1" l="1"/>
  <c r="E150" i="1"/>
  <c r="M150" i="1" s="1"/>
  <c r="E151" i="1"/>
  <c r="M151" i="1" s="1"/>
  <c r="Z151" i="1" l="1"/>
  <c r="AB151" i="1"/>
  <c r="AA115" i="3" s="1"/>
  <c r="D115" i="3"/>
  <c r="L115" i="3" s="1"/>
  <c r="N226" i="1" l="1"/>
  <c r="Z226" i="1" s="1"/>
  <c r="E226" i="1"/>
  <c r="C226" i="1"/>
  <c r="D226" i="1"/>
  <c r="B226" i="1"/>
  <c r="S71" i="1"/>
  <c r="O71" i="1"/>
  <c r="D181" i="3" l="1"/>
  <c r="L181" i="3" s="1"/>
  <c r="M226" i="1"/>
  <c r="AB226" i="1"/>
  <c r="AA181" i="3" s="1"/>
  <c r="E73" i="1"/>
  <c r="AB73" i="1" l="1"/>
  <c r="M73" i="1"/>
  <c r="AA41" i="3"/>
  <c r="D41" i="3"/>
  <c r="L41" i="3" s="1"/>
  <c r="N150" i="1" l="1"/>
  <c r="Z150" i="1" s="1"/>
  <c r="F209" i="1"/>
  <c r="F203" i="1" s="1"/>
  <c r="F202" i="1" s="1"/>
  <c r="H136" i="1"/>
  <c r="N260" i="1" l="1"/>
  <c r="Z260" i="1" s="1"/>
  <c r="E260" i="1"/>
  <c r="M260" i="1" s="1"/>
  <c r="C260" i="1"/>
  <c r="D260" i="1"/>
  <c r="B260" i="1"/>
  <c r="AB260" i="1" l="1"/>
  <c r="G127" i="1"/>
  <c r="G58" i="1" s="1"/>
  <c r="F127" i="1"/>
  <c r="F58" i="1" s="1"/>
  <c r="F173" i="1" l="1"/>
  <c r="F158" i="1" s="1"/>
  <c r="F331" i="1" s="1"/>
  <c r="F172" i="1"/>
  <c r="C27" i="3" l="1"/>
  <c r="C131" i="1"/>
  <c r="D131" i="1"/>
  <c r="C132" i="1"/>
  <c r="D132" i="1"/>
  <c r="D60" i="1" s="1"/>
  <c r="B132" i="1"/>
  <c r="B131" i="1"/>
  <c r="F132" i="1"/>
  <c r="G132" i="1"/>
  <c r="H132" i="1"/>
  <c r="H60" i="1" s="1"/>
  <c r="I132" i="1"/>
  <c r="O132" i="1"/>
  <c r="O60" i="1" s="1"/>
  <c r="P132" i="1"/>
  <c r="Q132" i="1"/>
  <c r="R132" i="1"/>
  <c r="S132" i="1"/>
  <c r="S60" i="1" s="1"/>
  <c r="N131" i="1"/>
  <c r="E131" i="1"/>
  <c r="Z131" i="1" l="1"/>
  <c r="R60" i="1"/>
  <c r="P60" i="1"/>
  <c r="I60" i="1"/>
  <c r="G60" i="1"/>
  <c r="E132" i="1"/>
  <c r="M132" i="1" s="1"/>
  <c r="M131" i="1"/>
  <c r="Q60" i="1"/>
  <c r="F60" i="1"/>
  <c r="N132" i="1"/>
  <c r="E60" i="1"/>
  <c r="M60" i="1" s="1"/>
  <c r="D106" i="3"/>
  <c r="D105" i="3"/>
  <c r="L105" i="3" s="1"/>
  <c r="AB131" i="1"/>
  <c r="G126" i="1"/>
  <c r="F126" i="1"/>
  <c r="D27" i="3" l="1"/>
  <c r="L27" i="3" s="1"/>
  <c r="L106" i="3"/>
  <c r="N60" i="1"/>
  <c r="Z60" i="1" s="1"/>
  <c r="Z132" i="1"/>
  <c r="AA105" i="3"/>
  <c r="AB132" i="1"/>
  <c r="AA106" i="3" l="1"/>
  <c r="AA27" i="3" s="1"/>
  <c r="AB60" i="1"/>
  <c r="G268" i="1"/>
  <c r="F268" i="1"/>
  <c r="F262" i="1" l="1"/>
  <c r="F261" i="1" s="1"/>
  <c r="G262" i="1"/>
  <c r="G261" i="1" s="1"/>
  <c r="S118" i="1"/>
  <c r="P118" i="1"/>
  <c r="S117" i="1"/>
  <c r="O117" i="1"/>
  <c r="F117" i="1"/>
  <c r="S154" i="1" l="1"/>
  <c r="S141" i="1" s="1"/>
  <c r="S140" i="1" s="1"/>
  <c r="O154" i="1"/>
  <c r="O141" i="1" s="1"/>
  <c r="O140" i="1" s="1"/>
  <c r="I154" i="1"/>
  <c r="I141" i="1" s="1"/>
  <c r="I140" i="1" s="1"/>
  <c r="H44" i="1"/>
  <c r="F29" i="1"/>
  <c r="P128" i="1"/>
  <c r="P130" i="1"/>
  <c r="P64" i="1" s="1"/>
  <c r="S242" i="1" l="1"/>
  <c r="S215" i="1" s="1"/>
  <c r="S304" i="1" l="1"/>
  <c r="S303" i="1" s="1"/>
  <c r="S302" i="1" s="1"/>
  <c r="O304" i="1"/>
  <c r="O303" i="1" s="1"/>
  <c r="O302" i="1" s="1"/>
  <c r="H19" i="1"/>
  <c r="C51" i="1" l="1"/>
  <c r="D51" i="1"/>
  <c r="B51" i="1"/>
  <c r="N51" i="1"/>
  <c r="Z51" i="1" s="1"/>
  <c r="E51" i="1"/>
  <c r="G94" i="1"/>
  <c r="G95" i="1" s="1"/>
  <c r="G67" i="1" s="1"/>
  <c r="F94" i="1"/>
  <c r="F95" i="1" l="1"/>
  <c r="F67" i="1" s="1"/>
  <c r="AB51" i="1"/>
  <c r="M51" i="1"/>
  <c r="C124" i="1"/>
  <c r="D124" i="1"/>
  <c r="C125" i="1"/>
  <c r="D125" i="1"/>
  <c r="B125" i="1"/>
  <c r="B124" i="1"/>
  <c r="N125" i="1"/>
  <c r="E125" i="1"/>
  <c r="N124" i="1"/>
  <c r="E124" i="1"/>
  <c r="C115" i="1"/>
  <c r="D115" i="1"/>
  <c r="C116" i="1"/>
  <c r="D116" i="1"/>
  <c r="B116" i="1"/>
  <c r="B115" i="1"/>
  <c r="N116" i="1"/>
  <c r="E116" i="1"/>
  <c r="N115" i="1"/>
  <c r="E115" i="1"/>
  <c r="Z115" i="1" l="1"/>
  <c r="Z116" i="1"/>
  <c r="Z124" i="1"/>
  <c r="Z125" i="1"/>
  <c r="D86" i="3"/>
  <c r="L86" i="3" s="1"/>
  <c r="M115" i="1"/>
  <c r="D87" i="3"/>
  <c r="L87" i="3" s="1"/>
  <c r="M116" i="1"/>
  <c r="D98" i="3"/>
  <c r="L98" i="3" s="1"/>
  <c r="M124" i="1"/>
  <c r="D99" i="3"/>
  <c r="L99" i="3" s="1"/>
  <c r="M125" i="1"/>
  <c r="AB125" i="1"/>
  <c r="AA99" i="3" s="1"/>
  <c r="AB124" i="1"/>
  <c r="AA98" i="3" s="1"/>
  <c r="AB116" i="1"/>
  <c r="AA87" i="3" s="1"/>
  <c r="AB115" i="1"/>
  <c r="AA86" i="3" s="1"/>
  <c r="C248" i="1" l="1"/>
  <c r="D248" i="1"/>
  <c r="B248" i="1"/>
  <c r="E248" i="1"/>
  <c r="N248" i="1"/>
  <c r="C108" i="1"/>
  <c r="D108" i="1"/>
  <c r="B108" i="1"/>
  <c r="N108" i="1"/>
  <c r="Z108" i="1" s="1"/>
  <c r="E108" i="1"/>
  <c r="M108" i="1" s="1"/>
  <c r="D216" i="3" l="1"/>
  <c r="L216" i="3" s="1"/>
  <c r="M248" i="1"/>
  <c r="Z248" i="1"/>
  <c r="AB248" i="1"/>
  <c r="AA216" i="3" s="1"/>
  <c r="AB108" i="1"/>
  <c r="S233" i="1" l="1"/>
  <c r="O233" i="1"/>
  <c r="N176" i="1"/>
  <c r="E176" i="1"/>
  <c r="M176" i="1" s="1"/>
  <c r="D176" i="1"/>
  <c r="G185" i="1"/>
  <c r="F185" i="1"/>
  <c r="F152" i="1"/>
  <c r="F186" i="1" l="1"/>
  <c r="F161" i="1" s="1"/>
  <c r="F157" i="1"/>
  <c r="F156" i="1" s="1"/>
  <c r="F153" i="1"/>
  <c r="F142" i="1" s="1"/>
  <c r="F141" i="1"/>
  <c r="F140" i="1" s="1"/>
  <c r="G186" i="1"/>
  <c r="G161" i="1" s="1"/>
  <c r="G157" i="1"/>
  <c r="G156" i="1" s="1"/>
  <c r="Z176" i="1"/>
  <c r="AB176" i="1"/>
  <c r="AA137" i="3" s="1"/>
  <c r="D137" i="3"/>
  <c r="L137" i="3" s="1"/>
  <c r="S254" i="1" l="1"/>
  <c r="S216" i="1" s="1"/>
  <c r="O254" i="1"/>
  <c r="O216" i="1" s="1"/>
  <c r="S109" i="1"/>
  <c r="O109" i="1"/>
  <c r="N223" i="1" l="1"/>
  <c r="E223" i="1"/>
  <c r="M223" i="1" s="1"/>
  <c r="C223" i="1"/>
  <c r="D223" i="1"/>
  <c r="B223" i="1"/>
  <c r="Z223" i="1" l="1"/>
  <c r="AB223" i="1"/>
  <c r="AA165" i="3" s="1"/>
  <c r="D165" i="3"/>
  <c r="L165" i="3" s="1"/>
  <c r="D209" i="3" l="1"/>
  <c r="E215" i="1"/>
  <c r="M215" i="1" s="1"/>
  <c r="D215" i="1"/>
  <c r="N242" i="1"/>
  <c r="D205" i="3" l="1"/>
  <c r="L209" i="3"/>
  <c r="AB242" i="1"/>
  <c r="N215" i="1"/>
  <c r="Z215" i="1" s="1"/>
  <c r="Z242" i="1"/>
  <c r="AB215" i="1"/>
  <c r="AA209" i="3"/>
  <c r="AA205" i="3" s="1"/>
  <c r="AA197" i="3" s="1"/>
  <c r="N233" i="1"/>
  <c r="Z233" i="1" s="1"/>
  <c r="E233" i="1"/>
  <c r="M233" i="1" s="1"/>
  <c r="D233" i="1"/>
  <c r="D197" i="3" l="1"/>
  <c r="L197" i="3" s="1"/>
  <c r="L205" i="3"/>
  <c r="AB233" i="1"/>
  <c r="G80" i="1"/>
  <c r="G55" i="1" s="1"/>
  <c r="F80" i="1"/>
  <c r="F89" i="1"/>
  <c r="S285" i="1"/>
  <c r="O285" i="1"/>
  <c r="F55" i="1" l="1"/>
  <c r="N243" i="1"/>
  <c r="Z243" i="1" s="1"/>
  <c r="E243" i="1"/>
  <c r="M243" i="1" s="1"/>
  <c r="C243" i="1"/>
  <c r="D243" i="1"/>
  <c r="B243" i="1"/>
  <c r="AB243" i="1" l="1"/>
  <c r="C37" i="3" l="1"/>
  <c r="B208" i="3"/>
  <c r="A208" i="3"/>
  <c r="N167" i="1" l="1"/>
  <c r="D68" i="1"/>
  <c r="N107" i="1"/>
  <c r="E107" i="1"/>
  <c r="N106" i="1"/>
  <c r="E106" i="1"/>
  <c r="S119" i="1"/>
  <c r="S66" i="1" s="1"/>
  <c r="S330" i="1" s="1"/>
  <c r="P119" i="1"/>
  <c r="P66" i="1" s="1"/>
  <c r="P330" i="1" s="1"/>
  <c r="F119" i="1"/>
  <c r="F66" i="1" s="1"/>
  <c r="F330" i="1" s="1"/>
  <c r="G119" i="1"/>
  <c r="G66" i="1" s="1"/>
  <c r="G330" i="1" s="1"/>
  <c r="H119" i="1"/>
  <c r="H66" i="1" s="1"/>
  <c r="H330" i="1" s="1"/>
  <c r="I119" i="1"/>
  <c r="I66" i="1" s="1"/>
  <c r="I330" i="1" s="1"/>
  <c r="O119" i="1"/>
  <c r="O66" i="1" s="1"/>
  <c r="O330" i="1" s="1"/>
  <c r="Q119" i="1"/>
  <c r="Q66" i="1" s="1"/>
  <c r="Q330" i="1" s="1"/>
  <c r="R119" i="1"/>
  <c r="R66" i="1" s="1"/>
  <c r="R330" i="1" s="1"/>
  <c r="S99" i="1"/>
  <c r="S56" i="1" s="1"/>
  <c r="F99" i="1"/>
  <c r="F56" i="1" s="1"/>
  <c r="F328" i="1" s="1"/>
  <c r="G99" i="1"/>
  <c r="G56" i="1" s="1"/>
  <c r="G328" i="1" s="1"/>
  <c r="H99" i="1"/>
  <c r="H56" i="1" s="1"/>
  <c r="H328" i="1" s="1"/>
  <c r="I99" i="1"/>
  <c r="I56" i="1" s="1"/>
  <c r="I328" i="1" s="1"/>
  <c r="O99" i="1"/>
  <c r="O56" i="1" s="1"/>
  <c r="P99" i="1"/>
  <c r="P56" i="1" s="1"/>
  <c r="P328" i="1" s="1"/>
  <c r="Q99" i="1"/>
  <c r="Q56" i="1" s="1"/>
  <c r="Q328" i="1" s="1"/>
  <c r="R99" i="1"/>
  <c r="R56" i="1" s="1"/>
  <c r="R328" i="1" s="1"/>
  <c r="S280" i="1"/>
  <c r="O280" i="1"/>
  <c r="N241" i="1"/>
  <c r="Z241" i="1" s="1"/>
  <c r="E241" i="1"/>
  <c r="D208" i="3" l="1"/>
  <c r="L208" i="3" s="1"/>
  <c r="M241" i="1"/>
  <c r="D75" i="3"/>
  <c r="L75" i="3" s="1"/>
  <c r="M106" i="1"/>
  <c r="E68" i="1"/>
  <c r="M68" i="1" s="1"/>
  <c r="M107" i="1"/>
  <c r="Z106" i="1"/>
  <c r="N68" i="1"/>
  <c r="Z68" i="1" s="1"/>
  <c r="Z107" i="1"/>
  <c r="Z167" i="1"/>
  <c r="E167" i="1"/>
  <c r="M167" i="1" s="1"/>
  <c r="AB241" i="1"/>
  <c r="AA208" i="3" s="1"/>
  <c r="AB107" i="1"/>
  <c r="D76" i="3"/>
  <c r="AB106" i="1"/>
  <c r="AA75" i="3" s="1"/>
  <c r="D37" i="3" l="1"/>
  <c r="L37" i="3" s="1"/>
  <c r="L76" i="3"/>
  <c r="AB167" i="1"/>
  <c r="AA125" i="3" s="1"/>
  <c r="D125" i="3"/>
  <c r="L125" i="3" s="1"/>
  <c r="AB68" i="1"/>
  <c r="AA76" i="3"/>
  <c r="AA37" i="3" s="1"/>
  <c r="N105" i="1"/>
  <c r="E105" i="1"/>
  <c r="D74" i="3" l="1"/>
  <c r="L74" i="3" s="1"/>
  <c r="M105" i="1"/>
  <c r="Z105" i="1"/>
  <c r="AB105" i="1"/>
  <c r="AA74" i="3" s="1"/>
  <c r="C121" i="3" l="1"/>
  <c r="H190" i="1" l="1"/>
  <c r="E113" i="1"/>
  <c r="E114" i="1"/>
  <c r="M114" i="1" s="1"/>
  <c r="N113" i="1"/>
  <c r="N114" i="1"/>
  <c r="Z113" i="1" l="1"/>
  <c r="D84" i="3"/>
  <c r="L84" i="3" s="1"/>
  <c r="M113" i="1"/>
  <c r="Z114" i="1"/>
  <c r="AB114" i="1"/>
  <c r="D85" i="3"/>
  <c r="L85" i="3" s="1"/>
  <c r="AB113" i="1"/>
  <c r="D162" i="1"/>
  <c r="N188" i="1"/>
  <c r="Z188" i="1" s="1"/>
  <c r="N189" i="1"/>
  <c r="E188" i="1"/>
  <c r="E189" i="1"/>
  <c r="N112" i="1"/>
  <c r="E112" i="1"/>
  <c r="Z112" i="1" l="1"/>
  <c r="D152" i="3"/>
  <c r="M189" i="1"/>
  <c r="N162" i="1"/>
  <c r="Z162" i="1" s="1"/>
  <c r="Z189" i="1"/>
  <c r="D83" i="3"/>
  <c r="L83" i="3" s="1"/>
  <c r="M112" i="1"/>
  <c r="D151" i="3"/>
  <c r="L151" i="3" s="1"/>
  <c r="M188" i="1"/>
  <c r="AA85" i="3"/>
  <c r="AA84" i="3"/>
  <c r="AB188" i="1"/>
  <c r="AA151" i="3" s="1"/>
  <c r="E162" i="1"/>
  <c r="M162" i="1" s="1"/>
  <c r="AB189" i="1"/>
  <c r="AB112" i="1"/>
  <c r="AA83" i="3" s="1"/>
  <c r="C35" i="3"/>
  <c r="E118" i="1"/>
  <c r="M118" i="1" s="1"/>
  <c r="C118" i="1"/>
  <c r="D118" i="1"/>
  <c r="C119" i="1"/>
  <c r="D119" i="1"/>
  <c r="D66" i="1" s="1"/>
  <c r="B119" i="1"/>
  <c r="B118" i="1"/>
  <c r="S206" i="1"/>
  <c r="O206" i="1"/>
  <c r="C29" i="1"/>
  <c r="D29" i="1"/>
  <c r="B29" i="1"/>
  <c r="N29" i="1"/>
  <c r="E29" i="1"/>
  <c r="M29" i="1" s="1"/>
  <c r="F27" i="1"/>
  <c r="C223" i="3"/>
  <c r="C198" i="3" s="1"/>
  <c r="N254" i="1"/>
  <c r="E254" i="1"/>
  <c r="C117" i="1"/>
  <c r="D117" i="1"/>
  <c r="B117" i="1"/>
  <c r="N117" i="1"/>
  <c r="Z117" i="1" s="1"/>
  <c r="E117" i="1"/>
  <c r="D121" i="3" l="1"/>
  <c r="L121" i="3" s="1"/>
  <c r="L152" i="3"/>
  <c r="Z254" i="1"/>
  <c r="D88" i="3"/>
  <c r="L88" i="3" s="1"/>
  <c r="M117" i="1"/>
  <c r="D233" i="3"/>
  <c r="M254" i="1"/>
  <c r="Z29" i="1"/>
  <c r="AB29" i="1"/>
  <c r="AA169" i="3" s="1"/>
  <c r="AB254" i="1"/>
  <c r="AA233" i="3" s="1"/>
  <c r="AA223" i="3" s="1"/>
  <c r="AA198" i="3" s="1"/>
  <c r="D89" i="3"/>
  <c r="L89" i="3" s="1"/>
  <c r="E119" i="1"/>
  <c r="AA152" i="3"/>
  <c r="AA121" i="3" s="1"/>
  <c r="AB162" i="1"/>
  <c r="AB117" i="1"/>
  <c r="AA88" i="3" s="1"/>
  <c r="D169" i="3"/>
  <c r="L169" i="3" s="1"/>
  <c r="N118" i="1"/>
  <c r="D223" i="3" l="1"/>
  <c r="L233" i="3"/>
  <c r="N119" i="1"/>
  <c r="Z118" i="1"/>
  <c r="D90" i="3"/>
  <c r="M119" i="1"/>
  <c r="E66" i="1"/>
  <c r="M66" i="1" s="1"/>
  <c r="AB118" i="1"/>
  <c r="D35" i="3" l="1"/>
  <c r="L35" i="3" s="1"/>
  <c r="L90" i="3"/>
  <c r="D198" i="3"/>
  <c r="L198" i="3" s="1"/>
  <c r="L223" i="3"/>
  <c r="N66" i="1"/>
  <c r="Z66" i="1" s="1"/>
  <c r="Z119" i="1"/>
  <c r="AA89" i="3"/>
  <c r="AB119" i="1"/>
  <c r="AA90" i="3" l="1"/>
  <c r="AA35" i="3" s="1"/>
  <c r="AB66" i="1"/>
  <c r="E87" i="1"/>
  <c r="E69" i="1" l="1"/>
  <c r="M69" i="1" s="1"/>
  <c r="M87" i="1"/>
  <c r="S279" i="1"/>
  <c r="O279" i="1"/>
  <c r="N155" i="1"/>
  <c r="Z155" i="1" s="1"/>
  <c r="E155" i="1"/>
  <c r="M155" i="1" s="1"/>
  <c r="C155" i="1"/>
  <c r="D155" i="1"/>
  <c r="B155" i="1"/>
  <c r="H48" i="1"/>
  <c r="H17" i="1" s="1"/>
  <c r="H16" i="1" s="1"/>
  <c r="F48" i="1"/>
  <c r="AB155" i="1" l="1"/>
  <c r="N244" i="1" l="1"/>
  <c r="E244" i="1"/>
  <c r="M244" i="1" s="1"/>
  <c r="Z244" i="1" l="1"/>
  <c r="AB244" i="1"/>
  <c r="AA211" i="3" s="1"/>
  <c r="D211" i="3"/>
  <c r="L211" i="3" s="1"/>
  <c r="N285" i="1"/>
  <c r="N284" i="1"/>
  <c r="Z284" i="1" s="1"/>
  <c r="E284" i="1"/>
  <c r="M284" i="1" s="1"/>
  <c r="E285" i="1"/>
  <c r="C284" i="1"/>
  <c r="D284" i="1"/>
  <c r="B284" i="1"/>
  <c r="S277" i="1"/>
  <c r="O277" i="1"/>
  <c r="D264" i="1"/>
  <c r="E277" i="1"/>
  <c r="C29" i="3"/>
  <c r="N236" i="1"/>
  <c r="N237" i="1"/>
  <c r="E237" i="1"/>
  <c r="E236" i="1"/>
  <c r="M236" i="1" s="1"/>
  <c r="B237" i="1"/>
  <c r="C237" i="1"/>
  <c r="D237" i="1"/>
  <c r="D216" i="1" s="1"/>
  <c r="C236" i="1"/>
  <c r="D236" i="1"/>
  <c r="B236" i="1"/>
  <c r="C176" i="3"/>
  <c r="S264" i="1" l="1"/>
  <c r="S329" i="1" s="1"/>
  <c r="O264" i="1"/>
  <c r="O329" i="1" s="1"/>
  <c r="E216" i="1"/>
  <c r="M216" i="1" s="1"/>
  <c r="M237" i="1"/>
  <c r="Z236" i="1"/>
  <c r="D94" i="3"/>
  <c r="M277" i="1"/>
  <c r="D191" i="3"/>
  <c r="L191" i="3" s="1"/>
  <c r="M285" i="1"/>
  <c r="N216" i="1"/>
  <c r="Z216" i="1" s="1"/>
  <c r="Z237" i="1"/>
  <c r="Z285" i="1"/>
  <c r="AB285" i="1"/>
  <c r="AA191" i="3" s="1"/>
  <c r="AB284" i="1"/>
  <c r="E264" i="1"/>
  <c r="M264" i="1" s="1"/>
  <c r="D193" i="3"/>
  <c r="N277" i="1"/>
  <c r="AB236" i="1"/>
  <c r="AA192" i="3" s="1"/>
  <c r="AB237" i="1"/>
  <c r="AB216" i="1" s="1"/>
  <c r="D192" i="3"/>
  <c r="L192" i="3" s="1"/>
  <c r="C178" i="3"/>
  <c r="C177" i="3"/>
  <c r="D219" i="1"/>
  <c r="E235" i="1"/>
  <c r="E234" i="1"/>
  <c r="M234" i="1" s="1"/>
  <c r="N235" i="1"/>
  <c r="D176" i="3" l="1"/>
  <c r="L176" i="3" s="1"/>
  <c r="L193" i="3"/>
  <c r="D29" i="3"/>
  <c r="L29" i="3" s="1"/>
  <c r="L94" i="3"/>
  <c r="N219" i="1"/>
  <c r="Z219" i="1" s="1"/>
  <c r="Z235" i="1"/>
  <c r="E219" i="1"/>
  <c r="M219" i="1" s="1"/>
  <c r="M235" i="1"/>
  <c r="N264" i="1"/>
  <c r="Z264" i="1" s="1"/>
  <c r="Z277" i="1"/>
  <c r="AB277" i="1"/>
  <c r="AA193" i="3"/>
  <c r="AA176" i="3" s="1"/>
  <c r="D190" i="3"/>
  <c r="AB235" i="1"/>
  <c r="D178" i="3" l="1"/>
  <c r="L178" i="3" s="1"/>
  <c r="L190" i="3"/>
  <c r="AA94" i="3"/>
  <c r="AA29" i="3" s="1"/>
  <c r="AB264" i="1"/>
  <c r="AA190" i="3"/>
  <c r="AA178" i="3" s="1"/>
  <c r="AB219" i="1"/>
  <c r="S271" i="1" l="1"/>
  <c r="O271" i="1"/>
  <c r="N276" i="1"/>
  <c r="Z276" i="1" s="1"/>
  <c r="S269" i="1"/>
  <c r="O269" i="1"/>
  <c r="E276" i="1"/>
  <c r="C276" i="1"/>
  <c r="D276" i="1"/>
  <c r="B276" i="1"/>
  <c r="D93" i="3" l="1"/>
  <c r="L93" i="3" s="1"/>
  <c r="M276" i="1"/>
  <c r="AB276" i="1"/>
  <c r="AA93" i="3" s="1"/>
  <c r="N153" i="1" l="1"/>
  <c r="N152" i="1"/>
  <c r="Z152" i="1" s="1"/>
  <c r="E153" i="1"/>
  <c r="M153" i="1" s="1"/>
  <c r="E152" i="1"/>
  <c r="D153" i="1"/>
  <c r="D142" i="1" s="1"/>
  <c r="C152" i="1"/>
  <c r="D152" i="1"/>
  <c r="B152" i="1"/>
  <c r="B104" i="1"/>
  <c r="C104" i="1"/>
  <c r="D104" i="1"/>
  <c r="D61" i="1" s="1"/>
  <c r="C103" i="1"/>
  <c r="D103" i="1"/>
  <c r="B103" i="1"/>
  <c r="N104" i="1"/>
  <c r="E104" i="1"/>
  <c r="N103" i="1"/>
  <c r="E103" i="1"/>
  <c r="C28" i="3"/>
  <c r="Z103" i="1" l="1"/>
  <c r="Z104" i="1"/>
  <c r="N61" i="1"/>
  <c r="Z61" i="1" s="1"/>
  <c r="AB152" i="1"/>
  <c r="M152" i="1"/>
  <c r="D72" i="3"/>
  <c r="L72" i="3" s="1"/>
  <c r="M103" i="1"/>
  <c r="E61" i="1"/>
  <c r="M61" i="1" s="1"/>
  <c r="M104" i="1"/>
  <c r="N142" i="1"/>
  <c r="Z142" i="1" s="1"/>
  <c r="Z153" i="1"/>
  <c r="AB153" i="1"/>
  <c r="AB142" i="1" s="1"/>
  <c r="E142" i="1"/>
  <c r="M142" i="1" s="1"/>
  <c r="D73" i="3"/>
  <c r="AB104" i="1"/>
  <c r="AB103" i="1"/>
  <c r="AA72" i="3" s="1"/>
  <c r="D28" i="3" l="1"/>
  <c r="L28" i="3" s="1"/>
  <c r="L73" i="3"/>
  <c r="AA73" i="3"/>
  <c r="AA28" i="3" s="1"/>
  <c r="AB61" i="1"/>
  <c r="C287" i="1" l="1"/>
  <c r="D287" i="1"/>
  <c r="B287" i="1"/>
  <c r="N287" i="1"/>
  <c r="Z287" i="1" s="1"/>
  <c r="E287" i="1"/>
  <c r="M287" i="1" s="1"/>
  <c r="F305" i="1"/>
  <c r="F303" i="1" s="1"/>
  <c r="F302" i="1" s="1"/>
  <c r="AB287" i="1" l="1"/>
  <c r="H326" i="1"/>
  <c r="N210" i="1"/>
  <c r="E210" i="1"/>
  <c r="M210" i="1" s="1"/>
  <c r="C210" i="1"/>
  <c r="B210" i="1"/>
  <c r="S207" i="1"/>
  <c r="S203" i="1" s="1"/>
  <c r="S202" i="1" s="1"/>
  <c r="O207" i="1"/>
  <c r="O203" i="1" s="1"/>
  <c r="O202" i="1" s="1"/>
  <c r="S282" i="1"/>
  <c r="N90" i="1"/>
  <c r="N89" i="1"/>
  <c r="Z89" i="1" s="1"/>
  <c r="E90" i="1"/>
  <c r="M90" i="1" s="1"/>
  <c r="H325" i="1" l="1"/>
  <c r="H324" i="1" s="1"/>
  <c r="Z210" i="1"/>
  <c r="Z90" i="1"/>
  <c r="AB210" i="1"/>
  <c r="AA164" i="3" s="1"/>
  <c r="D164" i="3"/>
  <c r="L164" i="3" s="1"/>
  <c r="AB90" i="1"/>
  <c r="AA59" i="3" s="1"/>
  <c r="D59" i="3"/>
  <c r="L59" i="3" s="1"/>
  <c r="C271" i="1" l="1"/>
  <c r="D271" i="1"/>
  <c r="B271" i="1"/>
  <c r="C270" i="1"/>
  <c r="B270" i="1"/>
  <c r="C269" i="1"/>
  <c r="D269" i="1"/>
  <c r="B269" i="1"/>
  <c r="N270" i="1"/>
  <c r="Z270" i="1" s="1"/>
  <c r="N269" i="1"/>
  <c r="Z269" i="1" s="1"/>
  <c r="N271" i="1"/>
  <c r="Z271" i="1" s="1"/>
  <c r="E269" i="1"/>
  <c r="M269" i="1" s="1"/>
  <c r="E270" i="1"/>
  <c r="M270" i="1" s="1"/>
  <c r="E271" i="1"/>
  <c r="M271" i="1" s="1"/>
  <c r="AB269" i="1" l="1"/>
  <c r="AB270" i="1"/>
  <c r="AB271" i="1"/>
  <c r="N281" i="1" l="1"/>
  <c r="Z281" i="1" s="1"/>
  <c r="E281" i="1"/>
  <c r="M281" i="1" s="1"/>
  <c r="C281" i="1"/>
  <c r="D281" i="1"/>
  <c r="B281" i="1"/>
  <c r="AB281" i="1" l="1"/>
  <c r="N279" i="1" l="1"/>
  <c r="Z279" i="1" s="1"/>
  <c r="E279" i="1"/>
  <c r="M279" i="1" s="1"/>
  <c r="C279" i="1"/>
  <c r="D279" i="1"/>
  <c r="B279" i="1"/>
  <c r="AB279" i="1" l="1"/>
  <c r="N111" i="1"/>
  <c r="E111" i="1"/>
  <c r="N110" i="1"/>
  <c r="E110" i="1"/>
  <c r="M110" i="1" s="1"/>
  <c r="N109" i="1"/>
  <c r="Z109" i="1" s="1"/>
  <c r="E109" i="1"/>
  <c r="B110" i="1"/>
  <c r="C110" i="1"/>
  <c r="D110" i="1"/>
  <c r="B111" i="1"/>
  <c r="C111" i="1"/>
  <c r="D111" i="1"/>
  <c r="C109" i="1"/>
  <c r="D109" i="1"/>
  <c r="B109" i="1"/>
  <c r="Z110" i="1" l="1"/>
  <c r="Z111" i="1"/>
  <c r="D80" i="3"/>
  <c r="L80" i="3" s="1"/>
  <c r="M109" i="1"/>
  <c r="D82" i="3"/>
  <c r="L82" i="3" s="1"/>
  <c r="M111" i="1"/>
  <c r="AB110" i="1"/>
  <c r="AA81" i="3" s="1"/>
  <c r="D81" i="3"/>
  <c r="L81" i="3" s="1"/>
  <c r="AB109" i="1"/>
  <c r="AA80" i="3" s="1"/>
  <c r="AB111" i="1"/>
  <c r="AA82" i="3" s="1"/>
  <c r="N234" i="1" l="1"/>
  <c r="E218" i="1"/>
  <c r="M218" i="1" s="1"/>
  <c r="D234" i="1"/>
  <c r="D218" i="1" s="1"/>
  <c r="N218" i="1" l="1"/>
  <c r="Z218" i="1" s="1"/>
  <c r="Z234" i="1"/>
  <c r="AB234" i="1"/>
  <c r="AA189" i="3" s="1"/>
  <c r="AA177" i="3" s="1"/>
  <c r="D189" i="3"/>
  <c r="D232" i="1"/>
  <c r="D177" i="3" l="1"/>
  <c r="L177" i="3" s="1"/>
  <c r="L189" i="3"/>
  <c r="AB218" i="1"/>
  <c r="P42" i="1" l="1"/>
  <c r="P17" i="1" s="1"/>
  <c r="P16" i="1" s="1"/>
  <c r="N46" i="1" l="1"/>
  <c r="D46" i="1"/>
  <c r="D18" i="1" s="1"/>
  <c r="C240" i="3"/>
  <c r="C238" i="3" s="1"/>
  <c r="D45" i="1"/>
  <c r="C56" i="3"/>
  <c r="C38" i="3" s="1"/>
  <c r="D69" i="1"/>
  <c r="N87" i="1"/>
  <c r="N238" i="1"/>
  <c r="Z238" i="1" s="1"/>
  <c r="N239" i="1"/>
  <c r="E238" i="1"/>
  <c r="E239" i="1"/>
  <c r="D238" i="1"/>
  <c r="C238" i="1"/>
  <c r="C239" i="1"/>
  <c r="D239" i="1"/>
  <c r="D214" i="1" s="1"/>
  <c r="B239" i="1"/>
  <c r="B238" i="1"/>
  <c r="C175" i="3"/>
  <c r="D64" i="1"/>
  <c r="C33" i="3"/>
  <c r="N130" i="1"/>
  <c r="E130" i="1"/>
  <c r="E129" i="1"/>
  <c r="M129" i="1" s="1"/>
  <c r="N64" i="1" l="1"/>
  <c r="Z64" i="1" s="1"/>
  <c r="Z130" i="1"/>
  <c r="D194" i="3"/>
  <c r="L194" i="3" s="1"/>
  <c r="M238" i="1"/>
  <c r="E64" i="1"/>
  <c r="M64" i="1" s="1"/>
  <c r="M130" i="1"/>
  <c r="D195" i="3"/>
  <c r="M239" i="1"/>
  <c r="N214" i="1"/>
  <c r="Z214" i="1" s="1"/>
  <c r="Z239" i="1"/>
  <c r="N69" i="1"/>
  <c r="Z69" i="1" s="1"/>
  <c r="Z87" i="1"/>
  <c r="N18" i="1"/>
  <c r="Z18" i="1" s="1"/>
  <c r="Z46" i="1"/>
  <c r="D56" i="3"/>
  <c r="AB239" i="1"/>
  <c r="AB214" i="1" s="1"/>
  <c r="E214" i="1"/>
  <c r="M214" i="1" s="1"/>
  <c r="D104" i="3"/>
  <c r="AB238" i="1"/>
  <c r="AA194" i="3" s="1"/>
  <c r="E46" i="1"/>
  <c r="AB130" i="1"/>
  <c r="AB87" i="1"/>
  <c r="AB69" i="1" s="1"/>
  <c r="S274" i="1"/>
  <c r="S263" i="1" s="1"/>
  <c r="S328" i="1" s="1"/>
  <c r="S273" i="1"/>
  <c r="S262" i="1" s="1"/>
  <c r="S261" i="1" s="1"/>
  <c r="O274" i="1"/>
  <c r="O263" i="1" s="1"/>
  <c r="O328" i="1" s="1"/>
  <c r="O273" i="1"/>
  <c r="O262" i="1" s="1"/>
  <c r="O261" i="1" s="1"/>
  <c r="D33" i="3" l="1"/>
  <c r="L33" i="3" s="1"/>
  <c r="L104" i="3"/>
  <c r="D38" i="3"/>
  <c r="L38" i="3" s="1"/>
  <c r="L56" i="3"/>
  <c r="D175" i="3"/>
  <c r="L175" i="3" s="1"/>
  <c r="L195" i="3"/>
  <c r="D243" i="3"/>
  <c r="M46" i="1"/>
  <c r="AA195" i="3"/>
  <c r="AA175" i="3" s="1"/>
  <c r="AB46" i="1"/>
  <c r="AA243" i="3" s="1"/>
  <c r="AA240" i="3" s="1"/>
  <c r="AA238" i="3" s="1"/>
  <c r="E18" i="1"/>
  <c r="M18" i="1" s="1"/>
  <c r="AA56" i="3"/>
  <c r="AA38" i="3" s="1"/>
  <c r="AB64" i="1"/>
  <c r="AA104" i="3"/>
  <c r="AA33" i="3" s="1"/>
  <c r="D240" i="3" l="1"/>
  <c r="L243" i="3"/>
  <c r="AB18" i="1"/>
  <c r="C34" i="3"/>
  <c r="N273" i="1"/>
  <c r="Z273" i="1" s="1"/>
  <c r="N274" i="1"/>
  <c r="E273" i="1"/>
  <c r="E274" i="1"/>
  <c r="E275" i="1"/>
  <c r="M275" i="1" s="1"/>
  <c r="D274" i="1"/>
  <c r="D263" i="1" s="1"/>
  <c r="C273" i="1"/>
  <c r="D273" i="1"/>
  <c r="B273" i="1"/>
  <c r="C272" i="1"/>
  <c r="D238" i="3" l="1"/>
  <c r="L238" i="3" s="1"/>
  <c r="L240" i="3"/>
  <c r="D79" i="3"/>
  <c r="M274" i="1"/>
  <c r="N263" i="1"/>
  <c r="Z263" i="1" s="1"/>
  <c r="Z274" i="1"/>
  <c r="D78" i="3"/>
  <c r="L78" i="3" s="1"/>
  <c r="M273" i="1"/>
  <c r="E263" i="1"/>
  <c r="M263" i="1" s="1"/>
  <c r="AB273" i="1"/>
  <c r="AA78" i="3" s="1"/>
  <c r="AB274" i="1"/>
  <c r="E272" i="1"/>
  <c r="N272" i="1"/>
  <c r="D272" i="1"/>
  <c r="B272" i="1"/>
  <c r="D34" i="3" l="1"/>
  <c r="L34" i="3" s="1"/>
  <c r="L79" i="3"/>
  <c r="D77" i="3"/>
  <c r="L77" i="3" s="1"/>
  <c r="M272" i="1"/>
  <c r="Z272" i="1"/>
  <c r="AA79" i="3"/>
  <c r="AA34" i="3" s="1"/>
  <c r="AB263" i="1"/>
  <c r="AB272" i="1"/>
  <c r="AA77" i="3" s="1"/>
  <c r="D246" i="1" l="1"/>
  <c r="D217" i="1" s="1"/>
  <c r="C245" i="1"/>
  <c r="D245" i="1"/>
  <c r="B245" i="1"/>
  <c r="N245" i="1"/>
  <c r="Z245" i="1" s="1"/>
  <c r="N246" i="1"/>
  <c r="E240" i="1"/>
  <c r="M240" i="1" s="1"/>
  <c r="E245" i="1"/>
  <c r="E246" i="1"/>
  <c r="N185" i="1"/>
  <c r="N186" i="1"/>
  <c r="E185" i="1"/>
  <c r="E186" i="1"/>
  <c r="M186" i="1" s="1"/>
  <c r="B186" i="1"/>
  <c r="C186" i="1"/>
  <c r="D186" i="1"/>
  <c r="D161" i="1" s="1"/>
  <c r="C185" i="1"/>
  <c r="D185" i="1"/>
  <c r="B185" i="1"/>
  <c r="C120" i="3"/>
  <c r="N161" i="1" l="1"/>
  <c r="Z161" i="1" s="1"/>
  <c r="Z186" i="1"/>
  <c r="D212" i="3"/>
  <c r="L212" i="3" s="1"/>
  <c r="M245" i="1"/>
  <c r="N217" i="1"/>
  <c r="Z217" i="1" s="1"/>
  <c r="Z246" i="1"/>
  <c r="D148" i="3"/>
  <c r="L148" i="3" s="1"/>
  <c r="M185" i="1"/>
  <c r="Z185" i="1"/>
  <c r="E217" i="1"/>
  <c r="M217" i="1" s="1"/>
  <c r="M246" i="1"/>
  <c r="D149" i="3"/>
  <c r="D213" i="3"/>
  <c r="E161" i="1"/>
  <c r="M161" i="1" s="1"/>
  <c r="AB246" i="1"/>
  <c r="AB245" i="1"/>
  <c r="AA212" i="3" s="1"/>
  <c r="AB186" i="1"/>
  <c r="AB185" i="1"/>
  <c r="AA148" i="3" s="1"/>
  <c r="D150" i="1"/>
  <c r="D120" i="3" l="1"/>
  <c r="L120" i="3" s="1"/>
  <c r="L149" i="3"/>
  <c r="D206" i="3"/>
  <c r="L213" i="3"/>
  <c r="AA149" i="3"/>
  <c r="AA120" i="3" s="1"/>
  <c r="AA213" i="3"/>
  <c r="AA206" i="3" s="1"/>
  <c r="AA199" i="3" s="1"/>
  <c r="AB217" i="1"/>
  <c r="AB161" i="1"/>
  <c r="D199" i="3" l="1"/>
  <c r="L199" i="3" s="1"/>
  <c r="L206" i="3"/>
  <c r="E154" i="1"/>
  <c r="M154" i="1" s="1"/>
  <c r="C150" i="1"/>
  <c r="B150" i="1"/>
  <c r="AB150" i="1" l="1"/>
  <c r="C119" i="3" l="1"/>
  <c r="D160" i="1"/>
  <c r="N192" i="1"/>
  <c r="N193" i="1"/>
  <c r="N194" i="1"/>
  <c r="E194" i="1"/>
  <c r="N160" i="1" l="1"/>
  <c r="Z160" i="1" s="1"/>
  <c r="Z194" i="1"/>
  <c r="N158" i="1"/>
  <c r="Z192" i="1"/>
  <c r="E160" i="1"/>
  <c r="M160" i="1" s="1"/>
  <c r="M194" i="1"/>
  <c r="Z193" i="1"/>
  <c r="D158" i="3"/>
  <c r="AB194" i="1"/>
  <c r="D119" i="3" l="1"/>
  <c r="L119" i="3" s="1"/>
  <c r="L158" i="3"/>
  <c r="N331" i="1"/>
  <c r="Z158" i="1"/>
  <c r="AB160" i="1"/>
  <c r="AA158" i="3"/>
  <c r="AA119" i="3" s="1"/>
  <c r="Z331" i="1" l="1"/>
  <c r="N120" i="1"/>
  <c r="Z120" i="1" s="1"/>
  <c r="N121" i="1"/>
  <c r="Z121" i="1" s="1"/>
  <c r="E120" i="1"/>
  <c r="M120" i="1" s="1"/>
  <c r="E121" i="1"/>
  <c r="C120" i="1"/>
  <c r="B120" i="1"/>
  <c r="D92" i="3" l="1"/>
  <c r="L92" i="3" s="1"/>
  <c r="M121" i="1"/>
  <c r="AB121" i="1"/>
  <c r="AA92" i="3" s="1"/>
  <c r="AB120" i="1"/>
  <c r="C225" i="3" l="1"/>
  <c r="C201" i="3" s="1"/>
  <c r="D229" i="3"/>
  <c r="D290" i="1"/>
  <c r="D267" i="1" s="1"/>
  <c r="E267" i="1"/>
  <c r="M267" i="1" s="1"/>
  <c r="N290" i="1"/>
  <c r="D225" i="3" l="1"/>
  <c r="L229" i="3"/>
  <c r="AB290" i="1"/>
  <c r="N267" i="1"/>
  <c r="Z267" i="1" s="1"/>
  <c r="Z290" i="1"/>
  <c r="AB267" i="1"/>
  <c r="AA229" i="3"/>
  <c r="AA225" i="3" s="1"/>
  <c r="AA201" i="3" s="1"/>
  <c r="D201" i="3" l="1"/>
  <c r="L201" i="3" s="1"/>
  <c r="L225" i="3"/>
  <c r="P258" i="1"/>
  <c r="P213" i="1" s="1"/>
  <c r="P212" i="1" s="1"/>
  <c r="E249" i="1" l="1"/>
  <c r="N249" i="1"/>
  <c r="C249" i="1"/>
  <c r="D249" i="1"/>
  <c r="B249" i="1"/>
  <c r="F250" i="1"/>
  <c r="Z249" i="1" l="1"/>
  <c r="D217" i="3"/>
  <c r="L217" i="3" s="1"/>
  <c r="M249" i="1"/>
  <c r="AB249" i="1"/>
  <c r="AA217" i="3" s="1"/>
  <c r="F23" i="1" l="1"/>
  <c r="C280" i="1"/>
  <c r="D280" i="1"/>
  <c r="B280" i="1"/>
  <c r="C286" i="1"/>
  <c r="B286" i="1"/>
  <c r="C283" i="1"/>
  <c r="D283" i="1"/>
  <c r="B283" i="1"/>
  <c r="N286" i="1"/>
  <c r="Z286" i="1" s="1"/>
  <c r="E286" i="1"/>
  <c r="M286" i="1" s="1"/>
  <c r="N283" i="1"/>
  <c r="Z283" i="1" s="1"/>
  <c r="E283" i="1"/>
  <c r="M283" i="1" s="1"/>
  <c r="N280" i="1"/>
  <c r="Z280" i="1" s="1"/>
  <c r="E280" i="1"/>
  <c r="D91" i="3"/>
  <c r="L91" i="3" s="1"/>
  <c r="C275" i="1"/>
  <c r="B275" i="1"/>
  <c r="C32" i="3"/>
  <c r="N129" i="1"/>
  <c r="B129" i="1"/>
  <c r="C129" i="1"/>
  <c r="D129" i="1"/>
  <c r="D65" i="1" s="1"/>
  <c r="C128" i="1"/>
  <c r="D128" i="1"/>
  <c r="B128" i="1"/>
  <c r="D103" i="3"/>
  <c r="N128" i="1"/>
  <c r="Z128" i="1" s="1"/>
  <c r="E128" i="1"/>
  <c r="C30" i="3"/>
  <c r="N85" i="1"/>
  <c r="E85" i="1"/>
  <c r="D85" i="1"/>
  <c r="D62" i="1" s="1"/>
  <c r="D32" i="3" l="1"/>
  <c r="L32" i="3" s="1"/>
  <c r="L103" i="3"/>
  <c r="E62" i="1"/>
  <c r="M62" i="1" s="1"/>
  <c r="M85" i="1"/>
  <c r="D102" i="3"/>
  <c r="L102" i="3" s="1"/>
  <c r="M128" i="1"/>
  <c r="D114" i="3"/>
  <c r="L114" i="3" s="1"/>
  <c r="M280" i="1"/>
  <c r="N62" i="1"/>
  <c r="Z62" i="1" s="1"/>
  <c r="Z85" i="1"/>
  <c r="N65" i="1"/>
  <c r="Z65" i="1" s="1"/>
  <c r="Z129" i="1"/>
  <c r="AB283" i="1"/>
  <c r="AB286" i="1"/>
  <c r="AB280" i="1"/>
  <c r="N275" i="1"/>
  <c r="E65" i="1"/>
  <c r="M65" i="1" s="1"/>
  <c r="AB128" i="1"/>
  <c r="AB129" i="1"/>
  <c r="AB85" i="1"/>
  <c r="AB62" i="1" s="1"/>
  <c r="D54" i="3"/>
  <c r="B123" i="1"/>
  <c r="C123" i="1"/>
  <c r="D123" i="1"/>
  <c r="D59" i="1" s="1"/>
  <c r="C122" i="1"/>
  <c r="D122" i="1"/>
  <c r="B122" i="1"/>
  <c r="C26" i="3"/>
  <c r="D30" i="3" l="1"/>
  <c r="L30" i="3" s="1"/>
  <c r="L54" i="3"/>
  <c r="Z275" i="1"/>
  <c r="AA114" i="3"/>
  <c r="AA102" i="3"/>
  <c r="AB275" i="1"/>
  <c r="AA91" i="3" s="1"/>
  <c r="AA103" i="3"/>
  <c r="AA32" i="3" s="1"/>
  <c r="AB65" i="1"/>
  <c r="AA54" i="3"/>
  <c r="AA30" i="3" s="1"/>
  <c r="D100" i="1"/>
  <c r="N123" i="1"/>
  <c r="E123" i="1"/>
  <c r="M123" i="1" s="1"/>
  <c r="N122" i="1"/>
  <c r="E122" i="1"/>
  <c r="F20" i="1"/>
  <c r="F17" i="1" s="1"/>
  <c r="F16" i="1" s="1"/>
  <c r="Z122" i="1" l="1"/>
  <c r="N59" i="1"/>
  <c r="Z59" i="1" s="1"/>
  <c r="Z123" i="1"/>
  <c r="D96" i="3"/>
  <c r="L96" i="3" s="1"/>
  <c r="M122" i="1"/>
  <c r="AB123" i="1"/>
  <c r="E59" i="1"/>
  <c r="M59" i="1" s="1"/>
  <c r="D97" i="3"/>
  <c r="AB122" i="1"/>
  <c r="AA96" i="3" s="1"/>
  <c r="D26" i="3" l="1"/>
  <c r="L26" i="3" s="1"/>
  <c r="L97" i="3"/>
  <c r="AB59" i="1"/>
  <c r="AA97" i="3"/>
  <c r="AA26" i="3" s="1"/>
  <c r="C201" i="1"/>
  <c r="D201" i="1"/>
  <c r="B201" i="1"/>
  <c r="E201" i="1"/>
  <c r="F200" i="1"/>
  <c r="F199" i="1"/>
  <c r="H175" i="1"/>
  <c r="H157" i="1" s="1"/>
  <c r="H156" i="1" s="1"/>
  <c r="F197" i="1" l="1"/>
  <c r="F196" i="1" s="1"/>
  <c r="D135" i="3"/>
  <c r="L135" i="3" s="1"/>
  <c r="M201" i="1"/>
  <c r="AB201" i="1"/>
  <c r="C25" i="3"/>
  <c r="C24" i="3"/>
  <c r="C23" i="3"/>
  <c r="N126" i="1"/>
  <c r="N127" i="1"/>
  <c r="E126" i="1"/>
  <c r="M126" i="1" s="1"/>
  <c r="E127" i="1"/>
  <c r="B127" i="1"/>
  <c r="C127" i="1"/>
  <c r="D127" i="1"/>
  <c r="D58" i="1" s="1"/>
  <c r="C126" i="1"/>
  <c r="D126" i="1"/>
  <c r="B126" i="1"/>
  <c r="E98" i="1"/>
  <c r="M98" i="1" s="1"/>
  <c r="E100" i="1"/>
  <c r="M100" i="1" s="1"/>
  <c r="E101" i="1"/>
  <c r="M101" i="1" s="1"/>
  <c r="N100" i="1"/>
  <c r="N101" i="1"/>
  <c r="B101" i="1"/>
  <c r="C101" i="1"/>
  <c r="D101" i="1"/>
  <c r="D57" i="1" s="1"/>
  <c r="C100" i="1"/>
  <c r="B100" i="1"/>
  <c r="N98" i="1"/>
  <c r="D99" i="1"/>
  <c r="D56" i="1" s="1"/>
  <c r="C98" i="1"/>
  <c r="D98" i="1"/>
  <c r="B98" i="1"/>
  <c r="C97" i="1"/>
  <c r="D97" i="1"/>
  <c r="B97" i="1"/>
  <c r="N97" i="1"/>
  <c r="Z97" i="1" s="1"/>
  <c r="E97" i="1"/>
  <c r="M97" i="1" s="1"/>
  <c r="N99" i="1" l="1"/>
  <c r="Z98" i="1"/>
  <c r="N57" i="1"/>
  <c r="Z57" i="1" s="1"/>
  <c r="Z101" i="1"/>
  <c r="Z126" i="1"/>
  <c r="Z100" i="1"/>
  <c r="E58" i="1"/>
  <c r="M58" i="1" s="1"/>
  <c r="M127" i="1"/>
  <c r="N58" i="1"/>
  <c r="Z58" i="1" s="1"/>
  <c r="Z127" i="1"/>
  <c r="D70" i="3"/>
  <c r="E57" i="1"/>
  <c r="M57" i="1" s="1"/>
  <c r="D101" i="3"/>
  <c r="D67" i="3"/>
  <c r="L67" i="3" s="1"/>
  <c r="E99" i="1"/>
  <c r="AA135" i="3"/>
  <c r="AB126" i="1"/>
  <c r="AA100" i="3" s="1"/>
  <c r="D100" i="3"/>
  <c r="L100" i="3" s="1"/>
  <c r="AB100" i="1"/>
  <c r="AA69" i="3" s="1"/>
  <c r="D69" i="3"/>
  <c r="L69" i="3" s="1"/>
  <c r="AB127" i="1"/>
  <c r="D66" i="3"/>
  <c r="L66" i="3" s="1"/>
  <c r="AB101" i="1"/>
  <c r="AB57" i="1" s="1"/>
  <c r="AB98" i="1"/>
  <c r="AB97" i="1"/>
  <c r="C36" i="3"/>
  <c r="D25" i="3" l="1"/>
  <c r="L25" i="3" s="1"/>
  <c r="L101" i="3"/>
  <c r="D24" i="3"/>
  <c r="L24" i="3" s="1"/>
  <c r="L70" i="3"/>
  <c r="D68" i="3"/>
  <c r="M99" i="1"/>
  <c r="N56" i="1"/>
  <c r="Z56" i="1" s="1"/>
  <c r="Z99" i="1"/>
  <c r="E56" i="1"/>
  <c r="M56" i="1" s="1"/>
  <c r="AA67" i="3"/>
  <c r="AB99" i="1"/>
  <c r="AB56" i="1" s="1"/>
  <c r="AA70" i="3"/>
  <c r="AA24" i="3" s="1"/>
  <c r="AA101" i="3"/>
  <c r="AA25" i="3" s="1"/>
  <c r="AB58" i="1"/>
  <c r="AA68" i="3"/>
  <c r="AA23" i="3" s="1"/>
  <c r="AA66" i="3"/>
  <c r="D23" i="3" l="1"/>
  <c r="L23" i="3" s="1"/>
  <c r="L68" i="3"/>
  <c r="F259" i="1"/>
  <c r="E181" i="1" l="1"/>
  <c r="E180" i="1"/>
  <c r="B181" i="1"/>
  <c r="C181" i="1"/>
  <c r="D181" i="1"/>
  <c r="C180" i="1"/>
  <c r="D180" i="1"/>
  <c r="B180" i="1"/>
  <c r="E173" i="1"/>
  <c r="E172" i="1"/>
  <c r="E171" i="1"/>
  <c r="E170" i="1"/>
  <c r="B171" i="1"/>
  <c r="C171" i="1"/>
  <c r="D171" i="1"/>
  <c r="B172" i="1"/>
  <c r="C172" i="1"/>
  <c r="D172" i="1"/>
  <c r="B173" i="1"/>
  <c r="C173" i="1"/>
  <c r="D173" i="1"/>
  <c r="C170" i="1"/>
  <c r="D170" i="1"/>
  <c r="B170" i="1"/>
  <c r="D192" i="1"/>
  <c r="F232" i="1"/>
  <c r="F213" i="1" s="1"/>
  <c r="F212" i="1" s="1"/>
  <c r="E89" i="1"/>
  <c r="M89" i="1" s="1"/>
  <c r="S88" i="1"/>
  <c r="R88" i="1"/>
  <c r="Q88" i="1"/>
  <c r="P88" i="1"/>
  <c r="O88" i="1"/>
  <c r="N88" i="1"/>
  <c r="I88" i="1"/>
  <c r="H88" i="1"/>
  <c r="B89" i="1"/>
  <c r="C89" i="1"/>
  <c r="D89" i="1"/>
  <c r="C88" i="1"/>
  <c r="D88" i="1"/>
  <c r="B88" i="1"/>
  <c r="S81" i="1"/>
  <c r="R81" i="1"/>
  <c r="Q81" i="1"/>
  <c r="P81" i="1"/>
  <c r="O81" i="1"/>
  <c r="N81" i="1"/>
  <c r="I81" i="1"/>
  <c r="H81" i="1"/>
  <c r="G81" i="1"/>
  <c r="F81" i="1"/>
  <c r="E82" i="1"/>
  <c r="B82" i="1"/>
  <c r="C82" i="1"/>
  <c r="D82" i="1"/>
  <c r="C81" i="1"/>
  <c r="D81" i="1"/>
  <c r="B81" i="1"/>
  <c r="G79" i="1"/>
  <c r="H79" i="1"/>
  <c r="I79" i="1"/>
  <c r="I54" i="1" s="1"/>
  <c r="I53" i="1" s="1"/>
  <c r="I327" i="1" s="1"/>
  <c r="O79" i="1"/>
  <c r="O54" i="1" s="1"/>
  <c r="O53" i="1" s="1"/>
  <c r="P79" i="1"/>
  <c r="Q79" i="1"/>
  <c r="Q54" i="1" s="1"/>
  <c r="Q53" i="1" s="1"/>
  <c r="Q327" i="1" s="1"/>
  <c r="R79" i="1"/>
  <c r="R54" i="1" s="1"/>
  <c r="R53" i="1" s="1"/>
  <c r="R327" i="1" s="1"/>
  <c r="S79" i="1"/>
  <c r="S54" i="1" s="1"/>
  <c r="S53" i="1" s="1"/>
  <c r="F79" i="1"/>
  <c r="E80" i="1"/>
  <c r="M80" i="1" s="1"/>
  <c r="N80" i="1"/>
  <c r="Z80" i="1" s="1"/>
  <c r="B80" i="1"/>
  <c r="C80" i="1"/>
  <c r="D80" i="1"/>
  <c r="C79" i="1"/>
  <c r="D79" i="1"/>
  <c r="B79" i="1"/>
  <c r="G76" i="1"/>
  <c r="G54" i="1" s="1"/>
  <c r="G53" i="1" s="1"/>
  <c r="G327" i="1" s="1"/>
  <c r="H76" i="1"/>
  <c r="H54" i="1" s="1"/>
  <c r="H53" i="1" s="1"/>
  <c r="H327" i="1" s="1"/>
  <c r="N77" i="1"/>
  <c r="E77" i="1"/>
  <c r="N95" i="1"/>
  <c r="E95" i="1"/>
  <c r="N94" i="1"/>
  <c r="E94" i="1"/>
  <c r="M94" i="1" s="1"/>
  <c r="D95" i="1"/>
  <c r="C94" i="1"/>
  <c r="D94" i="1"/>
  <c r="B94" i="1"/>
  <c r="D76" i="1"/>
  <c r="N78" i="1"/>
  <c r="E78" i="1"/>
  <c r="M78" i="1" s="1"/>
  <c r="N76" i="1"/>
  <c r="C76" i="1"/>
  <c r="B76" i="1"/>
  <c r="F54" i="1" l="1"/>
  <c r="F53" i="1" s="1"/>
  <c r="F327" i="1" s="1"/>
  <c r="Z76" i="1"/>
  <c r="D64" i="3"/>
  <c r="L64" i="3" s="1"/>
  <c r="M95" i="1"/>
  <c r="D45" i="3"/>
  <c r="L45" i="3" s="1"/>
  <c r="M77" i="1"/>
  <c r="Z81" i="1"/>
  <c r="Z88" i="1"/>
  <c r="AB170" i="1"/>
  <c r="AA128" i="3" s="1"/>
  <c r="M170" i="1"/>
  <c r="AB172" i="1"/>
  <c r="AA130" i="3" s="1"/>
  <c r="M172" i="1"/>
  <c r="D143" i="3"/>
  <c r="L143" i="3" s="1"/>
  <c r="M180" i="1"/>
  <c r="N67" i="1"/>
  <c r="Z78" i="1"/>
  <c r="Z94" i="1"/>
  <c r="Z95" i="1"/>
  <c r="N55" i="1"/>
  <c r="Z55" i="1" s="1"/>
  <c r="Z77" i="1"/>
  <c r="AB82" i="1"/>
  <c r="AA50" i="3" s="1"/>
  <c r="M82" i="1"/>
  <c r="D129" i="3"/>
  <c r="L129" i="3" s="1"/>
  <c r="M171" i="1"/>
  <c r="AB173" i="1"/>
  <c r="AA131" i="3" s="1"/>
  <c r="M173" i="1"/>
  <c r="D144" i="3"/>
  <c r="L144" i="3" s="1"/>
  <c r="M181" i="1"/>
  <c r="E55" i="1"/>
  <c r="M55" i="1" s="1"/>
  <c r="E67" i="1"/>
  <c r="E192" i="1"/>
  <c r="D58" i="3"/>
  <c r="L58" i="3" s="1"/>
  <c r="E88" i="1"/>
  <c r="M88" i="1" s="1"/>
  <c r="E76" i="1"/>
  <c r="M76" i="1" s="1"/>
  <c r="N79" i="1"/>
  <c r="AB181" i="1"/>
  <c r="AA144" i="3" s="1"/>
  <c r="D130" i="3"/>
  <c r="L130" i="3" s="1"/>
  <c r="AB171" i="1"/>
  <c r="AA129" i="3" s="1"/>
  <c r="D131" i="3"/>
  <c r="L131" i="3" s="1"/>
  <c r="AB180" i="1"/>
  <c r="AA143" i="3" s="1"/>
  <c r="D128" i="3"/>
  <c r="L128" i="3" s="1"/>
  <c r="AB89" i="1"/>
  <c r="AB94" i="1"/>
  <c r="AA63" i="3" s="1"/>
  <c r="D63" i="3"/>
  <c r="L63" i="3" s="1"/>
  <c r="E81" i="1"/>
  <c r="M81" i="1" s="1"/>
  <c r="AB80" i="1"/>
  <c r="D50" i="3"/>
  <c r="L50" i="3" s="1"/>
  <c r="E79" i="1"/>
  <c r="M79" i="1" s="1"/>
  <c r="D48" i="3"/>
  <c r="L48" i="3" s="1"/>
  <c r="AB77" i="1"/>
  <c r="AA45" i="3" s="1"/>
  <c r="D46" i="3"/>
  <c r="L46" i="3" s="1"/>
  <c r="AB95" i="1"/>
  <c r="AA64" i="3" s="1"/>
  <c r="AB78" i="1"/>
  <c r="Z79" i="1" l="1"/>
  <c r="E158" i="1"/>
  <c r="M192" i="1"/>
  <c r="E330" i="1"/>
  <c r="M67" i="1"/>
  <c r="N330" i="1"/>
  <c r="Z67" i="1"/>
  <c r="D44" i="3"/>
  <c r="L44" i="3" s="1"/>
  <c r="D22" i="3"/>
  <c r="L22" i="3" s="1"/>
  <c r="AB55" i="1"/>
  <c r="AB192" i="1"/>
  <c r="D156" i="3"/>
  <c r="F346" i="1"/>
  <c r="AA58" i="3"/>
  <c r="AB88" i="1"/>
  <c r="R345" i="1"/>
  <c r="Q345" i="1"/>
  <c r="S345" i="1"/>
  <c r="F345" i="1"/>
  <c r="I345" i="1"/>
  <c r="P345" i="1"/>
  <c r="H345" i="1"/>
  <c r="O345" i="1"/>
  <c r="G345" i="1"/>
  <c r="AB76" i="1"/>
  <c r="O346" i="1"/>
  <c r="H346" i="1"/>
  <c r="I346" i="1"/>
  <c r="Q346" i="1"/>
  <c r="G346" i="1"/>
  <c r="P346" i="1"/>
  <c r="N346" i="1"/>
  <c r="S346" i="1"/>
  <c r="R346" i="1"/>
  <c r="AB67" i="1"/>
  <c r="AB330" i="1" s="1"/>
  <c r="D36" i="3"/>
  <c r="D57" i="3"/>
  <c r="L57" i="3" s="1"/>
  <c r="D49" i="3"/>
  <c r="L49" i="3" s="1"/>
  <c r="AB81" i="1"/>
  <c r="AA49" i="3" s="1"/>
  <c r="D47" i="3"/>
  <c r="L47" i="3" s="1"/>
  <c r="AB79" i="1"/>
  <c r="AA47" i="3" s="1"/>
  <c r="AA48" i="3"/>
  <c r="AA46" i="3"/>
  <c r="D117" i="3" l="1"/>
  <c r="L156" i="3"/>
  <c r="D265" i="3"/>
  <c r="L265" i="3" s="1"/>
  <c r="L36" i="3"/>
  <c r="Z330" i="1"/>
  <c r="M330" i="1"/>
  <c r="E331" i="1"/>
  <c r="M158" i="1"/>
  <c r="AA22" i="3"/>
  <c r="AA44" i="3"/>
  <c r="AA156" i="3"/>
  <c r="AA117" i="3" s="1"/>
  <c r="AA266" i="3" s="1"/>
  <c r="AB158" i="1"/>
  <c r="AB331" i="1" s="1"/>
  <c r="AA57" i="3"/>
  <c r="N345" i="1"/>
  <c r="AA36" i="3"/>
  <c r="AA265" i="3" s="1"/>
  <c r="E345" i="1" l="1"/>
  <c r="D266" i="3"/>
  <c r="L117" i="3"/>
  <c r="M331" i="1"/>
  <c r="AB346" i="1"/>
  <c r="AB345" i="1"/>
  <c r="D195" i="1"/>
  <c r="C320" i="1"/>
  <c r="D326" i="1"/>
  <c r="C326" i="1"/>
  <c r="B326" i="1"/>
  <c r="C323" i="1"/>
  <c r="D323" i="1"/>
  <c r="B323" i="1"/>
  <c r="C257" i="1"/>
  <c r="D257" i="1"/>
  <c r="B257" i="1"/>
  <c r="C255" i="1"/>
  <c r="B255" i="1"/>
  <c r="D221" i="1"/>
  <c r="C221" i="1"/>
  <c r="B221" i="1"/>
  <c r="D205" i="1"/>
  <c r="C205" i="1"/>
  <c r="B205" i="1"/>
  <c r="D200" i="1"/>
  <c r="C199" i="1"/>
  <c r="C200" i="1"/>
  <c r="B200" i="1"/>
  <c r="D199" i="1"/>
  <c r="B199" i="1"/>
  <c r="D137" i="1"/>
  <c r="C137" i="1"/>
  <c r="B137" i="1"/>
  <c r="D136" i="1"/>
  <c r="C136" i="1"/>
  <c r="B136" i="1"/>
  <c r="C135" i="1"/>
  <c r="B135" i="1"/>
  <c r="D134" i="1"/>
  <c r="C134" i="1"/>
  <c r="B134" i="1"/>
  <c r="B133" i="1"/>
  <c r="D96" i="1"/>
  <c r="C93" i="1"/>
  <c r="C96" i="1"/>
  <c r="B96" i="1"/>
  <c r="D92" i="1"/>
  <c r="D93" i="1"/>
  <c r="C92" i="1"/>
  <c r="B92" i="1"/>
  <c r="B93" i="1"/>
  <c r="D91" i="1"/>
  <c r="C91" i="1"/>
  <c r="B91" i="1"/>
  <c r="C84" i="1"/>
  <c r="D84" i="1"/>
  <c r="B84" i="1"/>
  <c r="C83" i="1"/>
  <c r="D83" i="1"/>
  <c r="B83" i="1"/>
  <c r="C75" i="1"/>
  <c r="D75" i="1"/>
  <c r="B75" i="1"/>
  <c r="D74" i="1"/>
  <c r="C74" i="1"/>
  <c r="B74" i="1"/>
  <c r="D26" i="1"/>
  <c r="C26" i="1"/>
  <c r="B25" i="1"/>
  <c r="D24" i="1"/>
  <c r="C24" i="1"/>
  <c r="B24" i="1"/>
  <c r="L266" i="3" l="1"/>
  <c r="E346" i="1"/>
  <c r="P84" i="1"/>
  <c r="P54" i="1" s="1"/>
  <c r="P53" i="1" s="1"/>
  <c r="P327" i="1" s="1"/>
  <c r="N84" i="1" l="1"/>
  <c r="Z84" i="1" s="1"/>
  <c r="N174" i="1" l="1"/>
  <c r="Z174" i="1" s="1"/>
  <c r="C313" i="1" l="1"/>
  <c r="D313" i="1"/>
  <c r="B313" i="1"/>
  <c r="N313" i="1"/>
  <c r="Z313" i="1" s="1"/>
  <c r="E313" i="1"/>
  <c r="M313" i="1" s="1"/>
  <c r="N179" i="1"/>
  <c r="E179" i="1"/>
  <c r="C175" i="1"/>
  <c r="D175" i="1"/>
  <c r="B175" i="1"/>
  <c r="N175" i="1"/>
  <c r="E175" i="1"/>
  <c r="D136" i="3" l="1"/>
  <c r="L136" i="3" s="1"/>
  <c r="M175" i="1"/>
  <c r="D142" i="3"/>
  <c r="L142" i="3" s="1"/>
  <c r="M179" i="1"/>
  <c r="Z175" i="1"/>
  <c r="Z179" i="1"/>
  <c r="N159" i="1"/>
  <c r="AB313" i="1"/>
  <c r="AB179" i="1"/>
  <c r="AA142" i="3" s="1"/>
  <c r="AB175" i="1"/>
  <c r="AA136" i="3" s="1"/>
  <c r="E231" i="1"/>
  <c r="C231" i="1"/>
  <c r="B231" i="1"/>
  <c r="N231" i="1"/>
  <c r="Z231" i="1" s="1"/>
  <c r="D187" i="3" l="1"/>
  <c r="L187" i="3" s="1"/>
  <c r="M231" i="1"/>
  <c r="N328" i="1"/>
  <c r="Z328" i="1" s="1"/>
  <c r="N329" i="1"/>
  <c r="Z329" i="1" s="1"/>
  <c r="Z159" i="1"/>
  <c r="AB231" i="1"/>
  <c r="N27" i="1"/>
  <c r="Z27" i="1" s="1"/>
  <c r="AA187" i="3" l="1"/>
  <c r="E193" i="1"/>
  <c r="M193" i="1" s="1"/>
  <c r="Q343" i="1" l="1"/>
  <c r="H343" i="1"/>
  <c r="P343" i="1"/>
  <c r="G344" i="1"/>
  <c r="O343" i="1"/>
  <c r="S343" i="1"/>
  <c r="R343" i="1"/>
  <c r="I344" i="1"/>
  <c r="E159" i="1"/>
  <c r="F343" i="1"/>
  <c r="Q344" i="1"/>
  <c r="E329" i="1"/>
  <c r="D157" i="3"/>
  <c r="L157" i="3" s="1"/>
  <c r="AB193" i="1"/>
  <c r="M329" i="1" l="1"/>
  <c r="E328" i="1"/>
  <c r="M159" i="1"/>
  <c r="H344" i="1"/>
  <c r="S344" i="1"/>
  <c r="O344" i="1"/>
  <c r="P344" i="1"/>
  <c r="R344" i="1"/>
  <c r="I343" i="1"/>
  <c r="G343" i="1"/>
  <c r="N343" i="1"/>
  <c r="F344" i="1"/>
  <c r="AB159" i="1"/>
  <c r="AB328" i="1" s="1"/>
  <c r="D118" i="3"/>
  <c r="N344" i="1"/>
  <c r="AA157" i="3"/>
  <c r="D264" i="3" l="1"/>
  <c r="L118" i="3"/>
  <c r="M328" i="1"/>
  <c r="AB329" i="1"/>
  <c r="AA118" i="3"/>
  <c r="AA263" i="3" s="1"/>
  <c r="AB343" i="1" s="1"/>
  <c r="D263" i="3"/>
  <c r="C251" i="1"/>
  <c r="D251" i="1"/>
  <c r="B251" i="1"/>
  <c r="E250" i="1"/>
  <c r="C250" i="1"/>
  <c r="D250" i="1"/>
  <c r="B250" i="1"/>
  <c r="N251" i="1"/>
  <c r="Z251" i="1" s="1"/>
  <c r="E251" i="1"/>
  <c r="N250" i="1"/>
  <c r="N247" i="1"/>
  <c r="E247" i="1"/>
  <c r="C247" i="1"/>
  <c r="D247" i="1"/>
  <c r="B247" i="1"/>
  <c r="N232" i="1"/>
  <c r="Z232" i="1" s="1"/>
  <c r="E232" i="1"/>
  <c r="C232" i="1"/>
  <c r="B232" i="1"/>
  <c r="N225" i="1"/>
  <c r="E225" i="1"/>
  <c r="M225" i="1" s="1"/>
  <c r="C225" i="1"/>
  <c r="D225" i="1"/>
  <c r="B225" i="1"/>
  <c r="E178" i="1"/>
  <c r="M178" i="1" s="1"/>
  <c r="E177" i="1"/>
  <c r="C177" i="1"/>
  <c r="D177" i="1"/>
  <c r="B177" i="1"/>
  <c r="E344" i="1" l="1"/>
  <c r="L264" i="3"/>
  <c r="E343" i="1"/>
  <c r="L263" i="3"/>
  <c r="D215" i="3"/>
  <c r="L215" i="3" s="1"/>
  <c r="M247" i="1"/>
  <c r="Z250" i="1"/>
  <c r="D218" i="3"/>
  <c r="L218" i="3" s="1"/>
  <c r="M250" i="1"/>
  <c r="AB177" i="1"/>
  <c r="AA140" i="3" s="1"/>
  <c r="M177" i="1"/>
  <c r="Z225" i="1"/>
  <c r="D188" i="3"/>
  <c r="L188" i="3" s="1"/>
  <c r="M232" i="1"/>
  <c r="Z247" i="1"/>
  <c r="D219" i="3"/>
  <c r="L219" i="3" s="1"/>
  <c r="M251" i="1"/>
  <c r="AA264" i="3"/>
  <c r="AB344" i="1" s="1"/>
  <c r="AB251" i="1"/>
  <c r="AA219" i="3" s="1"/>
  <c r="AB247" i="1"/>
  <c r="AA215" i="3" s="1"/>
  <c r="AB250" i="1"/>
  <c r="AA218" i="3" s="1"/>
  <c r="AB225" i="1"/>
  <c r="AA180" i="3" s="1"/>
  <c r="D180" i="3"/>
  <c r="L180" i="3" s="1"/>
  <c r="AB232" i="1"/>
  <c r="D140" i="3"/>
  <c r="L140" i="3" s="1"/>
  <c r="D214" i="3" l="1"/>
  <c r="L214" i="3" s="1"/>
  <c r="AA188" i="3"/>
  <c r="AA214" i="3"/>
  <c r="D166" i="1"/>
  <c r="D174" i="1"/>
  <c r="D191" i="1"/>
  <c r="D297" i="1"/>
  <c r="D268" i="1"/>
  <c r="D220" i="1"/>
  <c r="D204" i="1"/>
  <c r="D198" i="1"/>
  <c r="D163" i="1"/>
  <c r="D143" i="1"/>
  <c r="D70" i="1"/>
  <c r="D19" i="1"/>
  <c r="C282" i="1" l="1"/>
  <c r="D282" i="1"/>
  <c r="B282" i="1"/>
  <c r="D300" i="1"/>
  <c r="D304" i="1"/>
  <c r="D308" i="1"/>
  <c r="D317" i="1"/>
  <c r="C52" i="1" l="1"/>
  <c r="D52" i="1"/>
  <c r="B52" i="1"/>
  <c r="N323" i="1" l="1"/>
  <c r="Z323" i="1" s="1"/>
  <c r="E174" i="1" l="1"/>
  <c r="M174" i="1" s="1"/>
  <c r="N205" i="1" l="1"/>
  <c r="Z205" i="1" s="1"/>
  <c r="N326" i="1" l="1"/>
  <c r="N325" i="1" l="1"/>
  <c r="Z326" i="1"/>
  <c r="N324" i="1" l="1"/>
  <c r="Z324" i="1" s="1"/>
  <c r="Z325" i="1"/>
  <c r="E300" i="1"/>
  <c r="M300" i="1" s="1"/>
  <c r="E19" i="1"/>
  <c r="M19" i="1" s="1"/>
  <c r="N206" i="1" l="1"/>
  <c r="Z206" i="1" s="1"/>
  <c r="N39" i="1" l="1"/>
  <c r="Z39" i="1" l="1"/>
  <c r="E228" i="1" l="1"/>
  <c r="M228" i="1" s="1"/>
  <c r="E319" i="1" l="1"/>
  <c r="M319" i="1" s="1"/>
  <c r="E326" i="1"/>
  <c r="M326" i="1" s="1"/>
  <c r="AB326" i="1" l="1"/>
  <c r="E325" i="1"/>
  <c r="E324" i="1" l="1"/>
  <c r="M324" i="1" s="1"/>
  <c r="M325" i="1"/>
  <c r="AB324" i="1"/>
  <c r="AB325" i="1"/>
  <c r="E71" i="1" l="1"/>
  <c r="M71" i="1" s="1"/>
  <c r="E72" i="1"/>
  <c r="E74" i="1"/>
  <c r="E75" i="1"/>
  <c r="M75" i="1" s="1"/>
  <c r="E83" i="1"/>
  <c r="M83" i="1" s="1"/>
  <c r="E84" i="1"/>
  <c r="M84" i="1" s="1"/>
  <c r="E91" i="1"/>
  <c r="E92" i="1"/>
  <c r="M92" i="1" s="1"/>
  <c r="E93" i="1"/>
  <c r="M93" i="1" s="1"/>
  <c r="E96" i="1"/>
  <c r="M96" i="1" s="1"/>
  <c r="E133" i="1"/>
  <c r="M133" i="1" s="1"/>
  <c r="E134" i="1"/>
  <c r="M134" i="1" s="1"/>
  <c r="E135" i="1"/>
  <c r="M135" i="1" s="1"/>
  <c r="E136" i="1"/>
  <c r="M136" i="1" s="1"/>
  <c r="E137" i="1"/>
  <c r="M137" i="1" s="1"/>
  <c r="E70" i="1"/>
  <c r="M70" i="1" s="1"/>
  <c r="D40" i="3" l="1"/>
  <c r="L40" i="3" s="1"/>
  <c r="M72" i="1"/>
  <c r="D60" i="3"/>
  <c r="L60" i="3" s="1"/>
  <c r="M91" i="1"/>
  <c r="D42" i="3"/>
  <c r="L42" i="3" s="1"/>
  <c r="M74" i="1"/>
  <c r="E54" i="1"/>
  <c r="M54" i="1" s="1"/>
  <c r="D39" i="3"/>
  <c r="L39" i="3" s="1"/>
  <c r="E204" i="1"/>
  <c r="M204" i="1" s="1"/>
  <c r="E205" i="1"/>
  <c r="M205" i="1" s="1"/>
  <c r="E206" i="1"/>
  <c r="M206" i="1" s="1"/>
  <c r="E207" i="1"/>
  <c r="E208" i="1"/>
  <c r="M208" i="1" s="1"/>
  <c r="E209" i="1"/>
  <c r="D163" i="3" l="1"/>
  <c r="L163" i="3" s="1"/>
  <c r="M209" i="1"/>
  <c r="D161" i="3"/>
  <c r="L161" i="3" s="1"/>
  <c r="M207" i="1"/>
  <c r="N135" i="1"/>
  <c r="Z135" i="1" s="1"/>
  <c r="E282" i="1" l="1"/>
  <c r="D185" i="3" l="1"/>
  <c r="L185" i="3" s="1"/>
  <c r="M282" i="1"/>
  <c r="N133" i="1"/>
  <c r="Z133" i="1" s="1"/>
  <c r="N136" i="1" l="1"/>
  <c r="Z136" i="1" s="1"/>
  <c r="AB136" i="1" l="1"/>
  <c r="N253" i="1"/>
  <c r="Z253" i="1" s="1"/>
  <c r="N240" i="1"/>
  <c r="Z240" i="1" s="1"/>
  <c r="E253" i="1" l="1"/>
  <c r="D232" i="3" l="1"/>
  <c r="L232" i="3" s="1"/>
  <c r="M253" i="1"/>
  <c r="AB253" i="1"/>
  <c r="AA232" i="3" s="1"/>
  <c r="E52" i="1"/>
  <c r="E257" i="1"/>
  <c r="M257" i="1" s="1"/>
  <c r="D261" i="3" l="1"/>
  <c r="L261" i="3" s="1"/>
  <c r="M52" i="1"/>
  <c r="N256" i="1"/>
  <c r="Z256" i="1" s="1"/>
  <c r="N257" i="1"/>
  <c r="Z257" i="1" s="1"/>
  <c r="E258" i="1"/>
  <c r="M258" i="1" s="1"/>
  <c r="AB257" i="1" l="1"/>
  <c r="C301" i="1"/>
  <c r="D301" i="1"/>
  <c r="B301" i="1"/>
  <c r="C300" i="1"/>
  <c r="B300" i="1"/>
  <c r="S301" i="1"/>
  <c r="O301" i="1"/>
  <c r="E301" i="1"/>
  <c r="M301" i="1" s="1"/>
  <c r="S300" i="1"/>
  <c r="S299" i="1" s="1"/>
  <c r="S298" i="1" s="1"/>
  <c r="O300" i="1"/>
  <c r="O299" i="1" s="1"/>
  <c r="O298" i="1" s="1"/>
  <c r="D226" i="3" l="1"/>
  <c r="L226" i="3" s="1"/>
  <c r="E299" i="1"/>
  <c r="N300" i="1"/>
  <c r="N301" i="1"/>
  <c r="Z301" i="1" l="1"/>
  <c r="E298" i="1"/>
  <c r="M298" i="1" s="1"/>
  <c r="M299" i="1"/>
  <c r="N299" i="1"/>
  <c r="Z300" i="1"/>
  <c r="AB300" i="1"/>
  <c r="AB301" i="1"/>
  <c r="AA226" i="3" s="1"/>
  <c r="E144" i="1"/>
  <c r="D108" i="3" l="1"/>
  <c r="L108" i="3" s="1"/>
  <c r="M144" i="1"/>
  <c r="N298" i="1"/>
  <c r="Z298" i="1" s="1"/>
  <c r="Z299" i="1"/>
  <c r="AB299" i="1"/>
  <c r="AB298" i="1" s="1"/>
  <c r="D144" i="1" l="1"/>
  <c r="N258" i="1" l="1"/>
  <c r="Z258" i="1" s="1"/>
  <c r="E317" i="1" l="1"/>
  <c r="M317" i="1" s="1"/>
  <c r="C311" i="1" l="1"/>
  <c r="D311" i="1"/>
  <c r="C312" i="1"/>
  <c r="D312" i="1"/>
  <c r="C314" i="1"/>
  <c r="D314" i="1"/>
  <c r="B314" i="1"/>
  <c r="B312" i="1"/>
  <c r="B311" i="1"/>
  <c r="C310" i="1"/>
  <c r="D310" i="1"/>
  <c r="B310" i="1"/>
  <c r="C309" i="1"/>
  <c r="D309" i="1"/>
  <c r="B309" i="1"/>
  <c r="E314" i="1"/>
  <c r="M314" i="1" s="1"/>
  <c r="N312" i="1"/>
  <c r="E312" i="1"/>
  <c r="N311" i="1"/>
  <c r="E311" i="1"/>
  <c r="E310" i="1"/>
  <c r="N309" i="1"/>
  <c r="E309" i="1"/>
  <c r="C305" i="1"/>
  <c r="B305" i="1"/>
  <c r="C308" i="1"/>
  <c r="B308" i="1"/>
  <c r="C304" i="1"/>
  <c r="B304" i="1"/>
  <c r="D305" i="1"/>
  <c r="E308" i="1"/>
  <c r="M308" i="1" s="1"/>
  <c r="N305" i="1"/>
  <c r="Z305" i="1" s="1"/>
  <c r="E305" i="1"/>
  <c r="M305" i="1" s="1"/>
  <c r="N304" i="1"/>
  <c r="E304" i="1"/>
  <c r="M304" i="1" s="1"/>
  <c r="N303" i="1" l="1"/>
  <c r="Z304" i="1"/>
  <c r="Z309" i="1"/>
  <c r="D230" i="3"/>
  <c r="L230" i="3" s="1"/>
  <c r="M311" i="1"/>
  <c r="D231" i="3"/>
  <c r="L231" i="3" s="1"/>
  <c r="M312" i="1"/>
  <c r="D203" i="3"/>
  <c r="L203" i="3" s="1"/>
  <c r="M309" i="1"/>
  <c r="D210" i="3"/>
  <c r="L210" i="3" s="1"/>
  <c r="M310" i="1"/>
  <c r="Z311" i="1"/>
  <c r="Z312" i="1"/>
  <c r="E307" i="1"/>
  <c r="E303" i="1"/>
  <c r="N308" i="1"/>
  <c r="N310" i="1"/>
  <c r="N314" i="1"/>
  <c r="Z314" i="1" s="1"/>
  <c r="AB309" i="1"/>
  <c r="AA203" i="3" s="1"/>
  <c r="AB311" i="1"/>
  <c r="AA230" i="3" s="1"/>
  <c r="AB312" i="1"/>
  <c r="AA231" i="3" s="1"/>
  <c r="AB305" i="1"/>
  <c r="AB304" i="1"/>
  <c r="Z310" i="1" l="1"/>
  <c r="E302" i="1"/>
  <c r="M302" i="1" s="1"/>
  <c r="M303" i="1"/>
  <c r="N307" i="1"/>
  <c r="Z308" i="1"/>
  <c r="E306" i="1"/>
  <c r="M306" i="1" s="1"/>
  <c r="M307" i="1"/>
  <c r="N302" i="1"/>
  <c r="Z302" i="1" s="1"/>
  <c r="Z303" i="1"/>
  <c r="AB303" i="1"/>
  <c r="AB302" i="1" s="1"/>
  <c r="AB314" i="1"/>
  <c r="AB308" i="1"/>
  <c r="AB310" i="1"/>
  <c r="AA210" i="3" s="1"/>
  <c r="N306" i="1" l="1"/>
  <c r="Z306" i="1" s="1"/>
  <c r="Z307" i="1"/>
  <c r="AB307" i="1"/>
  <c r="AB306" i="1" s="1"/>
  <c r="N227" i="1" l="1"/>
  <c r="Z227" i="1" s="1"/>
  <c r="N230" i="1" l="1"/>
  <c r="Z230" i="1" s="1"/>
  <c r="C48" i="1" l="1"/>
  <c r="D48" i="1"/>
  <c r="B48" i="1"/>
  <c r="N48" i="1"/>
  <c r="Z48" i="1" s="1"/>
  <c r="E48" i="1"/>
  <c r="M48" i="1" s="1"/>
  <c r="D246" i="3" l="1"/>
  <c r="L246" i="3" s="1"/>
  <c r="AB48" i="1"/>
  <c r="AA246" i="3" s="1"/>
  <c r="D53" i="3" l="1"/>
  <c r="L53" i="3" s="1"/>
  <c r="AB84" i="1" l="1"/>
  <c r="AA53" i="3" l="1"/>
  <c r="D184" i="1" l="1"/>
  <c r="D288" i="1"/>
  <c r="D146" i="1"/>
  <c r="D145" i="1"/>
  <c r="D71" i="1"/>
  <c r="D39" i="1"/>
  <c r="D32" i="1"/>
  <c r="D31" i="1"/>
  <c r="D30" i="1"/>
  <c r="D28" i="1"/>
  <c r="D27" i="1"/>
  <c r="E24" i="1" l="1"/>
  <c r="M24" i="1" s="1"/>
  <c r="D139" i="3" l="1"/>
  <c r="L139" i="3" s="1"/>
  <c r="N24" i="1"/>
  <c r="Z24" i="1" s="1"/>
  <c r="AB24" i="1" l="1"/>
  <c r="AA139" i="3" l="1"/>
  <c r="N75" i="1" l="1"/>
  <c r="Z75" i="1" s="1"/>
  <c r="AB75" i="1" l="1"/>
  <c r="D43" i="3"/>
  <c r="L43" i="3" s="1"/>
  <c r="AA43" i="3" l="1"/>
  <c r="N221" i="1" l="1"/>
  <c r="Z221" i="1" s="1"/>
  <c r="E221" i="1"/>
  <c r="M221" i="1" s="1"/>
  <c r="S199" i="1"/>
  <c r="O199" i="1"/>
  <c r="S198" i="1"/>
  <c r="S197" i="1" s="1"/>
  <c r="S196" i="1" s="1"/>
  <c r="S327" i="1" s="1"/>
  <c r="O198" i="1"/>
  <c r="O197" i="1" l="1"/>
  <c r="O196" i="1" s="1"/>
  <c r="O327" i="1" s="1"/>
  <c r="AB221" i="1"/>
  <c r="D52" i="3" l="1"/>
  <c r="L52" i="3" s="1"/>
  <c r="AB205" i="1"/>
  <c r="AA52" i="3" l="1"/>
  <c r="N137" i="1" l="1"/>
  <c r="Z137" i="1" s="1"/>
  <c r="N134" i="1"/>
  <c r="Z134" i="1" s="1"/>
  <c r="AB134" i="1" l="1"/>
  <c r="AB135" i="1"/>
  <c r="AB137" i="1"/>
  <c r="AB133" i="1"/>
  <c r="D207" i="1" l="1"/>
  <c r="N20" i="1" l="1"/>
  <c r="Z20" i="1" l="1"/>
  <c r="E289" i="1"/>
  <c r="D228" i="3" l="1"/>
  <c r="L228" i="3" s="1"/>
  <c r="M289" i="1"/>
  <c r="N92" i="1"/>
  <c r="Z92" i="1" s="1"/>
  <c r="D61" i="3" l="1"/>
  <c r="L61" i="3" s="1"/>
  <c r="AB92" i="1"/>
  <c r="AA61" i="3" l="1"/>
  <c r="E266" i="1" l="1"/>
  <c r="E332" i="1" l="1"/>
  <c r="M266" i="1"/>
  <c r="P347" i="1"/>
  <c r="O347" i="1"/>
  <c r="I347" i="1"/>
  <c r="S347" i="1"/>
  <c r="R347" i="1"/>
  <c r="F347" i="1"/>
  <c r="G347" i="1"/>
  <c r="Q347" i="1"/>
  <c r="H347" i="1"/>
  <c r="M332" i="1" l="1"/>
  <c r="D224" i="3" l="1"/>
  <c r="N289" i="1"/>
  <c r="D200" i="3" l="1"/>
  <c r="L200" i="3" s="1"/>
  <c r="L224" i="3"/>
  <c r="N266" i="1"/>
  <c r="Z289" i="1"/>
  <c r="D267" i="3"/>
  <c r="AB289" i="1"/>
  <c r="E347" i="1" l="1"/>
  <c r="L267" i="3"/>
  <c r="N332" i="1"/>
  <c r="Z266" i="1"/>
  <c r="N347" i="1"/>
  <c r="AB266" i="1"/>
  <c r="AB332" i="1" s="1"/>
  <c r="AA228" i="3"/>
  <c r="AA224" i="3" s="1"/>
  <c r="AA200" i="3" s="1"/>
  <c r="Z332" i="1" l="1"/>
  <c r="AA267" i="3"/>
  <c r="AB347" i="1" s="1"/>
  <c r="N91" i="1" l="1"/>
  <c r="N74" i="1"/>
  <c r="Z74" i="1" l="1"/>
  <c r="Z91" i="1"/>
  <c r="AB91" i="1"/>
  <c r="AA60" i="3" s="1"/>
  <c r="AB74" i="1" l="1"/>
  <c r="AA42" i="3" s="1"/>
  <c r="E149" i="1" l="1"/>
  <c r="M149" i="1" s="1"/>
  <c r="N52" i="1"/>
  <c r="Z52" i="1" l="1"/>
  <c r="AB52" i="1"/>
  <c r="AA261" i="3" s="1"/>
  <c r="E256" i="1" l="1"/>
  <c r="M256" i="1" s="1"/>
  <c r="C256" i="1"/>
  <c r="D256" i="1"/>
  <c r="B256" i="1"/>
  <c r="AB256" i="1" l="1"/>
  <c r="D165" i="1" l="1"/>
  <c r="D259" i="1" l="1"/>
  <c r="N211" i="1" l="1"/>
  <c r="Z211" i="1" s="1"/>
  <c r="E211" i="1"/>
  <c r="C211" i="1"/>
  <c r="D211" i="1"/>
  <c r="B211" i="1"/>
  <c r="E203" i="1" l="1"/>
  <c r="M203" i="1" s="1"/>
  <c r="M211" i="1"/>
  <c r="AB211" i="1"/>
  <c r="D252" i="3"/>
  <c r="L252" i="3" s="1"/>
  <c r="N71" i="1"/>
  <c r="Z71" i="1" s="1"/>
  <c r="N318" i="1"/>
  <c r="Z318" i="1" s="1"/>
  <c r="N319" i="1"/>
  <c r="Z319" i="1" s="1"/>
  <c r="N320" i="1"/>
  <c r="N321" i="1"/>
  <c r="Z321" i="1" s="1"/>
  <c r="N322" i="1"/>
  <c r="Z322" i="1" s="1"/>
  <c r="N317" i="1"/>
  <c r="N297" i="1"/>
  <c r="N282" i="1"/>
  <c r="Z282" i="1" s="1"/>
  <c r="N268" i="1"/>
  <c r="N222" i="1"/>
  <c r="N224" i="1"/>
  <c r="Z224" i="1" s="1"/>
  <c r="N228" i="1"/>
  <c r="Z228" i="1" s="1"/>
  <c r="N229" i="1"/>
  <c r="Z229" i="1" s="1"/>
  <c r="N252" i="1"/>
  <c r="Z252" i="1" s="1"/>
  <c r="N259" i="1"/>
  <c r="Z259" i="1" s="1"/>
  <c r="N220" i="1"/>
  <c r="N207" i="1"/>
  <c r="Z207" i="1" s="1"/>
  <c r="N208" i="1"/>
  <c r="Z208" i="1" s="1"/>
  <c r="N209" i="1"/>
  <c r="N204" i="1"/>
  <c r="N199" i="1"/>
  <c r="Z199" i="1" s="1"/>
  <c r="N200" i="1"/>
  <c r="Z200" i="1" s="1"/>
  <c r="N198" i="1"/>
  <c r="N165" i="1"/>
  <c r="Z165" i="1" s="1"/>
  <c r="N166" i="1"/>
  <c r="Z166" i="1" s="1"/>
  <c r="N168" i="1"/>
  <c r="Z168" i="1" s="1"/>
  <c r="N169" i="1"/>
  <c r="Z169" i="1" s="1"/>
  <c r="N178" i="1"/>
  <c r="Z178" i="1" s="1"/>
  <c r="N182" i="1"/>
  <c r="Z182" i="1" s="1"/>
  <c r="N184" i="1"/>
  <c r="Z184" i="1" s="1"/>
  <c r="N187" i="1"/>
  <c r="Z187" i="1" s="1"/>
  <c r="N190" i="1"/>
  <c r="N191" i="1"/>
  <c r="Z191" i="1" s="1"/>
  <c r="N195" i="1"/>
  <c r="N163" i="1"/>
  <c r="N144" i="1"/>
  <c r="Z144" i="1" s="1"/>
  <c r="N145" i="1"/>
  <c r="Z145" i="1" s="1"/>
  <c r="N146" i="1"/>
  <c r="Z146" i="1" s="1"/>
  <c r="N147" i="1"/>
  <c r="Z147" i="1" s="1"/>
  <c r="N148" i="1"/>
  <c r="Z148" i="1" s="1"/>
  <c r="N149" i="1"/>
  <c r="Z149" i="1" s="1"/>
  <c r="N143" i="1"/>
  <c r="N83" i="1"/>
  <c r="Z83" i="1" s="1"/>
  <c r="N93" i="1"/>
  <c r="Z93" i="1" s="1"/>
  <c r="N96" i="1"/>
  <c r="Z96" i="1" s="1"/>
  <c r="N70" i="1"/>
  <c r="N21" i="1"/>
  <c r="Z21" i="1" s="1"/>
  <c r="N22" i="1"/>
  <c r="Z22" i="1" s="1"/>
  <c r="N23" i="1"/>
  <c r="Z23" i="1" s="1"/>
  <c r="N25" i="1"/>
  <c r="Z25" i="1" s="1"/>
  <c r="N26" i="1"/>
  <c r="Z26" i="1" s="1"/>
  <c r="N28" i="1"/>
  <c r="Z28" i="1" s="1"/>
  <c r="N30" i="1"/>
  <c r="Z30" i="1" s="1"/>
  <c r="N31" i="1"/>
  <c r="Z31" i="1" s="1"/>
  <c r="N32" i="1"/>
  <c r="Z32" i="1" s="1"/>
  <c r="N33" i="1"/>
  <c r="Z33" i="1" s="1"/>
  <c r="N41" i="1"/>
  <c r="Z41" i="1" s="1"/>
  <c r="N42" i="1"/>
  <c r="Z42" i="1" s="1"/>
  <c r="N43" i="1"/>
  <c r="Z43" i="1" s="1"/>
  <c r="N44" i="1"/>
  <c r="Z44" i="1" s="1"/>
  <c r="N45" i="1"/>
  <c r="Z45" i="1" s="1"/>
  <c r="N47" i="1"/>
  <c r="N50" i="1"/>
  <c r="Z50" i="1" s="1"/>
  <c r="N19" i="1"/>
  <c r="Z222" i="1" l="1"/>
  <c r="M153" i="3"/>
  <c r="N17" i="1"/>
  <c r="Z19" i="1"/>
  <c r="Z47" i="1"/>
  <c r="Z70" i="1"/>
  <c r="Z143" i="1"/>
  <c r="Z195" i="1"/>
  <c r="Z190" i="1"/>
  <c r="N203" i="1"/>
  <c r="Z204" i="1"/>
  <c r="Z220" i="1"/>
  <c r="Z268" i="1"/>
  <c r="N296" i="1"/>
  <c r="Z297" i="1"/>
  <c r="Z320" i="1"/>
  <c r="Z163" i="1"/>
  <c r="N197" i="1"/>
  <c r="Z198" i="1"/>
  <c r="Z209" i="1"/>
  <c r="N316" i="1"/>
  <c r="Z317" i="1"/>
  <c r="D251" i="3"/>
  <c r="L251" i="3" s="1"/>
  <c r="AB19" i="1"/>
  <c r="N288" i="1"/>
  <c r="Z288" i="1" s="1"/>
  <c r="N255" i="1"/>
  <c r="Z255" i="1" s="1"/>
  <c r="M116" i="3" l="1"/>
  <c r="Y153" i="3"/>
  <c r="N315" i="1"/>
  <c r="Z315" i="1" s="1"/>
  <c r="Z316" i="1"/>
  <c r="N196" i="1"/>
  <c r="Z196" i="1" s="1"/>
  <c r="Z197" i="1"/>
  <c r="N295" i="1"/>
  <c r="Z295" i="1" s="1"/>
  <c r="Z296" i="1"/>
  <c r="N262" i="1"/>
  <c r="N213" i="1"/>
  <c r="N202" i="1"/>
  <c r="Z202" i="1" s="1"/>
  <c r="Z203" i="1"/>
  <c r="N16" i="1"/>
  <c r="Z17" i="1"/>
  <c r="E320" i="1"/>
  <c r="D320" i="1"/>
  <c r="B320" i="1"/>
  <c r="M262" i="3" l="1"/>
  <c r="Y262" i="3" s="1"/>
  <c r="Y116" i="3"/>
  <c r="D248" i="3"/>
  <c r="L248" i="3" s="1"/>
  <c r="M320" i="1"/>
  <c r="N212" i="1"/>
  <c r="Z212" i="1" s="1"/>
  <c r="Z213" i="1"/>
  <c r="Z16" i="1"/>
  <c r="N261" i="1"/>
  <c r="Z261" i="1" s="1"/>
  <c r="Z262" i="1"/>
  <c r="N154" i="1"/>
  <c r="AB320" i="1"/>
  <c r="AA248" i="3" s="1"/>
  <c r="Z154" i="1" l="1"/>
  <c r="N141" i="1"/>
  <c r="AB154" i="1"/>
  <c r="N140" i="1" l="1"/>
  <c r="Z140" i="1" s="1"/>
  <c r="Z141" i="1"/>
  <c r="N72" i="1" l="1"/>
  <c r="Z72" i="1" l="1"/>
  <c r="N54" i="1"/>
  <c r="C207" i="1"/>
  <c r="B207" i="1"/>
  <c r="AB323" i="1"/>
  <c r="E318" i="1"/>
  <c r="M318" i="1" s="1"/>
  <c r="E321" i="1"/>
  <c r="M321" i="1" s="1"/>
  <c r="E322" i="1"/>
  <c r="M322" i="1" s="1"/>
  <c r="E297" i="1"/>
  <c r="M297" i="1" s="1"/>
  <c r="E288" i="1"/>
  <c r="M288" i="1" s="1"/>
  <c r="E268" i="1"/>
  <c r="E222" i="1"/>
  <c r="E224" i="1"/>
  <c r="M224" i="1" s="1"/>
  <c r="E227" i="1"/>
  <c r="M227" i="1" s="1"/>
  <c r="E229" i="1"/>
  <c r="M229" i="1" s="1"/>
  <c r="E230" i="1"/>
  <c r="D207" i="3"/>
  <c r="E252" i="1"/>
  <c r="M252" i="1" s="1"/>
  <c r="E255" i="1"/>
  <c r="M255" i="1" s="1"/>
  <c r="AB258" i="1"/>
  <c r="E259" i="1"/>
  <c r="M259" i="1" s="1"/>
  <c r="E220" i="1"/>
  <c r="M220" i="1" s="1"/>
  <c r="E199" i="1"/>
  <c r="M199" i="1" s="1"/>
  <c r="E200" i="1"/>
  <c r="M200" i="1" s="1"/>
  <c r="E198" i="1"/>
  <c r="M198" i="1" s="1"/>
  <c r="E164" i="1"/>
  <c r="M164" i="1" s="1"/>
  <c r="E165" i="1"/>
  <c r="M165" i="1" s="1"/>
  <c r="E166" i="1"/>
  <c r="M166" i="1" s="1"/>
  <c r="E168" i="1"/>
  <c r="M168" i="1" s="1"/>
  <c r="E169" i="1"/>
  <c r="M169" i="1" s="1"/>
  <c r="E182" i="1"/>
  <c r="M182" i="1" s="1"/>
  <c r="E184" i="1"/>
  <c r="M184" i="1" s="1"/>
  <c r="E187" i="1"/>
  <c r="M187" i="1" s="1"/>
  <c r="E190" i="1"/>
  <c r="E191" i="1"/>
  <c r="M191" i="1" s="1"/>
  <c r="E195" i="1"/>
  <c r="M195" i="1" s="1"/>
  <c r="E163" i="1"/>
  <c r="M163" i="1" s="1"/>
  <c r="E145" i="1"/>
  <c r="M145" i="1" s="1"/>
  <c r="E146" i="1"/>
  <c r="M146" i="1" s="1"/>
  <c r="E147" i="1"/>
  <c r="M147" i="1" s="1"/>
  <c r="E148" i="1"/>
  <c r="M148" i="1" s="1"/>
  <c r="D113" i="3"/>
  <c r="L113" i="3" s="1"/>
  <c r="E143" i="1"/>
  <c r="M143" i="1" s="1"/>
  <c r="D51" i="3"/>
  <c r="L51" i="3" s="1"/>
  <c r="D62" i="3"/>
  <c r="L62" i="3" s="1"/>
  <c r="D65" i="3"/>
  <c r="L65" i="3" s="1"/>
  <c r="E20" i="1"/>
  <c r="M20" i="1" s="1"/>
  <c r="E21" i="1"/>
  <c r="M21" i="1" s="1"/>
  <c r="E22" i="1"/>
  <c r="M22" i="1" s="1"/>
  <c r="E23" i="1"/>
  <c r="M23" i="1" s="1"/>
  <c r="E25" i="1"/>
  <c r="M25" i="1" s="1"/>
  <c r="E26" i="1"/>
  <c r="M26" i="1" s="1"/>
  <c r="E27" i="1"/>
  <c r="M27" i="1" s="1"/>
  <c r="E28" i="1"/>
  <c r="M28" i="1" s="1"/>
  <c r="E30" i="1"/>
  <c r="M30" i="1" s="1"/>
  <c r="E31" i="1"/>
  <c r="M31" i="1" s="1"/>
  <c r="E32" i="1"/>
  <c r="M32" i="1" s="1"/>
  <c r="E33" i="1"/>
  <c r="M33" i="1" s="1"/>
  <c r="E39" i="1"/>
  <c r="E41" i="1"/>
  <c r="M41" i="1" s="1"/>
  <c r="E42" i="1"/>
  <c r="M42" i="1" s="1"/>
  <c r="E43" i="1"/>
  <c r="M43" i="1" s="1"/>
  <c r="E44" i="1"/>
  <c r="M44" i="1" s="1"/>
  <c r="E45" i="1"/>
  <c r="M45" i="1" s="1"/>
  <c r="E47" i="1"/>
  <c r="E50" i="1"/>
  <c r="M50" i="1" s="1"/>
  <c r="D204" i="3" l="1"/>
  <c r="L204" i="3" s="1"/>
  <c r="L207" i="3"/>
  <c r="D245" i="3"/>
  <c r="L245" i="3" s="1"/>
  <c r="M47" i="1"/>
  <c r="D221" i="3"/>
  <c r="L221" i="3" s="1"/>
  <c r="M39" i="1"/>
  <c r="E262" i="1"/>
  <c r="M262" i="1" s="1"/>
  <c r="M268" i="1"/>
  <c r="N53" i="1"/>
  <c r="Z54" i="1"/>
  <c r="D154" i="3"/>
  <c r="L154" i="3" s="1"/>
  <c r="M190" i="1"/>
  <c r="D186" i="3"/>
  <c r="L186" i="3" s="1"/>
  <c r="M230" i="1"/>
  <c r="D153" i="3"/>
  <c r="L153" i="3" s="1"/>
  <c r="M222" i="1"/>
  <c r="D227" i="3"/>
  <c r="L227" i="3" s="1"/>
  <c r="D21" i="3"/>
  <c r="L21" i="3" s="1"/>
  <c r="E213" i="1"/>
  <c r="D235" i="3"/>
  <c r="L235" i="3" s="1"/>
  <c r="D19" i="3"/>
  <c r="L19" i="3" s="1"/>
  <c r="E17" i="1"/>
  <c r="E141" i="1"/>
  <c r="M141" i="1" s="1"/>
  <c r="D236" i="3"/>
  <c r="L236" i="3" s="1"/>
  <c r="D260" i="3"/>
  <c r="E157" i="1"/>
  <c r="D184" i="3"/>
  <c r="L184" i="3" s="1"/>
  <c r="E197" i="1"/>
  <c r="E261" i="1"/>
  <c r="M261" i="1" s="1"/>
  <c r="D20" i="3"/>
  <c r="L20" i="3" s="1"/>
  <c r="E316" i="1"/>
  <c r="D155" i="3"/>
  <c r="L155" i="3" s="1"/>
  <c r="E202" i="1"/>
  <c r="M202" i="1" s="1"/>
  <c r="E296" i="1"/>
  <c r="AB240" i="1"/>
  <c r="AB255" i="1"/>
  <c r="D112" i="3"/>
  <c r="L112" i="3" s="1"/>
  <c r="D134" i="3"/>
  <c r="L134" i="3" s="1"/>
  <c r="D241" i="3"/>
  <c r="L241" i="3" s="1"/>
  <c r="D138" i="3"/>
  <c r="L138" i="3" s="1"/>
  <c r="D133" i="3"/>
  <c r="L133" i="3" s="1"/>
  <c r="D250" i="3"/>
  <c r="L250" i="3" s="1"/>
  <c r="D202" i="3"/>
  <c r="L202" i="3" s="1"/>
  <c r="D111" i="3"/>
  <c r="L111" i="3" s="1"/>
  <c r="D110" i="3"/>
  <c r="L110" i="3" s="1"/>
  <c r="D150" i="3"/>
  <c r="L150" i="3" s="1"/>
  <c r="D147" i="3"/>
  <c r="L147" i="3" s="1"/>
  <c r="D145" i="3"/>
  <c r="L145" i="3" s="1"/>
  <c r="D126" i="3"/>
  <c r="L126" i="3" s="1"/>
  <c r="D122" i="3"/>
  <c r="L122" i="3" s="1"/>
  <c r="D234" i="3"/>
  <c r="L234" i="3" s="1"/>
  <c r="D171" i="3"/>
  <c r="L171" i="3" s="1"/>
  <c r="D168" i="3"/>
  <c r="L168" i="3" s="1"/>
  <c r="D167" i="3"/>
  <c r="L167" i="3" s="1"/>
  <c r="D242" i="3"/>
  <c r="L242" i="3" s="1"/>
  <c r="E53" i="1"/>
  <c r="M53" i="1" s="1"/>
  <c r="AA252" i="3"/>
  <c r="D249" i="3"/>
  <c r="D141" i="3"/>
  <c r="L141" i="3" s="1"/>
  <c r="D173" i="3"/>
  <c r="L173" i="3" s="1"/>
  <c r="D170" i="3"/>
  <c r="L170" i="3" s="1"/>
  <c r="D160" i="3"/>
  <c r="L160" i="3" s="1"/>
  <c r="D132" i="3"/>
  <c r="L132" i="3" s="1"/>
  <c r="D172" i="3"/>
  <c r="L172" i="3" s="1"/>
  <c r="D220" i="3"/>
  <c r="L220" i="3" s="1"/>
  <c r="AB191" i="1"/>
  <c r="AB222" i="1"/>
  <c r="AA153" i="3" s="1"/>
  <c r="D123" i="3"/>
  <c r="L123" i="3" s="1"/>
  <c r="D109" i="3"/>
  <c r="L109" i="3" s="1"/>
  <c r="D182" i="3"/>
  <c r="L182" i="3" s="1"/>
  <c r="D244" i="3"/>
  <c r="L244" i="3" s="1"/>
  <c r="D183" i="3"/>
  <c r="L183" i="3" s="1"/>
  <c r="AB259" i="1"/>
  <c r="D179" i="3"/>
  <c r="L179" i="3" s="1"/>
  <c r="AB220" i="1"/>
  <c r="D162" i="3"/>
  <c r="L162" i="3" s="1"/>
  <c r="AB195" i="1"/>
  <c r="AA260" i="3" s="1"/>
  <c r="D127" i="3"/>
  <c r="L127" i="3" s="1"/>
  <c r="D124" i="3"/>
  <c r="L124" i="3" s="1"/>
  <c r="AB50" i="1"/>
  <c r="AB45" i="1"/>
  <c r="AB43" i="1"/>
  <c r="AB41" i="1"/>
  <c r="AB96" i="1"/>
  <c r="AB72" i="1"/>
  <c r="AA40" i="3" s="1"/>
  <c r="AB143" i="1"/>
  <c r="AB187" i="1"/>
  <c r="AB182" i="1"/>
  <c r="AB178" i="1"/>
  <c r="AB169" i="1"/>
  <c r="AB166" i="1"/>
  <c r="AB230" i="1"/>
  <c r="AB228" i="1"/>
  <c r="AA183" i="3" s="1"/>
  <c r="AB224" i="1"/>
  <c r="AB47" i="1"/>
  <c r="AA245" i="3" s="1"/>
  <c r="AB44" i="1"/>
  <c r="AB42" i="1"/>
  <c r="AB39" i="1"/>
  <c r="AA221" i="3" s="1"/>
  <c r="AB93" i="1"/>
  <c r="AB83" i="1"/>
  <c r="AB163" i="1"/>
  <c r="AB184" i="1"/>
  <c r="AB174" i="1"/>
  <c r="AB168" i="1"/>
  <c r="AB165" i="1"/>
  <c r="AB229" i="1"/>
  <c r="AB227" i="1"/>
  <c r="AB317" i="1"/>
  <c r="AB252" i="1"/>
  <c r="AB321" i="1"/>
  <c r="AB318" i="1"/>
  <c r="AB200" i="1"/>
  <c r="AB199" i="1"/>
  <c r="AB30" i="1"/>
  <c r="AB27" i="1"/>
  <c r="AB26" i="1"/>
  <c r="AB25" i="1"/>
  <c r="AB21" i="1"/>
  <c r="AB204" i="1"/>
  <c r="AB288" i="1"/>
  <c r="AB297" i="1"/>
  <c r="AB296" i="1" s="1"/>
  <c r="AB295" i="1" s="1"/>
  <c r="AB33" i="1"/>
  <c r="AB31" i="1"/>
  <c r="AB28" i="1"/>
  <c r="AB23" i="1"/>
  <c r="AB22" i="1"/>
  <c r="AB149" i="1"/>
  <c r="AB148" i="1"/>
  <c r="AB147" i="1"/>
  <c r="AB146" i="1"/>
  <c r="AB145" i="1"/>
  <c r="AB144" i="1"/>
  <c r="AA108" i="3" s="1"/>
  <c r="AB209" i="1"/>
  <c r="AA163" i="3" s="1"/>
  <c r="AB206" i="1"/>
  <c r="AB20" i="1"/>
  <c r="AB32" i="1"/>
  <c r="AB71" i="1"/>
  <c r="AB198" i="1"/>
  <c r="AB208" i="1"/>
  <c r="AB207" i="1"/>
  <c r="AA161" i="3" s="1"/>
  <c r="AB319" i="1"/>
  <c r="AB268" i="1"/>
  <c r="AB322" i="1"/>
  <c r="AB70" i="1"/>
  <c r="AB190" i="1"/>
  <c r="AA154" i="3" s="1"/>
  <c r="D247" i="3" l="1"/>
  <c r="L247" i="3" s="1"/>
  <c r="L249" i="3"/>
  <c r="D259" i="3"/>
  <c r="L260" i="3"/>
  <c r="E295" i="1"/>
  <c r="M295" i="1" s="1"/>
  <c r="M296" i="1"/>
  <c r="E196" i="1"/>
  <c r="M196" i="1" s="1"/>
  <c r="M197" i="1"/>
  <c r="E156" i="1"/>
  <c r="M156" i="1" s="1"/>
  <c r="M157" i="1"/>
  <c r="E16" i="1"/>
  <c r="M16" i="1" s="1"/>
  <c r="M17" i="1"/>
  <c r="E315" i="1"/>
  <c r="M315" i="1" s="1"/>
  <c r="M316" i="1"/>
  <c r="E212" i="1"/>
  <c r="M212" i="1" s="1"/>
  <c r="M213" i="1"/>
  <c r="Z53" i="1"/>
  <c r="H342" i="1"/>
  <c r="Q342" i="1"/>
  <c r="AA235" i="3"/>
  <c r="AA186" i="3"/>
  <c r="AB54" i="1"/>
  <c r="I342" i="1"/>
  <c r="G342" i="1"/>
  <c r="F342" i="1"/>
  <c r="AA19" i="3"/>
  <c r="AA227" i="3"/>
  <c r="AB141" i="1"/>
  <c r="AB140" i="1" s="1"/>
  <c r="AB213" i="1"/>
  <c r="AB17" i="1"/>
  <c r="D107" i="3"/>
  <c r="L107" i="3" s="1"/>
  <c r="D174" i="3"/>
  <c r="L174" i="3" s="1"/>
  <c r="AA184" i="3"/>
  <c r="D159" i="3"/>
  <c r="L159" i="3" s="1"/>
  <c r="D116" i="3"/>
  <c r="L116" i="3" s="1"/>
  <c r="AA39" i="3"/>
  <c r="D166" i="3"/>
  <c r="L166" i="3" s="1"/>
  <c r="AA207" i="3"/>
  <c r="AA204" i="3" s="1"/>
  <c r="AB203" i="1"/>
  <c r="AB197" i="1"/>
  <c r="AA251" i="3"/>
  <c r="AA259" i="3"/>
  <c r="AA253" i="3" s="1"/>
  <c r="AB316" i="1"/>
  <c r="AA20" i="3"/>
  <c r="D222" i="3"/>
  <c r="AA236" i="3"/>
  <c r="AA155" i="3"/>
  <c r="D18" i="3"/>
  <c r="L18" i="3" s="1"/>
  <c r="E140" i="1"/>
  <c r="D239" i="3"/>
  <c r="AA110" i="3"/>
  <c r="AA113" i="3"/>
  <c r="AA133" i="3"/>
  <c r="AA241" i="3"/>
  <c r="AA111" i="3"/>
  <c r="AA220" i="3"/>
  <c r="AA250" i="3"/>
  <c r="AA134" i="3"/>
  <c r="AA132" i="3"/>
  <c r="AA112" i="3"/>
  <c r="AA138" i="3"/>
  <c r="AA202" i="3"/>
  <c r="AA150" i="3"/>
  <c r="AA147" i="3"/>
  <c r="AA145" i="3"/>
  <c r="AA126" i="3"/>
  <c r="AA234" i="3"/>
  <c r="AA172" i="3"/>
  <c r="AA171" i="3"/>
  <c r="AA170" i="3"/>
  <c r="AA168" i="3"/>
  <c r="AA167" i="3"/>
  <c r="AA242" i="3"/>
  <c r="AA62" i="3"/>
  <c r="AA65" i="3"/>
  <c r="AA51" i="3"/>
  <c r="AA179" i="3"/>
  <c r="AA249" i="3"/>
  <c r="AA247" i="3" s="1"/>
  <c r="AA141" i="3"/>
  <c r="AA173" i="3"/>
  <c r="AA160" i="3"/>
  <c r="AA123" i="3"/>
  <c r="AA109" i="3"/>
  <c r="AA182" i="3"/>
  <c r="AA244" i="3"/>
  <c r="AA162" i="3"/>
  <c r="AA127" i="3"/>
  <c r="AA124" i="3"/>
  <c r="D253" i="3" l="1"/>
  <c r="L253" i="3" s="1"/>
  <c r="L259" i="3"/>
  <c r="D237" i="3"/>
  <c r="L237" i="3" s="1"/>
  <c r="L239" i="3"/>
  <c r="D196" i="3"/>
  <c r="L196" i="3" s="1"/>
  <c r="L222" i="3"/>
  <c r="E327" i="1"/>
  <c r="M140" i="1"/>
  <c r="AB53" i="1"/>
  <c r="AB212" i="1"/>
  <c r="AB16" i="1"/>
  <c r="AA21" i="3"/>
  <c r="AA107" i="3"/>
  <c r="AA159" i="3"/>
  <c r="AA166" i="3"/>
  <c r="P342" i="1"/>
  <c r="AA18" i="3"/>
  <c r="AA239" i="3"/>
  <c r="AA237" i="3" s="1"/>
  <c r="AA222" i="3"/>
  <c r="AA196" i="3" s="1"/>
  <c r="AB282" i="1"/>
  <c r="AB262" i="1" s="1"/>
  <c r="D262" i="3" l="1"/>
  <c r="E342" i="1" s="1"/>
  <c r="M327" i="1"/>
  <c r="AA185" i="3"/>
  <c r="AA174" i="3" s="1"/>
  <c r="L262" i="3" l="1"/>
  <c r="N164" i="1"/>
  <c r="Z164" i="1" l="1"/>
  <c r="N157" i="1"/>
  <c r="S342" i="1"/>
  <c r="O342" i="1"/>
  <c r="AB164" i="1"/>
  <c r="AB157" i="1" s="1"/>
  <c r="AB315" i="1"/>
  <c r="N156" i="1" l="1"/>
  <c r="Z157" i="1"/>
  <c r="AB156" i="1"/>
  <c r="AA122" i="3"/>
  <c r="AA116" i="3" s="1"/>
  <c r="AB261" i="1"/>
  <c r="AB202" i="1"/>
  <c r="AB196" i="1"/>
  <c r="Z156" i="1" l="1"/>
  <c r="N327" i="1"/>
  <c r="AB327" i="1"/>
  <c r="AA262" i="3"/>
  <c r="C45" i="1"/>
  <c r="Z327" i="1" l="1"/>
  <c r="N342" i="1"/>
  <c r="AB342" i="1"/>
  <c r="C319" i="1"/>
  <c r="D319" i="1"/>
  <c r="B319" i="1"/>
  <c r="C253" i="1"/>
  <c r="B253" i="1"/>
  <c r="C168" i="1" l="1"/>
  <c r="D168" i="1"/>
  <c r="B168" i="1"/>
  <c r="D149" i="1"/>
  <c r="C149" i="1"/>
  <c r="B149" i="1"/>
  <c r="C148" i="1"/>
  <c r="D148" i="1"/>
  <c r="B148" i="1"/>
  <c r="C42" i="1"/>
  <c r="B42" i="1"/>
  <c r="C195" i="1"/>
  <c r="B195" i="1"/>
  <c r="C190" i="1"/>
  <c r="D190" i="1"/>
  <c r="C191" i="1"/>
  <c r="B191" i="1"/>
  <c r="B190" i="1"/>
  <c r="C187" i="1"/>
  <c r="D187" i="1"/>
  <c r="B187" i="1"/>
  <c r="C184" i="1"/>
  <c r="B184" i="1"/>
  <c r="C182" i="1"/>
  <c r="B182" i="1"/>
  <c r="C178" i="1"/>
  <c r="B178" i="1"/>
  <c r="C174" i="1"/>
  <c r="B174" i="1"/>
  <c r="C169" i="1"/>
  <c r="D169" i="1"/>
  <c r="B169" i="1"/>
  <c r="C166" i="1"/>
  <c r="B166" i="1"/>
  <c r="C165" i="1"/>
  <c r="B165" i="1"/>
  <c r="C164" i="1"/>
  <c r="D164" i="1"/>
  <c r="B164" i="1"/>
  <c r="C154" i="1"/>
  <c r="B154" i="1"/>
  <c r="C147" i="1"/>
  <c r="D147" i="1"/>
  <c r="B147" i="1"/>
  <c r="C146" i="1"/>
  <c r="B146" i="1"/>
  <c r="C145" i="1"/>
  <c r="B145" i="1"/>
  <c r="C144" i="1"/>
  <c r="B144" i="1"/>
  <c r="C72" i="1"/>
  <c r="B72" i="1"/>
  <c r="C71" i="1"/>
  <c r="B71" i="1"/>
  <c r="C50" i="1"/>
  <c r="D50" i="1"/>
  <c r="B50" i="1"/>
  <c r="C47" i="1"/>
  <c r="D47" i="1"/>
  <c r="B47" i="1"/>
  <c r="B45" i="1"/>
  <c r="C44" i="1"/>
  <c r="D44" i="1"/>
  <c r="B44" i="1"/>
  <c r="C43" i="1"/>
  <c r="D43" i="1"/>
  <c r="B43" i="1"/>
  <c r="C41" i="1"/>
  <c r="D41" i="1"/>
  <c r="B41" i="1"/>
  <c r="C39" i="1"/>
  <c r="B39" i="1"/>
  <c r="C25" i="1"/>
  <c r="B26" i="1"/>
  <c r="C33" i="1"/>
  <c r="D33" i="1"/>
  <c r="B33" i="1"/>
  <c r="C32" i="1"/>
  <c r="B32" i="1"/>
  <c r="C31" i="1"/>
  <c r="B31" i="1"/>
  <c r="C30" i="1"/>
  <c r="B30" i="1"/>
  <c r="C28" i="1"/>
  <c r="B28" i="1"/>
  <c r="C27" i="1"/>
  <c r="B27" i="1"/>
  <c r="C23" i="1"/>
  <c r="D23" i="1"/>
  <c r="B23" i="1"/>
  <c r="C22" i="1"/>
  <c r="D22" i="1"/>
  <c r="B22" i="1"/>
  <c r="C21" i="1"/>
  <c r="B21" i="1"/>
  <c r="C20" i="1"/>
  <c r="D20" i="1"/>
  <c r="B20" i="1"/>
  <c r="C206" i="1"/>
  <c r="D206" i="1"/>
  <c r="B206" i="1"/>
  <c r="C208" i="1"/>
  <c r="D208" i="1"/>
  <c r="C209" i="1"/>
  <c r="D209" i="1"/>
  <c r="B209" i="1"/>
  <c r="B208" i="1"/>
  <c r="C222" i="1"/>
  <c r="D222" i="1"/>
  <c r="B222" i="1"/>
  <c r="C227" i="1"/>
  <c r="D227" i="1"/>
  <c r="B227" i="1"/>
  <c r="C224" i="1"/>
  <c r="D224" i="1"/>
  <c r="B224" i="1"/>
  <c r="C228" i="1"/>
  <c r="D228" i="1"/>
  <c r="B228" i="1"/>
  <c r="C229" i="1"/>
  <c r="D229" i="1"/>
  <c r="B229" i="1"/>
  <c r="C230" i="1"/>
  <c r="D230" i="1"/>
  <c r="B230" i="1"/>
  <c r="C240" i="1"/>
  <c r="B240" i="1"/>
  <c r="C252" i="1"/>
  <c r="B252" i="1"/>
  <c r="C258" i="1"/>
  <c r="D258" i="1"/>
  <c r="B258" i="1"/>
  <c r="C259" i="1"/>
  <c r="B259" i="1"/>
  <c r="C288" i="1"/>
  <c r="B288" i="1"/>
  <c r="C318" i="1"/>
  <c r="B318" i="1"/>
  <c r="C321" i="1"/>
  <c r="D321" i="1"/>
  <c r="B321" i="1"/>
  <c r="C322" i="1"/>
  <c r="D322" i="1"/>
  <c r="B322" i="1"/>
  <c r="C317" i="1"/>
  <c r="B317" i="1"/>
  <c r="C297" i="1"/>
  <c r="B297" i="1"/>
  <c r="C268" i="1"/>
  <c r="B268" i="1"/>
  <c r="C220" i="1"/>
  <c r="B220" i="1"/>
  <c r="C204" i="1"/>
  <c r="B204" i="1"/>
  <c r="C198" i="1"/>
  <c r="B198" i="1"/>
  <c r="C163" i="1"/>
  <c r="B163" i="1"/>
  <c r="C143" i="1"/>
  <c r="B143" i="1"/>
  <c r="C70" i="1"/>
  <c r="B70" i="1"/>
  <c r="C19" i="1"/>
  <c r="B19" i="1"/>
  <c r="R342" i="1" l="1"/>
</calcChain>
</file>

<file path=xl/sharedStrings.xml><?xml version="1.0" encoding="utf-8"?>
<sst xmlns="http://schemas.openxmlformats.org/spreadsheetml/2006/main" count="871" uniqueCount="610">
  <si>
    <t>7640</t>
  </si>
  <si>
    <t>7412</t>
  </si>
  <si>
    <t>7610</t>
  </si>
  <si>
    <t>7670</t>
  </si>
  <si>
    <t>8300</t>
  </si>
  <si>
    <t>8110</t>
  </si>
  <si>
    <t xml:space="preserve">Охорона навколишнього природного середовища </t>
  </si>
  <si>
    <t>8340</t>
  </si>
  <si>
    <t>Природоохоронні заходи за рахунок цільових фондів</t>
  </si>
  <si>
    <t>Обслуговування місцевого боргу</t>
  </si>
  <si>
    <t>9000</t>
  </si>
  <si>
    <t>9700</t>
  </si>
  <si>
    <t>9770</t>
  </si>
  <si>
    <t>Забезпечення діяльності бібліотек</t>
  </si>
  <si>
    <t>Проведення навчально-тренувальних зборів і змагань з неолімпійських видів спорту</t>
  </si>
  <si>
    <t>Інші заходи, пов'язані з економічною діяльністю</t>
  </si>
  <si>
    <t>Компенсаційні виплати на пільговий проїзд електротранспортом окремим категоріям громадян</t>
  </si>
  <si>
    <t>Проведення навчально-тренувальних зборів і змагань з олімпійських видів спорту</t>
  </si>
  <si>
    <t>Фінансова підтримка дитячо-юнацьких спортивних шкіл фізкультурно-спортивних товариств</t>
  </si>
  <si>
    <t>Сприяння розвитку малого та середнього підприємництва</t>
  </si>
  <si>
    <t>Управління  освіти і науки Сумської міської ради</t>
  </si>
  <si>
    <t>1000000</t>
  </si>
  <si>
    <t>1500000</t>
  </si>
  <si>
    <t>1510000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</si>
  <si>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</si>
  <si>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</si>
  <si>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Департамент інфраструктури міста Сумської міської ради</t>
  </si>
  <si>
    <t>Управління капітального будівництва та дорожнього господарства Сумської міської ради</t>
  </si>
  <si>
    <t>Виконавчий комітет Сумської міської ради</t>
  </si>
  <si>
    <t>Регулювання цін на послуги місцевого автотранспорту</t>
  </si>
  <si>
    <t>Організація та проведення громадських робіт</t>
  </si>
  <si>
    <t xml:space="preserve">Департамент соціального захисту населення Сумської міської ради </t>
  </si>
  <si>
    <t>Департамент забезпечення ресурсних платежів Сумської міської ради</t>
  </si>
  <si>
    <t>Управління державного архітектурно-будівельного контролю Сумської міської ради</t>
  </si>
  <si>
    <t>0100</t>
  </si>
  <si>
    <t>0180</t>
  </si>
  <si>
    <t>0111</t>
  </si>
  <si>
    <t>1000</t>
  </si>
  <si>
    <t>1010</t>
  </si>
  <si>
    <t>0910</t>
  </si>
  <si>
    <t>1020</t>
  </si>
  <si>
    <t>0921</t>
  </si>
  <si>
    <t>1030</t>
  </si>
  <si>
    <t>1070</t>
  </si>
  <si>
    <t>0922</t>
  </si>
  <si>
    <t>1090</t>
  </si>
  <si>
    <t>0960</t>
  </si>
  <si>
    <t>0990</t>
  </si>
  <si>
    <t>2000</t>
  </si>
  <si>
    <t>2010</t>
  </si>
  <si>
    <t>0731</t>
  </si>
  <si>
    <t>0733</t>
  </si>
  <si>
    <t>0722</t>
  </si>
  <si>
    <t>0763</t>
  </si>
  <si>
    <t>3000</t>
  </si>
  <si>
    <t>6000</t>
  </si>
  <si>
    <t>0610</t>
  </si>
  <si>
    <t>6020</t>
  </si>
  <si>
    <t>0620</t>
  </si>
  <si>
    <t>4000</t>
  </si>
  <si>
    <t xml:space="preserve"> Культура і мистецтво</t>
  </si>
  <si>
    <t>4030</t>
  </si>
  <si>
    <t>0824</t>
  </si>
  <si>
    <t>0829</t>
  </si>
  <si>
    <t>5000</t>
  </si>
  <si>
    <t>5011</t>
  </si>
  <si>
    <t>0810</t>
  </si>
  <si>
    <t>5012</t>
  </si>
  <si>
    <t>0490</t>
  </si>
  <si>
    <t>0421</t>
  </si>
  <si>
    <t>0451</t>
  </si>
  <si>
    <t>7400</t>
  </si>
  <si>
    <t>0470</t>
  </si>
  <si>
    <t>0411</t>
  </si>
  <si>
    <t>7600</t>
  </si>
  <si>
    <t>0320</t>
  </si>
  <si>
    <t>0170</t>
  </si>
  <si>
    <t>0540</t>
  </si>
  <si>
    <t>0133</t>
  </si>
  <si>
    <t>8000</t>
  </si>
  <si>
    <t>8600</t>
  </si>
  <si>
    <t>8100</t>
  </si>
  <si>
    <t>7300</t>
  </si>
  <si>
    <t>3031</t>
  </si>
  <si>
    <t>3033</t>
  </si>
  <si>
    <t>1040</t>
  </si>
  <si>
    <t>3104</t>
  </si>
  <si>
    <t>3112</t>
  </si>
  <si>
    <t>3200</t>
  </si>
  <si>
    <t>1050</t>
  </si>
  <si>
    <t>3131</t>
  </si>
  <si>
    <t>3160</t>
  </si>
  <si>
    <t>0443</t>
  </si>
  <si>
    <t>5061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</si>
  <si>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</si>
  <si>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</si>
  <si>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5031</t>
  </si>
  <si>
    <t>5032</t>
  </si>
  <si>
    <t>0160</t>
  </si>
  <si>
    <t>2030</t>
  </si>
  <si>
    <t>2100</t>
  </si>
  <si>
    <t>2111</t>
  </si>
  <si>
    <t>Надання інших пільг окремим категоріям громадян відповідно до законодавства</t>
  </si>
  <si>
    <t>3032</t>
  </si>
  <si>
    <t>3036</t>
  </si>
  <si>
    <t>3121</t>
  </si>
  <si>
    <t>6013</t>
  </si>
  <si>
    <t>6030</t>
  </si>
  <si>
    <t>Організація благоустрою населених пунктів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</si>
  <si>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</si>
  <si>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7000</t>
  </si>
  <si>
    <t>7130</t>
  </si>
  <si>
    <t>1010160</t>
  </si>
  <si>
    <t>1510160</t>
  </si>
  <si>
    <t>6090</t>
  </si>
  <si>
    <t>Інша діяльність у сфері житлово-комунального господарства</t>
  </si>
  <si>
    <t>7100</t>
  </si>
  <si>
    <t>Сільське, лісове, рибне господарство та мисливство</t>
  </si>
  <si>
    <t>1517640</t>
  </si>
  <si>
    <t>Забезпечення діяльності водопровідно-каналізаційного господарства</t>
  </si>
  <si>
    <t>8120</t>
  </si>
  <si>
    <t>0200000</t>
  </si>
  <si>
    <t>0210000</t>
  </si>
  <si>
    <t>0210160</t>
  </si>
  <si>
    <t>0213036</t>
  </si>
  <si>
    <t>0213131</t>
  </si>
  <si>
    <t>0215011</t>
  </si>
  <si>
    <t>0215012</t>
  </si>
  <si>
    <t>0215031</t>
  </si>
  <si>
    <t>0215061</t>
  </si>
  <si>
    <t>0218110</t>
  </si>
  <si>
    <t>0218340</t>
  </si>
  <si>
    <t>0600000</t>
  </si>
  <si>
    <t>0610000</t>
  </si>
  <si>
    <t>0610160</t>
  </si>
  <si>
    <t>0611010</t>
  </si>
  <si>
    <t>0700000</t>
  </si>
  <si>
    <t>0710000</t>
  </si>
  <si>
    <t>0710160</t>
  </si>
  <si>
    <t>0712010</t>
  </si>
  <si>
    <t>0717640</t>
  </si>
  <si>
    <t>0712111</t>
  </si>
  <si>
    <t>0712100</t>
  </si>
  <si>
    <t>0712030</t>
  </si>
  <si>
    <t>0800000</t>
  </si>
  <si>
    <t>0810000</t>
  </si>
  <si>
    <t>0810160</t>
  </si>
  <si>
    <t>0813031</t>
  </si>
  <si>
    <t>0813032</t>
  </si>
  <si>
    <t>0813036</t>
  </si>
  <si>
    <t>0813104</t>
  </si>
  <si>
    <t>0813160</t>
  </si>
  <si>
    <t>0813200</t>
  </si>
  <si>
    <t>0900000</t>
  </si>
  <si>
    <t>0910000</t>
  </si>
  <si>
    <t>0910160</t>
  </si>
  <si>
    <t>0913112</t>
  </si>
  <si>
    <t>1010000</t>
  </si>
  <si>
    <t>1014030</t>
  </si>
  <si>
    <t>1200000</t>
  </si>
  <si>
    <t>1210000</t>
  </si>
  <si>
    <t>1210160</t>
  </si>
  <si>
    <t>1216013</t>
  </si>
  <si>
    <t>1216020</t>
  </si>
  <si>
    <t>1216030</t>
  </si>
  <si>
    <t>1217640</t>
  </si>
  <si>
    <t>1218340</t>
  </si>
  <si>
    <t>1219770</t>
  </si>
  <si>
    <t>1516084</t>
  </si>
  <si>
    <t>1710000</t>
  </si>
  <si>
    <t>1710160</t>
  </si>
  <si>
    <t>1700000</t>
  </si>
  <si>
    <t>3100000</t>
  </si>
  <si>
    <t>3110000</t>
  </si>
  <si>
    <t>3110160</t>
  </si>
  <si>
    <t>3700000</t>
  </si>
  <si>
    <t>3710000</t>
  </si>
  <si>
    <t>3710160</t>
  </si>
  <si>
    <t>3718340</t>
  </si>
  <si>
    <t>3718600</t>
  </si>
  <si>
    <t>0218120</t>
  </si>
  <si>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</si>
  <si>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</si>
  <si>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</si>
  <si>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</si>
  <si>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</si>
  <si>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</si>
  <si>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</si>
  <si>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</si>
  <si>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0217530</t>
  </si>
  <si>
    <t>Інші заходи у сфері зв'язку, телекомунікації та інформатики</t>
  </si>
  <si>
    <t>7530</t>
  </si>
  <si>
    <t>0460</t>
  </si>
  <si>
    <t>7500</t>
  </si>
  <si>
    <t>Зв'язок, телекомунікації та інформатика</t>
  </si>
  <si>
    <t>7693</t>
  </si>
  <si>
    <t>0217693</t>
  </si>
  <si>
    <t>0210180</t>
  </si>
  <si>
    <t>Інша діяльність у сфері державного управління</t>
  </si>
  <si>
    <t>0218230</t>
  </si>
  <si>
    <t>8230</t>
  </si>
  <si>
    <t>0380</t>
  </si>
  <si>
    <t>Інші заходи громадського порядку та безпеки</t>
  </si>
  <si>
    <t>0217680</t>
  </si>
  <si>
    <t>7680</t>
  </si>
  <si>
    <t>Членські внески до асоціацій органів місцевого самоврядування</t>
  </si>
  <si>
    <t>8200</t>
  </si>
  <si>
    <t>Громадський порядок та безпека</t>
  </si>
  <si>
    <t>1216090</t>
  </si>
  <si>
    <t>0213033</t>
  </si>
  <si>
    <t>3717640</t>
  </si>
  <si>
    <t>1216017</t>
  </si>
  <si>
    <t>6017</t>
  </si>
  <si>
    <t>3117693</t>
  </si>
  <si>
    <t>0819770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</si>
  <si>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</si>
  <si>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</si>
  <si>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</si>
  <si>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1217330</t>
  </si>
  <si>
    <t>7330</t>
  </si>
  <si>
    <t>Інші програми та заходи у сфері освіти</t>
  </si>
  <si>
    <t>2151</t>
  </si>
  <si>
    <t>2152</t>
  </si>
  <si>
    <t>3191</t>
  </si>
  <si>
    <t>3192</t>
  </si>
  <si>
    <t>3210</t>
  </si>
  <si>
    <t>3241</t>
  </si>
  <si>
    <t>3242</t>
  </si>
  <si>
    <t>4081</t>
  </si>
  <si>
    <t>4082</t>
  </si>
  <si>
    <t>Інші заходи в галузі культури і мистецтва</t>
  </si>
  <si>
    <t>7691</t>
  </si>
  <si>
    <t>1217691</t>
  </si>
  <si>
    <t>0217691</t>
  </si>
  <si>
    <t>1213210</t>
  </si>
  <si>
    <t>0214081</t>
  </si>
  <si>
    <t>0213242</t>
  </si>
  <si>
    <t>0813241</t>
  </si>
  <si>
    <t>0813191</t>
  </si>
  <si>
    <t>0813192</t>
  </si>
  <si>
    <t>0640</t>
  </si>
  <si>
    <t>0726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</si>
  <si>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</si>
  <si>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</si>
  <si>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</si>
  <si>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</si>
  <si>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Компенсаційні виплати за пільговий проїзд окремих категорій громадян на залізничному транспорті</t>
  </si>
  <si>
    <t>3035</t>
  </si>
  <si>
    <t>0813035</t>
  </si>
  <si>
    <t>0712151</t>
  </si>
  <si>
    <t>0712152</t>
  </si>
  <si>
    <t>Код Функціональної класифікації видатків та кредитування бюджету</t>
  </si>
  <si>
    <t>у тому числі бюджет розвитку</t>
  </si>
  <si>
    <t>3717693</t>
  </si>
  <si>
    <t>1217670</t>
  </si>
  <si>
    <t>3111</t>
  </si>
  <si>
    <t>0913111</t>
  </si>
  <si>
    <t>Відділ культури Сумської міської ради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</si>
  <si>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</si>
  <si>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</si>
  <si>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</si>
  <si>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</si>
  <si>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"Молодь України"</t>
  </si>
  <si>
    <t>Забезпечення обробки інформації з нарахування та виплати допомог і компенсацій</t>
  </si>
  <si>
    <t>Забезпечення діяльності інших закладів в галузі культури і мистецтва</t>
  </si>
  <si>
    <t>Інша діяльність, пов’язана з експлуатацією об’єктів житлово-комунального господарства</t>
  </si>
  <si>
    <t>Здійснення заходів із землеустрою</t>
  </si>
  <si>
    <t>Проведення експертної грошової оцінки земельної ділянки чи права на неї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</si>
  <si>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</si>
  <si>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 xml:space="preserve">Інша діяльність у сфері екології та охорони природних ресурсів </t>
  </si>
  <si>
    <t>0215062</t>
  </si>
  <si>
    <t>0813033</t>
  </si>
  <si>
    <t>0813242</t>
  </si>
  <si>
    <t>Інші субвенції з місцевого бюджету</t>
  </si>
  <si>
    <t>0215032</t>
  </si>
  <si>
    <t>(грн)</t>
  </si>
  <si>
    <t>Надання пільг окремим категоріям громадян з оплати послуг зв'язку</t>
  </si>
  <si>
    <t>Управління  «Служба у справах дітей» Сумської міської ради</t>
  </si>
  <si>
    <t>Надання позашкільної освіти закладами позашкільної освіти, заходи із позашкільної роботи з дітьми</t>
  </si>
  <si>
    <t>1218110</t>
  </si>
  <si>
    <t>0219800</t>
  </si>
  <si>
    <t>іншої субвенції з місцевого бюджету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</si>
  <si>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</si>
  <si>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</si>
  <si>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Заходи з енергозбереження, у т. ч. за рахунок:</t>
  </si>
  <si>
    <t>місцевого запозичення</t>
  </si>
  <si>
    <t>Управління капітального будівництва та дорожнього господарства Сумської міської ради, у т. ч. за рахунок:</t>
  </si>
  <si>
    <t>Інші програми та заходи, пов'язані з економічною діяльністю, у т.ч. за рахунок:</t>
  </si>
  <si>
    <t>Заходи з енергозбереження</t>
  </si>
  <si>
    <t>Реалізація інших заходів щодо соціально-економічного розвитку територій</t>
  </si>
  <si>
    <t xml:space="preserve">Управління охорони здоров’я Сумської міської ради  </t>
  </si>
  <si>
    <t>Лікарсько-акушерська допомога вагітним, породіллям та новонародженим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</si>
  <si>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</si>
  <si>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</si>
  <si>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0611021</t>
  </si>
  <si>
    <t>0611022</t>
  </si>
  <si>
    <t>0611070</t>
  </si>
  <si>
    <t>0611141</t>
  </si>
  <si>
    <t>1141</t>
  </si>
  <si>
    <t>0611142</t>
  </si>
  <si>
    <t>1142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</si>
  <si>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</si>
  <si>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</si>
  <si>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</si>
  <si>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</si>
  <si>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</si>
  <si>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</si>
  <si>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0613242</t>
  </si>
  <si>
    <t>0615031</t>
  </si>
  <si>
    <t>0617640</t>
  </si>
  <si>
    <t>0618340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</si>
  <si>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</si>
  <si>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Надання дошкільної освіти</t>
  </si>
  <si>
    <t>1011080</t>
  </si>
  <si>
    <t>Забезпечення діяльності інших закладів у сфері освіти</t>
  </si>
  <si>
    <t>3718710</t>
  </si>
  <si>
    <t>Резервний фонд місцевого бюджету</t>
  </si>
  <si>
    <t>1210180</t>
  </si>
  <si>
    <t>0611025</t>
  </si>
  <si>
    <t>Надання спеціалізованої освіти мистецькими школами</t>
  </si>
  <si>
    <t>0213133</t>
  </si>
  <si>
    <t>Багатопрофільна стаціонарна медична допомога населенню</t>
  </si>
  <si>
    <t>Фізична культура і спорт</t>
  </si>
  <si>
    <t>Транспорт та транспортна інфраструктура, дорожнє господарство</t>
  </si>
  <si>
    <t>Забезпечення діяльності інших закладів у сфері охорони здоров'я</t>
  </si>
  <si>
    <t>Інші програми та заходи у сфері охорони здоров'я</t>
  </si>
  <si>
    <t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</si>
  <si>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0611091</t>
  </si>
  <si>
    <t>0930</t>
  </si>
  <si>
    <t>Резервний фонд</t>
  </si>
  <si>
    <t>0218240</t>
  </si>
  <si>
    <t>Заходи та роботи з територіальної оборони</t>
  </si>
  <si>
    <t>Департамент інспекційної роботи Сумської міської ради</t>
  </si>
  <si>
    <t>3600000</t>
  </si>
  <si>
    <t>3610000</t>
  </si>
  <si>
    <t>3610160</t>
  </si>
  <si>
    <t>Управління комунального майна Сумської міської ради</t>
  </si>
  <si>
    <t>3617370</t>
  </si>
  <si>
    <t>3617130</t>
  </si>
  <si>
    <t>3617650</t>
  </si>
  <si>
    <t>3617660</t>
  </si>
  <si>
    <t>3617693</t>
  </si>
  <si>
    <t>Соціальний захист та соціальне забезпечення, у т. ч. за рахунок:</t>
  </si>
  <si>
    <t>Економічна діяльність, у т.ч. за рахунок:</t>
  </si>
  <si>
    <t>Департамент соціального захисту населення Сумської міської ради, у т.ч. за рахунок:</t>
  </si>
  <si>
    <t>2700000</t>
  </si>
  <si>
    <t>2710160</t>
  </si>
  <si>
    <t>2710000</t>
  </si>
  <si>
    <t>2717610</t>
  </si>
  <si>
    <t>1218240</t>
  </si>
  <si>
    <t>0618240</t>
  </si>
  <si>
    <t>1853100000</t>
  </si>
  <si>
    <t>5010000</t>
  </si>
  <si>
    <t>5010160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</si>
  <si>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об'єктів житлово-комунального господарства</t>
    </r>
  </si>
  <si>
    <t>Інші заходи у сфері соціального захисту і соціального забезпечення,    у т. ч. за рахунок:</t>
  </si>
  <si>
    <t>Сумська міська військова адміністрація Сумського району Сумської області</t>
  </si>
  <si>
    <t>трансфертів з місцевого бюджету до інших місцевих бюджетів за рахунок трансфертів з державного бюджету</t>
  </si>
  <si>
    <t xml:space="preserve">трансфертів з місцевих бюджетів 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</si>
  <si>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</si>
  <si>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</si>
  <si>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</si>
  <si>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</si>
  <si>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Державне управління</t>
  </si>
  <si>
    <t>Надання загальної середньої освіти закладами загальної середньої освіти за рахунок коштів місцевого бюджету</t>
  </si>
  <si>
    <t>Заходи із запобігання та ліквідації надзвичайних ситуацій та наслідків стихійного лиха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</si>
  <si>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</si>
  <si>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Охорона здоров’я</t>
  </si>
  <si>
    <t>Компенсаційні виплати на пільговий проїзд автомобільним транспортом окремим категоріям громадян, у т.ч. за рахунок: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</si>
  <si>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</si>
  <si>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</si>
  <si>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збору та вивезення сміття і відходів</t>
  </si>
  <si>
    <t>1216014</t>
  </si>
  <si>
    <t>1216092</t>
  </si>
  <si>
    <t>1217412</t>
  </si>
  <si>
    <t>1217450</t>
  </si>
  <si>
    <t>0456</t>
  </si>
  <si>
    <t>Інша діяльність у сфері транспорту</t>
  </si>
  <si>
    <t>1217426</t>
  </si>
  <si>
    <t>Інші заходи у сфері електротранспорту</t>
  </si>
  <si>
    <t>0455</t>
  </si>
  <si>
    <t>трансфертів з державного бюджету, в т.ч.:</t>
  </si>
  <si>
    <t>1216091</t>
  </si>
  <si>
    <t>0813121</t>
  </si>
  <si>
    <t>3617691</t>
  </si>
  <si>
    <t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</si>
  <si>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0611031</t>
  </si>
  <si>
    <t>субвенції з місцевого бюджету на здійснення переданих видатків у сфері освіти за рахунок коштів освітньої субвенції</t>
  </si>
  <si>
    <t>Надання загальної середньої освіти закладами загальної середньої освіти за рахунок освітньої субвенції,  у т. ч. за рахунок:</t>
  </si>
  <si>
    <t>Управління  освіти і науки Сумської міської ради,  у т. ч. за рахунок:</t>
  </si>
  <si>
    <t>Освіта,  у т. ч. за рахунок:</t>
  </si>
  <si>
    <t>1152</t>
  </si>
  <si>
    <t>Забезпечення діяльності інклюзивно-ресурсних центрів за рахунок освітньої субвенції, у т. ч. за рахунок:</t>
  </si>
  <si>
    <t>0611152</t>
  </si>
  <si>
    <t>освітньої субвенції з державного бюджету місцевим бюджетам</t>
  </si>
  <si>
    <t>0611032</t>
  </si>
  <si>
    <t>1032</t>
  </si>
  <si>
    <t xml:space="preserve"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субвенції,  у т.ч. за рахунок: </t>
  </si>
  <si>
    <t xml:space="preserve"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субвенції,  у т.ч. за рахунок: </t>
  </si>
  <si>
    <t>0611035</t>
  </si>
  <si>
    <t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t>
  </si>
  <si>
    <t>0611092</t>
  </si>
  <si>
    <t>інші субвенції з місцевого бюджету</t>
  </si>
  <si>
    <t>0813050</t>
  </si>
  <si>
    <t>0813090</t>
  </si>
  <si>
    <t>0813171</t>
  </si>
  <si>
    <t>3050</t>
  </si>
  <si>
    <t>Пільгове медичне обслуговування осіб, які постраждали внаслідок Чорнобильської катастрофи, у т.ч. за рахунок:</t>
  </si>
  <si>
    <t>3090</t>
  </si>
  <si>
    <t>Видатки на поховання учасників бойових дій та осіб з інвалідністю внаслідок війни, у т.ч. за рахунок: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</si>
  <si>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</si>
  <si>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t>
  </si>
  <si>
    <t>Надання комплексу послуг дітям-сиротам, дітям,
позбавленим батьківського піклування, особам з їх
числа та дітям віком від 3 до 18 років, які опинились
у складних життєвих обставинах, закладами, які
надають соціальні послуги дітям</t>
  </si>
  <si>
    <t>Забезпечення молодіжними центрами соціального
становлення та розвитку молоді та інші заходи у
сфері молодіжної політики</t>
  </si>
  <si>
    <t>Розвиток здібностей у дітей та молоді з фізичної
культури та спорту комунальними дитячо-юнацькими спортивними школами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</si>
  <si>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</si>
  <si>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</si>
  <si>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1183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</si>
  <si>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</si>
  <si>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бюджетам, у т.ч. за рахунок: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</si>
  <si>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</si>
  <si>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0611184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</si>
  <si>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</si>
  <si>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</si>
  <si>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потребами, у т.ч. за рахунок:</t>
  </si>
  <si>
    <t>субвенції з державного бюджету місцевим бюджетам на надання державної пітримки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</si>
  <si>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</si>
  <si>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</si>
  <si>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здійснення доплат педагогічним працівникам закладів загальної середньої освіти</t>
  </si>
  <si>
    <t>0611600</t>
  </si>
  <si>
    <t>0913114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</si>
  <si>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</si>
  <si>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</si>
  <si>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</si>
  <si>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</si>
  <si>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забезпечення харчуванням учнів початкових класів закладів загальної середньої освіти</t>
  </si>
  <si>
    <t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t>
  </si>
  <si>
    <t>1700</t>
  </si>
  <si>
    <t>0611700</t>
  </si>
  <si>
    <t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t>
  </si>
  <si>
    <t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</si>
  <si>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1300</t>
  </si>
  <si>
    <t>1511300</t>
  </si>
  <si>
    <t>1512170</t>
  </si>
  <si>
    <t>1516091</t>
  </si>
  <si>
    <t>1517330</t>
  </si>
  <si>
    <t>Регулювання цін на послуги місцевого наземного електротранспорту</t>
  </si>
  <si>
    <t>0453</t>
  </si>
  <si>
    <t>1217422</t>
  </si>
  <si>
    <t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t>
  </si>
  <si>
    <t>Будівництво1 інших об'єктів комунальної власності</t>
  </si>
  <si>
    <t>Регіональний розвиток та інші інвестиційні проекти, у т.ч. за рахунок:</t>
  </si>
  <si>
    <t>0611300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</si>
  <si>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інших об'єктів комунальної власності</t>
    </r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</si>
  <si>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</si>
  <si>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0712170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</si>
  <si>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</si>
  <si>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закладів охорони здоров'я</t>
    </r>
  </si>
  <si>
    <r>
      <t>Будівництво</t>
    </r>
    <r>
      <rPr>
        <vertAlign val="superscript"/>
        <sz val="12"/>
        <rFont val="Times New Roman"/>
        <family val="1"/>
        <charset val="204"/>
      </rPr>
      <t xml:space="preserve"> 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</si>
  <si>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t>
  </si>
  <si>
    <t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</si>
  <si>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0813193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</si>
  <si>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т.ч. за рахунок:</t>
  </si>
  <si>
    <t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t>
  </si>
  <si>
    <t>1217384</t>
  </si>
  <si>
    <t>Департамент інфраструктури міста Сумської міської ради, у т.ч. за рахунок: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</si>
  <si>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</si>
  <si>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</si>
  <si>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1511261</t>
  </si>
  <si>
    <t>1511262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</si>
  <si>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</si>
  <si>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t>
  </si>
  <si>
    <t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</si>
  <si>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1216094</t>
  </si>
  <si>
    <t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</si>
  <si>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Реалізація заходів з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- 2», у т.ч. за рахунок:</t>
  </si>
  <si>
    <t>Житлово-комунальне господарство, у т.ч. за рахунок:</t>
  </si>
  <si>
    <t>Виконавчий комітет Сумської міської ради, у т.ч. за рахунок:</t>
  </si>
  <si>
    <t>Заходи з організації рятування на водах, у т.ч. за рахунок:</t>
  </si>
  <si>
    <t>Інша діяльність, у т.ч. за рахунок:</t>
  </si>
  <si>
    <t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</si>
  <si>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Усього видатків, у т.ч. за рахунок:</t>
  </si>
  <si>
    <t>1512010</t>
  </si>
  <si>
    <t>УСЬОГО, т.ч. за рахунок:</t>
  </si>
  <si>
    <t>усього</t>
  </si>
  <si>
    <t>1516030</t>
  </si>
  <si>
    <t>Захист населення і територій від надзвичайних ситуацій, у т.ч. за рахунок:</t>
  </si>
  <si>
    <t>1511010</t>
  </si>
  <si>
    <t>1511021</t>
  </si>
  <si>
    <t>1511141</t>
  </si>
  <si>
    <t>субвенції  з місцевого бюджету на здійснення переданих видатків у сфері освіти за рахунок коштів освітньої субвенції</t>
  </si>
  <si>
    <t>Департамент забезпечення ресурсних платежів Сумської міської ради, у т.ч. за рахунок:</t>
  </si>
  <si>
    <t>1014083</t>
  </si>
  <si>
    <t>Будівництво-1 закладів культури і мистецтва</t>
  </si>
  <si>
    <t>1517370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</si>
  <si>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</si>
  <si>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</si>
  <si>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</si>
  <si>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освіти, у т.ч. за рахунок:</t>
  </si>
  <si>
    <t>0611273</t>
  </si>
  <si>
    <t>0611274</t>
  </si>
  <si>
    <t>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</si>
  <si>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бюджетам,  у т.ч. за рахунок:</t>
  </si>
  <si>
    <t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</si>
  <si>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0611222</t>
  </si>
  <si>
    <t>0713193</t>
  </si>
  <si>
    <t>Управління охорони здоров’я Сумської міської ради, у т.ч. за рахунок: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</si>
  <si>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</si>
  <si>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1511310</t>
  </si>
  <si>
    <t>1310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</si>
  <si>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бюджетів, у т.ч. за рахунок:</t>
  </si>
  <si>
    <t>1216093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</si>
  <si>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бюджетів, у т.ч. за рахунок: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</si>
  <si>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</si>
  <si>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t>
  </si>
  <si>
    <t>залишку коштів інших субвенцій з місцевого бюджету,  що склався станом на 01.01.2025 року</t>
  </si>
  <si>
    <t>1217377</t>
  </si>
  <si>
    <t>Реалізація проектів (заходів) з відновлення інших об'єктів комунальної власності, пошкоджених / знищених внаслідок збройної агресії, за рахунок коштів місцевих бюджетів</t>
  </si>
  <si>
    <t>0719770</t>
  </si>
  <si>
    <r>
      <t xml:space="preserve">Будівництво 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</t>
    </r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</si>
  <si>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</si>
  <si>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</si>
  <si>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</si>
  <si>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Внески до статутного капіталу суб'єктів господарювання, у т.ч. за рахунок:</t>
  </si>
  <si>
    <t>0215022</t>
  </si>
  <si>
    <t>Проведення навчально-тренувальних зборів і змагань та заходів зі спорту осіб з інвалідністю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</si>
  <si>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</si>
  <si>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</si>
  <si>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t>
  </si>
  <si>
    <t>субвенція з місцевого бюджету за рахунок залишку коштів освітньої субвенції, що утворився на початок бюджетного періоду</t>
  </si>
  <si>
    <t>0611275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</si>
  <si>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</si>
  <si>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</si>
  <si>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умов, у т.ч. за рахунок:</t>
  </si>
  <si>
    <t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</si>
  <si>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0611276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</si>
  <si>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простору, у т.ч. за рахунок:</t>
  </si>
  <si>
    <t>0611231</t>
  </si>
  <si>
    <t>1217367</t>
  </si>
  <si>
    <t>0611232</t>
  </si>
  <si>
    <t>субвенції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</si>
  <si>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</si>
  <si>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t>
  </si>
  <si>
    <t>1217370</t>
  </si>
  <si>
    <t>Реалізація проектів у рамках Програми відновлення України III, у т.ч. за рахунок:</t>
  </si>
  <si>
    <t>субвенції з державного бюджету місцевим бюджетам на реалізацію проектів в рамках Програми відновлення України III</t>
  </si>
  <si>
    <t>Проектування, реставрація та охорона пам'яток культурної спадщини</t>
  </si>
  <si>
    <t>1214084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</si>
  <si>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обставинах, у т.ч. за рахунок:</t>
  </si>
  <si>
    <t>0611261</t>
  </si>
  <si>
    <t>1217413</t>
  </si>
  <si>
    <t>Інші заходи у сфері автотранспорту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</si>
  <si>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освіти, у т.ч. за рахунок: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</si>
  <si>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освіти, у т.ч. за рахунок:</t>
  </si>
  <si>
    <t>0611279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</si>
  <si>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</si>
  <si>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бюджету), у т.ч. за рахунок:</t>
  </si>
  <si>
    <t>субвенції з державного бюджету місцевим бюджетам на надання державної підтримки особам з особливими освітніми потребами</t>
  </si>
  <si>
    <t>0611501</t>
  </si>
  <si>
    <t>0219770</t>
  </si>
  <si>
    <t>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</si>
  <si>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</si>
  <si>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</si>
  <si>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</si>
  <si>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забезпечення харчуванням учнів закладів загальної середньої освіти</t>
  </si>
  <si>
    <t>1219800</t>
  </si>
  <si>
    <t>Надання загальної середньої освіти закладами загальної середньої освіти за рахунок коштів місцевого бюджету, у т.ч. за рахунок:</t>
  </si>
  <si>
    <t>Забезпечення надійної та безперебійної експлуатації ліфтів</t>
  </si>
  <si>
    <t>1216015</t>
  </si>
  <si>
    <t>0712171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</si>
  <si>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</si>
  <si>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0217412</t>
  </si>
  <si>
    <t>0217413</t>
  </si>
  <si>
    <t>0217422</t>
  </si>
  <si>
    <t>0217426</t>
  </si>
  <si>
    <t>0217450</t>
  </si>
  <si>
    <t>0217640</t>
  </si>
  <si>
    <t>0218330</t>
  </si>
  <si>
    <t>1600000</t>
  </si>
  <si>
    <t>1610000</t>
  </si>
  <si>
    <t>Управління архітектури, містобудування та охорони культурної спадщини громади Сумської міської ради</t>
  </si>
  <si>
    <t>1610160</t>
  </si>
  <si>
    <t>1617691</t>
  </si>
  <si>
    <t>Департамент фінансів Сумської міської ради</t>
  </si>
  <si>
    <t>іншої дотації з місцевого бюджету</t>
  </si>
  <si>
    <t>0619150</t>
  </si>
  <si>
    <t>Дотації з місцевого бюджету іншим бюджетам, у т.ч. за рахунок:</t>
  </si>
  <si>
    <t>Міжбюджетні трансферти, у т.ч. за рахунок:</t>
  </si>
  <si>
    <t>Інші дотації з місцевого бюджету, у т.ч. за рахунок:</t>
  </si>
  <si>
    <t>Інші видатки на соціальний захист ветеранів війни та праці, у т.ч. за рахунок: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</si>
  <si>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у т.ч. за рахунок:</t>
  </si>
  <si>
    <t xml:space="preserve">     (код бюджету)</t>
  </si>
  <si>
    <t xml:space="preserve">   (код бюджету)</t>
  </si>
  <si>
    <t>0611221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</si>
  <si>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</si>
  <si>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а</t>
  </si>
  <si>
    <t>5000000</t>
  </si>
  <si>
    <t>Касові видатки</t>
  </si>
  <si>
    <t>% виконан-ня до затвердже-ного по бюджету</t>
  </si>
  <si>
    <t>Разом план</t>
  </si>
  <si>
    <t>Затверджено по бюджету з урахуванням змін (відповідно до казначейської звітності)</t>
  </si>
  <si>
    <t>Звіт про виконання видаткової частини бюджету Сумської міської територіальної громади за 2025 рік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головними розпорядниками бюджетних коштів</t>
  </si>
  <si>
    <t>Звіт про виконання видаткової частини бюджету Сумської міської територіальної громади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2025 рік за типовою програмною класифікацією видатків та кредитування місцевих бюджетів</t>
  </si>
  <si>
    <t>до    рішення    виконавчого комітету</t>
  </si>
  <si>
    <t>Додаток 2</t>
  </si>
  <si>
    <t>Додаток 5</t>
  </si>
  <si>
    <t>Директор Департаменту фінансів Сумської міської ради</t>
  </si>
  <si>
    <t>Л.А. Скиртач</t>
  </si>
  <si>
    <t xml:space="preserve"> № 517</t>
  </si>
  <si>
    <t>від     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</si>
</sst>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imes New Roman"/>
      <family val="1"/>
      <charset val="204"/>
    </font>
    <font>
      <b/>
      <sz val="25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2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25"/>
      <name val="Times New Roman"/>
      <family val="1"/>
      <charset val="204"/>
    </font>
    <font>
      <b/>
      <i/>
      <sz val="2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25"/>
      <color rgb="FFFF0000"/>
      <name val="Times New Roman"/>
      <family val="1"/>
      <charset val="204"/>
    </font>
    <font>
      <sz val="25"/>
      <color rgb="FFFF0000"/>
      <name val="Times New Roman"/>
      <family val="1"/>
      <charset val="204"/>
    </font>
    <font>
      <sz val="26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24"/>
      <name val="Times New Roman"/>
      <family val="1"/>
      <charset val="204"/>
    </font>
    <font>
      <sz val="14"/>
      <name val="Times New Roman"/>
      <family val="1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8" fillId="0" borderId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5" fillId="7" borderId="1" applyNumberFormat="0" applyAlignment="0" applyProtection="0"/>
    <xf numFmtId="0" fontId="6" fillId="22" borderId="2" applyNumberFormat="0" applyAlignment="0" applyProtection="0"/>
    <xf numFmtId="0" fontId="13" fillId="22" borderId="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>
      <alignment vertical="top"/>
    </xf>
    <xf numFmtId="0" fontId="10" fillId="0" borderId="3" applyNumberFormat="0" applyFill="0" applyAlignment="0" applyProtection="0"/>
    <xf numFmtId="0" fontId="8" fillId="23" borderId="4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8" fillId="0" borderId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10" borderId="5" applyNumberFormat="0" applyFont="0" applyAlignment="0" applyProtection="0"/>
    <xf numFmtId="0" fontId="16" fillId="0" borderId="6" applyNumberFormat="0" applyFill="0" applyAlignment="0" applyProtection="0"/>
    <xf numFmtId="0" fontId="17" fillId="0" borderId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2" fillId="36" borderId="0" applyNumberFormat="0" applyBorder="0" applyAlignment="0" applyProtection="0"/>
    <xf numFmtId="0" fontId="31" fillId="25" borderId="0" applyNumberFormat="0" applyBorder="0" applyAlignment="0" applyProtection="0"/>
    <xf numFmtId="0" fontId="31" fillId="31" borderId="0" applyNumberFormat="0" applyBorder="0" applyAlignment="0" applyProtection="0"/>
    <xf numFmtId="0" fontId="32" fillId="37" borderId="0" applyNumberFormat="0" applyBorder="0" applyAlignment="0" applyProtection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32" fillId="38" borderId="0" applyNumberFormat="0" applyBorder="0" applyAlignment="0" applyProtection="0"/>
    <xf numFmtId="0" fontId="31" fillId="27" borderId="0" applyNumberFormat="0" applyBorder="0" applyAlignment="0" applyProtection="0"/>
    <xf numFmtId="0" fontId="31" fillId="33" borderId="0" applyNumberFormat="0" applyBorder="0" applyAlignment="0" applyProtection="0"/>
    <xf numFmtId="0" fontId="32" fillId="39" borderId="0" applyNumberFormat="0" applyBorder="0" applyAlignment="0" applyProtection="0"/>
    <xf numFmtId="0" fontId="31" fillId="28" borderId="0" applyNumberFormat="0" applyBorder="0" applyAlignment="0" applyProtection="0"/>
    <xf numFmtId="0" fontId="31" fillId="34" borderId="0" applyNumberFormat="0" applyBorder="0" applyAlignment="0" applyProtection="0"/>
    <xf numFmtId="0" fontId="32" fillId="40" borderId="0" applyNumberFormat="0" applyBorder="0" applyAlignment="0" applyProtection="0"/>
    <xf numFmtId="0" fontId="31" fillId="29" borderId="0" applyNumberFormat="0" applyBorder="0" applyAlignment="0" applyProtection="0"/>
    <xf numFmtId="0" fontId="31" fillId="35" borderId="0" applyNumberFormat="0" applyBorder="0" applyAlignment="0" applyProtection="0"/>
    <xf numFmtId="0" fontId="32" fillId="41" borderId="0" applyNumberFormat="0" applyBorder="0" applyAlignment="0" applyProtection="0"/>
    <xf numFmtId="0" fontId="1" fillId="0" borderId="0"/>
  </cellStyleXfs>
  <cellXfs count="248">
    <xf numFmtId="0" fontId="0" fillId="0" borderId="0" xfId="0"/>
    <xf numFmtId="49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left" wrapText="1"/>
    </xf>
    <xf numFmtId="3" fontId="1" fillId="0" borderId="0" xfId="0" applyNumberFormat="1" applyFont="1" applyFill="1"/>
    <xf numFmtId="3" fontId="33" fillId="0" borderId="0" xfId="0" applyNumberFormat="1" applyFont="1" applyFill="1"/>
    <xf numFmtId="3" fontId="22" fillId="0" borderId="0" xfId="0" applyNumberFormat="1" applyFont="1" applyFill="1"/>
    <xf numFmtId="3" fontId="23" fillId="0" borderId="0" xfId="0" applyNumberFormat="1" applyFont="1" applyFill="1" applyAlignment="1">
      <alignment horizontal="center"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vertical="center"/>
    </xf>
    <xf numFmtId="49" fontId="20" fillId="0" borderId="7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left" vertical="center" wrapText="1"/>
    </xf>
    <xf numFmtId="3" fontId="22" fillId="0" borderId="0" xfId="0" applyNumberFormat="1" applyFont="1" applyFill="1" applyAlignment="1">
      <alignment vertical="center"/>
    </xf>
    <xf numFmtId="1" fontId="20" fillId="0" borderId="7" xfId="0" applyNumberFormat="1" applyFont="1" applyFill="1" applyBorder="1" applyAlignment="1">
      <alignment horizontal="left" vertical="center" wrapText="1"/>
    </xf>
    <xf numFmtId="1" fontId="27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left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left" vertical="center" wrapText="1"/>
    </xf>
    <xf numFmtId="3" fontId="24" fillId="0" borderId="0" xfId="0" applyNumberFormat="1" applyFont="1" applyFill="1" applyAlignment="1">
      <alignment vertical="center"/>
    </xf>
    <xf numFmtId="3" fontId="28" fillId="0" borderId="7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49" fontId="20" fillId="0" borderId="7" xfId="0" applyNumberFormat="1" applyFont="1" applyFill="1" applyBorder="1" applyAlignment="1">
      <alignment horizontal="left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left" vertical="center" wrapText="1"/>
    </xf>
    <xf numFmtId="3" fontId="41" fillId="0" borderId="0" xfId="0" applyNumberFormat="1" applyFont="1" applyFill="1"/>
    <xf numFmtId="49" fontId="27" fillId="0" borderId="7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 wrapText="1"/>
    </xf>
    <xf numFmtId="4" fontId="27" fillId="0" borderId="7" xfId="0" applyNumberFormat="1" applyFont="1" applyFill="1" applyBorder="1" applyAlignment="1">
      <alignment horizontal="right"/>
    </xf>
    <xf numFmtId="1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 wrapText="1"/>
    </xf>
    <xf numFmtId="4" fontId="20" fillId="0" borderId="7" xfId="0" applyNumberFormat="1" applyFont="1" applyFill="1" applyBorder="1" applyAlignment="1">
      <alignment horizontal="right"/>
    </xf>
    <xf numFmtId="1" fontId="27" fillId="0" borderId="7" xfId="0" applyNumberFormat="1" applyFont="1" applyFill="1" applyBorder="1" applyAlignment="1">
      <alignment horizontal="center" vertical="center"/>
    </xf>
    <xf numFmtId="1" fontId="29" fillId="0" borderId="7" xfId="0" applyNumberFormat="1" applyFont="1" applyFill="1" applyBorder="1" applyAlignment="1">
      <alignment horizontal="center" vertical="center"/>
    </xf>
    <xf numFmtId="4" fontId="29" fillId="0" borderId="7" xfId="0" applyNumberFormat="1" applyFont="1" applyFill="1" applyBorder="1" applyAlignment="1">
      <alignment horizontal="right"/>
    </xf>
    <xf numFmtId="1" fontId="28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right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3" fontId="20" fillId="0" borderId="7" xfId="0" applyNumberFormat="1" applyFont="1" applyFill="1" applyBorder="1" applyAlignment="1" applyProtection="1">
      <alignment horizontal="left" vertical="center" wrapText="1"/>
    </xf>
    <xf numFmtId="1" fontId="20" fillId="0" borderId="7" xfId="0" applyNumberFormat="1" applyFont="1" applyFill="1" applyBorder="1" applyAlignment="1" applyProtection="1">
      <alignment horizontal="center" vertical="center" wrapText="1"/>
    </xf>
    <xf numFmtId="1" fontId="28" fillId="0" borderId="7" xfId="0" applyNumberFormat="1" applyFont="1" applyFill="1" applyBorder="1" applyAlignment="1" applyProtection="1">
      <alignment horizontal="center" vertical="center" wrapText="1"/>
    </xf>
    <xf numFmtId="49" fontId="28" fillId="0" borderId="7" xfId="0" applyNumberFormat="1" applyFont="1" applyFill="1" applyBorder="1" applyAlignment="1" applyProtection="1">
      <alignment horizontal="center" vertical="center" wrapText="1"/>
    </xf>
    <xf numFmtId="1" fontId="27" fillId="0" borderId="7" xfId="0" applyNumberFormat="1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top" wrapText="1"/>
    </xf>
    <xf numFmtId="49" fontId="20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left" vertical="center"/>
    </xf>
    <xf numFmtId="1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left" vertical="center" wrapText="1"/>
    </xf>
    <xf numFmtId="4" fontId="29" fillId="0" borderId="0" xfId="0" applyNumberFormat="1" applyFont="1" applyFill="1" applyAlignment="1">
      <alignment horizontal="right"/>
    </xf>
    <xf numFmtId="0" fontId="20" fillId="0" borderId="0" xfId="0" applyFont="1" applyFill="1"/>
    <xf numFmtId="49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wrapText="1"/>
    </xf>
    <xf numFmtId="4" fontId="20" fillId="0" borderId="0" xfId="0" applyNumberFormat="1" applyFont="1" applyFill="1"/>
    <xf numFmtId="0" fontId="27" fillId="0" borderId="0" xfId="0" applyFont="1" applyFill="1"/>
    <xf numFmtId="0" fontId="28" fillId="0" borderId="0" xfId="0" applyFont="1" applyFill="1"/>
    <xf numFmtId="0" fontId="40" fillId="0" borderId="0" xfId="0" applyFont="1" applyFill="1"/>
    <xf numFmtId="0" fontId="29" fillId="0" borderId="0" xfId="0" applyFont="1" applyFill="1"/>
    <xf numFmtId="49" fontId="27" fillId="0" borderId="7" xfId="0" applyNumberFormat="1" applyFont="1" applyFill="1" applyBorder="1" applyAlignment="1">
      <alignment horizontal="left" vertical="center" wrapText="1"/>
    </xf>
    <xf numFmtId="4" fontId="41" fillId="0" borderId="0" xfId="0" applyNumberFormat="1" applyFont="1" applyFill="1" applyAlignment="1">
      <alignment horizontal="left" vertical="center"/>
    </xf>
    <xf numFmtId="0" fontId="30" fillId="0" borderId="0" xfId="0" applyFont="1" applyFill="1"/>
    <xf numFmtId="3" fontId="29" fillId="0" borderId="7" xfId="0" applyNumberFormat="1" applyFont="1" applyFill="1" applyBorder="1" applyAlignment="1">
      <alignment vertical="center" wrapText="1"/>
    </xf>
    <xf numFmtId="49" fontId="29" fillId="0" borderId="7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 wrapText="1"/>
    </xf>
    <xf numFmtId="4" fontId="22" fillId="0" borderId="8" xfId="0" applyNumberFormat="1" applyFont="1" applyFill="1" applyBorder="1" applyAlignment="1">
      <alignment horizontal="center"/>
    </xf>
    <xf numFmtId="3" fontId="22" fillId="0" borderId="0" xfId="0" applyNumberFormat="1" applyFont="1" applyFill="1" applyAlignment="1">
      <alignment horizontal="left" vertical="center"/>
    </xf>
    <xf numFmtId="4" fontId="29" fillId="0" borderId="7" xfId="0" applyNumberFormat="1" applyFont="1" applyFill="1" applyBorder="1" applyAlignment="1">
      <alignment horizontal="right" vertical="center" wrapText="1"/>
    </xf>
    <xf numFmtId="3" fontId="22" fillId="0" borderId="11" xfId="0" applyNumberFormat="1" applyFont="1" applyFill="1" applyBorder="1" applyAlignment="1">
      <alignment vertical="center"/>
    </xf>
    <xf numFmtId="0" fontId="20" fillId="0" borderId="7" xfId="0" applyFont="1" applyFill="1" applyBorder="1" applyAlignment="1">
      <alignment vertical="top" wrapText="1"/>
    </xf>
    <xf numFmtId="1" fontId="28" fillId="0" borderId="7" xfId="0" applyNumberFormat="1" applyFont="1" applyFill="1" applyBorder="1" applyAlignment="1">
      <alignment horizontal="left" vertical="top" wrapText="1"/>
    </xf>
    <xf numFmtId="1" fontId="20" fillId="0" borderId="7" xfId="0" applyNumberFormat="1" applyFont="1" applyFill="1" applyBorder="1" applyAlignment="1">
      <alignment horizontal="left" vertical="top" wrapText="1"/>
    </xf>
    <xf numFmtId="0" fontId="26" fillId="0" borderId="0" xfId="0" applyFont="1" applyFill="1" applyAlignment="1">
      <alignment vertical="center" textRotation="180"/>
    </xf>
    <xf numFmtId="3" fontId="26" fillId="0" borderId="0" xfId="0" applyNumberFormat="1" applyFont="1" applyFill="1" applyAlignment="1">
      <alignment horizontal="center" vertical="center" textRotation="180"/>
    </xf>
    <xf numFmtId="4" fontId="41" fillId="0" borderId="0" xfId="0" applyNumberFormat="1" applyFont="1" applyFill="1"/>
    <xf numFmtId="0" fontId="26" fillId="0" borderId="0" xfId="0" applyFont="1" applyFill="1" applyBorder="1" applyAlignment="1">
      <alignment vertical="center" textRotation="180"/>
    </xf>
    <xf numFmtId="3" fontId="20" fillId="0" borderId="7" xfId="0" applyNumberFormat="1" applyFont="1" applyFill="1" applyBorder="1" applyAlignment="1">
      <alignment horizontal="left" vertical="top" wrapText="1"/>
    </xf>
    <xf numFmtId="3" fontId="41" fillId="0" borderId="0" xfId="0" applyNumberFormat="1" applyFont="1" applyFill="1" applyAlignment="1">
      <alignment vertical="center"/>
    </xf>
    <xf numFmtId="0" fontId="42" fillId="0" borderId="0" xfId="0" applyFont="1" applyFill="1"/>
    <xf numFmtId="4" fontId="42" fillId="0" borderId="0" xfId="0" applyNumberFormat="1" applyFont="1" applyFill="1" applyAlignment="1">
      <alignment horizontal="right"/>
    </xf>
    <xf numFmtId="49" fontId="20" fillId="0" borderId="10" xfId="0" applyNumberFormat="1" applyFont="1" applyFill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3" fontId="28" fillId="0" borderId="7" xfId="0" applyNumberFormat="1" applyFont="1" applyFill="1" applyBorder="1" applyAlignment="1">
      <alignment horizontal="left" vertical="top" wrapText="1"/>
    </xf>
    <xf numFmtId="4" fontId="22" fillId="0" borderId="0" xfId="0" applyNumberFormat="1" applyFont="1" applyFill="1" applyAlignment="1">
      <alignment horizontal="center"/>
    </xf>
    <xf numFmtId="4" fontId="41" fillId="0" borderId="0" xfId="0" applyNumberFormat="1" applyFont="1" applyFill="1" applyAlignment="1">
      <alignment horizontal="center"/>
    </xf>
    <xf numFmtId="4" fontId="41" fillId="0" borderId="0" xfId="0" applyNumberFormat="1" applyFont="1" applyFill="1" applyAlignment="1">
      <alignment vertical="center"/>
    </xf>
    <xf numFmtId="4" fontId="39" fillId="0" borderId="0" xfId="0" applyNumberFormat="1" applyFont="1" applyFill="1"/>
    <xf numFmtId="4" fontId="30" fillId="0" borderId="0" xfId="0" applyNumberFormat="1" applyFont="1" applyFill="1" applyAlignment="1">
      <alignment horizontal="center" wrapText="1"/>
    </xf>
    <xf numFmtId="4" fontId="20" fillId="0" borderId="7" xfId="0" applyNumberFormat="1" applyFont="1" applyFill="1" applyBorder="1" applyAlignment="1">
      <alignment horizontal="right" wrapText="1"/>
    </xf>
    <xf numFmtId="4" fontId="28" fillId="0" borderId="7" xfId="0" applyNumberFormat="1" applyFont="1" applyFill="1" applyBorder="1" applyAlignment="1">
      <alignment horizontal="right" wrapText="1"/>
    </xf>
    <xf numFmtId="4" fontId="29" fillId="0" borderId="0" xfId="0" applyNumberFormat="1" applyFont="1" applyFill="1" applyBorder="1" applyAlignment="1">
      <alignment horizontal="right" wrapText="1"/>
    </xf>
    <xf numFmtId="4" fontId="41" fillId="0" borderId="0" xfId="0" applyNumberFormat="1" applyFont="1" applyFill="1" applyAlignment="1">
      <alignment horizontal="center" vertical="center"/>
    </xf>
    <xf numFmtId="4" fontId="20" fillId="0" borderId="7" xfId="0" applyNumberFormat="1" applyFont="1" applyFill="1" applyBorder="1" applyAlignment="1">
      <alignment wrapText="1"/>
    </xf>
    <xf numFmtId="4" fontId="20" fillId="0" borderId="10" xfId="0" applyNumberFormat="1" applyFont="1" applyFill="1" applyBorder="1" applyAlignment="1">
      <alignment horizontal="right" wrapText="1"/>
    </xf>
    <xf numFmtId="4" fontId="20" fillId="0" borderId="7" xfId="0" applyNumberFormat="1" applyFont="1" applyFill="1" applyBorder="1"/>
    <xf numFmtId="4" fontId="41" fillId="0" borderId="0" xfId="0" applyNumberFormat="1" applyFont="1" applyFill="1" applyBorder="1" applyAlignment="1">
      <alignment horizontal="center"/>
    </xf>
    <xf numFmtId="4" fontId="41" fillId="0" borderId="0" xfId="0" applyNumberFormat="1" applyFont="1" applyFill="1" applyBorder="1" applyAlignment="1">
      <alignment vertical="center"/>
    </xf>
    <xf numFmtId="4" fontId="41" fillId="0" borderId="0" xfId="0" applyNumberFormat="1" applyFont="1" applyFill="1" applyBorder="1" applyAlignment="1">
      <alignment horizontal="left"/>
    </xf>
    <xf numFmtId="4" fontId="39" fillId="0" borderId="0" xfId="0" applyNumberFormat="1" applyFont="1" applyFill="1" applyBorder="1" applyAlignment="1">
      <alignment horizontal="left" indent="1"/>
    </xf>
    <xf numFmtId="4" fontId="39" fillId="0" borderId="0" xfId="0" applyNumberFormat="1" applyFont="1" applyFill="1" applyBorder="1"/>
    <xf numFmtId="3" fontId="34" fillId="0" borderId="0" xfId="0" applyNumberFormat="1" applyFont="1" applyFill="1" applyBorder="1" applyAlignment="1">
      <alignment horizontal="center" vertical="top" wrapText="1"/>
    </xf>
    <xf numFmtId="49" fontId="35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left" vertical="top"/>
    </xf>
    <xf numFmtId="4" fontId="30" fillId="0" borderId="0" xfId="0" applyNumberFormat="1" applyFont="1" applyFill="1" applyBorder="1" applyAlignment="1">
      <alignment horizontal="center" wrapText="1"/>
    </xf>
    <xf numFmtId="4" fontId="27" fillId="0" borderId="0" xfId="0" applyNumberFormat="1" applyFont="1" applyFill="1" applyBorder="1" applyAlignment="1">
      <alignment horizontal="right" wrapText="1"/>
    </xf>
    <xf numFmtId="4" fontId="20" fillId="0" borderId="0" xfId="0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wrapText="1"/>
    </xf>
    <xf numFmtId="4" fontId="20" fillId="0" borderId="0" xfId="0" applyNumberFormat="1" applyFont="1" applyFill="1" applyBorder="1" applyAlignment="1">
      <alignment wrapText="1"/>
    </xf>
    <xf numFmtId="3" fontId="41" fillId="0" borderId="0" xfId="0" applyNumberFormat="1" applyFont="1" applyFill="1" applyBorder="1" applyAlignment="1">
      <alignment horizontal="right" vertical="center" wrapText="1"/>
    </xf>
    <xf numFmtId="4" fontId="41" fillId="0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4" fontId="27" fillId="0" borderId="7" xfId="0" applyNumberFormat="1" applyFont="1" applyFill="1" applyBorder="1" applyAlignment="1">
      <alignment horizontal="right" wrapText="1"/>
    </xf>
    <xf numFmtId="4" fontId="29" fillId="0" borderId="7" xfId="0" applyNumberFormat="1" applyFont="1" applyFill="1" applyBorder="1" applyAlignment="1">
      <alignment horizontal="right" wrapText="1"/>
    </xf>
    <xf numFmtId="3" fontId="49" fillId="0" borderId="0" xfId="0" applyNumberFormat="1" applyFont="1" applyFill="1"/>
    <xf numFmtId="0" fontId="48" fillId="0" borderId="0" xfId="0" applyFont="1" applyFill="1"/>
    <xf numFmtId="3" fontId="47" fillId="0" borderId="0" xfId="0" applyNumberFormat="1" applyFont="1" applyFill="1" applyAlignment="1">
      <alignment vertical="center"/>
    </xf>
    <xf numFmtId="3" fontId="46" fillId="0" borderId="0" xfId="0" applyNumberFormat="1" applyFont="1" applyFill="1" applyAlignment="1">
      <alignment vertical="center"/>
    </xf>
    <xf numFmtId="3" fontId="46" fillId="0" borderId="0" xfId="0" applyNumberFormat="1" applyFont="1" applyFill="1" applyAlignment="1">
      <alignment horizontal="center" vertical="center" wrapText="1"/>
    </xf>
    <xf numFmtId="3" fontId="43" fillId="0" borderId="0" xfId="0" applyNumberFormat="1" applyFont="1" applyFill="1"/>
    <xf numFmtId="3" fontId="45" fillId="0" borderId="0" xfId="0" applyNumberFormat="1" applyFont="1" applyFill="1"/>
    <xf numFmtId="3" fontId="44" fillId="0" borderId="0" xfId="0" applyNumberFormat="1" applyFont="1" applyFill="1"/>
    <xf numFmtId="3" fontId="27" fillId="0" borderId="7" xfId="0" applyNumberFormat="1" applyFont="1" applyFill="1" applyBorder="1" applyAlignment="1">
      <alignment horizontal="left" vertical="center" wrapText="1"/>
    </xf>
    <xf numFmtId="3" fontId="29" fillId="0" borderId="7" xfId="0" applyNumberFormat="1" applyFont="1" applyFill="1" applyBorder="1" applyAlignment="1">
      <alignment horizontal="left" vertical="center" wrapText="1"/>
    </xf>
    <xf numFmtId="3" fontId="23" fillId="0" borderId="0" xfId="0" applyNumberFormat="1" applyFont="1" applyFill="1" applyAlignment="1">
      <alignment vertical="center"/>
    </xf>
    <xf numFmtId="4" fontId="39" fillId="0" borderId="0" xfId="0" applyNumberFormat="1" applyFont="1" applyFill="1" applyAlignment="1">
      <alignment horizontal="left" indent="1"/>
    </xf>
    <xf numFmtId="3" fontId="23" fillId="0" borderId="7" xfId="0" applyNumberFormat="1" applyFont="1" applyFill="1" applyBorder="1" applyAlignment="1">
      <alignment horizontal="center" vertical="center" wrapText="1"/>
    </xf>
    <xf numFmtId="3" fontId="23" fillId="42" borderId="0" xfId="0" applyNumberFormat="1" applyFont="1" applyFill="1" applyAlignment="1">
      <alignment vertical="center"/>
    </xf>
    <xf numFmtId="3" fontId="46" fillId="42" borderId="0" xfId="0" applyNumberFormat="1" applyFont="1" applyFill="1" applyAlignment="1">
      <alignment vertical="center"/>
    </xf>
    <xf numFmtId="4" fontId="28" fillId="42" borderId="0" xfId="0" applyNumberFormat="1" applyFont="1" applyFill="1" applyBorder="1" applyAlignment="1">
      <alignment horizontal="right" wrapText="1"/>
    </xf>
    <xf numFmtId="3" fontId="24" fillId="42" borderId="0" xfId="0" applyNumberFormat="1" applyFont="1" applyFill="1" applyAlignment="1">
      <alignment vertical="center"/>
    </xf>
    <xf numFmtId="4" fontId="39" fillId="0" borderId="0" xfId="0" applyNumberFormat="1" applyFont="1" applyFill="1" applyAlignment="1">
      <alignment horizontal="left" indent="1"/>
    </xf>
    <xf numFmtId="0" fontId="22" fillId="0" borderId="0" xfId="0" applyFont="1" applyFill="1" applyAlignment="1">
      <alignment horizontal="left" vertical="top"/>
    </xf>
    <xf numFmtId="3" fontId="41" fillId="0" borderId="0" xfId="0" applyNumberFormat="1" applyFont="1" applyFill="1" applyAlignment="1">
      <alignment horizontal="center" wrapText="1"/>
    </xf>
    <xf numFmtId="4" fontId="41" fillId="0" borderId="0" xfId="0" applyNumberFormat="1" applyFont="1" applyFill="1" applyAlignment="1"/>
    <xf numFmtId="4" fontId="39" fillId="0" borderId="0" xfId="0" applyNumberFormat="1" applyFont="1" applyFill="1" applyAlignment="1"/>
    <xf numFmtId="0" fontId="50" fillId="0" borderId="0" xfId="0" applyFont="1" applyFill="1" applyAlignment="1">
      <alignment vertical="center"/>
    </xf>
    <xf numFmtId="3" fontId="50" fillId="0" borderId="0" xfId="0" applyNumberFormat="1" applyFont="1" applyFill="1" applyAlignment="1"/>
    <xf numFmtId="164" fontId="27" fillId="0" borderId="7" xfId="0" applyNumberFormat="1" applyFont="1" applyFill="1" applyBorder="1" applyAlignment="1">
      <alignment horizontal="right" wrapText="1"/>
    </xf>
    <xf numFmtId="164" fontId="22" fillId="0" borderId="0" xfId="0" applyNumberFormat="1" applyFont="1" applyFill="1" applyAlignment="1">
      <alignment horizontal="center"/>
    </xf>
    <xf numFmtId="164" fontId="22" fillId="0" borderId="0" xfId="0" applyNumberFormat="1" applyFont="1" applyFill="1" applyAlignment="1">
      <alignment horizontal="left" vertical="top"/>
    </xf>
    <xf numFmtId="164" fontId="29" fillId="0" borderId="7" xfId="0" applyNumberFormat="1" applyFont="1" applyFill="1" applyBorder="1" applyAlignment="1">
      <alignment horizontal="right" wrapText="1"/>
    </xf>
    <xf numFmtId="164" fontId="20" fillId="0" borderId="7" xfId="0" applyNumberFormat="1" applyFont="1" applyFill="1" applyBorder="1" applyAlignment="1">
      <alignment horizontal="right" wrapText="1"/>
    </xf>
    <xf numFmtId="164" fontId="28" fillId="0" borderId="7" xfId="0" applyNumberFormat="1" applyFont="1" applyFill="1" applyBorder="1" applyAlignment="1">
      <alignment horizontal="right" wrapText="1"/>
    </xf>
    <xf numFmtId="164" fontId="29" fillId="0" borderId="7" xfId="0" applyNumberFormat="1" applyFont="1" applyFill="1" applyBorder="1" applyAlignment="1">
      <alignment horizontal="left" vertical="center" wrapText="1"/>
    </xf>
    <xf numFmtId="164" fontId="29" fillId="0" borderId="7" xfId="0" applyNumberFormat="1" applyFont="1" applyFill="1" applyBorder="1" applyAlignment="1">
      <alignment horizontal="right" vertical="center" wrapText="1"/>
    </xf>
    <xf numFmtId="164" fontId="20" fillId="0" borderId="10" xfId="0" applyNumberFormat="1" applyFont="1" applyFill="1" applyBorder="1" applyAlignment="1">
      <alignment horizontal="right" wrapText="1"/>
    </xf>
    <xf numFmtId="164" fontId="29" fillId="0" borderId="0" xfId="0" applyNumberFormat="1" applyFont="1" applyFill="1" applyBorder="1" applyAlignment="1">
      <alignment horizontal="right" wrapText="1"/>
    </xf>
    <xf numFmtId="164" fontId="41" fillId="0" borderId="0" xfId="0" applyNumberFormat="1" applyFont="1" applyFill="1" applyAlignment="1">
      <alignment horizontal="center" vertical="center"/>
    </xf>
    <xf numFmtId="164" fontId="41" fillId="0" borderId="0" xfId="0" applyNumberFormat="1" applyFont="1" applyFill="1" applyAlignment="1">
      <alignment horizontal="center"/>
    </xf>
    <xf numFmtId="164" fontId="41" fillId="0" borderId="0" xfId="0" applyNumberFormat="1" applyFont="1" applyFill="1" applyAlignment="1">
      <alignment vertical="center"/>
    </xf>
    <xf numFmtId="164" fontId="41" fillId="0" borderId="0" xfId="0" applyNumberFormat="1" applyFont="1" applyFill="1" applyAlignment="1"/>
    <xf numFmtId="164" fontId="39" fillId="0" borderId="0" xfId="0" applyNumberFormat="1" applyFont="1" applyFill="1" applyAlignment="1"/>
    <xf numFmtId="164" fontId="39" fillId="0" borderId="0" xfId="0" applyNumberFormat="1" applyFont="1" applyFill="1" applyAlignment="1">
      <alignment horizontal="left" indent="1"/>
    </xf>
    <xf numFmtId="164" fontId="39" fillId="0" borderId="0" xfId="0" applyNumberFormat="1" applyFont="1" applyFill="1"/>
    <xf numFmtId="3" fontId="41" fillId="0" borderId="0" xfId="0" applyNumberFormat="1" applyFont="1" applyFill="1" applyAlignment="1">
      <alignment vertical="center" wrapText="1"/>
    </xf>
    <xf numFmtId="4" fontId="20" fillId="43" borderId="0" xfId="0" applyNumberFormat="1" applyFont="1" applyFill="1" applyAlignment="1">
      <alignment horizontal="center"/>
    </xf>
    <xf numFmtId="164" fontId="20" fillId="43" borderId="0" xfId="0" applyNumberFormat="1" applyFont="1" applyFill="1" applyAlignment="1">
      <alignment horizontal="center"/>
    </xf>
    <xf numFmtId="164" fontId="27" fillId="43" borderId="0" xfId="0" applyNumberFormat="1" applyFont="1" applyFill="1" applyAlignment="1">
      <alignment horizontal="center"/>
    </xf>
    <xf numFmtId="4" fontId="20" fillId="43" borderId="0" xfId="0" applyNumberFormat="1" applyFont="1" applyFill="1"/>
    <xf numFmtId="49" fontId="51" fillId="43" borderId="0" xfId="0" applyNumberFormat="1" applyFont="1" applyFill="1" applyBorder="1" applyAlignment="1" applyProtection="1">
      <alignment horizontal="left" vertical="center" wrapText="1"/>
    </xf>
    <xf numFmtId="49" fontId="51" fillId="43" borderId="0" xfId="0" applyNumberFormat="1" applyFont="1" applyFill="1" applyBorder="1" applyAlignment="1" applyProtection="1">
      <alignment horizontal="center" vertical="center" wrapText="1"/>
    </xf>
    <xf numFmtId="164" fontId="51" fillId="43" borderId="0" xfId="0" applyNumberFormat="1" applyFont="1" applyFill="1" applyBorder="1" applyAlignment="1" applyProtection="1">
      <alignment horizontal="center" vertical="center" wrapText="1"/>
    </xf>
    <xf numFmtId="164" fontId="52" fillId="43" borderId="0" xfId="0" applyNumberFormat="1" applyFont="1" applyFill="1" applyBorder="1" applyAlignment="1" applyProtection="1">
      <alignment horizontal="center" vertical="center" wrapText="1"/>
    </xf>
    <xf numFmtId="49" fontId="52" fillId="43" borderId="0" xfId="0" applyNumberFormat="1" applyFont="1" applyFill="1" applyBorder="1" applyAlignment="1" applyProtection="1">
      <alignment horizontal="center" vertical="center" wrapText="1"/>
    </xf>
    <xf numFmtId="0" fontId="53" fillId="43" borderId="0" xfId="0" applyFont="1" applyFill="1" applyAlignment="1">
      <alignment vertical="top"/>
    </xf>
    <xf numFmtId="3" fontId="22" fillId="43" borderId="0" xfId="0" applyNumberFormat="1" applyFont="1" applyFill="1" applyAlignment="1">
      <alignment horizontal="center"/>
    </xf>
    <xf numFmtId="3" fontId="22" fillId="43" borderId="0" xfId="0" applyNumberFormat="1" applyFont="1" applyFill="1" applyAlignment="1">
      <alignment horizontal="left" wrapText="1"/>
    </xf>
    <xf numFmtId="4" fontId="20" fillId="43" borderId="0" xfId="0" applyNumberFormat="1" applyFont="1" applyFill="1" applyAlignment="1">
      <alignment horizontal="center" vertical="center"/>
    </xf>
    <xf numFmtId="164" fontId="20" fillId="43" borderId="0" xfId="0" applyNumberFormat="1" applyFont="1" applyFill="1"/>
    <xf numFmtId="164" fontId="27" fillId="43" borderId="0" xfId="0" applyNumberFormat="1" applyFont="1" applyFill="1"/>
    <xf numFmtId="3" fontId="27" fillId="43" borderId="0" xfId="0" applyNumberFormat="1" applyFont="1" applyFill="1"/>
    <xf numFmtId="49" fontId="54" fillId="0" borderId="0" xfId="0" applyNumberFormat="1" applyFont="1" applyFill="1" applyBorder="1" applyAlignment="1">
      <alignment horizontal="center" vertical="center" wrapText="1"/>
    </xf>
    <xf numFmtId="1" fontId="54" fillId="0" borderId="0" xfId="0" applyNumberFormat="1" applyFont="1" applyFill="1" applyBorder="1" applyAlignment="1">
      <alignment horizontal="center" vertical="center" wrapText="1"/>
    </xf>
    <xf numFmtId="3" fontId="55" fillId="0" borderId="0" xfId="0" applyNumberFormat="1" applyFont="1" applyFill="1" applyBorder="1" applyAlignment="1">
      <alignment horizontal="right" vertical="center" wrapText="1"/>
    </xf>
    <xf numFmtId="4" fontId="54" fillId="0" borderId="0" xfId="0" applyNumberFormat="1" applyFont="1" applyFill="1" applyBorder="1" applyAlignment="1">
      <alignment horizontal="right" wrapText="1"/>
    </xf>
    <xf numFmtId="4" fontId="54" fillId="0" borderId="0" xfId="0" applyNumberFormat="1" applyFont="1" applyFill="1" applyBorder="1" applyAlignment="1">
      <alignment horizontal="right" vertical="center" wrapText="1"/>
    </xf>
    <xf numFmtId="164" fontId="40" fillId="0" borderId="0" xfId="0" applyNumberFormat="1" applyFont="1" applyFill="1" applyBorder="1" applyAlignment="1">
      <alignment horizontal="right" vertical="center" wrapText="1"/>
    </xf>
    <xf numFmtId="164" fontId="54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top"/>
    </xf>
    <xf numFmtId="0" fontId="56" fillId="0" borderId="0" xfId="0" applyFont="1" applyFill="1" applyAlignment="1">
      <alignment vertical="center"/>
    </xf>
    <xf numFmtId="3" fontId="56" fillId="0" borderId="0" xfId="0" applyNumberFormat="1" applyFont="1" applyFill="1" applyAlignment="1"/>
    <xf numFmtId="164" fontId="20" fillId="0" borderId="0" xfId="0" applyNumberFormat="1" applyFont="1" applyFill="1"/>
    <xf numFmtId="164" fontId="27" fillId="0" borderId="7" xfId="0" applyNumberFormat="1" applyFont="1" applyFill="1" applyBorder="1" applyAlignment="1">
      <alignment horizontal="right"/>
    </xf>
    <xf numFmtId="164" fontId="20" fillId="0" borderId="7" xfId="0" applyNumberFormat="1" applyFont="1" applyFill="1" applyBorder="1" applyAlignment="1">
      <alignment horizontal="right"/>
    </xf>
    <xf numFmtId="164" fontId="29" fillId="0" borderId="7" xfId="0" applyNumberFormat="1" applyFont="1" applyFill="1" applyBorder="1" applyAlignment="1">
      <alignment horizontal="right"/>
    </xf>
    <xf numFmtId="164" fontId="28" fillId="0" borderId="7" xfId="0" applyNumberFormat="1" applyFont="1" applyFill="1" applyBorder="1" applyAlignment="1">
      <alignment horizontal="right"/>
    </xf>
    <xf numFmtId="164" fontId="29" fillId="0" borderId="0" xfId="0" applyNumberFormat="1" applyFont="1" applyFill="1" applyAlignment="1">
      <alignment horizontal="right"/>
    </xf>
    <xf numFmtId="164" fontId="41" fillId="0" borderId="0" xfId="0" applyNumberFormat="1" applyFont="1" applyFill="1" applyAlignment="1">
      <alignment horizontal="left" vertical="center"/>
    </xf>
    <xf numFmtId="164" fontId="41" fillId="0" borderId="0" xfId="0" applyNumberFormat="1" applyFont="1" applyFill="1" applyAlignment="1">
      <alignment horizontal="center" wrapText="1"/>
    </xf>
    <xf numFmtId="0" fontId="22" fillId="0" borderId="0" xfId="0" applyFont="1" applyFill="1" applyAlignment="1">
      <alignment horizontal="left" vertical="top"/>
    </xf>
    <xf numFmtId="4" fontId="20" fillId="0" borderId="0" xfId="0" applyNumberFormat="1" applyFont="1" applyFill="1" applyAlignment="1">
      <alignment horizontal="center" vertical="center"/>
    </xf>
    <xf numFmtId="49" fontId="57" fillId="43" borderId="0" xfId="0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Alignment="1">
      <alignment horizontal="center"/>
    </xf>
    <xf numFmtId="4" fontId="27" fillId="0" borderId="7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textRotation="180"/>
    </xf>
    <xf numFmtId="0" fontId="26" fillId="0" borderId="0" xfId="0" applyFont="1" applyFill="1" applyAlignment="1">
      <alignment horizontal="center" vertical="center" textRotation="180"/>
    </xf>
    <xf numFmtId="49" fontId="27" fillId="0" borderId="10" xfId="0" applyNumberFormat="1" applyFont="1" applyFill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left" vertical="center" wrapText="1"/>
    </xf>
    <xf numFmtId="4" fontId="27" fillId="0" borderId="10" xfId="0" applyNumberFormat="1" applyFont="1" applyFill="1" applyBorder="1" applyAlignment="1">
      <alignment horizontal="right" wrapText="1"/>
    </xf>
    <xf numFmtId="164" fontId="27" fillId="0" borderId="10" xfId="0" applyNumberFormat="1" applyFont="1" applyFill="1" applyBorder="1" applyAlignment="1">
      <alignment horizontal="right" wrapText="1"/>
    </xf>
    <xf numFmtId="49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 wrapText="1"/>
    </xf>
    <xf numFmtId="4" fontId="27" fillId="0" borderId="10" xfId="0" applyNumberFormat="1" applyFont="1" applyFill="1" applyBorder="1" applyAlignment="1">
      <alignment horizontal="right"/>
    </xf>
    <xf numFmtId="164" fontId="27" fillId="0" borderId="10" xfId="0" applyNumberFormat="1" applyFont="1" applyFill="1" applyBorder="1" applyAlignment="1">
      <alignment horizontal="right"/>
    </xf>
    <xf numFmtId="3" fontId="26" fillId="0" borderId="9" xfId="0" applyNumberFormat="1" applyFont="1" applyFill="1" applyBorder="1" applyAlignment="1">
      <alignment vertical="center" textRotation="180"/>
    </xf>
    <xf numFmtId="0" fontId="56" fillId="0" borderId="0" xfId="0" applyFont="1" applyFill="1" applyAlignment="1"/>
    <xf numFmtId="4" fontId="58" fillId="43" borderId="0" xfId="0" applyNumberFormat="1" applyFont="1" applyFill="1" applyAlignment="1">
      <alignment horizontal="center"/>
    </xf>
    <xf numFmtId="4" fontId="58" fillId="0" borderId="0" xfId="0" applyNumberFormat="1" applyFont="1" applyFill="1"/>
    <xf numFmtId="4" fontId="58" fillId="43" borderId="0" xfId="0" applyNumberFormat="1" applyFont="1" applyFill="1"/>
    <xf numFmtId="4" fontId="59" fillId="43" borderId="0" xfId="0" applyNumberFormat="1" applyFont="1" applyFill="1" applyAlignment="1">
      <alignment horizontal="center"/>
    </xf>
    <xf numFmtId="4" fontId="59" fillId="0" borderId="0" xfId="0" applyNumberFormat="1" applyFont="1" applyFill="1"/>
    <xf numFmtId="4" fontId="59" fillId="43" borderId="0" xfId="0" applyNumberFormat="1" applyFont="1" applyFill="1"/>
    <xf numFmtId="49" fontId="23" fillId="0" borderId="7" xfId="0" applyNumberFormat="1" applyFont="1" applyFill="1" applyBorder="1" applyAlignment="1">
      <alignment horizontal="center" vertical="center" wrapText="1"/>
    </xf>
    <xf numFmtId="3" fontId="23" fillId="0" borderId="7" xfId="0" applyNumberFormat="1" applyFont="1" applyFill="1" applyBorder="1" applyAlignment="1">
      <alignment horizontal="center" vertical="center" wrapText="1"/>
    </xf>
    <xf numFmtId="4" fontId="37" fillId="0" borderId="7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/>
    </xf>
    <xf numFmtId="49" fontId="58" fillId="43" borderId="0" xfId="0" applyNumberFormat="1" applyFont="1" applyFill="1" applyBorder="1" applyAlignment="1" applyProtection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4" fontId="36" fillId="0" borderId="7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Fill="1" applyAlignment="1">
      <alignment horizontal="center" vertical="top" wrapText="1"/>
    </xf>
    <xf numFmtId="0" fontId="22" fillId="0" borderId="0" xfId="0" applyFont="1" applyFill="1" applyAlignment="1">
      <alignment horizontal="left" vertical="top"/>
    </xf>
    <xf numFmtId="49" fontId="35" fillId="0" borderId="0" xfId="0" applyNumberFormat="1" applyFont="1" applyFill="1" applyAlignment="1">
      <alignment horizontal="left"/>
    </xf>
    <xf numFmtId="4" fontId="37" fillId="0" borderId="12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textRotation="180"/>
    </xf>
    <xf numFmtId="3" fontId="26" fillId="0" borderId="9" xfId="0" applyNumberFormat="1" applyFont="1" applyFill="1" applyBorder="1" applyAlignment="1">
      <alignment horizontal="center" vertical="center" textRotation="180"/>
    </xf>
    <xf numFmtId="3" fontId="27" fillId="0" borderId="7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textRotation="180"/>
    </xf>
    <xf numFmtId="0" fontId="26" fillId="0" borderId="0" xfId="0" applyFont="1" applyFill="1" applyBorder="1" applyAlignment="1">
      <alignment horizontal="center" vertical="center" textRotation="180"/>
    </xf>
    <xf numFmtId="3" fontId="41" fillId="0" borderId="0" xfId="0" applyNumberFormat="1" applyFont="1" applyFill="1" applyAlignment="1">
      <alignment horizontal="left" vertical="top" wrapText="1"/>
    </xf>
    <xf numFmtId="3" fontId="41" fillId="0" borderId="0" xfId="0" applyNumberFormat="1" applyFont="1" applyFill="1" applyAlignment="1">
      <alignment horizontal="center" wrapText="1"/>
    </xf>
    <xf numFmtId="49" fontId="59" fillId="43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textRotation="180"/>
    </xf>
    <xf numFmtId="49" fontId="35" fillId="0" borderId="0" xfId="0" applyNumberFormat="1" applyFont="1" applyFill="1" applyAlignment="1">
      <alignment horizontal="left" vertical="center"/>
    </xf>
    <xf numFmtId="0" fontId="34" fillId="0" borderId="0" xfId="0" applyFont="1" applyFill="1" applyAlignment="1">
      <alignment horizontal="center" vertical="top" wrapText="1"/>
    </xf>
    <xf numFmtId="14" fontId="50" fillId="0" borderId="0" xfId="0" applyNumberFormat="1" applyFont="1" applyFill="1" applyAlignment="1"/>
  </cellXfs>
  <cellStyles count="80">
    <cellStyle name="20% - Акцент1" xfId="1"/>
    <cellStyle name="20% — акцент1" xfId="61" builtinId="30" hidden="1"/>
    <cellStyle name="20% - Акцент2" xfId="2"/>
    <cellStyle name="20% — акцент2" xfId="64" builtinId="34" hidden="1"/>
    <cellStyle name="20% - Акцент3" xfId="3"/>
    <cellStyle name="20% — акцент3" xfId="67" builtinId="38" hidden="1"/>
    <cellStyle name="20% - Акцент4" xfId="4"/>
    <cellStyle name="20% — акцент4" xfId="70" builtinId="42" hidden="1"/>
    <cellStyle name="20% - Акцент5" xfId="5"/>
    <cellStyle name="20% — акцент5" xfId="73" builtinId="46" hidden="1"/>
    <cellStyle name="20% - Акцент6" xfId="6"/>
    <cellStyle name="20% — акцент6" xfId="76" builtinId="50" hidden="1"/>
    <cellStyle name="40% - Акцент1" xfId="7"/>
    <cellStyle name="40% — акцент1" xfId="62" builtinId="31" hidden="1"/>
    <cellStyle name="40% - Акцент2" xfId="8"/>
    <cellStyle name="40% — акцент2" xfId="65" builtinId="35" hidden="1"/>
    <cellStyle name="40% - Акцент3" xfId="9"/>
    <cellStyle name="40% — акцент3" xfId="68" builtinId="39" hidden="1"/>
    <cellStyle name="40% - Акцент4" xfId="10"/>
    <cellStyle name="40% — акцент4" xfId="71" builtinId="43" hidden="1"/>
    <cellStyle name="40% - Акцент5" xfId="11"/>
    <cellStyle name="40% — акцент5" xfId="74" builtinId="47" hidden="1"/>
    <cellStyle name="40% - Акцент6" xfId="12"/>
    <cellStyle name="40% — акцент6" xfId="77" builtinId="51" hidden="1"/>
    <cellStyle name="60% - Акцент1" xfId="13"/>
    <cellStyle name="60% — акцент1" xfId="63" builtinId="32" hidden="1"/>
    <cellStyle name="60% - Акцент2" xfId="14"/>
    <cellStyle name="60% — акцент2" xfId="66" builtinId="36" hidden="1"/>
    <cellStyle name="60% - Акцент3" xfId="15"/>
    <cellStyle name="60% — акцент3" xfId="69" builtinId="40" hidden="1"/>
    <cellStyle name="60% - Акцент4" xfId="16"/>
    <cellStyle name="60% — акцент4" xfId="72" builtinId="44" hidden="1"/>
    <cellStyle name="60% - Акцент5" xfId="17"/>
    <cellStyle name="60% — акцент5" xfId="75" builtinId="48" hidden="1"/>
    <cellStyle name="60% - Акцент6" xfId="18"/>
    <cellStyle name="60% — акцент6" xfId="78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Обычный 3" xfId="79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Q1589"/>
  <sheetViews>
    <sheetView showGridLines="0" showZeros="0" view="pageBreakPreview" topLeftCell="H1" zoomScale="70" zoomScaleNormal="82" zoomScaleSheetLayoutView="70" workbookViewId="0">
      <selection activeCell="V3" sqref="V3:X3"/>
    </sheetView>
  </sheetViews>
  <sheetFormatPr defaultColWidth="9.1640625" defaultRowHeight="15" x14ac:dyDescent="0.25"/>
  <cols>
    <col min="1" max="1" width="16.1640625" style="1" customWidth="1"/>
    <col min="2" max="2" width="15.33203125" style="2" customWidth="1"/>
    <col min="3" max="3" width="14.6640625" style="1" customWidth="1"/>
    <col min="4" max="4" width="62" style="3" customWidth="1"/>
    <col min="5" max="5" width="22.33203125" style="91" customWidth="1"/>
    <col min="6" max="6" width="22.5" style="91" hidden="1" customWidth="1"/>
    <col min="7" max="7" width="22.83203125" style="91" customWidth="1"/>
    <col min="8" max="8" width="22.5" style="91" customWidth="1"/>
    <col min="9" max="9" width="20" style="91" hidden="1" customWidth="1"/>
    <col min="10" max="10" width="22.1640625" style="91" customWidth="1"/>
    <col min="11" max="11" width="21.83203125" style="91" customWidth="1"/>
    <col min="12" max="12" width="20" style="91" customWidth="1"/>
    <col min="13" max="13" width="16" style="147" customWidth="1"/>
    <col min="14" max="14" width="22.33203125" style="91" customWidth="1"/>
    <col min="15" max="15" width="24.6640625" style="91" customWidth="1"/>
    <col min="16" max="16" width="21.1640625" style="91" customWidth="1"/>
    <col min="17" max="17" width="19.5" style="91" customWidth="1"/>
    <col min="18" max="18" width="17.1640625" style="91" customWidth="1"/>
    <col min="19" max="25" width="23.6640625" style="91" customWidth="1"/>
    <col min="26" max="26" width="17.33203125" style="147" customWidth="1"/>
    <col min="27" max="27" width="23.6640625" style="91" customWidth="1"/>
    <col min="28" max="28" width="27.83203125" style="72" hidden="1" customWidth="1"/>
    <col min="29" max="29" width="7.1640625" style="80" customWidth="1"/>
    <col min="30" max="30" width="21" style="119" customWidth="1"/>
    <col min="31" max="31" width="21" style="4" customWidth="1"/>
    <col min="32" max="32" width="25" style="129" customWidth="1"/>
    <col min="33" max="16384" width="9.1640625" style="4"/>
  </cols>
  <sheetData>
    <row r="1" spans="1:537" ht="32.25" customHeight="1" x14ac:dyDescent="0.45">
      <c r="O1" s="81"/>
      <c r="P1" s="92"/>
      <c r="Q1" s="92"/>
      <c r="R1" s="92"/>
      <c r="S1" s="92"/>
      <c r="T1" s="92"/>
      <c r="U1" s="92"/>
      <c r="V1" s="226" t="s">
        <v>604</v>
      </c>
      <c r="W1" s="226"/>
      <c r="X1" s="226"/>
      <c r="Y1" s="226"/>
      <c r="Z1" s="157"/>
      <c r="AA1" s="92"/>
      <c r="AB1" s="92"/>
      <c r="AC1" s="236">
        <v>12</v>
      </c>
      <c r="AD1" s="103"/>
    </row>
    <row r="2" spans="1:537" ht="32.25" customHeight="1" x14ac:dyDescent="0.25">
      <c r="O2" s="93"/>
      <c r="P2" s="93"/>
      <c r="Q2" s="93"/>
      <c r="R2" s="93"/>
      <c r="S2" s="93"/>
      <c r="T2" s="93"/>
      <c r="U2" s="93"/>
      <c r="V2" s="144" t="s">
        <v>603</v>
      </c>
      <c r="W2" s="144"/>
      <c r="X2" s="144"/>
      <c r="Y2" s="144"/>
      <c r="Z2" s="158"/>
      <c r="AA2" s="93"/>
      <c r="AB2" s="93"/>
      <c r="AC2" s="236"/>
      <c r="AD2" s="104"/>
    </row>
    <row r="3" spans="1:537" ht="32.25" customHeight="1" x14ac:dyDescent="0.45">
      <c r="O3" s="93"/>
      <c r="P3" s="93"/>
      <c r="Q3" s="93"/>
      <c r="R3" s="93"/>
      <c r="S3" s="93"/>
      <c r="T3" s="93"/>
      <c r="U3" s="93"/>
      <c r="V3" s="145" t="s">
        <v>609</v>
      </c>
      <c r="W3" s="247"/>
      <c r="X3" s="145" t="s">
        <v>608</v>
      </c>
      <c r="Y3" s="145"/>
      <c r="Z3" s="161"/>
      <c r="AA3" s="93"/>
      <c r="AB3" s="93"/>
      <c r="AC3" s="236"/>
      <c r="AD3" s="104"/>
    </row>
    <row r="4" spans="1:537" ht="32.25" customHeight="1" x14ac:dyDescent="0.45">
      <c r="O4" s="142"/>
      <c r="P4" s="142"/>
      <c r="Q4" s="142"/>
      <c r="R4" s="142"/>
      <c r="S4" s="142"/>
      <c r="T4" s="142"/>
      <c r="U4" s="142"/>
      <c r="V4" s="145"/>
      <c r="W4" s="145"/>
      <c r="X4" s="145"/>
      <c r="Y4" s="145"/>
      <c r="Z4" s="159"/>
      <c r="AA4" s="142"/>
      <c r="AB4" s="142"/>
      <c r="AC4" s="236"/>
      <c r="AD4" s="105"/>
    </row>
    <row r="5" spans="1:537" ht="32.25" customHeight="1" x14ac:dyDescent="0.45">
      <c r="O5" s="143"/>
      <c r="P5" s="143"/>
      <c r="Q5" s="143"/>
      <c r="R5" s="143"/>
      <c r="S5" s="143"/>
      <c r="T5" s="143"/>
      <c r="U5" s="143"/>
      <c r="V5" s="145"/>
      <c r="W5" s="145"/>
      <c r="X5" s="145"/>
      <c r="Y5" s="145"/>
      <c r="Z5" s="160"/>
      <c r="AA5" s="143"/>
      <c r="AB5" s="143"/>
      <c r="AC5" s="236"/>
      <c r="AD5" s="106"/>
    </row>
    <row r="6" spans="1:537" ht="32.25" customHeight="1" x14ac:dyDescent="0.4">
      <c r="O6" s="139"/>
      <c r="P6" s="139"/>
      <c r="Q6" s="139"/>
      <c r="R6" s="139"/>
      <c r="S6" s="139"/>
      <c r="T6" s="139"/>
      <c r="U6" s="139"/>
      <c r="AA6" s="139"/>
      <c r="AB6" s="139"/>
      <c r="AC6" s="236"/>
      <c r="AD6" s="106"/>
    </row>
    <row r="7" spans="1:537" ht="60" customHeight="1" x14ac:dyDescent="0.4"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162"/>
      <c r="AA7" s="94"/>
      <c r="AB7" s="94"/>
      <c r="AC7" s="236"/>
      <c r="AD7" s="107"/>
    </row>
    <row r="8" spans="1:537" s="5" customFormat="1" ht="71.25" customHeight="1" x14ac:dyDescent="0.3">
      <c r="A8" s="232" t="s">
        <v>601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6"/>
      <c r="AD8" s="108"/>
      <c r="AF8" s="128"/>
    </row>
    <row r="9" spans="1:537" s="5" customFormat="1" ht="23.25" customHeight="1" x14ac:dyDescent="0.35">
      <c r="A9" s="234" t="s">
        <v>351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6"/>
      <c r="AD9" s="109"/>
      <c r="AF9" s="128"/>
    </row>
    <row r="10" spans="1:537" s="5" customFormat="1" ht="15" customHeight="1" x14ac:dyDescent="0.3">
      <c r="A10" s="233" t="s">
        <v>592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6"/>
      <c r="AD10" s="110"/>
      <c r="AF10" s="128"/>
    </row>
    <row r="11" spans="1:537" s="5" customFormat="1" ht="21.75" customHeight="1" x14ac:dyDescent="0.3">
      <c r="A11" s="140"/>
      <c r="B11" s="140"/>
      <c r="C11" s="140"/>
      <c r="D11" s="140"/>
      <c r="E11" s="140"/>
      <c r="F11" s="140"/>
      <c r="G11" s="140"/>
      <c r="H11" s="140"/>
      <c r="I11" s="140"/>
      <c r="J11" s="198"/>
      <c r="K11" s="140"/>
      <c r="L11" s="140"/>
      <c r="M11" s="148"/>
      <c r="N11" s="140"/>
      <c r="O11" s="140"/>
      <c r="P11" s="140"/>
      <c r="Q11" s="140"/>
      <c r="R11" s="140"/>
      <c r="S11" s="140"/>
      <c r="T11" s="198"/>
      <c r="U11" s="140"/>
      <c r="V11" s="140"/>
      <c r="W11" s="140"/>
      <c r="X11" s="140"/>
      <c r="Y11" s="140"/>
      <c r="Z11" s="148"/>
      <c r="AA11" s="95" t="s">
        <v>275</v>
      </c>
      <c r="AB11" s="140"/>
      <c r="AC11" s="236"/>
      <c r="AD11" s="110"/>
      <c r="AF11" s="128"/>
    </row>
    <row r="12" spans="1:537" s="6" customFormat="1" ht="22.5" customHeight="1" x14ac:dyDescent="0.3">
      <c r="A12" s="223" t="s">
        <v>258</v>
      </c>
      <c r="B12" s="224" t="s">
        <v>259</v>
      </c>
      <c r="C12" s="223" t="s">
        <v>251</v>
      </c>
      <c r="D12" s="224" t="s">
        <v>260</v>
      </c>
      <c r="E12" s="225" t="s">
        <v>181</v>
      </c>
      <c r="F12" s="225"/>
      <c r="G12" s="225"/>
      <c r="H12" s="225"/>
      <c r="I12" s="225"/>
      <c r="J12" s="225"/>
      <c r="K12" s="225"/>
      <c r="L12" s="225"/>
      <c r="M12" s="228" t="s">
        <v>598</v>
      </c>
      <c r="N12" s="225" t="s">
        <v>182</v>
      </c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8" t="s">
        <v>598</v>
      </c>
      <c r="AA12" s="229" t="s">
        <v>183</v>
      </c>
      <c r="AB12" s="95"/>
      <c r="AC12" s="236"/>
      <c r="AD12" s="111"/>
      <c r="AF12" s="127"/>
    </row>
    <row r="13" spans="1:537" s="134" customFormat="1" ht="49.5" customHeight="1" x14ac:dyDescent="0.2">
      <c r="A13" s="223"/>
      <c r="B13" s="224"/>
      <c r="C13" s="223"/>
      <c r="D13" s="224"/>
      <c r="E13" s="225" t="s">
        <v>600</v>
      </c>
      <c r="F13" s="225"/>
      <c r="G13" s="225"/>
      <c r="H13" s="225"/>
      <c r="I13" s="225"/>
      <c r="J13" s="225" t="s">
        <v>597</v>
      </c>
      <c r="K13" s="225"/>
      <c r="L13" s="225"/>
      <c r="M13" s="228"/>
      <c r="N13" s="225" t="s">
        <v>600</v>
      </c>
      <c r="O13" s="225"/>
      <c r="P13" s="225"/>
      <c r="Q13" s="225"/>
      <c r="R13" s="225"/>
      <c r="S13" s="225"/>
      <c r="T13" s="225" t="s">
        <v>597</v>
      </c>
      <c r="U13" s="225"/>
      <c r="V13" s="225"/>
      <c r="W13" s="225"/>
      <c r="X13" s="225"/>
      <c r="Y13" s="225"/>
      <c r="Z13" s="228"/>
      <c r="AA13" s="229"/>
      <c r="AB13" s="235" t="s">
        <v>599</v>
      </c>
      <c r="AC13" s="236"/>
      <c r="AD13" s="231"/>
      <c r="AE13" s="7"/>
      <c r="AF13" s="126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</row>
    <row r="14" spans="1:537" s="134" customFormat="1" ht="19.5" customHeight="1" x14ac:dyDescent="0.2">
      <c r="A14" s="223"/>
      <c r="B14" s="224"/>
      <c r="C14" s="223"/>
      <c r="D14" s="224"/>
      <c r="E14" s="229" t="s">
        <v>484</v>
      </c>
      <c r="F14" s="229" t="s">
        <v>184</v>
      </c>
      <c r="G14" s="230" t="s">
        <v>185</v>
      </c>
      <c r="H14" s="230"/>
      <c r="I14" s="229" t="s">
        <v>186</v>
      </c>
      <c r="J14" s="229" t="s">
        <v>484</v>
      </c>
      <c r="K14" s="230" t="s">
        <v>185</v>
      </c>
      <c r="L14" s="230"/>
      <c r="M14" s="228"/>
      <c r="N14" s="229" t="s">
        <v>484</v>
      </c>
      <c r="O14" s="229" t="s">
        <v>252</v>
      </c>
      <c r="P14" s="229" t="s">
        <v>184</v>
      </c>
      <c r="Q14" s="230" t="s">
        <v>185</v>
      </c>
      <c r="R14" s="230"/>
      <c r="S14" s="229" t="s">
        <v>186</v>
      </c>
      <c r="T14" s="229" t="s">
        <v>484</v>
      </c>
      <c r="U14" s="229" t="s">
        <v>252</v>
      </c>
      <c r="V14" s="229" t="s">
        <v>184</v>
      </c>
      <c r="W14" s="230" t="s">
        <v>185</v>
      </c>
      <c r="X14" s="230"/>
      <c r="Y14" s="229" t="s">
        <v>186</v>
      </c>
      <c r="Z14" s="228"/>
      <c r="AA14" s="229"/>
      <c r="AB14" s="235"/>
      <c r="AC14" s="236"/>
      <c r="AD14" s="231"/>
      <c r="AE14" s="7"/>
      <c r="AF14" s="126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</row>
    <row r="15" spans="1:537" s="134" customFormat="1" ht="87.75" customHeight="1" x14ac:dyDescent="0.2">
      <c r="A15" s="223"/>
      <c r="B15" s="224"/>
      <c r="C15" s="223"/>
      <c r="D15" s="224"/>
      <c r="E15" s="229"/>
      <c r="F15" s="229"/>
      <c r="G15" s="202" t="s">
        <v>187</v>
      </c>
      <c r="H15" s="202" t="s">
        <v>188</v>
      </c>
      <c r="I15" s="229"/>
      <c r="J15" s="229"/>
      <c r="K15" s="202" t="s">
        <v>187</v>
      </c>
      <c r="L15" s="202" t="s">
        <v>188</v>
      </c>
      <c r="M15" s="228"/>
      <c r="N15" s="229"/>
      <c r="O15" s="229"/>
      <c r="P15" s="229"/>
      <c r="Q15" s="202" t="s">
        <v>187</v>
      </c>
      <c r="R15" s="202" t="s">
        <v>188</v>
      </c>
      <c r="S15" s="229"/>
      <c r="T15" s="229"/>
      <c r="U15" s="229"/>
      <c r="V15" s="229"/>
      <c r="W15" s="202" t="s">
        <v>187</v>
      </c>
      <c r="X15" s="202" t="s">
        <v>188</v>
      </c>
      <c r="Y15" s="229"/>
      <c r="Z15" s="228"/>
      <c r="AA15" s="229"/>
      <c r="AB15" s="235"/>
      <c r="AC15" s="236"/>
      <c r="AD15" s="231"/>
      <c r="AE15" s="7"/>
      <c r="AF15" s="126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</row>
    <row r="16" spans="1:537" s="132" customFormat="1" ht="24" customHeight="1" x14ac:dyDescent="0.25">
      <c r="A16" s="205" t="s">
        <v>121</v>
      </c>
      <c r="B16" s="206"/>
      <c r="C16" s="205"/>
      <c r="D16" s="207" t="s">
        <v>28</v>
      </c>
      <c r="E16" s="208">
        <f t="shared" ref="E16:AB16" si="0">E17</f>
        <v>389802095</v>
      </c>
      <c r="F16" s="208">
        <f t="shared" si="0"/>
        <v>360110727</v>
      </c>
      <c r="G16" s="208">
        <f t="shared" si="0"/>
        <v>162348917</v>
      </c>
      <c r="H16" s="208">
        <f t="shared" si="0"/>
        <v>15043529.6</v>
      </c>
      <c r="I16" s="208">
        <f t="shared" si="0"/>
        <v>29691368</v>
      </c>
      <c r="J16" s="208">
        <f t="shared" si="0"/>
        <v>377767893.69</v>
      </c>
      <c r="K16" s="208">
        <f t="shared" si="0"/>
        <v>162187391.03999999</v>
      </c>
      <c r="L16" s="208">
        <f t="shared" si="0"/>
        <v>12111276.009999998</v>
      </c>
      <c r="M16" s="209">
        <f>J16/E16*100</f>
        <v>96.912740730652047</v>
      </c>
      <c r="N16" s="208">
        <f t="shared" si="0"/>
        <v>28179815.600000001</v>
      </c>
      <c r="O16" s="208">
        <f t="shared" si="0"/>
        <v>27063114</v>
      </c>
      <c r="P16" s="208">
        <f t="shared" si="0"/>
        <v>1022525</v>
      </c>
      <c r="Q16" s="208">
        <f t="shared" si="0"/>
        <v>354800</v>
      </c>
      <c r="R16" s="208">
        <f t="shared" si="0"/>
        <v>53748</v>
      </c>
      <c r="S16" s="208">
        <f t="shared" si="0"/>
        <v>27157290.600000001</v>
      </c>
      <c r="T16" s="208">
        <f t="shared" si="0"/>
        <v>69165275.719999999</v>
      </c>
      <c r="U16" s="208">
        <f t="shared" si="0"/>
        <v>26255976.199999999</v>
      </c>
      <c r="V16" s="208">
        <f t="shared" si="0"/>
        <v>23903289.790000003</v>
      </c>
      <c r="W16" s="208">
        <f t="shared" si="0"/>
        <v>314424.93</v>
      </c>
      <c r="X16" s="208">
        <f t="shared" si="0"/>
        <v>2616.9699999999998</v>
      </c>
      <c r="Y16" s="208">
        <f t="shared" si="0"/>
        <v>45261985.930000007</v>
      </c>
      <c r="Z16" s="209">
        <f>T16/N16*100</f>
        <v>245.44261290340023</v>
      </c>
      <c r="AA16" s="208">
        <f t="shared" si="0"/>
        <v>446933169.41000003</v>
      </c>
      <c r="AB16" s="120">
        <f t="shared" si="0"/>
        <v>417981910.60000002</v>
      </c>
      <c r="AC16" s="236"/>
      <c r="AD16" s="112"/>
      <c r="AF16" s="125"/>
    </row>
    <row r="17" spans="1:32" s="11" customFormat="1" ht="31.5" customHeight="1" x14ac:dyDescent="0.25">
      <c r="A17" s="9" t="s">
        <v>122</v>
      </c>
      <c r="B17" s="10"/>
      <c r="C17" s="9"/>
      <c r="D17" s="131" t="s">
        <v>477</v>
      </c>
      <c r="E17" s="121">
        <f>E19+E20+E21+E22+E23+E25+E26+E27+E28+E30+E31+E32+E33+E41+E42+E43+E44+E45+E47+E50+E52+E24+E48+E39+E29+E51+E34+E35+E36+E37+E40+E49+E38</f>
        <v>389802095</v>
      </c>
      <c r="F17" s="121">
        <f t="shared" ref="F17:AA17" si="1">F19+F20+F21+F22+F23+F25+F26+F27+F28+F30+F31+F32+F33+F41+F42+F43+F44+F45+F47+F50+F52+F24+F48+F39+F29+F51+F34+F35+F36+F37+F40+F49+F38</f>
        <v>360110727</v>
      </c>
      <c r="G17" s="121">
        <f t="shared" si="1"/>
        <v>162348917</v>
      </c>
      <c r="H17" s="121">
        <f t="shared" si="1"/>
        <v>15043529.6</v>
      </c>
      <c r="I17" s="121">
        <f t="shared" si="1"/>
        <v>29691368</v>
      </c>
      <c r="J17" s="121">
        <f t="shared" si="1"/>
        <v>377767893.69</v>
      </c>
      <c r="K17" s="121">
        <f t="shared" si="1"/>
        <v>162187391.03999999</v>
      </c>
      <c r="L17" s="121">
        <f t="shared" si="1"/>
        <v>12111276.009999998</v>
      </c>
      <c r="M17" s="149">
        <f t="shared" ref="M17:M80" si="2">J17/E17*100</f>
        <v>96.912740730652047</v>
      </c>
      <c r="N17" s="121">
        <f t="shared" si="1"/>
        <v>28179815.600000001</v>
      </c>
      <c r="O17" s="121">
        <f t="shared" si="1"/>
        <v>27063114</v>
      </c>
      <c r="P17" s="121">
        <f t="shared" si="1"/>
        <v>1022525</v>
      </c>
      <c r="Q17" s="121">
        <f t="shared" si="1"/>
        <v>354800</v>
      </c>
      <c r="R17" s="121">
        <f t="shared" si="1"/>
        <v>53748</v>
      </c>
      <c r="S17" s="121">
        <f t="shared" si="1"/>
        <v>27157290.600000001</v>
      </c>
      <c r="T17" s="121">
        <f t="shared" si="1"/>
        <v>69165275.719999999</v>
      </c>
      <c r="U17" s="121">
        <f t="shared" si="1"/>
        <v>26255976.199999999</v>
      </c>
      <c r="V17" s="121">
        <f t="shared" si="1"/>
        <v>23903289.790000003</v>
      </c>
      <c r="W17" s="121">
        <f t="shared" si="1"/>
        <v>314424.93</v>
      </c>
      <c r="X17" s="121">
        <f t="shared" si="1"/>
        <v>2616.9699999999998</v>
      </c>
      <c r="Y17" s="121">
        <f t="shared" si="1"/>
        <v>45261985.930000007</v>
      </c>
      <c r="Z17" s="149">
        <f t="shared" ref="Z17:Z80" si="3">T17/N17*100</f>
        <v>245.44261290340023</v>
      </c>
      <c r="AA17" s="121">
        <f t="shared" si="1"/>
        <v>446933169.41000003</v>
      </c>
      <c r="AB17" s="121">
        <f t="shared" ref="AB17" si="4">AB19+AB20+AB21+AB22+AB23+AB25+AB26+AB27+AB28+AB30+AB31+AB32+AB33+AB41+AB42+AB43+AB44+AB45+AB47+AB50+AB52+AB24+AB48+AB39+AB29+AB51+AB34+AB35+AB36+AB37+AB40+AB49+AB38</f>
        <v>417981910.60000002</v>
      </c>
      <c r="AC17" s="236"/>
      <c r="AD17" s="98"/>
      <c r="AE17" s="132"/>
      <c r="AF17" s="125"/>
    </row>
    <row r="18" spans="1:32" s="11" customFormat="1" ht="64.5" customHeight="1" x14ac:dyDescent="0.25">
      <c r="A18" s="9"/>
      <c r="B18" s="10"/>
      <c r="C18" s="9"/>
      <c r="D18" s="131" t="str">
        <f>D46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18" s="121">
        <f>E46</f>
        <v>540300</v>
      </c>
      <c r="F18" s="121">
        <f t="shared" ref="F18:AA18" si="5">F46</f>
        <v>540300</v>
      </c>
      <c r="G18" s="121">
        <f t="shared" si="5"/>
        <v>422100</v>
      </c>
      <c r="H18" s="121">
        <f t="shared" si="5"/>
        <v>0</v>
      </c>
      <c r="I18" s="121">
        <f t="shared" si="5"/>
        <v>0</v>
      </c>
      <c r="J18" s="121">
        <f t="shared" si="5"/>
        <v>540300</v>
      </c>
      <c r="K18" s="121">
        <f t="shared" si="5"/>
        <v>422100</v>
      </c>
      <c r="L18" s="121">
        <f t="shared" si="5"/>
        <v>0</v>
      </c>
      <c r="M18" s="149">
        <f t="shared" si="2"/>
        <v>100</v>
      </c>
      <c r="N18" s="121">
        <f t="shared" si="5"/>
        <v>70600</v>
      </c>
      <c r="O18" s="121">
        <f t="shared" si="5"/>
        <v>70600</v>
      </c>
      <c r="P18" s="121">
        <f t="shared" si="5"/>
        <v>0</v>
      </c>
      <c r="Q18" s="121">
        <f t="shared" si="5"/>
        <v>0</v>
      </c>
      <c r="R18" s="121">
        <f t="shared" si="5"/>
        <v>0</v>
      </c>
      <c r="S18" s="121">
        <f t="shared" si="5"/>
        <v>70600</v>
      </c>
      <c r="T18" s="121">
        <f t="shared" si="5"/>
        <v>70600</v>
      </c>
      <c r="U18" s="121">
        <f t="shared" si="5"/>
        <v>70600</v>
      </c>
      <c r="V18" s="121">
        <f t="shared" si="5"/>
        <v>0</v>
      </c>
      <c r="W18" s="121">
        <f t="shared" si="5"/>
        <v>0</v>
      </c>
      <c r="X18" s="121">
        <f t="shared" si="5"/>
        <v>0</v>
      </c>
      <c r="Y18" s="121">
        <f t="shared" si="5"/>
        <v>70600</v>
      </c>
      <c r="Z18" s="149">
        <f t="shared" si="3"/>
        <v>100</v>
      </c>
      <c r="AA18" s="121">
        <f t="shared" si="5"/>
        <v>610900</v>
      </c>
      <c r="AB18" s="121">
        <f t="shared" ref="AB18" si="6">AB46</f>
        <v>610900</v>
      </c>
      <c r="AC18" s="236"/>
      <c r="AD18" s="98"/>
      <c r="AE18" s="132"/>
      <c r="AF18" s="125"/>
    </row>
    <row r="19" spans="1:32" s="15" customFormat="1" ht="45.75" customHeight="1" x14ac:dyDescent="0.25">
      <c r="A19" s="12" t="s">
        <v>123</v>
      </c>
      <c r="B19" s="13" t="str">
        <f>'дод 5'!A19</f>
        <v>0160</v>
      </c>
      <c r="C19" s="12" t="str">
        <f>'дод 5'!B19</f>
        <v>0111</v>
      </c>
      <c r="D19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19" s="96">
        <f>F19+I19</f>
        <v>174868526</v>
      </c>
      <c r="F19" s="96">
        <f>161921900+786000+400000+1675304+932000+418800+1434993+864604+400000+281700+2799100+439500+2458300+56325</f>
        <v>174868526</v>
      </c>
      <c r="G19" s="96">
        <f>120577600+644200+1373200+343300+1176224+708688+230900+2192100+2015000+240000</f>
        <v>129501212</v>
      </c>
      <c r="H19" s="96">
        <f>5902100+400000-101606.4-29622</f>
        <v>6170871.5999999996</v>
      </c>
      <c r="I19" s="96"/>
      <c r="J19" s="96">
        <v>172034244.75</v>
      </c>
      <c r="K19" s="96">
        <v>129501212</v>
      </c>
      <c r="L19" s="96">
        <v>4640703.13</v>
      </c>
      <c r="M19" s="150">
        <f t="shared" si="2"/>
        <v>98.379193034428624</v>
      </c>
      <c r="N19" s="96">
        <f>P19+S19</f>
        <v>90000</v>
      </c>
      <c r="O19" s="96">
        <v>90000</v>
      </c>
      <c r="P19" s="96"/>
      <c r="Q19" s="96"/>
      <c r="R19" s="96"/>
      <c r="S19" s="96">
        <v>90000</v>
      </c>
      <c r="T19" s="96">
        <f t="shared" ref="T19:T80" si="7">V19+Y19</f>
        <v>41712634.460000001</v>
      </c>
      <c r="U19" s="96">
        <v>86200</v>
      </c>
      <c r="V19" s="96">
        <v>22817790.760000002</v>
      </c>
      <c r="W19" s="96"/>
      <c r="X19" s="96"/>
      <c r="Y19" s="96">
        <v>18894843.699999999</v>
      </c>
      <c r="Z19" s="150">
        <f t="shared" si="3"/>
        <v>46347.371622222221</v>
      </c>
      <c r="AA19" s="96">
        <f t="shared" ref="AA19:AA80" si="8">T19+J19</f>
        <v>213746879.21000001</v>
      </c>
      <c r="AB19" s="96">
        <f>E19+N19</f>
        <v>174958526</v>
      </c>
      <c r="AC19" s="236"/>
      <c r="AD19" s="113"/>
      <c r="AE19" s="132"/>
      <c r="AF19" s="125"/>
    </row>
    <row r="20" spans="1:32" s="15" customFormat="1" ht="15.75" x14ac:dyDescent="0.25">
      <c r="A20" s="12" t="s">
        <v>197</v>
      </c>
      <c r="B20" s="13" t="str">
        <f>'дод 5'!A20</f>
        <v>0180</v>
      </c>
      <c r="C20" s="12" t="str">
        <f>'дод 5'!B20</f>
        <v>0133</v>
      </c>
      <c r="D20" s="14" t="str">
        <f>'дод 5'!C20</f>
        <v>Інша діяльність у сфері державного управління</v>
      </c>
      <c r="E20" s="96">
        <f t="shared" ref="E20:E50" si="9">F20+I20</f>
        <v>3200000</v>
      </c>
      <c r="F20" s="96">
        <f>3100000+100000</f>
        <v>3200000</v>
      </c>
      <c r="G20" s="96"/>
      <c r="H20" s="96"/>
      <c r="I20" s="96"/>
      <c r="J20" s="96">
        <v>2446467.66</v>
      </c>
      <c r="K20" s="96"/>
      <c r="L20" s="96"/>
      <c r="M20" s="150">
        <f t="shared" si="2"/>
        <v>76.452114375000008</v>
      </c>
      <c r="N20" s="96">
        <f t="shared" ref="N20" si="10">P20+S20</f>
        <v>0</v>
      </c>
      <c r="O20" s="96"/>
      <c r="P20" s="96"/>
      <c r="Q20" s="96"/>
      <c r="R20" s="96"/>
      <c r="S20" s="96"/>
      <c r="T20" s="96">
        <f t="shared" si="7"/>
        <v>0</v>
      </c>
      <c r="U20" s="96"/>
      <c r="V20" s="96"/>
      <c r="W20" s="96"/>
      <c r="X20" s="96"/>
      <c r="Y20" s="96"/>
      <c r="Z20" s="150" t="e">
        <f t="shared" si="3"/>
        <v>#DIV/0!</v>
      </c>
      <c r="AA20" s="96">
        <f t="shared" si="8"/>
        <v>2446467.66</v>
      </c>
      <c r="AB20" s="96">
        <f t="shared" ref="AB20:AB52" si="11">E20+N20</f>
        <v>3200000</v>
      </c>
      <c r="AC20" s="236"/>
      <c r="AD20" s="113"/>
      <c r="AE20" s="132"/>
      <c r="AF20" s="125"/>
    </row>
    <row r="21" spans="1:32" s="15" customFormat="1" ht="47.25" customHeight="1" x14ac:dyDescent="0.25">
      <c r="A21" s="12" t="s">
        <v>209</v>
      </c>
      <c r="B21" s="13" t="str">
        <f>'дод 5'!A124</f>
        <v>3033</v>
      </c>
      <c r="C21" s="12" t="str">
        <f>'дод 5'!B124</f>
        <v>1070</v>
      </c>
      <c r="D21" s="14" t="s">
        <v>282</v>
      </c>
      <c r="E21" s="96">
        <f t="shared" si="9"/>
        <v>555700</v>
      </c>
      <c r="F21" s="96">
        <v>555700</v>
      </c>
      <c r="G21" s="96"/>
      <c r="H21" s="96"/>
      <c r="I21" s="96"/>
      <c r="J21" s="96">
        <v>555648</v>
      </c>
      <c r="K21" s="96"/>
      <c r="L21" s="96"/>
      <c r="M21" s="150">
        <f t="shared" si="2"/>
        <v>99.990642432967419</v>
      </c>
      <c r="N21" s="96">
        <f t="shared" ref="N21:N52" si="12">P21+S21</f>
        <v>0</v>
      </c>
      <c r="O21" s="96"/>
      <c r="P21" s="96"/>
      <c r="Q21" s="96"/>
      <c r="R21" s="96"/>
      <c r="S21" s="96"/>
      <c r="T21" s="96">
        <f t="shared" si="7"/>
        <v>0</v>
      </c>
      <c r="U21" s="96"/>
      <c r="V21" s="96"/>
      <c r="W21" s="96"/>
      <c r="X21" s="96"/>
      <c r="Y21" s="96"/>
      <c r="Z21" s="150" t="e">
        <f t="shared" si="3"/>
        <v>#DIV/0!</v>
      </c>
      <c r="AA21" s="96">
        <f t="shared" si="8"/>
        <v>555648</v>
      </c>
      <c r="AB21" s="96">
        <f t="shared" si="11"/>
        <v>555700</v>
      </c>
      <c r="AC21" s="236"/>
      <c r="AD21" s="113"/>
      <c r="AE21" s="132"/>
      <c r="AF21" s="125"/>
    </row>
    <row r="22" spans="1:32" s="15" customFormat="1" ht="31.5" customHeight="1" x14ac:dyDescent="0.25">
      <c r="A22" s="12" t="s">
        <v>124</v>
      </c>
      <c r="B22" s="13" t="str">
        <f>'дод 5'!A127</f>
        <v>3036</v>
      </c>
      <c r="C22" s="12" t="str">
        <f>'дод 5'!B127</f>
        <v>1070</v>
      </c>
      <c r="D22" s="14" t="str">
        <f>'дод 5'!C127</f>
        <v>Компенсаційні виплати на пільговий проїзд електротранспортом окремим категоріям громадян</v>
      </c>
      <c r="E22" s="96">
        <f t="shared" si="9"/>
        <v>967900</v>
      </c>
      <c r="F22" s="96">
        <v>967900</v>
      </c>
      <c r="G22" s="96"/>
      <c r="H22" s="96"/>
      <c r="I22" s="96"/>
      <c r="J22" s="96">
        <v>965152</v>
      </c>
      <c r="K22" s="96"/>
      <c r="L22" s="96"/>
      <c r="M22" s="150">
        <f t="shared" si="2"/>
        <v>99.716086372559147</v>
      </c>
      <c r="N22" s="96">
        <f t="shared" si="12"/>
        <v>0</v>
      </c>
      <c r="O22" s="96"/>
      <c r="P22" s="96"/>
      <c r="Q22" s="96"/>
      <c r="R22" s="96"/>
      <c r="S22" s="96"/>
      <c r="T22" s="96">
        <f t="shared" si="7"/>
        <v>0</v>
      </c>
      <c r="U22" s="96"/>
      <c r="V22" s="96"/>
      <c r="W22" s="96"/>
      <c r="X22" s="96"/>
      <c r="Y22" s="96"/>
      <c r="Z22" s="150" t="e">
        <f t="shared" si="3"/>
        <v>#DIV/0!</v>
      </c>
      <c r="AA22" s="96">
        <f t="shared" si="8"/>
        <v>965152</v>
      </c>
      <c r="AB22" s="96">
        <f t="shared" si="11"/>
        <v>967900</v>
      </c>
      <c r="AC22" s="236"/>
      <c r="AD22" s="113"/>
      <c r="AE22" s="132"/>
      <c r="AF22" s="125"/>
    </row>
    <row r="23" spans="1:32" s="15" customFormat="1" ht="42" customHeight="1" x14ac:dyDescent="0.25">
      <c r="A23" s="12" t="s">
        <v>125</v>
      </c>
      <c r="B23" s="13" t="str">
        <f>'дод 5'!A138</f>
        <v>3131</v>
      </c>
      <c r="C23" s="12" t="str">
        <f>'дод 5'!B138</f>
        <v>1040</v>
      </c>
      <c r="D23" s="14" t="str">
        <f>'дод 5'!C138</f>
        <v>Здійснення заходів та реалізація проектів на виконання Державної цільової соціальної програми "Молодь України"</v>
      </c>
      <c r="E23" s="96">
        <f t="shared" si="9"/>
        <v>410000</v>
      </c>
      <c r="F23" s="96">
        <f>500000-90000</f>
        <v>410000</v>
      </c>
      <c r="G23" s="96"/>
      <c r="H23" s="96"/>
      <c r="I23" s="96"/>
      <c r="J23" s="96">
        <v>356693.69</v>
      </c>
      <c r="K23" s="96"/>
      <c r="L23" s="96"/>
      <c r="M23" s="150">
        <f t="shared" si="2"/>
        <v>86.99846097560976</v>
      </c>
      <c r="N23" s="96">
        <f t="shared" si="12"/>
        <v>0</v>
      </c>
      <c r="O23" s="96"/>
      <c r="P23" s="96"/>
      <c r="Q23" s="96"/>
      <c r="R23" s="96"/>
      <c r="S23" s="96"/>
      <c r="T23" s="96">
        <f t="shared" si="7"/>
        <v>0</v>
      </c>
      <c r="U23" s="96"/>
      <c r="V23" s="96"/>
      <c r="W23" s="96"/>
      <c r="X23" s="96"/>
      <c r="Y23" s="96"/>
      <c r="Z23" s="150" t="e">
        <f t="shared" si="3"/>
        <v>#DIV/0!</v>
      </c>
      <c r="AA23" s="96">
        <f t="shared" si="8"/>
        <v>356693.69</v>
      </c>
      <c r="AB23" s="96">
        <f t="shared" si="11"/>
        <v>410000</v>
      </c>
      <c r="AC23" s="236"/>
      <c r="AD23" s="113"/>
      <c r="AE23" s="132"/>
      <c r="AF23" s="125"/>
    </row>
    <row r="24" spans="1:32" s="15" customFormat="1" ht="45.75" customHeight="1" x14ac:dyDescent="0.25">
      <c r="A24" s="12" t="s">
        <v>320</v>
      </c>
      <c r="B24" s="13">
        <f>'дод 5'!A139</f>
        <v>3133</v>
      </c>
      <c r="C24" s="12">
        <f>'дод 5'!B139</f>
        <v>1040</v>
      </c>
      <c r="D24" s="16" t="str">
        <f>'дод 5'!C139</f>
        <v>Забезпечення молодіжними центрами соціального
становлення та розвитку молоді та інші заходи у
сфері молодіжної політики</v>
      </c>
      <c r="E24" s="96">
        <f t="shared" si="9"/>
        <v>5797716</v>
      </c>
      <c r="F24" s="96">
        <f>5668400+83016+90000+21100-64800</f>
        <v>5797716</v>
      </c>
      <c r="G24" s="96">
        <f>3357400+17300-53000</f>
        <v>3321700</v>
      </c>
      <c r="H24" s="96">
        <v>778500</v>
      </c>
      <c r="I24" s="96"/>
      <c r="J24" s="96">
        <v>5598592.1600000001</v>
      </c>
      <c r="K24" s="96">
        <v>3321065.6</v>
      </c>
      <c r="L24" s="96">
        <v>685965.93</v>
      </c>
      <c r="M24" s="150">
        <f t="shared" si="2"/>
        <v>96.565477853692727</v>
      </c>
      <c r="N24" s="96">
        <f t="shared" si="12"/>
        <v>126984</v>
      </c>
      <c r="O24" s="96">
        <v>116984</v>
      </c>
      <c r="P24" s="96">
        <v>10000</v>
      </c>
      <c r="Q24" s="96">
        <v>2000</v>
      </c>
      <c r="R24" s="96">
        <v>3810</v>
      </c>
      <c r="S24" s="96">
        <v>116984</v>
      </c>
      <c r="T24" s="96">
        <f t="shared" si="7"/>
        <v>8685</v>
      </c>
      <c r="U24" s="96"/>
      <c r="V24" s="96">
        <v>8685</v>
      </c>
      <c r="W24" s="96"/>
      <c r="X24" s="96"/>
      <c r="Y24" s="96"/>
      <c r="Z24" s="150">
        <f t="shared" si="3"/>
        <v>6.8394443394443396</v>
      </c>
      <c r="AA24" s="96">
        <f t="shared" si="8"/>
        <v>5607277.1600000001</v>
      </c>
      <c r="AB24" s="96">
        <f t="shared" si="11"/>
        <v>5924700</v>
      </c>
      <c r="AC24" s="236"/>
      <c r="AD24" s="113"/>
      <c r="AE24" s="132"/>
      <c r="AF24" s="125"/>
    </row>
    <row r="25" spans="1:32" s="15" customFormat="1" ht="33.75" customHeight="1" x14ac:dyDescent="0.25">
      <c r="A25" s="12" t="s">
        <v>236</v>
      </c>
      <c r="B25" s="13" t="str">
        <f>'дод 5'!A155</f>
        <v>3242</v>
      </c>
      <c r="C25" s="12" t="str">
        <f>'дод 5'!B155</f>
        <v>1090</v>
      </c>
      <c r="D25" s="14" t="s">
        <v>283</v>
      </c>
      <c r="E25" s="96">
        <f t="shared" si="9"/>
        <v>159400</v>
      </c>
      <c r="F25" s="96">
        <v>159400</v>
      </c>
      <c r="G25" s="96"/>
      <c r="H25" s="96"/>
      <c r="I25" s="96"/>
      <c r="J25" s="96">
        <v>109008</v>
      </c>
      <c r="K25" s="96"/>
      <c r="L25" s="96"/>
      <c r="M25" s="150">
        <f t="shared" si="2"/>
        <v>68.386449184441659</v>
      </c>
      <c r="N25" s="96">
        <f t="shared" si="12"/>
        <v>0</v>
      </c>
      <c r="O25" s="96"/>
      <c r="P25" s="96"/>
      <c r="Q25" s="96"/>
      <c r="R25" s="96"/>
      <c r="S25" s="96"/>
      <c r="T25" s="96">
        <f t="shared" si="7"/>
        <v>0</v>
      </c>
      <c r="U25" s="96"/>
      <c r="V25" s="96"/>
      <c r="W25" s="96"/>
      <c r="X25" s="96"/>
      <c r="Y25" s="96"/>
      <c r="Z25" s="150" t="e">
        <f t="shared" si="3"/>
        <v>#DIV/0!</v>
      </c>
      <c r="AA25" s="96">
        <f t="shared" si="8"/>
        <v>109008</v>
      </c>
      <c r="AB25" s="96">
        <f t="shared" si="11"/>
        <v>159400</v>
      </c>
      <c r="AC25" s="236"/>
      <c r="AD25" s="113"/>
      <c r="AE25" s="132"/>
      <c r="AF25" s="125"/>
    </row>
    <row r="26" spans="1:32" s="15" customFormat="1" ht="30.75" customHeight="1" x14ac:dyDescent="0.25">
      <c r="A26" s="12" t="s">
        <v>235</v>
      </c>
      <c r="B26" s="13" t="str">
        <f>'дод 5'!A162</f>
        <v>4081</v>
      </c>
      <c r="C26" s="12" t="str">
        <f>'дод 5'!B162</f>
        <v>0829</v>
      </c>
      <c r="D26" s="16" t="str">
        <f>'дод 5'!C162</f>
        <v>Забезпечення діяльності інших закладів в галузі культури і мистецтва</v>
      </c>
      <c r="E26" s="96">
        <f t="shared" si="9"/>
        <v>3067500</v>
      </c>
      <c r="F26" s="96">
        <f>3015300+15500+11700+25000</f>
        <v>3067500</v>
      </c>
      <c r="G26" s="96">
        <f>2003800+12700+9600+8105</f>
        <v>2034205</v>
      </c>
      <c r="H26" s="96">
        <f>229600+58+25000</f>
        <v>254658</v>
      </c>
      <c r="I26" s="96"/>
      <c r="J26" s="96">
        <v>2930211.82</v>
      </c>
      <c r="K26" s="96">
        <v>2034202.57</v>
      </c>
      <c r="L26" s="96">
        <v>235180.22</v>
      </c>
      <c r="M26" s="150">
        <f t="shared" si="2"/>
        <v>95.524427709861442</v>
      </c>
      <c r="N26" s="96">
        <f t="shared" si="12"/>
        <v>0</v>
      </c>
      <c r="O26" s="96"/>
      <c r="P26" s="96"/>
      <c r="Q26" s="96"/>
      <c r="R26" s="96"/>
      <c r="S26" s="96"/>
      <c r="T26" s="96">
        <f t="shared" si="7"/>
        <v>0</v>
      </c>
      <c r="U26" s="96"/>
      <c r="V26" s="96"/>
      <c r="W26" s="96"/>
      <c r="X26" s="96"/>
      <c r="Y26" s="96"/>
      <c r="Z26" s="150" t="e">
        <f t="shared" si="3"/>
        <v>#DIV/0!</v>
      </c>
      <c r="AA26" s="96">
        <f t="shared" si="8"/>
        <v>2930211.82</v>
      </c>
      <c r="AB26" s="96">
        <f t="shared" si="11"/>
        <v>3067500</v>
      </c>
      <c r="AC26" s="236"/>
      <c r="AD26" s="113"/>
      <c r="AE26" s="132"/>
      <c r="AF26" s="125"/>
    </row>
    <row r="27" spans="1:32" s="15" customFormat="1" ht="36.75" customHeight="1" x14ac:dyDescent="0.25">
      <c r="A27" s="12" t="s">
        <v>126</v>
      </c>
      <c r="B27" s="13" t="str">
        <f>'дод 5'!A167</f>
        <v>5011</v>
      </c>
      <c r="C27" s="12" t="str">
        <f>'дод 5'!B167</f>
        <v>0810</v>
      </c>
      <c r="D27" s="14" t="str">
        <f>'дод 5'!C167</f>
        <v>Проведення навчально-тренувальних зборів і змагань з олімпійських видів спорту</v>
      </c>
      <c r="E27" s="96">
        <f t="shared" si="9"/>
        <v>1120000</v>
      </c>
      <c r="F27" s="96">
        <f>400000+750000-30000</f>
        <v>1120000</v>
      </c>
      <c r="G27" s="96"/>
      <c r="H27" s="96"/>
      <c r="I27" s="96"/>
      <c r="J27" s="96">
        <v>1102674.6399999999</v>
      </c>
      <c r="K27" s="96"/>
      <c r="L27" s="96"/>
      <c r="M27" s="150">
        <f t="shared" si="2"/>
        <v>98.453092857142849</v>
      </c>
      <c r="N27" s="96">
        <f>P27+S27</f>
        <v>0</v>
      </c>
      <c r="O27" s="96"/>
      <c r="P27" s="96"/>
      <c r="Q27" s="96"/>
      <c r="R27" s="96"/>
      <c r="S27" s="96"/>
      <c r="T27" s="96">
        <f t="shared" si="7"/>
        <v>0</v>
      </c>
      <c r="U27" s="96"/>
      <c r="V27" s="96"/>
      <c r="W27" s="96"/>
      <c r="X27" s="96"/>
      <c r="Y27" s="96"/>
      <c r="Z27" s="150" t="e">
        <f t="shared" si="3"/>
        <v>#DIV/0!</v>
      </c>
      <c r="AA27" s="96">
        <f t="shared" si="8"/>
        <v>1102674.6399999999</v>
      </c>
      <c r="AB27" s="96">
        <f t="shared" si="11"/>
        <v>1120000</v>
      </c>
      <c r="AC27" s="236"/>
      <c r="AD27" s="113"/>
      <c r="AE27" s="132"/>
      <c r="AF27" s="125"/>
    </row>
    <row r="28" spans="1:32" s="15" customFormat="1" ht="34.5" customHeight="1" x14ac:dyDescent="0.25">
      <c r="A28" s="12" t="s">
        <v>127</v>
      </c>
      <c r="B28" s="13" t="str">
        <f>'дод 5'!A168</f>
        <v>5012</v>
      </c>
      <c r="C28" s="12" t="str">
        <f>'дод 5'!B168</f>
        <v>0810</v>
      </c>
      <c r="D28" s="14" t="str">
        <f>'дод 5'!C168</f>
        <v>Проведення навчально-тренувальних зборів і змагань з неолімпійських видів спорту</v>
      </c>
      <c r="E28" s="96">
        <f t="shared" si="9"/>
        <v>924850</v>
      </c>
      <c r="F28" s="96">
        <f>400000+750000-85550-30000-70000-39600</f>
        <v>924850</v>
      </c>
      <c r="G28" s="96"/>
      <c r="H28" s="96"/>
      <c r="I28" s="96"/>
      <c r="J28" s="96">
        <v>832086.88</v>
      </c>
      <c r="K28" s="96"/>
      <c r="L28" s="96"/>
      <c r="M28" s="150">
        <f t="shared" si="2"/>
        <v>89.969928096448072</v>
      </c>
      <c r="N28" s="96">
        <f t="shared" si="12"/>
        <v>0</v>
      </c>
      <c r="O28" s="96"/>
      <c r="P28" s="96"/>
      <c r="Q28" s="96"/>
      <c r="R28" s="96"/>
      <c r="S28" s="96"/>
      <c r="T28" s="96">
        <f t="shared" si="7"/>
        <v>0</v>
      </c>
      <c r="U28" s="96"/>
      <c r="V28" s="96"/>
      <c r="W28" s="96"/>
      <c r="X28" s="96"/>
      <c r="Y28" s="96"/>
      <c r="Z28" s="150" t="e">
        <f t="shared" si="3"/>
        <v>#DIV/0!</v>
      </c>
      <c r="AA28" s="96">
        <f t="shared" si="8"/>
        <v>832086.88</v>
      </c>
      <c r="AB28" s="96">
        <f t="shared" si="11"/>
        <v>924850</v>
      </c>
      <c r="AC28" s="236"/>
      <c r="AD28" s="113"/>
      <c r="AE28" s="132"/>
      <c r="AF28" s="125"/>
    </row>
    <row r="29" spans="1:32" s="15" customFormat="1" ht="34.5" customHeight="1" x14ac:dyDescent="0.25">
      <c r="A29" s="12" t="s">
        <v>524</v>
      </c>
      <c r="B29" s="13">
        <f>'дод 5'!A169</f>
        <v>5022</v>
      </c>
      <c r="C29" s="12" t="str">
        <f>'дод 5'!B169</f>
        <v>0810</v>
      </c>
      <c r="D29" s="16" t="str">
        <f>'дод 5'!C169</f>
        <v>Проведення навчально-тренувальних зборів і змагань та заходів зі спорту осіб з інвалідністю</v>
      </c>
      <c r="E29" s="96">
        <f t="shared" ref="E29" si="13">F29+I29</f>
        <v>137200</v>
      </c>
      <c r="F29" s="96">
        <f>100000+37200</f>
        <v>137200</v>
      </c>
      <c r="G29" s="96"/>
      <c r="H29" s="96"/>
      <c r="I29" s="96"/>
      <c r="J29" s="96">
        <v>136010.31</v>
      </c>
      <c r="K29" s="96"/>
      <c r="L29" s="96"/>
      <c r="M29" s="150">
        <f t="shared" si="2"/>
        <v>99.132879008746357</v>
      </c>
      <c r="N29" s="96">
        <f t="shared" ref="N29" si="14">P29+S29</f>
        <v>0</v>
      </c>
      <c r="O29" s="96"/>
      <c r="P29" s="96"/>
      <c r="Q29" s="96"/>
      <c r="R29" s="96"/>
      <c r="S29" s="96"/>
      <c r="T29" s="96">
        <f t="shared" si="7"/>
        <v>0</v>
      </c>
      <c r="U29" s="96"/>
      <c r="V29" s="96"/>
      <c r="W29" s="96"/>
      <c r="X29" s="96"/>
      <c r="Y29" s="96"/>
      <c r="Z29" s="150" t="e">
        <f t="shared" si="3"/>
        <v>#DIV/0!</v>
      </c>
      <c r="AA29" s="96">
        <f t="shared" si="8"/>
        <v>136010.31</v>
      </c>
      <c r="AB29" s="96">
        <f t="shared" ref="AB29" si="15">E29+N29</f>
        <v>137200</v>
      </c>
      <c r="AC29" s="236"/>
      <c r="AD29" s="113"/>
      <c r="AE29" s="132"/>
      <c r="AF29" s="125"/>
    </row>
    <row r="30" spans="1:32" s="15" customFormat="1" ht="47.25" x14ac:dyDescent="0.25">
      <c r="A30" s="12" t="s">
        <v>128</v>
      </c>
      <c r="B30" s="13" t="str">
        <f>'дод 5'!A170</f>
        <v>5031</v>
      </c>
      <c r="C30" s="12" t="str">
        <f>'дод 5'!B170</f>
        <v>0810</v>
      </c>
      <c r="D30" s="14" t="str">
        <f>'дод 5'!C170</f>
        <v>Розвиток здібностей у дітей та молоді з фізичної
культури та спорту комунальними дитячо-юнацькими спортивними школами</v>
      </c>
      <c r="E30" s="96">
        <f t="shared" si="9"/>
        <v>29776103</v>
      </c>
      <c r="F30" s="96">
        <f>26685000-300000+1500000+1400000+119200+195000+32450-12800+25960+131293</f>
        <v>29776103</v>
      </c>
      <c r="G30" s="96">
        <f>19283000+97700-10500</f>
        <v>19370200</v>
      </c>
      <c r="H30" s="96">
        <v>1932800</v>
      </c>
      <c r="I30" s="96"/>
      <c r="J30" s="96">
        <v>29044392.469999999</v>
      </c>
      <c r="K30" s="96">
        <v>19252297.559999999</v>
      </c>
      <c r="L30" s="96">
        <v>1570573.59</v>
      </c>
      <c r="M30" s="150">
        <f t="shared" si="2"/>
        <v>97.542624936513675</v>
      </c>
      <c r="N30" s="96">
        <f t="shared" si="12"/>
        <v>0</v>
      </c>
      <c r="O30" s="96"/>
      <c r="P30" s="96"/>
      <c r="Q30" s="96"/>
      <c r="R30" s="96"/>
      <c r="S30" s="96"/>
      <c r="T30" s="96">
        <f t="shared" si="7"/>
        <v>131941.16</v>
      </c>
      <c r="U30" s="96"/>
      <c r="V30" s="96">
        <v>111943.16</v>
      </c>
      <c r="W30" s="96"/>
      <c r="X30" s="96"/>
      <c r="Y30" s="96">
        <v>19998</v>
      </c>
      <c r="Z30" s="150" t="e">
        <f t="shared" si="3"/>
        <v>#DIV/0!</v>
      </c>
      <c r="AA30" s="96">
        <f t="shared" si="8"/>
        <v>29176333.629999999</v>
      </c>
      <c r="AB30" s="96">
        <f t="shared" si="11"/>
        <v>29776103</v>
      </c>
      <c r="AC30" s="236"/>
      <c r="AD30" s="113"/>
      <c r="AE30" s="132"/>
      <c r="AF30" s="125"/>
    </row>
    <row r="31" spans="1:32" s="15" customFormat="1" ht="43.5" customHeight="1" x14ac:dyDescent="0.25">
      <c r="A31" s="12" t="s">
        <v>274</v>
      </c>
      <c r="B31" s="13" t="str">
        <f>'дод 5'!A171</f>
        <v>5032</v>
      </c>
      <c r="C31" s="12" t="str">
        <f>'дод 5'!B171</f>
        <v>0810</v>
      </c>
      <c r="D31" s="14" t="str">
        <f>'дод 5'!C171</f>
        <v>Фінансова підтримка дитячо-юнацьких спортивних шкіл фізкультурно-спортивних товариств</v>
      </c>
      <c r="E31" s="96">
        <f t="shared" si="9"/>
        <v>22209910</v>
      </c>
      <c r="F31" s="96">
        <f>20218600+300000+1320000+109800+87800+13640+160070</f>
        <v>22209910</v>
      </c>
      <c r="G31" s="96"/>
      <c r="H31" s="96"/>
      <c r="I31" s="96"/>
      <c r="J31" s="96">
        <v>22166289.059999999</v>
      </c>
      <c r="K31" s="96"/>
      <c r="L31" s="96"/>
      <c r="M31" s="150">
        <f t="shared" si="2"/>
        <v>99.803596952891752</v>
      </c>
      <c r="N31" s="96">
        <f t="shared" si="12"/>
        <v>0</v>
      </c>
      <c r="O31" s="96"/>
      <c r="P31" s="96"/>
      <c r="Q31" s="96"/>
      <c r="R31" s="96"/>
      <c r="S31" s="96"/>
      <c r="T31" s="96">
        <f t="shared" si="7"/>
        <v>0</v>
      </c>
      <c r="U31" s="96"/>
      <c r="V31" s="96"/>
      <c r="W31" s="96"/>
      <c r="X31" s="96"/>
      <c r="Y31" s="96"/>
      <c r="Z31" s="150" t="e">
        <f t="shared" si="3"/>
        <v>#DIV/0!</v>
      </c>
      <c r="AA31" s="96">
        <f t="shared" si="8"/>
        <v>22166289.059999999</v>
      </c>
      <c r="AB31" s="96">
        <f t="shared" si="11"/>
        <v>22209910</v>
      </c>
      <c r="AC31" s="236"/>
      <c r="AD31" s="113"/>
      <c r="AE31" s="132"/>
      <c r="AF31" s="125"/>
    </row>
    <row r="32" spans="1:32" s="15" customFormat="1" ht="58.5" customHeight="1" x14ac:dyDescent="0.25">
      <c r="A32" s="12" t="s">
        <v>129</v>
      </c>
      <c r="B32" s="13" t="str">
        <f>'дод 5'!A172</f>
        <v>5061</v>
      </c>
      <c r="C32" s="12" t="str">
        <f>'дод 5'!B172</f>
        <v>0810</v>
      </c>
      <c r="D32" s="14" t="str">
        <f>'дод 5'!C172</f>
        <v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</c>
      <c r="E32" s="96">
        <f t="shared" si="9"/>
        <v>8603377</v>
      </c>
      <c r="F32" s="96">
        <f>8289285+85550+40200+100000-37200+70400+55142</f>
        <v>8603377</v>
      </c>
      <c r="G32" s="96">
        <f>4671000+33000+57700</f>
        <v>4761700</v>
      </c>
      <c r="H32" s="96">
        <v>948100</v>
      </c>
      <c r="I32" s="96"/>
      <c r="J32" s="96">
        <v>8255225.7199999997</v>
      </c>
      <c r="K32" s="96">
        <v>4761699.45</v>
      </c>
      <c r="L32" s="96">
        <v>796007.27</v>
      </c>
      <c r="M32" s="150">
        <f t="shared" si="2"/>
        <v>95.953318330697343</v>
      </c>
      <c r="N32" s="96">
        <f t="shared" si="12"/>
        <v>633800</v>
      </c>
      <c r="O32" s="96">
        <v>50000</v>
      </c>
      <c r="P32" s="96">
        <v>583800</v>
      </c>
      <c r="Q32" s="96">
        <v>352800</v>
      </c>
      <c r="R32" s="96">
        <v>48438</v>
      </c>
      <c r="S32" s="96">
        <v>50000</v>
      </c>
      <c r="T32" s="96">
        <f t="shared" si="7"/>
        <v>729112.71</v>
      </c>
      <c r="U32" s="96"/>
      <c r="V32" s="96">
        <v>675204.71</v>
      </c>
      <c r="W32" s="96">
        <v>273441.33</v>
      </c>
      <c r="X32" s="96">
        <v>2616.9699999999998</v>
      </c>
      <c r="Y32" s="96">
        <v>53908</v>
      </c>
      <c r="Z32" s="150">
        <f t="shared" si="3"/>
        <v>115.03829441464184</v>
      </c>
      <c r="AA32" s="96">
        <f t="shared" si="8"/>
        <v>8984338.4299999997</v>
      </c>
      <c r="AB32" s="96">
        <f t="shared" si="11"/>
        <v>9237177</v>
      </c>
      <c r="AC32" s="236"/>
      <c r="AD32" s="113"/>
      <c r="AE32" s="132"/>
      <c r="AF32" s="125"/>
    </row>
    <row r="33" spans="1:32" s="15" customFormat="1" ht="47.25" x14ac:dyDescent="0.25">
      <c r="A33" s="12" t="s">
        <v>270</v>
      </c>
      <c r="B33" s="13" t="str">
        <f>'дод 5'!A173</f>
        <v>5062</v>
      </c>
      <c r="C33" s="12" t="str">
        <f>'дод 5'!B173</f>
        <v>0810</v>
      </c>
      <c r="D33" s="14" t="str">
        <f>'дод 5'!C173</f>
        <v>Підтримка спорту вищих досягнень та організацій, які здійснюють фізкультурно-спортивну діяльність в регіоні</v>
      </c>
      <c r="E33" s="96">
        <f t="shared" si="9"/>
        <v>18479243</v>
      </c>
      <c r="F33" s="96">
        <f>16861800+400000+773416+280000+30000+51300+300000+48100+360000-1000000+14627+360000</f>
        <v>18479243</v>
      </c>
      <c r="G33" s="96"/>
      <c r="H33" s="96"/>
      <c r="I33" s="96"/>
      <c r="J33" s="96">
        <v>18256046.629999999</v>
      </c>
      <c r="K33" s="96"/>
      <c r="L33" s="96"/>
      <c r="M33" s="150">
        <f t="shared" si="2"/>
        <v>98.792177958804899</v>
      </c>
      <c r="N33" s="96">
        <f t="shared" si="12"/>
        <v>0</v>
      </c>
      <c r="O33" s="96"/>
      <c r="P33" s="96"/>
      <c r="Q33" s="96"/>
      <c r="R33" s="96"/>
      <c r="S33" s="96"/>
      <c r="T33" s="96">
        <f t="shared" si="7"/>
        <v>0</v>
      </c>
      <c r="U33" s="96"/>
      <c r="V33" s="96"/>
      <c r="W33" s="96"/>
      <c r="X33" s="96"/>
      <c r="Y33" s="96"/>
      <c r="Z33" s="150" t="e">
        <f t="shared" si="3"/>
        <v>#DIV/0!</v>
      </c>
      <c r="AA33" s="96">
        <f t="shared" si="8"/>
        <v>18256046.629999999</v>
      </c>
      <c r="AB33" s="96">
        <f t="shared" si="11"/>
        <v>18479243</v>
      </c>
      <c r="AC33" s="236"/>
      <c r="AD33" s="113"/>
      <c r="AE33" s="132"/>
      <c r="AF33" s="125"/>
    </row>
    <row r="34" spans="1:32" s="15" customFormat="1" ht="31.5" x14ac:dyDescent="0.25">
      <c r="A34" s="12" t="s">
        <v>571</v>
      </c>
      <c r="B34" s="13" t="str">
        <f>'дод 5'!A215</f>
        <v>7412</v>
      </c>
      <c r="C34" s="13" t="str">
        <f>'дод 5'!B215</f>
        <v>0451</v>
      </c>
      <c r="D34" s="16" t="str">
        <f>'дод 5'!C215</f>
        <v>Регулювання цін на послуги місцевого автотранспорту</v>
      </c>
      <c r="E34" s="96">
        <f t="shared" ref="E34:E35" si="16">F34+I34</f>
        <v>7576633</v>
      </c>
      <c r="F34" s="96"/>
      <c r="G34" s="96"/>
      <c r="H34" s="96"/>
      <c r="I34" s="96">
        <f>5524053+2052580</f>
        <v>7576633</v>
      </c>
      <c r="J34" s="96">
        <v>7576633</v>
      </c>
      <c r="K34" s="96"/>
      <c r="L34" s="96"/>
      <c r="M34" s="150">
        <f t="shared" si="2"/>
        <v>100</v>
      </c>
      <c r="N34" s="96">
        <f t="shared" ref="N34:N35" si="17">P34+S34</f>
        <v>0</v>
      </c>
      <c r="O34" s="96"/>
      <c r="P34" s="96"/>
      <c r="Q34" s="96"/>
      <c r="R34" s="96"/>
      <c r="S34" s="96"/>
      <c r="T34" s="96">
        <f t="shared" si="7"/>
        <v>0</v>
      </c>
      <c r="U34" s="96"/>
      <c r="V34" s="96"/>
      <c r="W34" s="96"/>
      <c r="X34" s="96"/>
      <c r="Y34" s="96"/>
      <c r="Z34" s="150" t="e">
        <f t="shared" si="3"/>
        <v>#DIV/0!</v>
      </c>
      <c r="AA34" s="96">
        <f t="shared" si="8"/>
        <v>7576633</v>
      </c>
      <c r="AB34" s="96">
        <f t="shared" ref="AB34:AB35" si="18">E34+N34</f>
        <v>7576633</v>
      </c>
      <c r="AC34" s="236"/>
      <c r="AD34" s="113"/>
      <c r="AE34" s="132"/>
      <c r="AF34" s="125"/>
    </row>
    <row r="35" spans="1:32" s="15" customFormat="1" ht="15.75" x14ac:dyDescent="0.25">
      <c r="A35" s="12" t="s">
        <v>572</v>
      </c>
      <c r="B35" s="13">
        <f>'дод 5'!A216</f>
        <v>7413</v>
      </c>
      <c r="C35" s="13" t="str">
        <f>'дод 5'!B216</f>
        <v>0451</v>
      </c>
      <c r="D35" s="16" t="str">
        <f>'дод 5'!C216</f>
        <v>Інші заходи у сфері автотранспорту</v>
      </c>
      <c r="E35" s="96">
        <f t="shared" si="16"/>
        <v>435000</v>
      </c>
      <c r="F35" s="96"/>
      <c r="G35" s="96"/>
      <c r="H35" s="96"/>
      <c r="I35" s="96">
        <v>435000</v>
      </c>
      <c r="J35" s="96">
        <v>363804.36</v>
      </c>
      <c r="K35" s="96"/>
      <c r="L35" s="96"/>
      <c r="M35" s="150">
        <f t="shared" si="2"/>
        <v>83.633186206896553</v>
      </c>
      <c r="N35" s="96">
        <f t="shared" si="17"/>
        <v>0</v>
      </c>
      <c r="O35" s="96"/>
      <c r="P35" s="96"/>
      <c r="Q35" s="96"/>
      <c r="R35" s="96"/>
      <c r="S35" s="96"/>
      <c r="T35" s="96">
        <f t="shared" si="7"/>
        <v>0</v>
      </c>
      <c r="U35" s="96"/>
      <c r="V35" s="96"/>
      <c r="W35" s="96"/>
      <c r="X35" s="96"/>
      <c r="Y35" s="96"/>
      <c r="Z35" s="150" t="e">
        <f t="shared" si="3"/>
        <v>#DIV/0!</v>
      </c>
      <c r="AA35" s="96">
        <f t="shared" si="8"/>
        <v>363804.36</v>
      </c>
      <c r="AB35" s="96">
        <f t="shared" si="18"/>
        <v>435000</v>
      </c>
      <c r="AC35" s="236"/>
      <c r="AD35" s="113"/>
      <c r="AE35" s="132"/>
      <c r="AF35" s="125"/>
    </row>
    <row r="36" spans="1:32" s="15" customFormat="1" ht="31.5" x14ac:dyDescent="0.25">
      <c r="A36" s="12" t="s">
        <v>573</v>
      </c>
      <c r="B36" s="13">
        <f>'дод 5'!A217</f>
        <v>7422</v>
      </c>
      <c r="C36" s="13" t="str">
        <f>'дод 5'!B217</f>
        <v>0453</v>
      </c>
      <c r="D36" s="16" t="str">
        <f>'дод 5'!C217</f>
        <v>Регулювання цін на послуги місцевого наземного електротранспорту</v>
      </c>
      <c r="E36" s="96">
        <f t="shared" ref="E36:E37" si="19">F36+I36</f>
        <v>20640925</v>
      </c>
      <c r="F36" s="96"/>
      <c r="G36" s="96"/>
      <c r="H36" s="96"/>
      <c r="I36" s="96">
        <f>17357615+3283310</f>
        <v>20640925</v>
      </c>
      <c r="J36" s="96">
        <v>20640925</v>
      </c>
      <c r="K36" s="96"/>
      <c r="L36" s="96"/>
      <c r="M36" s="150">
        <f t="shared" si="2"/>
        <v>100</v>
      </c>
      <c r="N36" s="96">
        <f t="shared" ref="N36:N37" si="20">P36+S36</f>
        <v>0</v>
      </c>
      <c r="O36" s="96"/>
      <c r="P36" s="96"/>
      <c r="Q36" s="96"/>
      <c r="R36" s="96"/>
      <c r="S36" s="96"/>
      <c r="T36" s="96">
        <f t="shared" si="7"/>
        <v>0</v>
      </c>
      <c r="U36" s="96"/>
      <c r="V36" s="96"/>
      <c r="W36" s="96"/>
      <c r="X36" s="96"/>
      <c r="Y36" s="96"/>
      <c r="Z36" s="150" t="e">
        <f t="shared" si="3"/>
        <v>#DIV/0!</v>
      </c>
      <c r="AA36" s="96">
        <f t="shared" si="8"/>
        <v>20640925</v>
      </c>
      <c r="AB36" s="96">
        <f t="shared" ref="AB36:AB37" si="21">E36+N36</f>
        <v>20640925</v>
      </c>
      <c r="AC36" s="236"/>
      <c r="AD36" s="113"/>
      <c r="AE36" s="132"/>
      <c r="AF36" s="125"/>
    </row>
    <row r="37" spans="1:32" s="15" customFormat="1" ht="15.75" customHeight="1" x14ac:dyDescent="0.25">
      <c r="A37" s="12" t="s">
        <v>574</v>
      </c>
      <c r="B37" s="13">
        <f>'дод 5'!A218</f>
        <v>7426</v>
      </c>
      <c r="C37" s="13" t="str">
        <f>'дод 5'!B218</f>
        <v>0455</v>
      </c>
      <c r="D37" s="16" t="str">
        <f>'дод 5'!C218</f>
        <v>Інші заходи у сфері електротранспорту</v>
      </c>
      <c r="E37" s="96">
        <f t="shared" si="19"/>
        <v>1038810</v>
      </c>
      <c r="F37" s="96"/>
      <c r="G37" s="96"/>
      <c r="H37" s="96"/>
      <c r="I37" s="96">
        <f>455040+583770</f>
        <v>1038810</v>
      </c>
      <c r="J37" s="96">
        <v>1038810</v>
      </c>
      <c r="K37" s="96"/>
      <c r="L37" s="96"/>
      <c r="M37" s="150">
        <f t="shared" si="2"/>
        <v>100</v>
      </c>
      <c r="N37" s="96">
        <f t="shared" si="20"/>
        <v>0</v>
      </c>
      <c r="O37" s="96"/>
      <c r="P37" s="96"/>
      <c r="Q37" s="96"/>
      <c r="R37" s="96"/>
      <c r="S37" s="96"/>
      <c r="T37" s="96">
        <f t="shared" si="7"/>
        <v>0</v>
      </c>
      <c r="U37" s="96"/>
      <c r="V37" s="96"/>
      <c r="W37" s="96"/>
      <c r="X37" s="96"/>
      <c r="Y37" s="96"/>
      <c r="Z37" s="150" t="e">
        <f t="shared" si="3"/>
        <v>#DIV/0!</v>
      </c>
      <c r="AA37" s="96">
        <f t="shared" si="8"/>
        <v>1038810</v>
      </c>
      <c r="AB37" s="96">
        <f t="shared" si="21"/>
        <v>1038810</v>
      </c>
      <c r="AC37" s="236"/>
      <c r="AD37" s="113"/>
      <c r="AE37" s="132"/>
      <c r="AF37" s="125"/>
    </row>
    <row r="38" spans="1:32" s="15" customFormat="1" ht="15.75" hidden="1" customHeight="1" x14ac:dyDescent="0.25">
      <c r="A38" s="12" t="s">
        <v>575</v>
      </c>
      <c r="B38" s="13">
        <f>'дод 5'!A219</f>
        <v>7450</v>
      </c>
      <c r="C38" s="13" t="str">
        <f>'дод 5'!B219</f>
        <v>0456</v>
      </c>
      <c r="D38" s="16" t="str">
        <f>'дод 5'!C219</f>
        <v>Інша діяльність у сфері транспорту</v>
      </c>
      <c r="E38" s="96">
        <f t="shared" ref="E38" si="22">F38+I38</f>
        <v>0</v>
      </c>
      <c r="F38" s="96">
        <f>984000-984000</f>
        <v>0</v>
      </c>
      <c r="G38" s="96"/>
      <c r="H38" s="96"/>
      <c r="I38" s="96"/>
      <c r="J38" s="96"/>
      <c r="K38" s="96"/>
      <c r="L38" s="96"/>
      <c r="M38" s="150" t="e">
        <f t="shared" si="2"/>
        <v>#DIV/0!</v>
      </c>
      <c r="N38" s="96">
        <f t="shared" ref="N38" si="23">P38+S38</f>
        <v>0</v>
      </c>
      <c r="O38" s="96"/>
      <c r="P38" s="96"/>
      <c r="Q38" s="96"/>
      <c r="R38" s="96"/>
      <c r="S38" s="96"/>
      <c r="T38" s="96">
        <f t="shared" si="7"/>
        <v>0</v>
      </c>
      <c r="U38" s="96"/>
      <c r="V38" s="96"/>
      <c r="W38" s="96"/>
      <c r="X38" s="96"/>
      <c r="Y38" s="96"/>
      <c r="Z38" s="150" t="e">
        <f t="shared" si="3"/>
        <v>#DIV/0!</v>
      </c>
      <c r="AA38" s="96">
        <f t="shared" si="8"/>
        <v>0</v>
      </c>
      <c r="AB38" s="96">
        <f t="shared" ref="AB38" si="24">E38+N38</f>
        <v>0</v>
      </c>
      <c r="AC38" s="236"/>
      <c r="AD38" s="113"/>
      <c r="AE38" s="132"/>
      <c r="AF38" s="125"/>
    </row>
    <row r="39" spans="1:32" s="15" customFormat="1" ht="30.75" customHeight="1" x14ac:dyDescent="0.25">
      <c r="A39" s="12" t="s">
        <v>189</v>
      </c>
      <c r="B39" s="13" t="str">
        <f>'дод 5'!A221</f>
        <v>7530</v>
      </c>
      <c r="C39" s="12" t="str">
        <f>'дод 5'!B221</f>
        <v>0460</v>
      </c>
      <c r="D39" s="14" t="str">
        <f>'дод 5'!C221</f>
        <v>Інші заходи у сфері зв'язку, телекомунікації та інформатики</v>
      </c>
      <c r="E39" s="96">
        <f t="shared" si="9"/>
        <v>3382550</v>
      </c>
      <c r="F39" s="96">
        <f>4644100-400000+113550-300000-650100-25000</f>
        <v>3382550</v>
      </c>
      <c r="G39" s="96"/>
      <c r="H39" s="96">
        <v>65500</v>
      </c>
      <c r="I39" s="96"/>
      <c r="J39" s="96">
        <v>2153217.88</v>
      </c>
      <c r="K39" s="96"/>
      <c r="L39" s="96">
        <v>21116.53</v>
      </c>
      <c r="M39" s="150">
        <f t="shared" si="2"/>
        <v>63.656646021492655</v>
      </c>
      <c r="N39" s="96">
        <f>P39+S39</f>
        <v>957000</v>
      </c>
      <c r="O39" s="96">
        <f>400000+158000+99000+300000+32616200-32616200</f>
        <v>957000</v>
      </c>
      <c r="P39" s="96"/>
      <c r="Q39" s="96"/>
      <c r="R39" s="96"/>
      <c r="S39" s="96">
        <f>400000+158000+99000+300000+32616200-32616200</f>
        <v>957000</v>
      </c>
      <c r="T39" s="96">
        <f t="shared" si="7"/>
        <v>655495.19999999995</v>
      </c>
      <c r="U39" s="96">
        <v>655495.19999999995</v>
      </c>
      <c r="V39" s="96"/>
      <c r="W39" s="96"/>
      <c r="X39" s="96"/>
      <c r="Y39" s="96">
        <v>655495.19999999995</v>
      </c>
      <c r="Z39" s="150">
        <f t="shared" si="3"/>
        <v>68.494796238244504</v>
      </c>
      <c r="AA39" s="96">
        <f t="shared" si="8"/>
        <v>2808713.08</v>
      </c>
      <c r="AB39" s="96">
        <f t="shared" si="11"/>
        <v>4339550</v>
      </c>
      <c r="AC39" s="236"/>
      <c r="AD39" s="113"/>
      <c r="AE39" s="132"/>
      <c r="AF39" s="125"/>
    </row>
    <row r="40" spans="1:32" s="15" customFormat="1" ht="30.75" customHeight="1" x14ac:dyDescent="0.25">
      <c r="A40" s="12" t="s">
        <v>576</v>
      </c>
      <c r="B40" s="13" t="str">
        <f>'дод 5'!A227</f>
        <v>7640</v>
      </c>
      <c r="C40" s="13" t="str">
        <f>'дод 5'!B227</f>
        <v>0470</v>
      </c>
      <c r="D40" s="16" t="s">
        <v>288</v>
      </c>
      <c r="E40" s="96">
        <f t="shared" si="9"/>
        <v>370000</v>
      </c>
      <c r="F40" s="96">
        <v>370000</v>
      </c>
      <c r="G40" s="96"/>
      <c r="H40" s="96"/>
      <c r="I40" s="96"/>
      <c r="J40" s="96"/>
      <c r="K40" s="96"/>
      <c r="L40" s="96"/>
      <c r="M40" s="150">
        <f t="shared" si="2"/>
        <v>0</v>
      </c>
      <c r="N40" s="96">
        <f t="shared" ref="N40" si="25">P40+S40</f>
        <v>0</v>
      </c>
      <c r="O40" s="96"/>
      <c r="P40" s="96"/>
      <c r="Q40" s="96"/>
      <c r="R40" s="96"/>
      <c r="S40" s="96"/>
      <c r="T40" s="96">
        <f t="shared" si="7"/>
        <v>0</v>
      </c>
      <c r="U40" s="96"/>
      <c r="V40" s="96"/>
      <c r="W40" s="96"/>
      <c r="X40" s="96"/>
      <c r="Y40" s="96"/>
      <c r="Z40" s="150" t="e">
        <f t="shared" si="3"/>
        <v>#DIV/0!</v>
      </c>
      <c r="AA40" s="96">
        <f t="shared" si="8"/>
        <v>0</v>
      </c>
      <c r="AB40" s="96">
        <f t="shared" si="11"/>
        <v>370000</v>
      </c>
      <c r="AC40" s="236"/>
      <c r="AD40" s="113"/>
      <c r="AE40" s="132"/>
      <c r="AF40" s="125"/>
    </row>
    <row r="41" spans="1:32" s="15" customFormat="1" ht="34.5" customHeight="1" x14ac:dyDescent="0.25">
      <c r="A41" s="12" t="s">
        <v>203</v>
      </c>
      <c r="B41" s="13" t="str">
        <f>'дод 5'!A234</f>
        <v>7680</v>
      </c>
      <c r="C41" s="12" t="str">
        <f>'дод 5'!B234</f>
        <v>0490</v>
      </c>
      <c r="D41" s="14" t="str">
        <f>'дод 5'!C234</f>
        <v>Членські внески до асоціацій органів місцевого самоврядування</v>
      </c>
      <c r="E41" s="96">
        <f t="shared" si="9"/>
        <v>463094</v>
      </c>
      <c r="F41" s="96">
        <v>463094</v>
      </c>
      <c r="G41" s="96"/>
      <c r="H41" s="96"/>
      <c r="I41" s="96"/>
      <c r="J41" s="96">
        <v>463094</v>
      </c>
      <c r="K41" s="96"/>
      <c r="L41" s="96"/>
      <c r="M41" s="150">
        <f t="shared" si="2"/>
        <v>100</v>
      </c>
      <c r="N41" s="96">
        <f t="shared" si="12"/>
        <v>0</v>
      </c>
      <c r="O41" s="96"/>
      <c r="P41" s="96"/>
      <c r="Q41" s="96"/>
      <c r="R41" s="96"/>
      <c r="S41" s="96"/>
      <c r="T41" s="96">
        <f t="shared" si="7"/>
        <v>0</v>
      </c>
      <c r="U41" s="96"/>
      <c r="V41" s="96"/>
      <c r="W41" s="96"/>
      <c r="X41" s="96"/>
      <c r="Y41" s="96"/>
      <c r="Z41" s="150" t="e">
        <f t="shared" si="3"/>
        <v>#DIV/0!</v>
      </c>
      <c r="AA41" s="96">
        <f t="shared" si="8"/>
        <v>463094</v>
      </c>
      <c r="AB41" s="96">
        <f t="shared" si="11"/>
        <v>463094</v>
      </c>
      <c r="AC41" s="236"/>
      <c r="AD41" s="113"/>
      <c r="AE41" s="132"/>
      <c r="AF41" s="125"/>
    </row>
    <row r="42" spans="1:32" s="15" customFormat="1" ht="117" customHeight="1" x14ac:dyDescent="0.25">
      <c r="A42" s="12" t="s">
        <v>233</v>
      </c>
      <c r="B42" s="13" t="str">
        <f>'дод 5'!A235</f>
        <v>7691</v>
      </c>
      <c r="C42" s="12" t="str">
        <f>'дод 5'!B235</f>
        <v>0490</v>
      </c>
      <c r="D42" s="14" t="s">
        <v>242</v>
      </c>
      <c r="E42" s="96">
        <f t="shared" si="9"/>
        <v>0</v>
      </c>
      <c r="F42" s="96"/>
      <c r="G42" s="96"/>
      <c r="H42" s="96"/>
      <c r="I42" s="96"/>
      <c r="J42" s="96"/>
      <c r="K42" s="96"/>
      <c r="L42" s="96"/>
      <c r="M42" s="150" t="e">
        <f t="shared" si="2"/>
        <v>#DIV/0!</v>
      </c>
      <c r="N42" s="96">
        <f t="shared" si="12"/>
        <v>124176.6</v>
      </c>
      <c r="O42" s="96"/>
      <c r="P42" s="96">
        <f>30000</f>
        <v>30000</v>
      </c>
      <c r="Q42" s="96"/>
      <c r="R42" s="96"/>
      <c r="S42" s="96">
        <v>94176.6</v>
      </c>
      <c r="T42" s="96">
        <f t="shared" si="7"/>
        <v>66000</v>
      </c>
      <c r="U42" s="96"/>
      <c r="V42" s="96"/>
      <c r="W42" s="96"/>
      <c r="X42" s="96"/>
      <c r="Y42" s="96">
        <v>66000</v>
      </c>
      <c r="Z42" s="150">
        <f t="shared" si="3"/>
        <v>53.150110407274795</v>
      </c>
      <c r="AA42" s="96">
        <f t="shared" si="8"/>
        <v>66000</v>
      </c>
      <c r="AB42" s="96">
        <f t="shared" si="11"/>
        <v>124176.6</v>
      </c>
      <c r="AC42" s="236"/>
      <c r="AD42" s="113"/>
      <c r="AE42" s="132"/>
      <c r="AF42" s="125"/>
    </row>
    <row r="43" spans="1:32" s="15" customFormat="1" ht="23.25" customHeight="1" x14ac:dyDescent="0.25">
      <c r="A43" s="12" t="s">
        <v>196</v>
      </c>
      <c r="B43" s="13" t="str">
        <f>'дод 5'!A236</f>
        <v>7693</v>
      </c>
      <c r="C43" s="12" t="str">
        <f>'дод 5'!B236</f>
        <v>0490</v>
      </c>
      <c r="D43" s="14" t="str">
        <f>'дод 5'!C236</f>
        <v>Інші заходи, пов'язані з економічною діяльністю</v>
      </c>
      <c r="E43" s="96">
        <f t="shared" si="9"/>
        <v>2104730</v>
      </c>
      <c r="F43" s="96">
        <f>1500100+200000+250000+154630</f>
        <v>2104730</v>
      </c>
      <c r="G43" s="96"/>
      <c r="H43" s="96"/>
      <c r="I43" s="96"/>
      <c r="J43" s="96">
        <v>1323768.45</v>
      </c>
      <c r="K43" s="96"/>
      <c r="L43" s="96"/>
      <c r="M43" s="150">
        <f t="shared" si="2"/>
        <v>62.894929515899904</v>
      </c>
      <c r="N43" s="96">
        <f t="shared" si="12"/>
        <v>0</v>
      </c>
      <c r="O43" s="96"/>
      <c r="P43" s="96"/>
      <c r="Q43" s="96"/>
      <c r="R43" s="96"/>
      <c r="S43" s="96"/>
      <c r="T43" s="96">
        <f t="shared" si="7"/>
        <v>0</v>
      </c>
      <c r="U43" s="96"/>
      <c r="V43" s="96"/>
      <c r="W43" s="96"/>
      <c r="X43" s="96"/>
      <c r="Y43" s="96"/>
      <c r="Z43" s="150" t="e">
        <f t="shared" si="3"/>
        <v>#DIV/0!</v>
      </c>
      <c r="AA43" s="96">
        <f t="shared" si="8"/>
        <v>1323768.45</v>
      </c>
      <c r="AB43" s="96">
        <f t="shared" si="11"/>
        <v>2104730</v>
      </c>
      <c r="AC43" s="236"/>
      <c r="AD43" s="113"/>
      <c r="AE43" s="132"/>
      <c r="AF43" s="125"/>
    </row>
    <row r="44" spans="1:32" s="15" customFormat="1" ht="34.5" customHeight="1" x14ac:dyDescent="0.25">
      <c r="A44" s="12" t="s">
        <v>130</v>
      </c>
      <c r="B44" s="13" t="str">
        <f>'дод 5'!A241</f>
        <v>8110</v>
      </c>
      <c r="C44" s="12" t="str">
        <f>'дод 5'!B241</f>
        <v>0320</v>
      </c>
      <c r="D44" s="14" t="str">
        <f>'дод 5'!C241</f>
        <v>Заходи із запобігання та ліквідації надзвичайних ситуацій та наслідків стихійного лиха</v>
      </c>
      <c r="E44" s="96">
        <f t="shared" si="9"/>
        <v>5578000</v>
      </c>
      <c r="F44" s="96">
        <f>6173800+492000+492000+79600+806000-2465400</f>
        <v>5578000</v>
      </c>
      <c r="G44" s="96"/>
      <c r="H44" s="96">
        <f>98000+492000+492000+95000</f>
        <v>1177000</v>
      </c>
      <c r="I44" s="96"/>
      <c r="J44" s="96">
        <v>4792194.49</v>
      </c>
      <c r="K44" s="96"/>
      <c r="L44" s="96">
        <v>1039965.54</v>
      </c>
      <c r="M44" s="150">
        <f t="shared" si="2"/>
        <v>85.912414664754394</v>
      </c>
      <c r="N44" s="96">
        <f t="shared" si="12"/>
        <v>895000</v>
      </c>
      <c r="O44" s="96">
        <f>920000-25000</f>
        <v>895000</v>
      </c>
      <c r="P44" s="96"/>
      <c r="Q44" s="96"/>
      <c r="R44" s="96"/>
      <c r="S44" s="96">
        <f>920000-25000</f>
        <v>895000</v>
      </c>
      <c r="T44" s="96">
        <f t="shared" si="7"/>
        <v>944936</v>
      </c>
      <c r="U44" s="96">
        <v>894936</v>
      </c>
      <c r="V44" s="96">
        <v>50000</v>
      </c>
      <c r="W44" s="96">
        <v>40983.599999999999</v>
      </c>
      <c r="X44" s="96"/>
      <c r="Y44" s="96">
        <v>894936</v>
      </c>
      <c r="Z44" s="150">
        <f t="shared" si="3"/>
        <v>105.57944134078213</v>
      </c>
      <c r="AA44" s="96">
        <f t="shared" si="8"/>
        <v>5737130.4900000002</v>
      </c>
      <c r="AB44" s="96">
        <f t="shared" si="11"/>
        <v>6473000</v>
      </c>
      <c r="AC44" s="236"/>
      <c r="AD44" s="113"/>
      <c r="AE44" s="132"/>
      <c r="AF44" s="125"/>
    </row>
    <row r="45" spans="1:32" s="15" customFormat="1" ht="31.5" x14ac:dyDescent="0.25">
      <c r="A45" s="12" t="s">
        <v>180</v>
      </c>
      <c r="B45" s="13" t="str">
        <f>'дод 5'!A242</f>
        <v>8120</v>
      </c>
      <c r="C45" s="12" t="str">
        <f>'дод 5'!B242</f>
        <v>0320</v>
      </c>
      <c r="D45" s="14" t="str">
        <f>'дод 5'!C242</f>
        <v>Заходи з організації рятування на водах, у т.ч. за рахунок:</v>
      </c>
      <c r="E45" s="96">
        <f t="shared" si="9"/>
        <v>4705900</v>
      </c>
      <c r="F45" s="96">
        <f>4480700+514900-514900+22300+96000+177500-70600</f>
        <v>4705900</v>
      </c>
      <c r="G45" s="96">
        <f>3314000+422100-422100+18300+27600</f>
        <v>3359900</v>
      </c>
      <c r="H45" s="96">
        <v>118900</v>
      </c>
      <c r="I45" s="96"/>
      <c r="J45" s="96">
        <v>4543927.3600000003</v>
      </c>
      <c r="K45" s="96">
        <v>3316913.86</v>
      </c>
      <c r="L45" s="96">
        <v>95494.1</v>
      </c>
      <c r="M45" s="150">
        <f t="shared" si="2"/>
        <v>96.558094307146362</v>
      </c>
      <c r="N45" s="96">
        <f t="shared" si="12"/>
        <v>77700</v>
      </c>
      <c r="O45" s="96">
        <v>70600</v>
      </c>
      <c r="P45" s="96">
        <v>7100</v>
      </c>
      <c r="Q45" s="96"/>
      <c r="R45" s="96">
        <v>1500</v>
      </c>
      <c r="S45" s="96">
        <v>70600</v>
      </c>
      <c r="T45" s="96">
        <f t="shared" si="7"/>
        <v>290726.19</v>
      </c>
      <c r="U45" s="96">
        <v>70600</v>
      </c>
      <c r="V45" s="96">
        <v>162666.16</v>
      </c>
      <c r="W45" s="96"/>
      <c r="X45" s="96"/>
      <c r="Y45" s="96">
        <v>128060.03</v>
      </c>
      <c r="Z45" s="150">
        <f t="shared" si="3"/>
        <v>374.16498069498073</v>
      </c>
      <c r="AA45" s="96">
        <f t="shared" si="8"/>
        <v>4834653.5500000007</v>
      </c>
      <c r="AB45" s="96">
        <f t="shared" si="11"/>
        <v>4783600</v>
      </c>
      <c r="AC45" s="236"/>
      <c r="AD45" s="113"/>
      <c r="AE45" s="132"/>
      <c r="AF45" s="125"/>
    </row>
    <row r="46" spans="1:32" s="23" customFormat="1" ht="63" x14ac:dyDescent="0.25">
      <c r="A46" s="20"/>
      <c r="B46" s="21"/>
      <c r="C46" s="20"/>
      <c r="D46" s="24" t="str">
        <f>'дод 5'!C243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46" s="97">
        <f t="shared" si="9"/>
        <v>540300</v>
      </c>
      <c r="F46" s="97">
        <f>514900+96000-70600</f>
        <v>540300</v>
      </c>
      <c r="G46" s="97">
        <v>422100</v>
      </c>
      <c r="H46" s="97"/>
      <c r="I46" s="97"/>
      <c r="J46" s="97">
        <v>540300</v>
      </c>
      <c r="K46" s="97">
        <v>422100</v>
      </c>
      <c r="L46" s="97"/>
      <c r="M46" s="151">
        <f t="shared" si="2"/>
        <v>100</v>
      </c>
      <c r="N46" s="97">
        <f t="shared" si="12"/>
        <v>70600</v>
      </c>
      <c r="O46" s="97">
        <v>70600</v>
      </c>
      <c r="P46" s="97"/>
      <c r="Q46" s="97"/>
      <c r="R46" s="97"/>
      <c r="S46" s="97">
        <v>70600</v>
      </c>
      <c r="T46" s="97">
        <v>70600</v>
      </c>
      <c r="U46" s="97">
        <v>70600</v>
      </c>
      <c r="V46" s="97"/>
      <c r="W46" s="97"/>
      <c r="X46" s="97"/>
      <c r="Y46" s="97">
        <v>70600</v>
      </c>
      <c r="Z46" s="151">
        <f t="shared" si="3"/>
        <v>100</v>
      </c>
      <c r="AA46" s="97">
        <f t="shared" si="8"/>
        <v>610900</v>
      </c>
      <c r="AB46" s="96">
        <f t="shared" si="11"/>
        <v>610900</v>
      </c>
      <c r="AC46" s="236"/>
      <c r="AD46" s="113"/>
      <c r="AE46" s="132"/>
      <c r="AF46" s="125"/>
    </row>
    <row r="47" spans="1:32" s="15" customFormat="1" ht="15.75" x14ac:dyDescent="0.25">
      <c r="A47" s="12" t="s">
        <v>199</v>
      </c>
      <c r="B47" s="13" t="str">
        <f>'дод 5'!A245</f>
        <v>8230</v>
      </c>
      <c r="C47" s="12" t="str">
        <f>'дод 5'!B245</f>
        <v>0380</v>
      </c>
      <c r="D47" s="14" t="str">
        <f>'дод 5'!C245</f>
        <v>Інші заходи громадського порядку та безпеки</v>
      </c>
      <c r="E47" s="96">
        <f t="shared" si="9"/>
        <v>909100</v>
      </c>
      <c r="F47" s="96">
        <f>714500+74000+120600</f>
        <v>909100</v>
      </c>
      <c r="G47" s="96"/>
      <c r="H47" s="96">
        <f>589400+28800+74000+140000</f>
        <v>832200</v>
      </c>
      <c r="I47" s="96"/>
      <c r="J47" s="96">
        <v>775073.54</v>
      </c>
      <c r="K47" s="96"/>
      <c r="L47" s="96">
        <v>698293.94</v>
      </c>
      <c r="M47" s="150">
        <f t="shared" si="2"/>
        <v>85.257236827631729</v>
      </c>
      <c r="N47" s="96">
        <f t="shared" si="12"/>
        <v>0</v>
      </c>
      <c r="O47" s="96"/>
      <c r="P47" s="96"/>
      <c r="Q47" s="96"/>
      <c r="R47" s="96"/>
      <c r="S47" s="96"/>
      <c r="T47" s="96">
        <f t="shared" si="7"/>
        <v>0</v>
      </c>
      <c r="U47" s="96"/>
      <c r="V47" s="96"/>
      <c r="W47" s="96"/>
      <c r="X47" s="96"/>
      <c r="Y47" s="96"/>
      <c r="Z47" s="150" t="e">
        <f t="shared" si="3"/>
        <v>#DIV/0!</v>
      </c>
      <c r="AA47" s="96">
        <f t="shared" si="8"/>
        <v>775073.54</v>
      </c>
      <c r="AB47" s="96">
        <f t="shared" si="11"/>
        <v>909100</v>
      </c>
      <c r="AC47" s="236"/>
      <c r="AD47" s="113"/>
      <c r="AE47" s="132"/>
      <c r="AF47" s="125"/>
    </row>
    <row r="48" spans="1:32" s="15" customFormat="1" ht="17.25" customHeight="1" x14ac:dyDescent="0.25">
      <c r="A48" s="12" t="s">
        <v>330</v>
      </c>
      <c r="B48" s="13">
        <f>'дод 5'!A246</f>
        <v>8240</v>
      </c>
      <c r="C48" s="12" t="str">
        <f>'дод 5'!B246</f>
        <v>0380</v>
      </c>
      <c r="D48" s="16" t="str">
        <f>'дод 5'!C246</f>
        <v>Заходи та роботи з територіальної оборони</v>
      </c>
      <c r="E48" s="96">
        <f t="shared" ref="E48:E49" si="26">F48+I48</f>
        <v>13564264</v>
      </c>
      <c r="F48" s="96">
        <f>3750000+7799264+750000+1265000</f>
        <v>13564264</v>
      </c>
      <c r="G48" s="96"/>
      <c r="H48" s="96">
        <f>750000+750000+1265000</f>
        <v>2765000</v>
      </c>
      <c r="I48" s="96"/>
      <c r="J48" s="96">
        <v>11955047.76</v>
      </c>
      <c r="K48" s="96"/>
      <c r="L48" s="96">
        <v>2327975.7599999998</v>
      </c>
      <c r="M48" s="150">
        <f t="shared" si="2"/>
        <v>88.136354172994572</v>
      </c>
      <c r="N48" s="96">
        <f t="shared" ref="N48:N49" si="27">P48+S48</f>
        <v>0</v>
      </c>
      <c r="O48" s="96"/>
      <c r="P48" s="96"/>
      <c r="Q48" s="96"/>
      <c r="R48" s="96"/>
      <c r="S48" s="96"/>
      <c r="T48" s="96">
        <f t="shared" si="7"/>
        <v>0</v>
      </c>
      <c r="U48" s="96"/>
      <c r="V48" s="96"/>
      <c r="W48" s="96"/>
      <c r="X48" s="96"/>
      <c r="Y48" s="96"/>
      <c r="Z48" s="150" t="e">
        <f t="shared" si="3"/>
        <v>#DIV/0!</v>
      </c>
      <c r="AA48" s="96">
        <f t="shared" si="8"/>
        <v>11955047.76</v>
      </c>
      <c r="AB48" s="96">
        <f t="shared" ref="AB48:AB49" si="28">E48+N48</f>
        <v>13564264</v>
      </c>
      <c r="AC48" s="236"/>
      <c r="AD48" s="113"/>
      <c r="AE48" s="132"/>
      <c r="AF48" s="125"/>
    </row>
    <row r="49" spans="1:32" s="15" customFormat="1" ht="35.85" customHeight="1" x14ac:dyDescent="0.25">
      <c r="A49" s="12" t="s">
        <v>577</v>
      </c>
      <c r="B49" s="13">
        <f>'дод 5'!A248</f>
        <v>8330</v>
      </c>
      <c r="C49" s="13" t="str">
        <f>'дод 5'!B248</f>
        <v>0540</v>
      </c>
      <c r="D49" s="16" t="str">
        <f>'дод 5'!C248</f>
        <v xml:space="preserve">Інша діяльність у сфері екології та охорони природних ресурсів </v>
      </c>
      <c r="E49" s="96">
        <f t="shared" si="26"/>
        <v>40000</v>
      </c>
      <c r="F49" s="96">
        <v>40000</v>
      </c>
      <c r="G49" s="96"/>
      <c r="H49" s="96"/>
      <c r="I49" s="96"/>
      <c r="J49" s="96">
        <v>21700</v>
      </c>
      <c r="K49" s="96"/>
      <c r="L49" s="96"/>
      <c r="M49" s="150">
        <f t="shared" si="2"/>
        <v>54.25</v>
      </c>
      <c r="N49" s="96">
        <f t="shared" si="27"/>
        <v>0</v>
      </c>
      <c r="O49" s="96"/>
      <c r="P49" s="96"/>
      <c r="Q49" s="96"/>
      <c r="R49" s="96"/>
      <c r="S49" s="96"/>
      <c r="T49" s="96">
        <f t="shared" si="7"/>
        <v>0</v>
      </c>
      <c r="U49" s="96"/>
      <c r="V49" s="96"/>
      <c r="W49" s="96"/>
      <c r="X49" s="96"/>
      <c r="Y49" s="96"/>
      <c r="Z49" s="150" t="e">
        <f t="shared" si="3"/>
        <v>#DIV/0!</v>
      </c>
      <c r="AA49" s="96">
        <f t="shared" si="8"/>
        <v>21700</v>
      </c>
      <c r="AB49" s="96">
        <f t="shared" si="28"/>
        <v>40000</v>
      </c>
      <c r="AC49" s="236"/>
      <c r="AD49" s="113"/>
      <c r="AE49" s="132"/>
      <c r="AF49" s="125"/>
    </row>
    <row r="50" spans="1:32" s="15" customFormat="1" ht="31.5" x14ac:dyDescent="0.25">
      <c r="A50" s="12" t="s">
        <v>131</v>
      </c>
      <c r="B50" s="13" t="str">
        <f>'дод 5'!A249</f>
        <v>8340</v>
      </c>
      <c r="C50" s="12" t="str">
        <f>'дод 5'!B249</f>
        <v>0540</v>
      </c>
      <c r="D50" s="14" t="str">
        <f>'дод 5'!C249</f>
        <v>Природоохоронні заходи за рахунок цільових фондів</v>
      </c>
      <c r="E50" s="96">
        <f t="shared" si="9"/>
        <v>0</v>
      </c>
      <c r="F50" s="96"/>
      <c r="G50" s="96"/>
      <c r="H50" s="96"/>
      <c r="I50" s="96"/>
      <c r="J50" s="96"/>
      <c r="K50" s="96"/>
      <c r="L50" s="96"/>
      <c r="M50" s="150" t="e">
        <f t="shared" si="2"/>
        <v>#DIV/0!</v>
      </c>
      <c r="N50" s="96">
        <f t="shared" si="12"/>
        <v>391625</v>
      </c>
      <c r="O50" s="96"/>
      <c r="P50" s="96">
        <f>80000+311625</f>
        <v>391625</v>
      </c>
      <c r="Q50" s="96"/>
      <c r="R50" s="96"/>
      <c r="S50" s="96"/>
      <c r="T50" s="96">
        <f t="shared" si="7"/>
        <v>77000</v>
      </c>
      <c r="U50" s="96"/>
      <c r="V50" s="96">
        <v>77000</v>
      </c>
      <c r="W50" s="96"/>
      <c r="X50" s="96"/>
      <c r="Y50" s="96"/>
      <c r="Z50" s="150">
        <f t="shared" si="3"/>
        <v>19.661666134695182</v>
      </c>
      <c r="AA50" s="96">
        <f t="shared" si="8"/>
        <v>77000</v>
      </c>
      <c r="AB50" s="96">
        <f t="shared" si="11"/>
        <v>391625</v>
      </c>
      <c r="AC50" s="237">
        <v>13</v>
      </c>
      <c r="AD50" s="113"/>
      <c r="AE50" s="132"/>
      <c r="AF50" s="125"/>
    </row>
    <row r="51" spans="1:32" s="15" customFormat="1" ht="34.15" customHeight="1" x14ac:dyDescent="0.25">
      <c r="A51" s="12" t="s">
        <v>559</v>
      </c>
      <c r="B51" s="13" t="str">
        <f>'дод 5'!A260</f>
        <v>9770</v>
      </c>
      <c r="C51" s="13" t="str">
        <f>'дод 5'!B260</f>
        <v>0180</v>
      </c>
      <c r="D51" s="16" t="str">
        <f>'дод 5'!C260</f>
        <v>Інші субвенції з місцевого бюджету</v>
      </c>
      <c r="E51" s="96">
        <f>F51+I51</f>
        <v>840000</v>
      </c>
      <c r="F51" s="96">
        <f>220000+120000+500000</f>
        <v>840000</v>
      </c>
      <c r="G51" s="96"/>
      <c r="H51" s="96"/>
      <c r="I51" s="96"/>
      <c r="J51" s="96">
        <v>840000</v>
      </c>
      <c r="K51" s="96"/>
      <c r="L51" s="96"/>
      <c r="M51" s="150">
        <f t="shared" si="2"/>
        <v>100</v>
      </c>
      <c r="N51" s="96">
        <f t="shared" ref="N51" si="29">P51+S51</f>
        <v>0</v>
      </c>
      <c r="O51" s="96"/>
      <c r="P51" s="96"/>
      <c r="Q51" s="96"/>
      <c r="R51" s="96"/>
      <c r="S51" s="96"/>
      <c r="T51" s="96">
        <f t="shared" si="7"/>
        <v>0</v>
      </c>
      <c r="U51" s="96"/>
      <c r="V51" s="96"/>
      <c r="W51" s="96"/>
      <c r="X51" s="96"/>
      <c r="Y51" s="96"/>
      <c r="Z51" s="150" t="e">
        <f t="shared" si="3"/>
        <v>#DIV/0!</v>
      </c>
      <c r="AA51" s="96">
        <f t="shared" si="8"/>
        <v>840000</v>
      </c>
      <c r="AB51" s="96">
        <f t="shared" ref="AB51" si="30">E51+N51</f>
        <v>840000</v>
      </c>
      <c r="AC51" s="237"/>
      <c r="AD51" s="113"/>
      <c r="AE51" s="132"/>
      <c r="AF51" s="125"/>
    </row>
    <row r="52" spans="1:32" s="15" customFormat="1" ht="47.25" customHeight="1" x14ac:dyDescent="0.25">
      <c r="A52" s="12" t="s">
        <v>280</v>
      </c>
      <c r="B52" s="13">
        <f>'дод 5'!A261</f>
        <v>9800</v>
      </c>
      <c r="C52" s="12" t="str">
        <f>'дод 5'!B261</f>
        <v>0180</v>
      </c>
      <c r="D52" s="16" t="str">
        <f>'дод 5'!C261</f>
        <v>Субвенція з місцевого бюджету державному бюджету на виконання програм соціально-економічного розвитку регіонів</v>
      </c>
      <c r="E52" s="96">
        <f>F52+I52</f>
        <v>57875664</v>
      </c>
      <c r="F52" s="96">
        <f>200000+2755000+816000+6403164-240000-800000+4700000+20000000+320000+1000000+700000+500000+500000+5000000+500000+600000+262000+500000+150000+4100000+4100000+115100+800000+200000+1400000-6100+2435000+408000+37500+220000+200000</f>
        <v>57875664</v>
      </c>
      <c r="G52" s="96"/>
      <c r="H52" s="96"/>
      <c r="I52" s="96"/>
      <c r="J52" s="96">
        <v>56490954.060000002</v>
      </c>
      <c r="K52" s="96"/>
      <c r="L52" s="96"/>
      <c r="M52" s="150">
        <f t="shared" si="2"/>
        <v>97.607440080514678</v>
      </c>
      <c r="N52" s="96">
        <f t="shared" si="12"/>
        <v>24883530</v>
      </c>
      <c r="O52" s="96">
        <f>10024200-213200+200000-2755000-816000+3420000-760000+800000+2100000+500000+510000+60000+1000000+6569930-600000+1200000+211000+2000000+84000+300000+6100+180000-37500+300000+600000</f>
        <v>24883530</v>
      </c>
      <c r="P52" s="96"/>
      <c r="Q52" s="96"/>
      <c r="R52" s="96"/>
      <c r="S52" s="96">
        <f>10024200-213200+200000-2755000-816000+3420000-760000+800000+2100000+500000+510000+60000+1000000+6569930-600000+1200000+211000+2000000+84000+300000+6100+180000-37500+300000+600000</f>
        <v>24883530</v>
      </c>
      <c r="T52" s="96">
        <f t="shared" si="7"/>
        <v>24548745</v>
      </c>
      <c r="U52" s="96">
        <v>24548745</v>
      </c>
      <c r="V52" s="96"/>
      <c r="W52" s="96"/>
      <c r="X52" s="96"/>
      <c r="Y52" s="96">
        <v>24548745</v>
      </c>
      <c r="Z52" s="150">
        <f t="shared" si="3"/>
        <v>98.654592013271426</v>
      </c>
      <c r="AA52" s="96">
        <f t="shared" si="8"/>
        <v>81039699.060000002</v>
      </c>
      <c r="AB52" s="96">
        <f t="shared" si="11"/>
        <v>82759194</v>
      </c>
      <c r="AC52" s="237"/>
      <c r="AD52" s="113"/>
      <c r="AE52" s="132"/>
      <c r="AF52" s="125"/>
    </row>
    <row r="53" spans="1:32" s="132" customFormat="1" ht="29.25" customHeight="1" x14ac:dyDescent="0.25">
      <c r="A53" s="8" t="s">
        <v>132</v>
      </c>
      <c r="B53" s="17"/>
      <c r="C53" s="8"/>
      <c r="D53" s="130" t="s">
        <v>20</v>
      </c>
      <c r="E53" s="120">
        <f>E54</f>
        <v>1616684022.0200002</v>
      </c>
      <c r="F53" s="120">
        <f t="shared" ref="F53:AA53" si="31">F54</f>
        <v>1616684022.0200002</v>
      </c>
      <c r="G53" s="120">
        <f t="shared" si="31"/>
        <v>1084560872.5699999</v>
      </c>
      <c r="H53" s="120">
        <f t="shared" si="31"/>
        <v>157492136</v>
      </c>
      <c r="I53" s="120">
        <f t="shared" si="31"/>
        <v>0</v>
      </c>
      <c r="J53" s="120">
        <f t="shared" si="31"/>
        <v>1573012528.4300001</v>
      </c>
      <c r="K53" s="120">
        <f t="shared" si="31"/>
        <v>1077434530.4000001</v>
      </c>
      <c r="L53" s="120">
        <f t="shared" si="31"/>
        <v>139579677.45999998</v>
      </c>
      <c r="M53" s="146">
        <f t="shared" si="2"/>
        <v>97.298699498778134</v>
      </c>
      <c r="N53" s="120">
        <f t="shared" si="31"/>
        <v>231506932.30000001</v>
      </c>
      <c r="O53" s="120">
        <f t="shared" si="31"/>
        <v>115548139.02</v>
      </c>
      <c r="P53" s="120">
        <f t="shared" si="31"/>
        <v>99618269.129999995</v>
      </c>
      <c r="Q53" s="120">
        <f t="shared" si="31"/>
        <v>11125600</v>
      </c>
      <c r="R53" s="120">
        <f t="shared" si="31"/>
        <v>6906830</v>
      </c>
      <c r="S53" s="120">
        <f t="shared" si="31"/>
        <v>131888663.17</v>
      </c>
      <c r="T53" s="120">
        <f t="shared" si="31"/>
        <v>245150583.34999999</v>
      </c>
      <c r="U53" s="120">
        <f t="shared" si="31"/>
        <v>96484062.340000004</v>
      </c>
      <c r="V53" s="120">
        <f t="shared" si="31"/>
        <v>102339914.18000002</v>
      </c>
      <c r="W53" s="120">
        <f t="shared" si="31"/>
        <v>13651685.709999999</v>
      </c>
      <c r="X53" s="120">
        <f t="shared" si="31"/>
        <v>3366595.06</v>
      </c>
      <c r="Y53" s="120">
        <f t="shared" si="31"/>
        <v>142810669.16999999</v>
      </c>
      <c r="Z53" s="146">
        <f t="shared" si="3"/>
        <v>105.89340928777015</v>
      </c>
      <c r="AA53" s="120">
        <f t="shared" si="31"/>
        <v>1818163111.7800004</v>
      </c>
      <c r="AB53" s="120">
        <f t="shared" ref="AB53" si="32">AB54</f>
        <v>1848190954.3200002</v>
      </c>
      <c r="AC53" s="237"/>
      <c r="AD53" s="112"/>
      <c r="AF53" s="125"/>
    </row>
    <row r="54" spans="1:32" s="11" customFormat="1" ht="33" customHeight="1" x14ac:dyDescent="0.25">
      <c r="A54" s="9" t="s">
        <v>133</v>
      </c>
      <c r="B54" s="18"/>
      <c r="C54" s="9"/>
      <c r="D54" s="131" t="s">
        <v>389</v>
      </c>
      <c r="E54" s="121">
        <f>E70+E71+E72+E74+E75+E83+E91+E92+E93+E96+E133+E134+E135+E137+E84+E136+E76+E94+E79+E81+E88+E97+E98+E100+E126+E122+E128+E120+E109+E110+E103+E117+E118+E112+E113+E105+E106+E108+E115+E124+E131+E138+E102</f>
        <v>1616684022.0200002</v>
      </c>
      <c r="F54" s="121">
        <f t="shared" ref="F54:AA54" si="33">F70+F71+F72+F74+F75+F83+F91+F92+F93+F96+F133+F134+F135+F137+F84+F136+F76+F94+F79+F81+F88+F97+F98+F100+F126+F122+F128+F120+F109+F110+F103+F117+F118+F112+F113+F105+F106+F108+F115+F124+F131+F138+F102</f>
        <v>1616684022.0200002</v>
      </c>
      <c r="G54" s="121">
        <f t="shared" si="33"/>
        <v>1084560872.5699999</v>
      </c>
      <c r="H54" s="121">
        <f t="shared" si="33"/>
        <v>157492136</v>
      </c>
      <c r="I54" s="121">
        <f t="shared" si="33"/>
        <v>0</v>
      </c>
      <c r="J54" s="121">
        <f t="shared" si="33"/>
        <v>1573012528.4300001</v>
      </c>
      <c r="K54" s="121">
        <f t="shared" si="33"/>
        <v>1077434530.4000001</v>
      </c>
      <c r="L54" s="121">
        <f t="shared" si="33"/>
        <v>139579677.45999998</v>
      </c>
      <c r="M54" s="149">
        <f t="shared" si="2"/>
        <v>97.298699498778134</v>
      </c>
      <c r="N54" s="121">
        <f t="shared" si="33"/>
        <v>231506932.30000001</v>
      </c>
      <c r="O54" s="121">
        <f t="shared" si="33"/>
        <v>115548139.02</v>
      </c>
      <c r="P54" s="121">
        <f t="shared" si="33"/>
        <v>99618269.129999995</v>
      </c>
      <c r="Q54" s="121">
        <f t="shared" si="33"/>
        <v>11125600</v>
      </c>
      <c r="R54" s="121">
        <f t="shared" si="33"/>
        <v>6906830</v>
      </c>
      <c r="S54" s="121">
        <f t="shared" si="33"/>
        <v>131888663.17</v>
      </c>
      <c r="T54" s="121">
        <f t="shared" si="33"/>
        <v>245150583.34999999</v>
      </c>
      <c r="U54" s="121">
        <f t="shared" si="33"/>
        <v>96484062.340000004</v>
      </c>
      <c r="V54" s="121">
        <f t="shared" si="33"/>
        <v>102339914.18000002</v>
      </c>
      <c r="W54" s="121">
        <f t="shared" si="33"/>
        <v>13651685.709999999</v>
      </c>
      <c r="X54" s="121">
        <f t="shared" si="33"/>
        <v>3366595.06</v>
      </c>
      <c r="Y54" s="121">
        <f t="shared" si="33"/>
        <v>142810669.16999999</v>
      </c>
      <c r="Z54" s="149">
        <f t="shared" si="3"/>
        <v>105.89340928777015</v>
      </c>
      <c r="AA54" s="121">
        <f t="shared" si="33"/>
        <v>1818163111.7800004</v>
      </c>
      <c r="AB54" s="121">
        <f t="shared" ref="AB54" si="34">AB70+AB71+AB72+AB74+AB75+AB83+AB91+AB92+AB93+AB96+AB133+AB134+AB135+AB137+AB84+AB136+AB76+AB94+AB79+AB81+AB88+AB97+AB98+AB100+AB126+AB122+AB128+AB120+AB109+AB110+AB103+AB117+AB118+AB112+AB113+AB105+AB106+AB108+AB115+AB124+AB131+AB138+AB102</f>
        <v>1848190954.3200002</v>
      </c>
      <c r="AC54" s="237"/>
      <c r="AD54" s="98"/>
      <c r="AE54" s="132"/>
      <c r="AF54" s="125"/>
    </row>
    <row r="55" spans="1:32" s="11" customFormat="1" ht="33" customHeight="1" x14ac:dyDescent="0.25">
      <c r="A55" s="9"/>
      <c r="B55" s="18"/>
      <c r="C55" s="9"/>
      <c r="D55" s="19" t="s">
        <v>394</v>
      </c>
      <c r="E55" s="121">
        <f>E77+E80+E82+E89+E111+E114+E116</f>
        <v>532789700</v>
      </c>
      <c r="F55" s="121">
        <f t="shared" ref="F55:AA55" si="35">F77+F80+F82+F89+F111+F114+F116</f>
        <v>532789700</v>
      </c>
      <c r="G55" s="121">
        <f t="shared" si="35"/>
        <v>437550400</v>
      </c>
      <c r="H55" s="121">
        <f t="shared" si="35"/>
        <v>0</v>
      </c>
      <c r="I55" s="121">
        <f t="shared" si="35"/>
        <v>0</v>
      </c>
      <c r="J55" s="121">
        <f t="shared" si="35"/>
        <v>532120337.46999997</v>
      </c>
      <c r="K55" s="121">
        <f t="shared" si="35"/>
        <v>437530691.24000001</v>
      </c>
      <c r="L55" s="121">
        <f t="shared" si="35"/>
        <v>0</v>
      </c>
      <c r="M55" s="149">
        <f t="shared" si="2"/>
        <v>99.874366465793159</v>
      </c>
      <c r="N55" s="121">
        <f t="shared" si="35"/>
        <v>20174100</v>
      </c>
      <c r="O55" s="121">
        <f t="shared" si="35"/>
        <v>0</v>
      </c>
      <c r="P55" s="121">
        <f t="shared" si="35"/>
        <v>5092400</v>
      </c>
      <c r="Q55" s="121">
        <f t="shared" si="35"/>
        <v>0</v>
      </c>
      <c r="R55" s="121">
        <f t="shared" si="35"/>
        <v>0</v>
      </c>
      <c r="S55" s="121">
        <f t="shared" si="35"/>
        <v>15081700</v>
      </c>
      <c r="T55" s="121">
        <f t="shared" si="35"/>
        <v>18255356.93</v>
      </c>
      <c r="U55" s="121">
        <f t="shared" si="35"/>
        <v>0</v>
      </c>
      <c r="V55" s="121">
        <f t="shared" si="35"/>
        <v>3764348.2</v>
      </c>
      <c r="W55" s="121">
        <f t="shared" si="35"/>
        <v>0</v>
      </c>
      <c r="X55" s="121">
        <f t="shared" si="35"/>
        <v>0</v>
      </c>
      <c r="Y55" s="121">
        <f t="shared" si="35"/>
        <v>14491008.73</v>
      </c>
      <c r="Z55" s="149">
        <f t="shared" si="3"/>
        <v>90.489077232689439</v>
      </c>
      <c r="AA55" s="121">
        <f t="shared" si="35"/>
        <v>550375694.39999998</v>
      </c>
      <c r="AB55" s="121">
        <f t="shared" ref="AB55" si="36">AB77+AB80+AB82+AB89+AB111+AB114+AB116</f>
        <v>552963800</v>
      </c>
      <c r="AC55" s="237"/>
      <c r="AD55" s="98"/>
      <c r="AE55" s="132"/>
      <c r="AF55" s="125"/>
    </row>
    <row r="56" spans="1:32" s="11" customFormat="1" ht="72" customHeight="1" x14ac:dyDescent="0.25">
      <c r="A56" s="9"/>
      <c r="B56" s="18"/>
      <c r="C56" s="9"/>
      <c r="D56" s="19" t="str">
        <f>D99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E56" s="121">
        <f>E99</f>
        <v>2239207</v>
      </c>
      <c r="F56" s="121">
        <f t="shared" ref="F56:AA56" si="37">F99</f>
        <v>2239207</v>
      </c>
      <c r="G56" s="121">
        <f t="shared" si="37"/>
        <v>0</v>
      </c>
      <c r="H56" s="121">
        <f t="shared" si="37"/>
        <v>0</v>
      </c>
      <c r="I56" s="121">
        <f t="shared" si="37"/>
        <v>0</v>
      </c>
      <c r="J56" s="121">
        <f t="shared" si="37"/>
        <v>2137666.1</v>
      </c>
      <c r="K56" s="121">
        <f t="shared" si="37"/>
        <v>0</v>
      </c>
      <c r="L56" s="121">
        <f t="shared" si="37"/>
        <v>0</v>
      </c>
      <c r="M56" s="149">
        <f t="shared" si="2"/>
        <v>95.465318749003558</v>
      </c>
      <c r="N56" s="121">
        <f t="shared" si="37"/>
        <v>8063593</v>
      </c>
      <c r="O56" s="121">
        <f t="shared" si="37"/>
        <v>8063593</v>
      </c>
      <c r="P56" s="121">
        <f t="shared" si="37"/>
        <v>0</v>
      </c>
      <c r="Q56" s="121">
        <f t="shared" si="37"/>
        <v>0</v>
      </c>
      <c r="R56" s="121">
        <f t="shared" si="37"/>
        <v>0</v>
      </c>
      <c r="S56" s="121">
        <f t="shared" si="37"/>
        <v>8063593</v>
      </c>
      <c r="T56" s="121">
        <f t="shared" si="37"/>
        <v>7634048.2999999998</v>
      </c>
      <c r="U56" s="121">
        <f t="shared" si="37"/>
        <v>7634048.2999999998</v>
      </c>
      <c r="V56" s="121">
        <f t="shared" si="37"/>
        <v>0</v>
      </c>
      <c r="W56" s="121">
        <f t="shared" si="37"/>
        <v>0</v>
      </c>
      <c r="X56" s="121">
        <f t="shared" si="37"/>
        <v>0</v>
      </c>
      <c r="Y56" s="121">
        <f t="shared" si="37"/>
        <v>7634048.2999999998</v>
      </c>
      <c r="Z56" s="149">
        <f t="shared" si="3"/>
        <v>94.673035953079477</v>
      </c>
      <c r="AA56" s="121">
        <f t="shared" si="37"/>
        <v>9771714.4000000004</v>
      </c>
      <c r="AB56" s="121">
        <f t="shared" ref="AB56" si="38">AB99</f>
        <v>10302800</v>
      </c>
      <c r="AC56" s="237"/>
      <c r="AD56" s="98"/>
      <c r="AE56" s="132"/>
      <c r="AF56" s="125"/>
    </row>
    <row r="57" spans="1:32" s="11" customFormat="1" ht="63" customHeight="1" x14ac:dyDescent="0.25">
      <c r="A57" s="9"/>
      <c r="B57" s="18"/>
      <c r="C57" s="9"/>
      <c r="D57" s="19" t="str">
        <f>D101</f>
        <v>субвенції з державного бюджету місцевим бюджетам на надання державної пітримки особам з особливими освітніми потребами</v>
      </c>
      <c r="E57" s="121">
        <f>E101+E125</f>
        <v>891200</v>
      </c>
      <c r="F57" s="121">
        <f t="shared" ref="F57:AA57" si="39">F101+F125</f>
        <v>891200</v>
      </c>
      <c r="G57" s="121">
        <f t="shared" si="39"/>
        <v>730490</v>
      </c>
      <c r="H57" s="121">
        <f t="shared" si="39"/>
        <v>0</v>
      </c>
      <c r="I57" s="121">
        <f t="shared" si="39"/>
        <v>0</v>
      </c>
      <c r="J57" s="121">
        <f t="shared" si="39"/>
        <v>891199.9</v>
      </c>
      <c r="K57" s="121">
        <f t="shared" si="39"/>
        <v>730490</v>
      </c>
      <c r="L57" s="121">
        <f t="shared" si="39"/>
        <v>0</v>
      </c>
      <c r="M57" s="149">
        <f t="shared" si="2"/>
        <v>99.99998877917416</v>
      </c>
      <c r="N57" s="121">
        <f t="shared" si="39"/>
        <v>1511800</v>
      </c>
      <c r="O57" s="121">
        <f t="shared" si="39"/>
        <v>0</v>
      </c>
      <c r="P57" s="121">
        <f t="shared" si="39"/>
        <v>1511800</v>
      </c>
      <c r="Q57" s="121">
        <f t="shared" si="39"/>
        <v>1239180</v>
      </c>
      <c r="R57" s="121">
        <f t="shared" si="39"/>
        <v>0</v>
      </c>
      <c r="S57" s="121">
        <f t="shared" si="39"/>
        <v>0</v>
      </c>
      <c r="T57" s="121">
        <f t="shared" si="39"/>
        <v>1511800</v>
      </c>
      <c r="U57" s="121">
        <f t="shared" si="39"/>
        <v>0</v>
      </c>
      <c r="V57" s="121">
        <f t="shared" si="39"/>
        <v>1511800</v>
      </c>
      <c r="W57" s="121">
        <f t="shared" si="39"/>
        <v>1239180</v>
      </c>
      <c r="X57" s="121">
        <f t="shared" si="39"/>
        <v>0</v>
      </c>
      <c r="Y57" s="121">
        <f t="shared" si="39"/>
        <v>0</v>
      </c>
      <c r="Z57" s="149">
        <f t="shared" si="3"/>
        <v>100</v>
      </c>
      <c r="AA57" s="121">
        <f t="shared" si="39"/>
        <v>2402999.9</v>
      </c>
      <c r="AB57" s="121">
        <f t="shared" ref="AB57" si="40">AB101+AB125</f>
        <v>2403000</v>
      </c>
      <c r="AC57" s="237"/>
      <c r="AD57" s="98"/>
      <c r="AE57" s="132"/>
      <c r="AF57" s="125"/>
    </row>
    <row r="58" spans="1:32" s="11" customFormat="1" ht="50.65" customHeight="1" x14ac:dyDescent="0.25">
      <c r="A58" s="9"/>
      <c r="B58" s="18"/>
      <c r="C58" s="9"/>
      <c r="D58" s="19" t="str">
        <f>D127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E58" s="121">
        <f>E127</f>
        <v>93946200</v>
      </c>
      <c r="F58" s="121">
        <f t="shared" ref="F58:AA58" si="41">F127</f>
        <v>93946200</v>
      </c>
      <c r="G58" s="121">
        <f t="shared" si="41"/>
        <v>77069710</v>
      </c>
      <c r="H58" s="121">
        <f t="shared" si="41"/>
        <v>0</v>
      </c>
      <c r="I58" s="121">
        <f t="shared" si="41"/>
        <v>0</v>
      </c>
      <c r="J58" s="121">
        <f t="shared" si="41"/>
        <v>85461031.459999993</v>
      </c>
      <c r="K58" s="121">
        <f t="shared" si="41"/>
        <v>70340992.209999993</v>
      </c>
      <c r="L58" s="121">
        <f t="shared" si="41"/>
        <v>0</v>
      </c>
      <c r="M58" s="149">
        <f t="shared" si="2"/>
        <v>90.968055610551573</v>
      </c>
      <c r="N58" s="121">
        <f t="shared" si="41"/>
        <v>0</v>
      </c>
      <c r="O58" s="121">
        <f t="shared" si="41"/>
        <v>0</v>
      </c>
      <c r="P58" s="121">
        <f t="shared" si="41"/>
        <v>0</v>
      </c>
      <c r="Q58" s="121">
        <f t="shared" si="41"/>
        <v>0</v>
      </c>
      <c r="R58" s="121">
        <f t="shared" si="41"/>
        <v>0</v>
      </c>
      <c r="S58" s="121">
        <f t="shared" si="41"/>
        <v>0</v>
      </c>
      <c r="T58" s="121">
        <f t="shared" si="41"/>
        <v>0</v>
      </c>
      <c r="U58" s="121">
        <f t="shared" si="41"/>
        <v>0</v>
      </c>
      <c r="V58" s="121">
        <f t="shared" si="41"/>
        <v>0</v>
      </c>
      <c r="W58" s="121">
        <f t="shared" si="41"/>
        <v>0</v>
      </c>
      <c r="X58" s="121">
        <f t="shared" si="41"/>
        <v>0</v>
      </c>
      <c r="Y58" s="121">
        <f t="shared" si="41"/>
        <v>0</v>
      </c>
      <c r="Z58" s="149" t="e">
        <f t="shared" si="3"/>
        <v>#DIV/0!</v>
      </c>
      <c r="AA58" s="121">
        <f t="shared" si="41"/>
        <v>85461031.459999993</v>
      </c>
      <c r="AB58" s="121">
        <f t="shared" ref="AB58" si="42">AB127</f>
        <v>93946200</v>
      </c>
      <c r="AC58" s="237"/>
      <c r="AD58" s="98"/>
      <c r="AE58" s="132"/>
      <c r="AF58" s="125"/>
    </row>
    <row r="59" spans="1:32" s="11" customFormat="1" ht="50.25" customHeight="1" x14ac:dyDescent="0.25">
      <c r="A59" s="9"/>
      <c r="B59" s="18"/>
      <c r="C59" s="9"/>
      <c r="D59" s="19" t="str">
        <f>D123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59" s="121">
        <f>E123</f>
        <v>0</v>
      </c>
      <c r="F59" s="121">
        <f t="shared" ref="F59:AA59" si="43">F123</f>
        <v>0</v>
      </c>
      <c r="G59" s="121">
        <f t="shared" si="43"/>
        <v>0</v>
      </c>
      <c r="H59" s="121">
        <f t="shared" si="43"/>
        <v>0</v>
      </c>
      <c r="I59" s="121">
        <f t="shared" si="43"/>
        <v>0</v>
      </c>
      <c r="J59" s="121">
        <f t="shared" si="43"/>
        <v>0</v>
      </c>
      <c r="K59" s="121">
        <f t="shared" si="43"/>
        <v>0</v>
      </c>
      <c r="L59" s="121">
        <f t="shared" si="43"/>
        <v>0</v>
      </c>
      <c r="M59" s="149" t="e">
        <f t="shared" si="2"/>
        <v>#DIV/0!</v>
      </c>
      <c r="N59" s="121">
        <f t="shared" si="43"/>
        <v>22533600</v>
      </c>
      <c r="O59" s="121">
        <f t="shared" si="43"/>
        <v>0</v>
      </c>
      <c r="P59" s="121">
        <f t="shared" si="43"/>
        <v>22533600</v>
      </c>
      <c r="Q59" s="121">
        <f t="shared" si="43"/>
        <v>0</v>
      </c>
      <c r="R59" s="121">
        <f t="shared" si="43"/>
        <v>0</v>
      </c>
      <c r="S59" s="121">
        <f t="shared" si="43"/>
        <v>0</v>
      </c>
      <c r="T59" s="121">
        <f t="shared" si="43"/>
        <v>12419141.67</v>
      </c>
      <c r="U59" s="121">
        <f t="shared" si="43"/>
        <v>0</v>
      </c>
      <c r="V59" s="121">
        <f t="shared" si="43"/>
        <v>12419141.67</v>
      </c>
      <c r="W59" s="121">
        <f t="shared" si="43"/>
        <v>0</v>
      </c>
      <c r="X59" s="121">
        <f t="shared" si="43"/>
        <v>0</v>
      </c>
      <c r="Y59" s="121">
        <f t="shared" si="43"/>
        <v>0</v>
      </c>
      <c r="Z59" s="149">
        <f t="shared" si="3"/>
        <v>55.113881803173925</v>
      </c>
      <c r="AA59" s="121">
        <f t="shared" si="43"/>
        <v>12419141.67</v>
      </c>
      <c r="AB59" s="121">
        <f t="shared" ref="AB59" si="44">AB123</f>
        <v>22533600</v>
      </c>
      <c r="AC59" s="237"/>
      <c r="AD59" s="98"/>
      <c r="AE59" s="132"/>
      <c r="AF59" s="125"/>
    </row>
    <row r="60" spans="1:32" s="11" customFormat="1" ht="50.65" customHeight="1" x14ac:dyDescent="0.25">
      <c r="A60" s="9"/>
      <c r="B60" s="18"/>
      <c r="C60" s="9"/>
      <c r="D60" s="19" t="str">
        <f>D132</f>
        <v>субвенції з державного бюджету місцевим бюджетам на забезпечення харчуванням учнів закладів загальної середньої освіти</v>
      </c>
      <c r="E60" s="121">
        <f>E132</f>
        <v>12808000</v>
      </c>
      <c r="F60" s="121">
        <f t="shared" ref="F60:AA60" si="45">F132</f>
        <v>12808000</v>
      </c>
      <c r="G60" s="121">
        <f t="shared" si="45"/>
        <v>0</v>
      </c>
      <c r="H60" s="121">
        <f t="shared" si="45"/>
        <v>0</v>
      </c>
      <c r="I60" s="121">
        <f t="shared" si="45"/>
        <v>0</v>
      </c>
      <c r="J60" s="121">
        <f t="shared" si="45"/>
        <v>2161021.58</v>
      </c>
      <c r="K60" s="121">
        <f t="shared" si="45"/>
        <v>0</v>
      </c>
      <c r="L60" s="121">
        <f t="shared" si="45"/>
        <v>0</v>
      </c>
      <c r="M60" s="149">
        <f t="shared" si="2"/>
        <v>16.872435821361652</v>
      </c>
      <c r="N60" s="121">
        <f t="shared" si="45"/>
        <v>0</v>
      </c>
      <c r="O60" s="121">
        <f t="shared" si="45"/>
        <v>0</v>
      </c>
      <c r="P60" s="121">
        <f t="shared" si="45"/>
        <v>0</v>
      </c>
      <c r="Q60" s="121">
        <f t="shared" si="45"/>
        <v>0</v>
      </c>
      <c r="R60" s="121">
        <f t="shared" si="45"/>
        <v>0</v>
      </c>
      <c r="S60" s="121">
        <f t="shared" si="45"/>
        <v>0</v>
      </c>
      <c r="T60" s="121">
        <f t="shared" si="45"/>
        <v>0</v>
      </c>
      <c r="U60" s="121">
        <f t="shared" si="45"/>
        <v>0</v>
      </c>
      <c r="V60" s="121">
        <f t="shared" si="45"/>
        <v>0</v>
      </c>
      <c r="W60" s="121">
        <f t="shared" si="45"/>
        <v>0</v>
      </c>
      <c r="X60" s="121">
        <f t="shared" si="45"/>
        <v>0</v>
      </c>
      <c r="Y60" s="121">
        <f t="shared" si="45"/>
        <v>0</v>
      </c>
      <c r="Z60" s="149" t="e">
        <f t="shared" si="3"/>
        <v>#DIV/0!</v>
      </c>
      <c r="AA60" s="121">
        <f t="shared" si="45"/>
        <v>2161021.58</v>
      </c>
      <c r="AB60" s="121">
        <f t="shared" ref="AB60" si="46">AB132</f>
        <v>12808000</v>
      </c>
      <c r="AC60" s="237"/>
      <c r="AD60" s="98"/>
      <c r="AE60" s="132"/>
      <c r="AF60" s="125"/>
    </row>
    <row r="61" spans="1:32" s="11" customFormat="1" ht="110.25" x14ac:dyDescent="0.25">
      <c r="A61" s="9"/>
      <c r="B61" s="18"/>
      <c r="C61" s="9"/>
      <c r="D61" s="19" t="str">
        <f>D104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E61" s="121">
        <f>E104</f>
        <v>2442000</v>
      </c>
      <c r="F61" s="121">
        <f t="shared" ref="F61:AA61" si="47">F104</f>
        <v>2442000</v>
      </c>
      <c r="G61" s="121">
        <f t="shared" si="47"/>
        <v>0</v>
      </c>
      <c r="H61" s="121">
        <f t="shared" si="47"/>
        <v>0</v>
      </c>
      <c r="I61" s="121">
        <f t="shared" si="47"/>
        <v>0</v>
      </c>
      <c r="J61" s="121">
        <f t="shared" si="47"/>
        <v>1817007.36</v>
      </c>
      <c r="K61" s="121">
        <f t="shared" si="47"/>
        <v>0</v>
      </c>
      <c r="L61" s="121">
        <f t="shared" si="47"/>
        <v>0</v>
      </c>
      <c r="M61" s="149">
        <f t="shared" si="2"/>
        <v>74.406525798525806</v>
      </c>
      <c r="N61" s="121">
        <f t="shared" si="47"/>
        <v>12258000</v>
      </c>
      <c r="O61" s="121">
        <f t="shared" si="47"/>
        <v>12258000</v>
      </c>
      <c r="P61" s="121">
        <f t="shared" si="47"/>
        <v>0</v>
      </c>
      <c r="Q61" s="121">
        <f t="shared" si="47"/>
        <v>0</v>
      </c>
      <c r="R61" s="121">
        <f t="shared" si="47"/>
        <v>0</v>
      </c>
      <c r="S61" s="121">
        <f t="shared" si="47"/>
        <v>12258000</v>
      </c>
      <c r="T61" s="121">
        <f t="shared" si="47"/>
        <v>5102077</v>
      </c>
      <c r="U61" s="121">
        <f t="shared" si="47"/>
        <v>5102077</v>
      </c>
      <c r="V61" s="121">
        <f t="shared" si="47"/>
        <v>0</v>
      </c>
      <c r="W61" s="121">
        <f t="shared" si="47"/>
        <v>0</v>
      </c>
      <c r="X61" s="121">
        <f t="shared" si="47"/>
        <v>0</v>
      </c>
      <c r="Y61" s="121">
        <f t="shared" si="47"/>
        <v>5102077</v>
      </c>
      <c r="Z61" s="149">
        <f t="shared" si="3"/>
        <v>41.622426170664056</v>
      </c>
      <c r="AA61" s="121">
        <f t="shared" si="47"/>
        <v>6919084.3600000003</v>
      </c>
      <c r="AB61" s="121">
        <f t="shared" ref="AB61" si="48">AB104</f>
        <v>14700000</v>
      </c>
      <c r="AC61" s="237"/>
      <c r="AD61" s="98"/>
      <c r="AE61" s="132"/>
      <c r="AF61" s="125"/>
    </row>
    <row r="62" spans="1:32" s="11" customFormat="1" ht="123" customHeight="1" x14ac:dyDescent="0.25">
      <c r="A62" s="9"/>
      <c r="B62" s="18"/>
      <c r="C62" s="9"/>
      <c r="D62" s="19" t="str">
        <f>D85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62" s="121">
        <f>E85+E121+E139</f>
        <v>4858759</v>
      </c>
      <c r="F62" s="121">
        <f t="shared" ref="F62:AA62" si="49">F85+F121+F139</f>
        <v>4858759</v>
      </c>
      <c r="G62" s="121">
        <f t="shared" si="49"/>
        <v>0</v>
      </c>
      <c r="H62" s="121">
        <f t="shared" si="49"/>
        <v>0</v>
      </c>
      <c r="I62" s="121">
        <f t="shared" si="49"/>
        <v>0</v>
      </c>
      <c r="J62" s="121">
        <f t="shared" si="49"/>
        <v>4858759</v>
      </c>
      <c r="K62" s="121">
        <f t="shared" si="49"/>
        <v>0</v>
      </c>
      <c r="L62" s="121">
        <f t="shared" si="49"/>
        <v>0</v>
      </c>
      <c r="M62" s="149">
        <f t="shared" si="2"/>
        <v>100</v>
      </c>
      <c r="N62" s="121">
        <f t="shared" si="49"/>
        <v>30815214.670000002</v>
      </c>
      <c r="O62" s="121">
        <f t="shared" si="49"/>
        <v>30815214.670000002</v>
      </c>
      <c r="P62" s="121">
        <f t="shared" si="49"/>
        <v>0</v>
      </c>
      <c r="Q62" s="121">
        <f t="shared" si="49"/>
        <v>0</v>
      </c>
      <c r="R62" s="121">
        <f t="shared" si="49"/>
        <v>0</v>
      </c>
      <c r="S62" s="121">
        <f t="shared" si="49"/>
        <v>30815214.670000002</v>
      </c>
      <c r="T62" s="121">
        <f t="shared" si="49"/>
        <v>23865495.829999998</v>
      </c>
      <c r="U62" s="121">
        <f t="shared" si="49"/>
        <v>23865495.829999998</v>
      </c>
      <c r="V62" s="121">
        <f t="shared" si="49"/>
        <v>0</v>
      </c>
      <c r="W62" s="121">
        <f t="shared" si="49"/>
        <v>0</v>
      </c>
      <c r="X62" s="121">
        <f t="shared" si="49"/>
        <v>0</v>
      </c>
      <c r="Y62" s="121">
        <f t="shared" si="49"/>
        <v>23865495.829999998</v>
      </c>
      <c r="Z62" s="149">
        <f t="shared" si="3"/>
        <v>77.44711852756987</v>
      </c>
      <c r="AA62" s="121">
        <f t="shared" si="49"/>
        <v>28724254.829999998</v>
      </c>
      <c r="AB62" s="121">
        <f t="shared" ref="AB62" si="50">AB85+AB121+AB139</f>
        <v>35673973.670000002</v>
      </c>
      <c r="AC62" s="237"/>
      <c r="AD62" s="98"/>
      <c r="AE62" s="132"/>
      <c r="AF62" s="125"/>
    </row>
    <row r="63" spans="1:32" s="11" customFormat="1" ht="23.25" customHeight="1" x14ac:dyDescent="0.25">
      <c r="A63" s="9"/>
      <c r="B63" s="18"/>
      <c r="C63" s="9"/>
      <c r="D63" s="19" t="str">
        <f>D86</f>
        <v>іншої дотації з місцевого бюджету</v>
      </c>
      <c r="E63" s="121">
        <f>E86</f>
        <v>0</v>
      </c>
      <c r="F63" s="121">
        <f t="shared" ref="F63:AA63" si="51">F86</f>
        <v>0</v>
      </c>
      <c r="G63" s="121">
        <f t="shared" si="51"/>
        <v>0</v>
      </c>
      <c r="H63" s="121">
        <f t="shared" si="51"/>
        <v>0</v>
      </c>
      <c r="I63" s="121">
        <f t="shared" si="51"/>
        <v>0</v>
      </c>
      <c r="J63" s="121">
        <f t="shared" si="51"/>
        <v>0</v>
      </c>
      <c r="K63" s="121">
        <f t="shared" si="51"/>
        <v>0</v>
      </c>
      <c r="L63" s="121">
        <f t="shared" si="51"/>
        <v>0</v>
      </c>
      <c r="M63" s="149" t="e">
        <f t="shared" si="2"/>
        <v>#DIV/0!</v>
      </c>
      <c r="N63" s="121">
        <f t="shared" si="51"/>
        <v>4063300</v>
      </c>
      <c r="O63" s="121">
        <f t="shared" si="51"/>
        <v>4063300</v>
      </c>
      <c r="P63" s="121">
        <f t="shared" si="51"/>
        <v>0</v>
      </c>
      <c r="Q63" s="121">
        <f t="shared" si="51"/>
        <v>0</v>
      </c>
      <c r="R63" s="121">
        <f t="shared" si="51"/>
        <v>0</v>
      </c>
      <c r="S63" s="121">
        <f t="shared" si="51"/>
        <v>4063300</v>
      </c>
      <c r="T63" s="121">
        <f t="shared" si="51"/>
        <v>3987122.64</v>
      </c>
      <c r="U63" s="121">
        <f t="shared" si="51"/>
        <v>3987122.64</v>
      </c>
      <c r="V63" s="121">
        <f t="shared" si="51"/>
        <v>0</v>
      </c>
      <c r="W63" s="121">
        <f t="shared" si="51"/>
        <v>0</v>
      </c>
      <c r="X63" s="121">
        <f t="shared" si="51"/>
        <v>0</v>
      </c>
      <c r="Y63" s="121">
        <f t="shared" si="51"/>
        <v>3987122.64</v>
      </c>
      <c r="Z63" s="149">
        <f t="shared" si="3"/>
        <v>98.12523416927128</v>
      </c>
      <c r="AA63" s="121">
        <f t="shared" si="51"/>
        <v>3987122.64</v>
      </c>
      <c r="AB63" s="121">
        <f t="shared" ref="AB63" si="52">AB86</f>
        <v>4063300</v>
      </c>
      <c r="AC63" s="237"/>
      <c r="AD63" s="98"/>
      <c r="AE63" s="132"/>
      <c r="AF63" s="125"/>
    </row>
    <row r="64" spans="1:32" s="11" customFormat="1" ht="74.25" customHeight="1" x14ac:dyDescent="0.25">
      <c r="A64" s="9"/>
      <c r="B64" s="18"/>
      <c r="C64" s="9"/>
      <c r="D64" s="19" t="str">
        <f>D130</f>
        <v>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v>
      </c>
      <c r="E64" s="121">
        <f>E130</f>
        <v>0</v>
      </c>
      <c r="F64" s="121">
        <f t="shared" ref="F64:AA64" si="53">F130</f>
        <v>0</v>
      </c>
      <c r="G64" s="121">
        <f t="shared" si="53"/>
        <v>0</v>
      </c>
      <c r="H64" s="121">
        <f t="shared" si="53"/>
        <v>0</v>
      </c>
      <c r="I64" s="121">
        <f t="shared" si="53"/>
        <v>0</v>
      </c>
      <c r="J64" s="121">
        <f t="shared" si="53"/>
        <v>0</v>
      </c>
      <c r="K64" s="121">
        <f t="shared" si="53"/>
        <v>0</v>
      </c>
      <c r="L64" s="121">
        <f t="shared" si="53"/>
        <v>0</v>
      </c>
      <c r="M64" s="149" t="e">
        <f t="shared" si="2"/>
        <v>#DIV/0!</v>
      </c>
      <c r="N64" s="121">
        <f t="shared" si="53"/>
        <v>7899800</v>
      </c>
      <c r="O64" s="121">
        <f t="shared" si="53"/>
        <v>0</v>
      </c>
      <c r="P64" s="121">
        <f t="shared" si="53"/>
        <v>7899800</v>
      </c>
      <c r="Q64" s="121">
        <f t="shared" si="53"/>
        <v>0</v>
      </c>
      <c r="R64" s="121">
        <f t="shared" si="53"/>
        <v>0</v>
      </c>
      <c r="S64" s="121">
        <f t="shared" si="53"/>
        <v>0</v>
      </c>
      <c r="T64" s="121">
        <f t="shared" si="53"/>
        <v>2861910.4</v>
      </c>
      <c r="U64" s="121">
        <f t="shared" si="53"/>
        <v>0</v>
      </c>
      <c r="V64" s="121">
        <f t="shared" si="53"/>
        <v>2861910.4</v>
      </c>
      <c r="W64" s="121">
        <f t="shared" si="53"/>
        <v>0</v>
      </c>
      <c r="X64" s="121">
        <f t="shared" si="53"/>
        <v>0</v>
      </c>
      <c r="Y64" s="121">
        <f t="shared" si="53"/>
        <v>0</v>
      </c>
      <c r="Z64" s="149">
        <f t="shared" si="3"/>
        <v>36.22763107926783</v>
      </c>
      <c r="AA64" s="121">
        <f t="shared" si="53"/>
        <v>2861910.4</v>
      </c>
      <c r="AB64" s="121">
        <f t="shared" ref="AB64" si="54">AB130</f>
        <v>7899800</v>
      </c>
      <c r="AC64" s="237"/>
      <c r="AD64" s="98"/>
      <c r="AE64" s="132"/>
      <c r="AF64" s="125"/>
    </row>
    <row r="65" spans="1:32" s="11" customFormat="1" ht="79.150000000000006" customHeight="1" x14ac:dyDescent="0.25">
      <c r="A65" s="9"/>
      <c r="B65" s="18"/>
      <c r="C65" s="9"/>
      <c r="D65" s="19" t="str">
        <f>D129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65" s="19">
        <f t="shared" ref="E65:AB65" si="55">E129</f>
        <v>0</v>
      </c>
      <c r="F65" s="19">
        <f t="shared" ref="F65:AA65" si="56">F129</f>
        <v>0</v>
      </c>
      <c r="G65" s="19">
        <f t="shared" si="56"/>
        <v>0</v>
      </c>
      <c r="H65" s="19">
        <f t="shared" si="56"/>
        <v>0</v>
      </c>
      <c r="I65" s="19">
        <f t="shared" si="56"/>
        <v>0</v>
      </c>
      <c r="J65" s="19">
        <f t="shared" si="56"/>
        <v>0</v>
      </c>
      <c r="K65" s="19">
        <f t="shared" si="56"/>
        <v>0</v>
      </c>
      <c r="L65" s="19">
        <f t="shared" si="56"/>
        <v>0</v>
      </c>
      <c r="M65" s="152" t="e">
        <f t="shared" si="2"/>
        <v>#DIV/0!</v>
      </c>
      <c r="N65" s="19">
        <f t="shared" si="56"/>
        <v>2892900</v>
      </c>
      <c r="O65" s="19">
        <f t="shared" si="56"/>
        <v>0</v>
      </c>
      <c r="P65" s="19">
        <f t="shared" si="56"/>
        <v>2892900</v>
      </c>
      <c r="Q65" s="19">
        <f t="shared" si="56"/>
        <v>0</v>
      </c>
      <c r="R65" s="19">
        <f t="shared" si="56"/>
        <v>0</v>
      </c>
      <c r="S65" s="19">
        <f t="shared" si="56"/>
        <v>0</v>
      </c>
      <c r="T65" s="19">
        <f t="shared" si="56"/>
        <v>2892900</v>
      </c>
      <c r="U65" s="19">
        <f t="shared" si="56"/>
        <v>0</v>
      </c>
      <c r="V65" s="19">
        <f t="shared" si="56"/>
        <v>2892900</v>
      </c>
      <c r="W65" s="19">
        <f t="shared" si="56"/>
        <v>0</v>
      </c>
      <c r="X65" s="19">
        <f t="shared" si="56"/>
        <v>0</v>
      </c>
      <c r="Y65" s="19">
        <f t="shared" si="56"/>
        <v>0</v>
      </c>
      <c r="Z65" s="152">
        <f t="shared" si="3"/>
        <v>100</v>
      </c>
      <c r="AA65" s="19">
        <f t="shared" si="56"/>
        <v>2892900</v>
      </c>
      <c r="AB65" s="121">
        <f t="shared" si="55"/>
        <v>2892900</v>
      </c>
      <c r="AC65" s="237"/>
      <c r="AD65" s="98"/>
      <c r="AE65" s="132"/>
      <c r="AF65" s="125"/>
    </row>
    <row r="66" spans="1:32" s="11" customFormat="1" ht="59.25" customHeight="1" x14ac:dyDescent="0.25">
      <c r="A66" s="9"/>
      <c r="B66" s="18"/>
      <c r="C66" s="9"/>
      <c r="D66" s="19" t="str">
        <f>D119</f>
        <v>субвенція з місцевого бюджету за рахунок залишку коштів освітньої субвенції, що утворився на початок бюджетного періоду</v>
      </c>
      <c r="E66" s="74">
        <f>E119</f>
        <v>0</v>
      </c>
      <c r="F66" s="74">
        <f t="shared" ref="F66:AA66" si="57">F119</f>
        <v>0</v>
      </c>
      <c r="G66" s="74">
        <f t="shared" si="57"/>
        <v>0</v>
      </c>
      <c r="H66" s="74">
        <f t="shared" si="57"/>
        <v>0</v>
      </c>
      <c r="I66" s="74">
        <f t="shared" si="57"/>
        <v>0</v>
      </c>
      <c r="J66" s="74">
        <f t="shared" si="57"/>
        <v>0</v>
      </c>
      <c r="K66" s="74">
        <f t="shared" si="57"/>
        <v>0</v>
      </c>
      <c r="L66" s="74">
        <f t="shared" si="57"/>
        <v>0</v>
      </c>
      <c r="M66" s="153" t="e">
        <f t="shared" si="2"/>
        <v>#DIV/0!</v>
      </c>
      <c r="N66" s="74">
        <f t="shared" si="57"/>
        <v>1368993.2799999998</v>
      </c>
      <c r="O66" s="74">
        <f t="shared" si="57"/>
        <v>0</v>
      </c>
      <c r="P66" s="74">
        <f t="shared" si="57"/>
        <v>547169.13</v>
      </c>
      <c r="Q66" s="74">
        <f t="shared" si="57"/>
        <v>0</v>
      </c>
      <c r="R66" s="74">
        <f t="shared" si="57"/>
        <v>0</v>
      </c>
      <c r="S66" s="74">
        <f t="shared" si="57"/>
        <v>821824.14999999991</v>
      </c>
      <c r="T66" s="74">
        <f t="shared" si="57"/>
        <v>1361595.1600000001</v>
      </c>
      <c r="U66" s="74">
        <f t="shared" si="57"/>
        <v>0</v>
      </c>
      <c r="V66" s="74">
        <f t="shared" si="57"/>
        <v>547150.76</v>
      </c>
      <c r="W66" s="74">
        <f t="shared" si="57"/>
        <v>0</v>
      </c>
      <c r="X66" s="74">
        <f t="shared" si="57"/>
        <v>0</v>
      </c>
      <c r="Y66" s="74">
        <f t="shared" si="57"/>
        <v>814444.4</v>
      </c>
      <c r="Z66" s="153">
        <f t="shared" si="3"/>
        <v>99.459594133288974</v>
      </c>
      <c r="AA66" s="74">
        <f t="shared" si="57"/>
        <v>1361595.1600000001</v>
      </c>
      <c r="AB66" s="121">
        <f t="shared" ref="AB66" si="58">AB119</f>
        <v>1368993.2799999998</v>
      </c>
      <c r="AC66" s="237"/>
      <c r="AD66" s="98"/>
      <c r="AE66" s="132"/>
      <c r="AF66" s="125"/>
    </row>
    <row r="67" spans="1:32" s="11" customFormat="1" ht="44.25" customHeight="1" x14ac:dyDescent="0.25">
      <c r="A67" s="9"/>
      <c r="B67" s="18"/>
      <c r="C67" s="9"/>
      <c r="D67" s="131" t="s">
        <v>387</v>
      </c>
      <c r="E67" s="121">
        <f t="shared" ref="E67:AB67" si="59">E78+E95+E90</f>
        <v>5905981.3700000001</v>
      </c>
      <c r="F67" s="121">
        <f t="shared" ref="F67:AA67" si="60">F78+F95+F90</f>
        <v>5905981.3700000001</v>
      </c>
      <c r="G67" s="121">
        <f t="shared" si="60"/>
        <v>2257749.5700000003</v>
      </c>
      <c r="H67" s="121">
        <f t="shared" si="60"/>
        <v>0</v>
      </c>
      <c r="I67" s="121">
        <f t="shared" si="60"/>
        <v>0</v>
      </c>
      <c r="J67" s="121">
        <f t="shared" si="60"/>
        <v>5854480.1500000004</v>
      </c>
      <c r="K67" s="121">
        <f t="shared" si="60"/>
        <v>2214596.31</v>
      </c>
      <c r="L67" s="121">
        <f t="shared" si="60"/>
        <v>0</v>
      </c>
      <c r="M67" s="149">
        <f t="shared" si="2"/>
        <v>99.127982010549417</v>
      </c>
      <c r="N67" s="121">
        <f t="shared" si="60"/>
        <v>0</v>
      </c>
      <c r="O67" s="121">
        <f t="shared" si="60"/>
        <v>0</v>
      </c>
      <c r="P67" s="121">
        <f t="shared" si="60"/>
        <v>0</v>
      </c>
      <c r="Q67" s="121">
        <f t="shared" si="60"/>
        <v>0</v>
      </c>
      <c r="R67" s="121">
        <f t="shared" si="60"/>
        <v>0</v>
      </c>
      <c r="S67" s="121">
        <f t="shared" si="60"/>
        <v>0</v>
      </c>
      <c r="T67" s="121">
        <f t="shared" si="60"/>
        <v>0</v>
      </c>
      <c r="U67" s="121">
        <f t="shared" si="60"/>
        <v>0</v>
      </c>
      <c r="V67" s="121">
        <f t="shared" si="60"/>
        <v>0</v>
      </c>
      <c r="W67" s="121">
        <f t="shared" si="60"/>
        <v>0</v>
      </c>
      <c r="X67" s="121">
        <f t="shared" si="60"/>
        <v>0</v>
      </c>
      <c r="Y67" s="121">
        <f t="shared" si="60"/>
        <v>0</v>
      </c>
      <c r="Z67" s="149" t="e">
        <f t="shared" si="3"/>
        <v>#DIV/0!</v>
      </c>
      <c r="AA67" s="121">
        <f t="shared" si="60"/>
        <v>5854480.1500000004</v>
      </c>
      <c r="AB67" s="121">
        <f t="shared" si="59"/>
        <v>5905981.3700000001</v>
      </c>
      <c r="AC67" s="237"/>
      <c r="AD67" s="98"/>
      <c r="AE67" s="132"/>
      <c r="AF67" s="125"/>
    </row>
    <row r="68" spans="1:32" s="11" customFormat="1" ht="108" customHeight="1" x14ac:dyDescent="0.25">
      <c r="A68" s="9"/>
      <c r="B68" s="18"/>
      <c r="C68" s="9"/>
      <c r="D68" s="131" t="str">
        <f>D107</f>
        <v>субвенції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v>
      </c>
      <c r="E68" s="121">
        <f>E107</f>
        <v>79200</v>
      </c>
      <c r="F68" s="121">
        <f t="shared" ref="F68:AA68" si="61">F107</f>
        <v>79200</v>
      </c>
      <c r="G68" s="121">
        <f t="shared" si="61"/>
        <v>0</v>
      </c>
      <c r="H68" s="121">
        <f t="shared" si="61"/>
        <v>0</v>
      </c>
      <c r="I68" s="121">
        <f t="shared" si="61"/>
        <v>0</v>
      </c>
      <c r="J68" s="121">
        <f t="shared" si="61"/>
        <v>79159.5</v>
      </c>
      <c r="K68" s="121">
        <f t="shared" si="61"/>
        <v>0</v>
      </c>
      <c r="L68" s="121">
        <f t="shared" si="61"/>
        <v>0</v>
      </c>
      <c r="M68" s="149">
        <f t="shared" si="2"/>
        <v>99.94886363636364</v>
      </c>
      <c r="N68" s="121">
        <f t="shared" si="61"/>
        <v>0</v>
      </c>
      <c r="O68" s="121">
        <f t="shared" si="61"/>
        <v>0</v>
      </c>
      <c r="P68" s="121">
        <f t="shared" si="61"/>
        <v>0</v>
      </c>
      <c r="Q68" s="121">
        <f t="shared" si="61"/>
        <v>0</v>
      </c>
      <c r="R68" s="121">
        <f t="shared" si="61"/>
        <v>0</v>
      </c>
      <c r="S68" s="121">
        <f t="shared" si="61"/>
        <v>0</v>
      </c>
      <c r="T68" s="121">
        <f t="shared" si="61"/>
        <v>0</v>
      </c>
      <c r="U68" s="121">
        <f t="shared" si="61"/>
        <v>0</v>
      </c>
      <c r="V68" s="121">
        <f t="shared" si="61"/>
        <v>0</v>
      </c>
      <c r="W68" s="121">
        <f t="shared" si="61"/>
        <v>0</v>
      </c>
      <c r="X68" s="121">
        <f t="shared" si="61"/>
        <v>0</v>
      </c>
      <c r="Y68" s="121">
        <f t="shared" si="61"/>
        <v>0</v>
      </c>
      <c r="Z68" s="149" t="e">
        <f t="shared" si="3"/>
        <v>#DIV/0!</v>
      </c>
      <c r="AA68" s="121">
        <f t="shared" si="61"/>
        <v>79159.5</v>
      </c>
      <c r="AB68" s="121">
        <f t="shared" ref="AB68" si="62">AB107</f>
        <v>79200</v>
      </c>
      <c r="AC68" s="237"/>
      <c r="AD68" s="98"/>
      <c r="AE68" s="132"/>
      <c r="AF68" s="125"/>
    </row>
    <row r="69" spans="1:32" s="11" customFormat="1" ht="15.75" x14ac:dyDescent="0.25">
      <c r="A69" s="9"/>
      <c r="B69" s="18"/>
      <c r="C69" s="9"/>
      <c r="D69" s="131" t="str">
        <f>D87</f>
        <v>іншої субвенції з місцевого бюджету</v>
      </c>
      <c r="E69" s="121">
        <f>E87+E73</f>
        <v>207505</v>
      </c>
      <c r="F69" s="121">
        <f t="shared" ref="F69:AA69" si="63">F87+F73</f>
        <v>207505</v>
      </c>
      <c r="G69" s="121">
        <f t="shared" si="63"/>
        <v>170089</v>
      </c>
      <c r="H69" s="121">
        <f t="shared" si="63"/>
        <v>0</v>
      </c>
      <c r="I69" s="121">
        <f t="shared" si="63"/>
        <v>0</v>
      </c>
      <c r="J69" s="121">
        <f t="shared" si="63"/>
        <v>207505</v>
      </c>
      <c r="K69" s="121">
        <f t="shared" si="63"/>
        <v>170089</v>
      </c>
      <c r="L69" s="121">
        <f t="shared" si="63"/>
        <v>0</v>
      </c>
      <c r="M69" s="149">
        <f t="shared" si="2"/>
        <v>100</v>
      </c>
      <c r="N69" s="121">
        <f t="shared" si="63"/>
        <v>6053500</v>
      </c>
      <c r="O69" s="121">
        <f t="shared" si="63"/>
        <v>6053500</v>
      </c>
      <c r="P69" s="121">
        <f t="shared" si="63"/>
        <v>0</v>
      </c>
      <c r="Q69" s="121">
        <f t="shared" si="63"/>
        <v>0</v>
      </c>
      <c r="R69" s="121">
        <f t="shared" si="63"/>
        <v>0</v>
      </c>
      <c r="S69" s="121">
        <f t="shared" si="63"/>
        <v>6053500</v>
      </c>
      <c r="T69" s="121">
        <f t="shared" si="63"/>
        <v>6051044.25</v>
      </c>
      <c r="U69" s="121">
        <f t="shared" si="63"/>
        <v>6051044.25</v>
      </c>
      <c r="V69" s="121">
        <f t="shared" si="63"/>
        <v>0</v>
      </c>
      <c r="W69" s="121">
        <f t="shared" si="63"/>
        <v>0</v>
      </c>
      <c r="X69" s="121">
        <f t="shared" si="63"/>
        <v>0</v>
      </c>
      <c r="Y69" s="121">
        <f t="shared" si="63"/>
        <v>6051044.25</v>
      </c>
      <c r="Z69" s="149">
        <f t="shared" si="3"/>
        <v>99.959432559676216</v>
      </c>
      <c r="AA69" s="121">
        <f t="shared" si="63"/>
        <v>6258549.25</v>
      </c>
      <c r="AB69" s="121">
        <f t="shared" ref="AB69" si="64">AB87+AB73</f>
        <v>6261005</v>
      </c>
      <c r="AC69" s="237"/>
      <c r="AD69" s="98"/>
      <c r="AE69" s="132"/>
      <c r="AF69" s="125"/>
    </row>
    <row r="70" spans="1:32" s="15" customFormat="1" ht="45.75" customHeight="1" x14ac:dyDescent="0.25">
      <c r="A70" s="12" t="s">
        <v>134</v>
      </c>
      <c r="B70" s="13" t="str">
        <f>'дод 5'!A19</f>
        <v>0160</v>
      </c>
      <c r="C70" s="12" t="str">
        <f>'дод 5'!B19</f>
        <v>0111</v>
      </c>
      <c r="D70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70" s="96">
        <f t="shared" ref="E70:E138" si="65">F70+I70</f>
        <v>6032400</v>
      </c>
      <c r="F70" s="96">
        <f>5997800-72000+16100+90500</f>
        <v>6032400</v>
      </c>
      <c r="G70" s="96">
        <f>4567200+13200+74200-12250</f>
        <v>4642350</v>
      </c>
      <c r="H70" s="96">
        <v>111900</v>
      </c>
      <c r="I70" s="96"/>
      <c r="J70" s="96">
        <v>5952043.3600000003</v>
      </c>
      <c r="K70" s="96">
        <v>4615478.9800000004</v>
      </c>
      <c r="L70" s="96">
        <v>94535.97</v>
      </c>
      <c r="M70" s="150">
        <f t="shared" si="2"/>
        <v>98.667915920694909</v>
      </c>
      <c r="N70" s="96">
        <f>P70+S70</f>
        <v>0</v>
      </c>
      <c r="O70" s="96">
        <v>0</v>
      </c>
      <c r="P70" s="96"/>
      <c r="Q70" s="96"/>
      <c r="R70" s="96"/>
      <c r="S70" s="96">
        <v>0</v>
      </c>
      <c r="T70" s="96">
        <f t="shared" si="7"/>
        <v>0</v>
      </c>
      <c r="U70" s="96"/>
      <c r="V70" s="96"/>
      <c r="W70" s="96"/>
      <c r="X70" s="96"/>
      <c r="Y70" s="96"/>
      <c r="Z70" s="150" t="e">
        <f t="shared" si="3"/>
        <v>#DIV/0!</v>
      </c>
      <c r="AA70" s="96">
        <f t="shared" si="8"/>
        <v>5952043.3600000003</v>
      </c>
      <c r="AB70" s="96">
        <f t="shared" ref="AB70:AB138" si="66">E70+N70</f>
        <v>6032400</v>
      </c>
      <c r="AC70" s="237"/>
      <c r="AD70" s="113"/>
      <c r="AE70" s="132"/>
      <c r="AF70" s="125"/>
    </row>
    <row r="71" spans="1:32" s="15" customFormat="1" ht="27" customHeight="1" x14ac:dyDescent="0.25">
      <c r="A71" s="12" t="s">
        <v>135</v>
      </c>
      <c r="B71" s="13" t="str">
        <f>'дод 5'!A39</f>
        <v>1010</v>
      </c>
      <c r="C71" s="12" t="str">
        <f>'дод 5'!B39</f>
        <v>0910</v>
      </c>
      <c r="D71" s="14" t="str">
        <f>'дод 5'!C39</f>
        <v>Надання дошкільної освіти</v>
      </c>
      <c r="E71" s="96">
        <f t="shared" si="65"/>
        <v>392563266</v>
      </c>
      <c r="F71" s="96">
        <f>372792900+35000+1069539+3000000+1568600+555000+4300000+236318+1578909+200100+3416100+3145000+332000+73800+260000</f>
        <v>392563266</v>
      </c>
      <c r="G71" s="96">
        <f>253895000+876671+1286800+2580000-170000</f>
        <v>258468471</v>
      </c>
      <c r="H71" s="96">
        <f>47086600+1578909+332000</f>
        <v>48997509</v>
      </c>
      <c r="I71" s="96"/>
      <c r="J71" s="96">
        <v>388904107.74000001</v>
      </c>
      <c r="K71" s="96">
        <v>258454205.88</v>
      </c>
      <c r="L71" s="96">
        <v>45702962.270000003</v>
      </c>
      <c r="M71" s="150">
        <f t="shared" si="2"/>
        <v>99.067880625386891</v>
      </c>
      <c r="N71" s="96">
        <f>P71+S71</f>
        <v>17214330</v>
      </c>
      <c r="O71" s="96">
        <f>135000+27300</f>
        <v>162300</v>
      </c>
      <c r="P71" s="96">
        <v>17052030</v>
      </c>
      <c r="Q71" s="96"/>
      <c r="R71" s="96"/>
      <c r="S71" s="96">
        <f>135000+27300</f>
        <v>162300</v>
      </c>
      <c r="T71" s="96">
        <f t="shared" si="7"/>
        <v>11208205.34</v>
      </c>
      <c r="U71" s="96">
        <v>162072.5</v>
      </c>
      <c r="V71" s="96">
        <v>10812637.720000001</v>
      </c>
      <c r="W71" s="96">
        <v>1734671.25</v>
      </c>
      <c r="X71" s="96"/>
      <c r="Y71" s="96">
        <v>395567.62</v>
      </c>
      <c r="Z71" s="150">
        <f t="shared" si="3"/>
        <v>65.109739037185875</v>
      </c>
      <c r="AA71" s="96">
        <f t="shared" si="8"/>
        <v>400112313.07999998</v>
      </c>
      <c r="AB71" s="96">
        <f t="shared" si="66"/>
        <v>409777596</v>
      </c>
      <c r="AC71" s="237"/>
      <c r="AD71" s="113"/>
      <c r="AE71" s="132"/>
      <c r="AF71" s="125"/>
    </row>
    <row r="72" spans="1:32" s="15" customFormat="1" ht="53.65" customHeight="1" x14ac:dyDescent="0.25">
      <c r="A72" s="12" t="s">
        <v>294</v>
      </c>
      <c r="B72" s="12">
        <f>'дод 5'!A40</f>
        <v>1021</v>
      </c>
      <c r="C72" s="12" t="str">
        <f>'дод 5'!B40</f>
        <v>0921</v>
      </c>
      <c r="D72" s="14" t="s">
        <v>566</v>
      </c>
      <c r="E72" s="96">
        <f t="shared" si="65"/>
        <v>276266776</v>
      </c>
      <c r="F72" s="96">
        <f>275705700+120960+470000+40359+210000+126132+1313346-3000000+440000+115000+183500+244280+550700+254440+300000-4300000+236318+145600+168600+802904+31231+259824+2734680+309008+150847+288000-18886-2918400+13929+26000+300000+228701+399547+16902+230000-7180-55440+218174+192000-260000</f>
        <v>276266776</v>
      </c>
      <c r="G72" s="96">
        <f>145056200+1076513+451200+25601+13854</f>
        <v>146623368</v>
      </c>
      <c r="H72" s="96">
        <f>65222400-22100+2734680+399547+230000</f>
        <v>68564527</v>
      </c>
      <c r="I72" s="96"/>
      <c r="J72" s="96">
        <v>267305106.72999999</v>
      </c>
      <c r="K72" s="96">
        <v>146614548.49000001</v>
      </c>
      <c r="L72" s="96">
        <v>60631112.270000003</v>
      </c>
      <c r="M72" s="150">
        <f t="shared" si="2"/>
        <v>96.756153816338738</v>
      </c>
      <c r="N72" s="96">
        <f t="shared" ref="N72:N138" si="67">P72+S72</f>
        <v>32581907</v>
      </c>
      <c r="O72" s="96">
        <f>1000000+500000+3654000+1500000+63000+84400+2000000+99980+24400+300000+3050179+264822+55440+46120-255844</f>
        <v>12386497</v>
      </c>
      <c r="P72" s="96">
        <v>20195410</v>
      </c>
      <c r="Q72" s="96">
        <v>2627920</v>
      </c>
      <c r="R72" s="96">
        <v>244330</v>
      </c>
      <c r="S72" s="96">
        <f>1000000+500000+3654000+1500000+63000+84400+2000000+99980+24400+300000+3050179+264822+55440+46120-255844</f>
        <v>12386497</v>
      </c>
      <c r="T72" s="96">
        <f t="shared" si="7"/>
        <v>69822256.420000002</v>
      </c>
      <c r="U72" s="96">
        <v>10920167.890000001</v>
      </c>
      <c r="V72" s="96">
        <v>45829432.899999999</v>
      </c>
      <c r="W72" s="96">
        <v>6329252.1299999999</v>
      </c>
      <c r="X72" s="96">
        <v>35933.26</v>
      </c>
      <c r="Y72" s="96">
        <v>23992823.52</v>
      </c>
      <c r="Z72" s="150">
        <f t="shared" si="3"/>
        <v>214.29763586275047</v>
      </c>
      <c r="AA72" s="96">
        <f t="shared" si="8"/>
        <v>337127363.14999998</v>
      </c>
      <c r="AB72" s="96">
        <f t="shared" si="66"/>
        <v>308848683</v>
      </c>
      <c r="AC72" s="237"/>
      <c r="AD72" s="113"/>
      <c r="AE72" s="132"/>
      <c r="AF72" s="125"/>
    </row>
    <row r="73" spans="1:32" s="23" customFormat="1" ht="25.5" customHeight="1" x14ac:dyDescent="0.25">
      <c r="A73" s="20"/>
      <c r="B73" s="20"/>
      <c r="C73" s="20"/>
      <c r="D73" s="22" t="s">
        <v>281</v>
      </c>
      <c r="E73" s="97">
        <f t="shared" si="65"/>
        <v>48133</v>
      </c>
      <c r="F73" s="97">
        <f>31231+16902</f>
        <v>48133</v>
      </c>
      <c r="G73" s="97">
        <f>25601+13854</f>
        <v>39455</v>
      </c>
      <c r="H73" s="97"/>
      <c r="I73" s="97"/>
      <c r="J73" s="97">
        <v>48133</v>
      </c>
      <c r="K73" s="97">
        <v>39455</v>
      </c>
      <c r="L73" s="97"/>
      <c r="M73" s="151">
        <f t="shared" si="2"/>
        <v>100</v>
      </c>
      <c r="N73" s="97"/>
      <c r="O73" s="97"/>
      <c r="P73" s="97"/>
      <c r="Q73" s="97"/>
      <c r="R73" s="97"/>
      <c r="S73" s="97"/>
      <c r="T73" s="97">
        <f t="shared" si="7"/>
        <v>0</v>
      </c>
      <c r="U73" s="97"/>
      <c r="V73" s="97"/>
      <c r="W73" s="97"/>
      <c r="X73" s="97"/>
      <c r="Y73" s="97"/>
      <c r="Z73" s="151" t="e">
        <f t="shared" si="3"/>
        <v>#DIV/0!</v>
      </c>
      <c r="AA73" s="97">
        <f t="shared" si="8"/>
        <v>48133</v>
      </c>
      <c r="AB73" s="97">
        <f t="shared" si="66"/>
        <v>48133</v>
      </c>
      <c r="AC73" s="237"/>
      <c r="AD73" s="114"/>
      <c r="AE73" s="132"/>
      <c r="AF73" s="125"/>
    </row>
    <row r="74" spans="1:32" s="15" customFormat="1" ht="89.25" customHeight="1" x14ac:dyDescent="0.25">
      <c r="A74" s="12" t="s">
        <v>295</v>
      </c>
      <c r="B74" s="13">
        <f>'дод 5'!A42</f>
        <v>1022</v>
      </c>
      <c r="C74" s="12" t="str">
        <f>'дод 5'!B42</f>
        <v>0922</v>
      </c>
      <c r="D74" s="16" t="str">
        <f>'дод 5'!C42</f>
        <v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v>
      </c>
      <c r="E74" s="96">
        <f t="shared" si="65"/>
        <v>18608386</v>
      </c>
      <c r="F74" s="96">
        <f>18577200+53200+12000+18886-277500+224600</f>
        <v>18608386</v>
      </c>
      <c r="G74" s="96">
        <f>11223500+43600+184100</f>
        <v>11451200</v>
      </c>
      <c r="H74" s="96">
        <v>3058200</v>
      </c>
      <c r="I74" s="96"/>
      <c r="J74" s="96">
        <v>18283835.940000001</v>
      </c>
      <c r="K74" s="96">
        <v>11450931.289999999</v>
      </c>
      <c r="L74" s="96">
        <v>2760991.12</v>
      </c>
      <c r="M74" s="150">
        <f t="shared" si="2"/>
        <v>98.255893552509079</v>
      </c>
      <c r="N74" s="96">
        <f t="shared" si="67"/>
        <v>0</v>
      </c>
      <c r="O74" s="96"/>
      <c r="P74" s="96"/>
      <c r="Q74" s="96"/>
      <c r="R74" s="96"/>
      <c r="S74" s="96"/>
      <c r="T74" s="96">
        <f t="shared" si="7"/>
        <v>1291589.1000000001</v>
      </c>
      <c r="U74" s="96"/>
      <c r="V74" s="96">
        <v>1000868.31</v>
      </c>
      <c r="W74" s="96">
        <v>303434.3</v>
      </c>
      <c r="X74" s="96"/>
      <c r="Y74" s="96">
        <v>290720.78999999998</v>
      </c>
      <c r="Z74" s="150" t="e">
        <f t="shared" si="3"/>
        <v>#DIV/0!</v>
      </c>
      <c r="AA74" s="96">
        <f t="shared" si="8"/>
        <v>19575425.040000003</v>
      </c>
      <c r="AB74" s="96">
        <f t="shared" si="66"/>
        <v>18608386</v>
      </c>
      <c r="AC74" s="237"/>
      <c r="AD74" s="113"/>
      <c r="AE74" s="132"/>
      <c r="AF74" s="125"/>
    </row>
    <row r="75" spans="1:32" s="15" customFormat="1" ht="83.25" customHeight="1" x14ac:dyDescent="0.25">
      <c r="A75" s="12" t="s">
        <v>318</v>
      </c>
      <c r="B75" s="13">
        <f>'дод 5'!A43</f>
        <v>1025</v>
      </c>
      <c r="C75" s="12" t="str">
        <f>'дод 5'!B43</f>
        <v>0922</v>
      </c>
      <c r="D75" s="16" t="str">
        <f>'дод 5'!C43</f>
        <v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v>
      </c>
      <c r="E75" s="96">
        <f t="shared" si="65"/>
        <v>14166400</v>
      </c>
      <c r="F75" s="96">
        <f>13453600+58000+7700+462000+185100</f>
        <v>14166400</v>
      </c>
      <c r="G75" s="96">
        <f>9459000+47600+410900+152100</f>
        <v>10069600</v>
      </c>
      <c r="H75" s="96">
        <v>1260200</v>
      </c>
      <c r="I75" s="96"/>
      <c r="J75" s="96">
        <v>13951958</v>
      </c>
      <c r="K75" s="96">
        <v>10068620.25</v>
      </c>
      <c r="L75" s="96">
        <v>1105845.45</v>
      </c>
      <c r="M75" s="150">
        <f t="shared" si="2"/>
        <v>98.486263270838037</v>
      </c>
      <c r="N75" s="96">
        <f t="shared" si="67"/>
        <v>0</v>
      </c>
      <c r="O75" s="96"/>
      <c r="P75" s="96"/>
      <c r="Q75" s="96"/>
      <c r="R75" s="96"/>
      <c r="S75" s="96"/>
      <c r="T75" s="96">
        <f t="shared" si="7"/>
        <v>658434.68000000005</v>
      </c>
      <c r="U75" s="96"/>
      <c r="V75" s="96">
        <v>524934.68000000005</v>
      </c>
      <c r="W75" s="96"/>
      <c r="X75" s="96"/>
      <c r="Y75" s="96">
        <v>133500</v>
      </c>
      <c r="Z75" s="150" t="e">
        <f t="shared" si="3"/>
        <v>#DIV/0!</v>
      </c>
      <c r="AA75" s="96">
        <f t="shared" si="8"/>
        <v>14610392.68</v>
      </c>
      <c r="AB75" s="96">
        <f t="shared" si="66"/>
        <v>14166400</v>
      </c>
      <c r="AC75" s="237"/>
      <c r="AD75" s="113"/>
      <c r="AE75" s="132"/>
      <c r="AF75" s="125"/>
    </row>
    <row r="76" spans="1:32" s="15" customFormat="1" ht="52.15" customHeight="1" x14ac:dyDescent="0.25">
      <c r="A76" s="12" t="s">
        <v>386</v>
      </c>
      <c r="B76" s="13">
        <f>'дод 5'!A44</f>
        <v>1031</v>
      </c>
      <c r="C76" s="12">
        <f>'дод 5'!B44</f>
        <v>921</v>
      </c>
      <c r="D76" s="16" t="str">
        <f>'дод 5'!C44</f>
        <v>Надання загальної середньої освіти закладами загальної середньої освіти за рахунок освітньої субвенції,  у т. ч. за рахунок:</v>
      </c>
      <c r="E76" s="96">
        <f t="shared" ref="E76:E80" si="68">F76+I76</f>
        <v>495457562.92000002</v>
      </c>
      <c r="F76" s="96">
        <f>F77+F78</f>
        <v>495457562.92000002</v>
      </c>
      <c r="G76" s="96">
        <f t="shared" ref="G76:H76" si="69">G77+G78</f>
        <v>404285040.56999999</v>
      </c>
      <c r="H76" s="96">
        <f t="shared" si="69"/>
        <v>0</v>
      </c>
      <c r="I76" s="96"/>
      <c r="J76" s="96">
        <v>494847132.69</v>
      </c>
      <c r="K76" s="96">
        <v>404236335.06</v>
      </c>
      <c r="L76" s="96"/>
      <c r="M76" s="150">
        <f t="shared" si="2"/>
        <v>99.876794648889316</v>
      </c>
      <c r="N76" s="96">
        <f t="shared" ref="N76:N80" si="70">P76+S76</f>
        <v>0</v>
      </c>
      <c r="O76" s="96"/>
      <c r="P76" s="96"/>
      <c r="Q76" s="96"/>
      <c r="R76" s="96"/>
      <c r="S76" s="96"/>
      <c r="T76" s="96">
        <f t="shared" si="7"/>
        <v>0</v>
      </c>
      <c r="U76" s="96"/>
      <c r="V76" s="96"/>
      <c r="W76" s="96"/>
      <c r="X76" s="96"/>
      <c r="Y76" s="96"/>
      <c r="Z76" s="150" t="e">
        <f t="shared" si="3"/>
        <v>#DIV/0!</v>
      </c>
      <c r="AA76" s="96">
        <f t="shared" si="8"/>
        <v>494847132.69</v>
      </c>
      <c r="AB76" s="96">
        <f t="shared" ref="AB76:AB78" si="71">E76+N76</f>
        <v>495457562.92000002</v>
      </c>
      <c r="AC76" s="237"/>
      <c r="AD76" s="113"/>
      <c r="AE76" s="132"/>
      <c r="AF76" s="125"/>
    </row>
    <row r="77" spans="1:32" s="23" customFormat="1" ht="31.5" x14ac:dyDescent="0.25">
      <c r="A77" s="20"/>
      <c r="B77" s="21"/>
      <c r="C77" s="20"/>
      <c r="D77" s="22" t="s">
        <v>394</v>
      </c>
      <c r="E77" s="97">
        <f t="shared" ref="E77" si="72">F77+I77</f>
        <v>491905148</v>
      </c>
      <c r="F77" s="97">
        <f>309641500+57508+165116540+17223400-125000-8800</f>
        <v>491905148</v>
      </c>
      <c r="G77" s="97">
        <f>253806400+47138+135342000+14866600-107500</f>
        <v>403954638</v>
      </c>
      <c r="H77" s="97"/>
      <c r="I77" s="97"/>
      <c r="J77" s="97">
        <v>491341009.52999997</v>
      </c>
      <c r="K77" s="97">
        <v>403943876.62</v>
      </c>
      <c r="L77" s="97"/>
      <c r="M77" s="151">
        <f t="shared" si="2"/>
        <v>99.885315599502519</v>
      </c>
      <c r="N77" s="97">
        <f t="shared" ref="N77" si="73">P77+S77</f>
        <v>0</v>
      </c>
      <c r="O77" s="97"/>
      <c r="P77" s="97"/>
      <c r="Q77" s="97"/>
      <c r="R77" s="97"/>
      <c r="S77" s="97"/>
      <c r="T77" s="97">
        <f t="shared" si="7"/>
        <v>0</v>
      </c>
      <c r="U77" s="97"/>
      <c r="V77" s="97"/>
      <c r="W77" s="97"/>
      <c r="X77" s="97"/>
      <c r="Y77" s="97"/>
      <c r="Z77" s="151" t="e">
        <f t="shared" si="3"/>
        <v>#DIV/0!</v>
      </c>
      <c r="AA77" s="97">
        <f t="shared" si="8"/>
        <v>491341009.52999997</v>
      </c>
      <c r="AB77" s="97">
        <f t="shared" ref="AB77" si="74">E77+N77</f>
        <v>491905148</v>
      </c>
      <c r="AC77" s="237"/>
      <c r="AD77" s="114"/>
      <c r="AE77" s="132"/>
      <c r="AF77" s="125"/>
    </row>
    <row r="78" spans="1:32" s="138" customFormat="1" ht="57" customHeight="1" x14ac:dyDescent="0.25">
      <c r="A78" s="20"/>
      <c r="B78" s="21"/>
      <c r="C78" s="20"/>
      <c r="D78" s="24" t="s">
        <v>387</v>
      </c>
      <c r="E78" s="97">
        <f t="shared" si="68"/>
        <v>3552414.92</v>
      </c>
      <c r="F78" s="97">
        <f>2101147+36954+126207+18738.81+1048194+45005.19+11311.16+20940+118566+25351.76</f>
        <v>3552414.92</v>
      </c>
      <c r="G78" s="97">
        <f>30291+103449+15371.81+36890.19+9271.44+17164+97185+20780.13</f>
        <v>330402.57</v>
      </c>
      <c r="H78" s="97"/>
      <c r="I78" s="97"/>
      <c r="J78" s="97">
        <v>3506123.16</v>
      </c>
      <c r="K78" s="97">
        <v>292458.44</v>
      </c>
      <c r="L78" s="97"/>
      <c r="M78" s="151">
        <f t="shared" si="2"/>
        <v>98.696893210886529</v>
      </c>
      <c r="N78" s="97">
        <f t="shared" si="70"/>
        <v>0</v>
      </c>
      <c r="O78" s="97"/>
      <c r="P78" s="97"/>
      <c r="Q78" s="97"/>
      <c r="R78" s="97"/>
      <c r="S78" s="97"/>
      <c r="T78" s="97">
        <f t="shared" si="7"/>
        <v>0</v>
      </c>
      <c r="U78" s="97"/>
      <c r="V78" s="97"/>
      <c r="W78" s="97"/>
      <c r="X78" s="97"/>
      <c r="Y78" s="97"/>
      <c r="Z78" s="151" t="e">
        <f t="shared" si="3"/>
        <v>#DIV/0!</v>
      </c>
      <c r="AA78" s="97">
        <f t="shared" si="8"/>
        <v>3506123.16</v>
      </c>
      <c r="AB78" s="97">
        <f t="shared" si="71"/>
        <v>3552414.92</v>
      </c>
      <c r="AC78" s="237"/>
      <c r="AD78" s="137"/>
      <c r="AE78" s="135"/>
      <c r="AF78" s="136"/>
    </row>
    <row r="79" spans="1:32" s="15" customFormat="1" ht="100.5" customHeight="1" x14ac:dyDescent="0.25">
      <c r="A79" s="12" t="s">
        <v>395</v>
      </c>
      <c r="B79" s="13" t="str">
        <f>'дод 5'!A47</f>
        <v>1032</v>
      </c>
      <c r="C79" s="12" t="str">
        <f>'дод 5'!B47</f>
        <v>0922</v>
      </c>
      <c r="D79" s="16" t="str">
        <f>'дод 5'!C47</f>
        <v xml:space="preserve"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субвенції,  у т.ч. за рахунок: </v>
      </c>
      <c r="E79" s="96">
        <f t="shared" si="68"/>
        <v>19252200</v>
      </c>
      <c r="F79" s="96">
        <f>F80</f>
        <v>19252200</v>
      </c>
      <c r="G79" s="96">
        <f t="shared" ref="G79:S79" si="75">G80</f>
        <v>15780500</v>
      </c>
      <c r="H79" s="96">
        <f t="shared" si="75"/>
        <v>0</v>
      </c>
      <c r="I79" s="96">
        <f t="shared" si="75"/>
        <v>0</v>
      </c>
      <c r="J79" s="96">
        <v>19172262.809999999</v>
      </c>
      <c r="K79" s="96">
        <v>15780446.880000001</v>
      </c>
      <c r="L79" s="96"/>
      <c r="M79" s="150">
        <f t="shared" si="2"/>
        <v>99.58478932277869</v>
      </c>
      <c r="N79" s="96">
        <f t="shared" si="75"/>
        <v>0</v>
      </c>
      <c r="O79" s="96">
        <f t="shared" si="75"/>
        <v>0</v>
      </c>
      <c r="P79" s="96">
        <f t="shared" si="75"/>
        <v>0</v>
      </c>
      <c r="Q79" s="96">
        <f t="shared" si="75"/>
        <v>0</v>
      </c>
      <c r="R79" s="96">
        <f t="shared" si="75"/>
        <v>0</v>
      </c>
      <c r="S79" s="96">
        <f t="shared" si="75"/>
        <v>0</v>
      </c>
      <c r="T79" s="96">
        <f t="shared" si="7"/>
        <v>0</v>
      </c>
      <c r="U79" s="96"/>
      <c r="V79" s="96"/>
      <c r="W79" s="96"/>
      <c r="X79" s="96"/>
      <c r="Y79" s="96"/>
      <c r="Z79" s="150" t="e">
        <f t="shared" si="3"/>
        <v>#DIV/0!</v>
      </c>
      <c r="AA79" s="96">
        <f t="shared" si="8"/>
        <v>19172262.809999999</v>
      </c>
      <c r="AB79" s="96">
        <f t="shared" si="66"/>
        <v>19252200</v>
      </c>
      <c r="AC79" s="237">
        <v>14</v>
      </c>
      <c r="AD79" s="113"/>
      <c r="AE79" s="132"/>
      <c r="AF79" s="125"/>
    </row>
    <row r="80" spans="1:32" s="23" customFormat="1" ht="31.5" x14ac:dyDescent="0.25">
      <c r="A80" s="20"/>
      <c r="B80" s="21">
        <f>'дод 5'!A48</f>
        <v>0</v>
      </c>
      <c r="C80" s="20">
        <f>'дод 5'!B48</f>
        <v>0</v>
      </c>
      <c r="D80" s="22" t="str">
        <f>'дод 5'!C48</f>
        <v>освітньої субвенції з державного бюджету місцевим бюджетам</v>
      </c>
      <c r="E80" s="97">
        <f t="shared" si="68"/>
        <v>19252200</v>
      </c>
      <c r="F80" s="97">
        <f>12847200+6405000</f>
        <v>19252200</v>
      </c>
      <c r="G80" s="97">
        <f>10530500+5250000</f>
        <v>15780500</v>
      </c>
      <c r="H80" s="97"/>
      <c r="I80" s="97"/>
      <c r="J80" s="97">
        <v>19172262.809999999</v>
      </c>
      <c r="K80" s="97">
        <v>15780446.880000001</v>
      </c>
      <c r="L80" s="97"/>
      <c r="M80" s="151">
        <f t="shared" si="2"/>
        <v>99.58478932277869</v>
      </c>
      <c r="N80" s="97">
        <f t="shared" si="70"/>
        <v>0</v>
      </c>
      <c r="O80" s="97"/>
      <c r="P80" s="97"/>
      <c r="Q80" s="97"/>
      <c r="R80" s="97"/>
      <c r="S80" s="97"/>
      <c r="T80" s="97">
        <f t="shared" si="7"/>
        <v>0</v>
      </c>
      <c r="U80" s="97"/>
      <c r="V80" s="97"/>
      <c r="W80" s="97"/>
      <c r="X80" s="97"/>
      <c r="Y80" s="97"/>
      <c r="Z80" s="151" t="e">
        <f t="shared" si="3"/>
        <v>#DIV/0!</v>
      </c>
      <c r="AA80" s="97">
        <f t="shared" si="8"/>
        <v>19172262.809999999</v>
      </c>
      <c r="AB80" s="97">
        <f t="shared" si="66"/>
        <v>19252200</v>
      </c>
      <c r="AC80" s="237"/>
      <c r="AD80" s="114"/>
      <c r="AE80" s="132"/>
      <c r="AF80" s="125"/>
    </row>
    <row r="81" spans="1:32" s="15" customFormat="1" ht="78.75" x14ac:dyDescent="0.25">
      <c r="A81" s="12" t="s">
        <v>399</v>
      </c>
      <c r="B81" s="13">
        <f>'дод 5'!A49</f>
        <v>1035</v>
      </c>
      <c r="C81" s="12" t="str">
        <f>'дод 5'!B49</f>
        <v>0922</v>
      </c>
      <c r="D81" s="16" t="str">
        <f>'дод 5'!C49</f>
        <v xml:space="preserve"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субвенції,  у т.ч. за рахунок: </v>
      </c>
      <c r="E81" s="96">
        <f t="shared" ref="E81" si="76">F81+I81</f>
        <v>1730660</v>
      </c>
      <c r="F81" s="96">
        <f>F82</f>
        <v>1730660</v>
      </c>
      <c r="G81" s="96">
        <f t="shared" ref="G81" si="77">G82</f>
        <v>1416400</v>
      </c>
      <c r="H81" s="96">
        <f t="shared" ref="H81" si="78">H82</f>
        <v>0</v>
      </c>
      <c r="I81" s="96">
        <f t="shared" ref="I81" si="79">I82</f>
        <v>0</v>
      </c>
      <c r="J81" s="96">
        <v>1729489.65</v>
      </c>
      <c r="K81" s="96">
        <v>1415426.37</v>
      </c>
      <c r="L81" s="96"/>
      <c r="M81" s="150">
        <f t="shared" ref="M81:M144" si="80">J81/E81*100</f>
        <v>99.932375509921073</v>
      </c>
      <c r="N81" s="96">
        <f t="shared" ref="N81" si="81">N82</f>
        <v>0</v>
      </c>
      <c r="O81" s="96">
        <f t="shared" ref="O81" si="82">O82</f>
        <v>0</v>
      </c>
      <c r="P81" s="96">
        <f t="shared" ref="P81" si="83">P82</f>
        <v>0</v>
      </c>
      <c r="Q81" s="96">
        <f t="shared" ref="Q81" si="84">Q82</f>
        <v>0</v>
      </c>
      <c r="R81" s="96">
        <f t="shared" ref="R81" si="85">R82</f>
        <v>0</v>
      </c>
      <c r="S81" s="96">
        <f t="shared" ref="S81" si="86">S82</f>
        <v>0</v>
      </c>
      <c r="T81" s="96">
        <f t="shared" ref="T81:T144" si="87">V81+Y81</f>
        <v>0</v>
      </c>
      <c r="U81" s="96"/>
      <c r="V81" s="96"/>
      <c r="W81" s="96"/>
      <c r="X81" s="96"/>
      <c r="Y81" s="96"/>
      <c r="Z81" s="150" t="e">
        <f t="shared" ref="Z81:Z144" si="88">T81/N81*100</f>
        <v>#DIV/0!</v>
      </c>
      <c r="AA81" s="96">
        <f t="shared" ref="AA81:AA144" si="89">T81+J81</f>
        <v>1729489.65</v>
      </c>
      <c r="AB81" s="96">
        <f t="shared" si="66"/>
        <v>1730660</v>
      </c>
      <c r="AC81" s="237"/>
      <c r="AD81" s="113"/>
      <c r="AE81" s="132"/>
      <c r="AF81" s="125"/>
    </row>
    <row r="82" spans="1:32" s="23" customFormat="1" ht="31.5" x14ac:dyDescent="0.25">
      <c r="A82" s="20"/>
      <c r="B82" s="21">
        <f>'дод 5'!A50</f>
        <v>0</v>
      </c>
      <c r="C82" s="20">
        <f>'дод 5'!B50</f>
        <v>0</v>
      </c>
      <c r="D82" s="22" t="str">
        <f>'дод 5'!C50</f>
        <v>освітньої субвенції з державного бюджету місцевим бюджетам</v>
      </c>
      <c r="E82" s="97">
        <f t="shared" ref="E82" si="90">F82+I82</f>
        <v>1730660</v>
      </c>
      <c r="F82" s="97">
        <f>1068600+528260+125000+8800</f>
        <v>1730660</v>
      </c>
      <c r="G82" s="97">
        <f>875900+433000+107500</f>
        <v>1416400</v>
      </c>
      <c r="H82" s="97"/>
      <c r="I82" s="97"/>
      <c r="J82" s="97">
        <v>1729489.65</v>
      </c>
      <c r="K82" s="97">
        <v>1415426.37</v>
      </c>
      <c r="L82" s="97"/>
      <c r="M82" s="151">
        <f t="shared" si="80"/>
        <v>99.932375509921073</v>
      </c>
      <c r="N82" s="97"/>
      <c r="O82" s="97"/>
      <c r="P82" s="97"/>
      <c r="Q82" s="97"/>
      <c r="R82" s="97"/>
      <c r="S82" s="97"/>
      <c r="T82" s="97">
        <f t="shared" si="87"/>
        <v>0</v>
      </c>
      <c r="U82" s="97"/>
      <c r="V82" s="97"/>
      <c r="W82" s="97"/>
      <c r="X82" s="97"/>
      <c r="Y82" s="97"/>
      <c r="Z82" s="151" t="e">
        <f t="shared" si="88"/>
        <v>#DIV/0!</v>
      </c>
      <c r="AA82" s="97">
        <f t="shared" si="89"/>
        <v>1729489.65</v>
      </c>
      <c r="AB82" s="97">
        <f t="shared" si="66"/>
        <v>1730660</v>
      </c>
      <c r="AC82" s="237"/>
      <c r="AD82" s="114"/>
      <c r="AE82" s="132"/>
      <c r="AF82" s="125"/>
    </row>
    <row r="83" spans="1:32" s="15" customFormat="1" ht="42" customHeight="1" x14ac:dyDescent="0.25">
      <c r="A83" s="12" t="s">
        <v>296</v>
      </c>
      <c r="B83" s="13" t="str">
        <f>'дод 5'!A51</f>
        <v>1070</v>
      </c>
      <c r="C83" s="12" t="str">
        <f>'дод 5'!B51</f>
        <v>0960</v>
      </c>
      <c r="D83" s="16" t="str">
        <f>'дод 5'!C51</f>
        <v>Надання позашкільної освіти закладами позашкільної освіти, заходи із позашкільної роботи з дітьми</v>
      </c>
      <c r="E83" s="96">
        <f t="shared" si="65"/>
        <v>48990900</v>
      </c>
      <c r="F83" s="96">
        <f>47805900+265700+145000+395500+378800</f>
        <v>48990900</v>
      </c>
      <c r="G83" s="96">
        <f>32550000+217800+372200+310500</f>
        <v>33450500</v>
      </c>
      <c r="H83" s="96">
        <v>7564900</v>
      </c>
      <c r="I83" s="96"/>
      <c r="J83" s="96">
        <v>47127853.630000003</v>
      </c>
      <c r="K83" s="96">
        <v>33450466.190000001</v>
      </c>
      <c r="L83" s="96">
        <v>5835503.1900000004</v>
      </c>
      <c r="M83" s="150">
        <f t="shared" si="80"/>
        <v>96.197158308992087</v>
      </c>
      <c r="N83" s="96">
        <f t="shared" si="67"/>
        <v>0</v>
      </c>
      <c r="O83" s="96"/>
      <c r="P83" s="96"/>
      <c r="Q83" s="96"/>
      <c r="R83" s="96"/>
      <c r="S83" s="96"/>
      <c r="T83" s="96">
        <f t="shared" si="87"/>
        <v>1138174.7000000002</v>
      </c>
      <c r="U83" s="96"/>
      <c r="V83" s="96">
        <v>874729.3</v>
      </c>
      <c r="W83" s="96">
        <v>599392.53</v>
      </c>
      <c r="X83" s="96">
        <v>147.97999999999999</v>
      </c>
      <c r="Y83" s="96">
        <v>263445.40000000002</v>
      </c>
      <c r="Z83" s="150" t="e">
        <f t="shared" si="88"/>
        <v>#DIV/0!</v>
      </c>
      <c r="AA83" s="96">
        <f t="shared" si="89"/>
        <v>48266028.330000006</v>
      </c>
      <c r="AB83" s="96">
        <f t="shared" si="66"/>
        <v>48990900</v>
      </c>
      <c r="AC83" s="237"/>
      <c r="AD83" s="113"/>
      <c r="AE83" s="132"/>
      <c r="AF83" s="125"/>
    </row>
    <row r="84" spans="1:32" s="15" customFormat="1" ht="66.75" customHeight="1" x14ac:dyDescent="0.25">
      <c r="A84" s="12" t="s">
        <v>327</v>
      </c>
      <c r="B84" s="13">
        <f>'дод 5'!A53</f>
        <v>1091</v>
      </c>
      <c r="C84" s="12" t="str">
        <f>'дод 5'!B53</f>
        <v>0930</v>
      </c>
      <c r="D84" s="16" t="str">
        <f>'дод 5'!C53</f>
        <v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v>
      </c>
      <c r="E84" s="96">
        <f t="shared" si="65"/>
        <v>154767872</v>
      </c>
      <c r="F84" s="96">
        <f>154406700+29494+563700+63130+15784+20244-227900+428000+30720-562000</f>
        <v>154767872</v>
      </c>
      <c r="G84" s="96">
        <f>80199400+24176+462000+51746+12938+16594+350500+25180</f>
        <v>81142534</v>
      </c>
      <c r="H84" s="96">
        <f>24365100-562000</f>
        <v>23803100</v>
      </c>
      <c r="I84" s="96"/>
      <c r="J84" s="96">
        <v>149322268.50999999</v>
      </c>
      <c r="K84" s="96">
        <v>80974030.049999997</v>
      </c>
      <c r="L84" s="96">
        <v>19896689.760000002</v>
      </c>
      <c r="M84" s="150">
        <f t="shared" si="80"/>
        <v>96.481438027396266</v>
      </c>
      <c r="N84" s="96">
        <f>P84+S84</f>
        <v>38241960</v>
      </c>
      <c r="O84" s="96">
        <f>6210000+4500000+5325700+1553500-1262400</f>
        <v>16326800</v>
      </c>
      <c r="P84" s="96">
        <f>21915160-437000</f>
        <v>21478160</v>
      </c>
      <c r="Q84" s="96">
        <v>7258500</v>
      </c>
      <c r="R84" s="96">
        <v>6662500</v>
      </c>
      <c r="S84" s="96">
        <f>437000+6210000+4500000+5325700+1553500-1262400</f>
        <v>16763800</v>
      </c>
      <c r="T84" s="96">
        <f t="shared" si="87"/>
        <v>50467145.650000006</v>
      </c>
      <c r="U84" s="96">
        <v>15905464.9</v>
      </c>
      <c r="V84" s="96">
        <v>18313139.300000001</v>
      </c>
      <c r="W84" s="96">
        <v>3445755.5</v>
      </c>
      <c r="X84" s="96">
        <v>3330513.82</v>
      </c>
      <c r="Y84" s="96">
        <v>32154006.350000001</v>
      </c>
      <c r="Z84" s="150">
        <f t="shared" si="88"/>
        <v>131.96798921917184</v>
      </c>
      <c r="AA84" s="96">
        <f t="shared" si="89"/>
        <v>199789414.16</v>
      </c>
      <c r="AB84" s="96">
        <f t="shared" si="66"/>
        <v>193009832</v>
      </c>
      <c r="AC84" s="237"/>
      <c r="AD84" s="113"/>
      <c r="AE84" s="132"/>
      <c r="AF84" s="125"/>
    </row>
    <row r="85" spans="1:32" s="23" customFormat="1" ht="146.25" customHeight="1" x14ac:dyDescent="0.25">
      <c r="A85" s="20"/>
      <c r="B85" s="21"/>
      <c r="C85" s="20"/>
      <c r="D85" s="22" t="str">
        <f>'дод 5'!C54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85" s="96">
        <f t="shared" si="65"/>
        <v>0</v>
      </c>
      <c r="F85" s="97"/>
      <c r="G85" s="96"/>
      <c r="H85" s="96"/>
      <c r="I85" s="96"/>
      <c r="J85" s="96"/>
      <c r="K85" s="96"/>
      <c r="L85" s="96"/>
      <c r="M85" s="150" t="e">
        <f t="shared" si="80"/>
        <v>#DIV/0!</v>
      </c>
      <c r="N85" s="96">
        <f>P85+S85</f>
        <v>6210000</v>
      </c>
      <c r="O85" s="96">
        <v>6210000</v>
      </c>
      <c r="P85" s="96"/>
      <c r="Q85" s="96"/>
      <c r="R85" s="96"/>
      <c r="S85" s="96">
        <v>6210000</v>
      </c>
      <c r="T85" s="96">
        <f t="shared" si="87"/>
        <v>5867298.0099999998</v>
      </c>
      <c r="U85" s="96">
        <v>5867298.0099999998</v>
      </c>
      <c r="V85" s="96"/>
      <c r="W85" s="96"/>
      <c r="X85" s="96"/>
      <c r="Y85" s="96">
        <v>5867298.0099999998</v>
      </c>
      <c r="Z85" s="150">
        <f t="shared" si="88"/>
        <v>94.481449436392907</v>
      </c>
      <c r="AA85" s="96">
        <f t="shared" si="89"/>
        <v>5867298.0099999998</v>
      </c>
      <c r="AB85" s="96">
        <f t="shared" si="66"/>
        <v>6210000</v>
      </c>
      <c r="AC85" s="237"/>
      <c r="AD85" s="113"/>
      <c r="AE85" s="132"/>
      <c r="AF85" s="125"/>
    </row>
    <row r="86" spans="1:32" s="23" customFormat="1" ht="27" customHeight="1" x14ac:dyDescent="0.25">
      <c r="A86" s="20"/>
      <c r="B86" s="21"/>
      <c r="C86" s="20"/>
      <c r="D86" s="22" t="s">
        <v>584</v>
      </c>
      <c r="E86" s="97">
        <f t="shared" si="65"/>
        <v>0</v>
      </c>
      <c r="F86" s="97"/>
      <c r="G86" s="97"/>
      <c r="H86" s="97"/>
      <c r="I86" s="97"/>
      <c r="J86" s="97"/>
      <c r="K86" s="97"/>
      <c r="L86" s="97"/>
      <c r="M86" s="151" t="e">
        <f t="shared" si="80"/>
        <v>#DIV/0!</v>
      </c>
      <c r="N86" s="97">
        <f>P86+S86</f>
        <v>4063300</v>
      </c>
      <c r="O86" s="97">
        <f>5325700-1262400</f>
        <v>4063300</v>
      </c>
      <c r="P86" s="97"/>
      <c r="Q86" s="97"/>
      <c r="R86" s="97"/>
      <c r="S86" s="97">
        <f>5325700-1262400</f>
        <v>4063300</v>
      </c>
      <c r="T86" s="97">
        <f t="shared" si="87"/>
        <v>3987122.64</v>
      </c>
      <c r="U86" s="96">
        <v>3987122.64</v>
      </c>
      <c r="V86" s="97"/>
      <c r="W86" s="97"/>
      <c r="X86" s="97"/>
      <c r="Y86" s="97">
        <v>3987122.64</v>
      </c>
      <c r="Z86" s="151">
        <f t="shared" si="88"/>
        <v>98.12523416927128</v>
      </c>
      <c r="AA86" s="97">
        <f t="shared" si="89"/>
        <v>3987122.64</v>
      </c>
      <c r="AB86" s="97">
        <f t="shared" si="66"/>
        <v>4063300</v>
      </c>
      <c r="AC86" s="237"/>
      <c r="AD86" s="114"/>
      <c r="AE86" s="132"/>
      <c r="AF86" s="125"/>
    </row>
    <row r="87" spans="1:32" s="23" customFormat="1" ht="24.75" customHeight="1" x14ac:dyDescent="0.25">
      <c r="A87" s="20"/>
      <c r="B87" s="21"/>
      <c r="C87" s="20"/>
      <c r="D87" s="22" t="s">
        <v>281</v>
      </c>
      <c r="E87" s="97">
        <f t="shared" ref="E87" si="91">F87+I87</f>
        <v>159372</v>
      </c>
      <c r="F87" s="97">
        <f>29494+63130+15784+20244+30720</f>
        <v>159372</v>
      </c>
      <c r="G87" s="97">
        <f>24176+51746+12938+16594+25180</f>
        <v>130634</v>
      </c>
      <c r="H87" s="97"/>
      <c r="I87" s="97"/>
      <c r="J87" s="97">
        <v>159372</v>
      </c>
      <c r="K87" s="97">
        <v>130634</v>
      </c>
      <c r="L87" s="97"/>
      <c r="M87" s="151">
        <f t="shared" si="80"/>
        <v>100</v>
      </c>
      <c r="N87" s="97">
        <f>P87+S87</f>
        <v>6053500</v>
      </c>
      <c r="O87" s="97">
        <f>4500000+1553500</f>
        <v>6053500</v>
      </c>
      <c r="P87" s="97"/>
      <c r="Q87" s="97"/>
      <c r="R87" s="97"/>
      <c r="S87" s="97">
        <f>4500000+1553500</f>
        <v>6053500</v>
      </c>
      <c r="T87" s="97">
        <f t="shared" si="87"/>
        <v>6051044.25</v>
      </c>
      <c r="U87" s="96">
        <v>6051044.25</v>
      </c>
      <c r="V87" s="97"/>
      <c r="W87" s="97"/>
      <c r="X87" s="97"/>
      <c r="Y87" s="97">
        <v>6051044.25</v>
      </c>
      <c r="Z87" s="151">
        <f t="shared" si="88"/>
        <v>99.959432559676216</v>
      </c>
      <c r="AA87" s="97">
        <f t="shared" si="89"/>
        <v>6210416.25</v>
      </c>
      <c r="AB87" s="96">
        <f t="shared" ref="AB87" si="92">E87+N87</f>
        <v>6212872</v>
      </c>
      <c r="AC87" s="237"/>
      <c r="AD87" s="113"/>
      <c r="AE87" s="132"/>
      <c r="AF87" s="125"/>
    </row>
    <row r="88" spans="1:32" s="15" customFormat="1" ht="59.65" customHeight="1" x14ac:dyDescent="0.25">
      <c r="A88" s="12" t="s">
        <v>401</v>
      </c>
      <c r="B88" s="13">
        <f>'дод 5'!A57</f>
        <v>1092</v>
      </c>
      <c r="C88" s="12" t="str">
        <f>'дод 5'!B57</f>
        <v>0930</v>
      </c>
      <c r="D88" s="16" t="str">
        <f>'дод 5'!C57</f>
        <v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v>
      </c>
      <c r="E88" s="96">
        <f>F88+I88</f>
        <v>20104427.449999999</v>
      </c>
      <c r="F88" s="96">
        <f>13420000+96913+15592.55-57508+6539200+13495.9+76734</f>
        <v>20104427.449999999</v>
      </c>
      <c r="G88" s="96">
        <f>11000000+79483+12781-47138+5360000+11055+62897+86000</f>
        <v>16565078</v>
      </c>
      <c r="H88" s="96">
        <f t="shared" ref="H88" si="93">H89</f>
        <v>0</v>
      </c>
      <c r="I88" s="96">
        <f t="shared" ref="I88" si="94">I89</f>
        <v>0</v>
      </c>
      <c r="J88" s="96">
        <v>20080310.93</v>
      </c>
      <c r="K88" s="96">
        <v>16557157.369999999</v>
      </c>
      <c r="L88" s="96"/>
      <c r="M88" s="150">
        <f t="shared" si="80"/>
        <v>99.880043736336305</v>
      </c>
      <c r="N88" s="96">
        <f t="shared" ref="N88" si="95">N89</f>
        <v>0</v>
      </c>
      <c r="O88" s="96">
        <f t="shared" ref="O88" si="96">O89</f>
        <v>0</v>
      </c>
      <c r="P88" s="96">
        <f t="shared" ref="P88" si="97">P89</f>
        <v>0</v>
      </c>
      <c r="Q88" s="96">
        <f t="shared" ref="Q88" si="98">Q89</f>
        <v>0</v>
      </c>
      <c r="R88" s="96">
        <f t="shared" ref="R88" si="99">R89</f>
        <v>0</v>
      </c>
      <c r="S88" s="96">
        <f t="shared" ref="S88" si="100">S89</f>
        <v>0</v>
      </c>
      <c r="T88" s="96">
        <f t="shared" si="87"/>
        <v>0</v>
      </c>
      <c r="U88" s="96"/>
      <c r="V88" s="96"/>
      <c r="W88" s="96"/>
      <c r="X88" s="96"/>
      <c r="Y88" s="96"/>
      <c r="Z88" s="150" t="e">
        <f t="shared" si="88"/>
        <v>#DIV/0!</v>
      </c>
      <c r="AA88" s="96">
        <f t="shared" si="89"/>
        <v>20080310.93</v>
      </c>
      <c r="AB88" s="96">
        <f t="shared" ref="AB88" si="101">E88+N88</f>
        <v>20104427.449999999</v>
      </c>
      <c r="AC88" s="237"/>
      <c r="AD88" s="113"/>
      <c r="AE88" s="132"/>
      <c r="AF88" s="125"/>
    </row>
    <row r="89" spans="1:32" s="23" customFormat="1" ht="31.5" x14ac:dyDescent="0.25">
      <c r="A89" s="20"/>
      <c r="B89" s="21">
        <f>'дод 5'!A58</f>
        <v>0</v>
      </c>
      <c r="C89" s="20">
        <f>'дод 5'!B58</f>
        <v>0</v>
      </c>
      <c r="D89" s="22" t="str">
        <f>'дод 5'!C58</f>
        <v>освітньої субвенції з державного бюджету місцевим бюджетам</v>
      </c>
      <c r="E89" s="97">
        <f t="shared" si="65"/>
        <v>19901692</v>
      </c>
      <c r="F89" s="97">
        <f>13420000-57508+6539200</f>
        <v>19901692</v>
      </c>
      <c r="G89" s="97">
        <f>11000000-47138+5360000+86000</f>
        <v>16398862</v>
      </c>
      <c r="H89" s="97"/>
      <c r="I89" s="97"/>
      <c r="J89" s="97">
        <v>19877575.48</v>
      </c>
      <c r="K89" s="97">
        <v>16390941.369999999</v>
      </c>
      <c r="L89" s="97"/>
      <c r="M89" s="151">
        <f t="shared" si="80"/>
        <v>99.878821760481472</v>
      </c>
      <c r="N89" s="97">
        <f t="shared" ref="N89:N90" si="102">P89+S89</f>
        <v>0</v>
      </c>
      <c r="O89" s="97"/>
      <c r="P89" s="97"/>
      <c r="Q89" s="97"/>
      <c r="R89" s="97"/>
      <c r="S89" s="97"/>
      <c r="T89" s="97">
        <f t="shared" si="87"/>
        <v>0</v>
      </c>
      <c r="U89" s="97"/>
      <c r="V89" s="97"/>
      <c r="W89" s="97"/>
      <c r="X89" s="97"/>
      <c r="Y89" s="97"/>
      <c r="Z89" s="151" t="e">
        <f t="shared" si="88"/>
        <v>#DIV/0!</v>
      </c>
      <c r="AA89" s="97">
        <f t="shared" si="89"/>
        <v>19877575.48</v>
      </c>
      <c r="AB89" s="97">
        <f t="shared" si="66"/>
        <v>19901692</v>
      </c>
      <c r="AC89" s="237"/>
      <c r="AD89" s="114"/>
      <c r="AE89" s="132"/>
      <c r="AF89" s="125"/>
    </row>
    <row r="90" spans="1:32" s="23" customFormat="1" ht="56.85" customHeight="1" x14ac:dyDescent="0.25">
      <c r="A90" s="20"/>
      <c r="B90" s="21"/>
      <c r="C90" s="20"/>
      <c r="D90" s="22" t="s">
        <v>490</v>
      </c>
      <c r="E90" s="97">
        <f t="shared" si="65"/>
        <v>202735.45</v>
      </c>
      <c r="F90" s="97">
        <f>96913+15592.55+13495.9+76734</f>
        <v>202735.45</v>
      </c>
      <c r="G90" s="97">
        <f>79483+12781+11055+62897</f>
        <v>166216</v>
      </c>
      <c r="H90" s="97"/>
      <c r="I90" s="97"/>
      <c r="J90" s="97">
        <v>202735.45</v>
      </c>
      <c r="K90" s="97">
        <v>166216</v>
      </c>
      <c r="L90" s="97"/>
      <c r="M90" s="151">
        <f t="shared" si="80"/>
        <v>100</v>
      </c>
      <c r="N90" s="97">
        <f t="shared" si="102"/>
        <v>0</v>
      </c>
      <c r="O90" s="97"/>
      <c r="P90" s="97"/>
      <c r="Q90" s="97"/>
      <c r="R90" s="97"/>
      <c r="S90" s="97"/>
      <c r="T90" s="97">
        <f t="shared" si="87"/>
        <v>0</v>
      </c>
      <c r="U90" s="97"/>
      <c r="V90" s="97"/>
      <c r="W90" s="97"/>
      <c r="X90" s="97"/>
      <c r="Y90" s="97"/>
      <c r="Z90" s="151" t="e">
        <f t="shared" si="88"/>
        <v>#DIV/0!</v>
      </c>
      <c r="AA90" s="97">
        <f t="shared" si="89"/>
        <v>202735.45</v>
      </c>
      <c r="AB90" s="97">
        <f t="shared" si="66"/>
        <v>202735.45</v>
      </c>
      <c r="AC90" s="237"/>
      <c r="AD90" s="114"/>
      <c r="AE90" s="132"/>
      <c r="AF90" s="125"/>
    </row>
    <row r="91" spans="1:32" s="15" customFormat="1" ht="34.5" customHeight="1" x14ac:dyDescent="0.25">
      <c r="A91" s="12" t="s">
        <v>297</v>
      </c>
      <c r="B91" s="13" t="str">
        <f>'дод 5'!A60</f>
        <v>1141</v>
      </c>
      <c r="C91" s="12" t="str">
        <f>'дод 5'!B60</f>
        <v>0990</v>
      </c>
      <c r="D91" s="16" t="str">
        <f>'дод 5'!C60</f>
        <v>Забезпечення діяльності інших закладів у сфері освіти</v>
      </c>
      <c r="E91" s="96">
        <f t="shared" si="65"/>
        <v>13550500</v>
      </c>
      <c r="F91" s="96">
        <f>14119800+73900+23600-666800</f>
        <v>13550500</v>
      </c>
      <c r="G91" s="96">
        <f>9824000+60600-547500</f>
        <v>9337100</v>
      </c>
      <c r="H91" s="96">
        <v>1318500</v>
      </c>
      <c r="I91" s="96"/>
      <c r="J91" s="96">
        <v>13008190.289999999</v>
      </c>
      <c r="K91" s="96">
        <v>9337030.2400000002</v>
      </c>
      <c r="L91" s="96">
        <v>1038008.08</v>
      </c>
      <c r="M91" s="150">
        <f t="shared" si="80"/>
        <v>95.997861997712249</v>
      </c>
      <c r="N91" s="96">
        <f t="shared" si="67"/>
        <v>0</v>
      </c>
      <c r="O91" s="96"/>
      <c r="P91" s="96"/>
      <c r="Q91" s="96"/>
      <c r="R91" s="96"/>
      <c r="S91" s="96"/>
      <c r="T91" s="96">
        <f t="shared" si="87"/>
        <v>618717.19999999995</v>
      </c>
      <c r="U91" s="96"/>
      <c r="V91" s="96">
        <v>339511.39</v>
      </c>
      <c r="W91" s="96"/>
      <c r="X91" s="96"/>
      <c r="Y91" s="96">
        <v>279205.81</v>
      </c>
      <c r="Z91" s="150" t="e">
        <f t="shared" si="88"/>
        <v>#DIV/0!</v>
      </c>
      <c r="AA91" s="96">
        <f t="shared" si="89"/>
        <v>13626907.489999998</v>
      </c>
      <c r="AB91" s="96">
        <f t="shared" si="66"/>
        <v>13550500</v>
      </c>
      <c r="AC91" s="237"/>
      <c r="AD91" s="113"/>
      <c r="AE91" s="132"/>
      <c r="AF91" s="125"/>
    </row>
    <row r="92" spans="1:32" s="15" customFormat="1" ht="30.4" customHeight="1" x14ac:dyDescent="0.25">
      <c r="A92" s="12" t="s">
        <v>299</v>
      </c>
      <c r="B92" s="13" t="str">
        <f>'дод 5'!A61</f>
        <v>1142</v>
      </c>
      <c r="C92" s="12" t="str">
        <f>'дод 5'!B61</f>
        <v>0990</v>
      </c>
      <c r="D92" s="16" t="str">
        <f>'дод 5'!C61</f>
        <v>Інші програми та заходи у сфері освіти</v>
      </c>
      <c r="E92" s="96">
        <f t="shared" si="65"/>
        <v>134000</v>
      </c>
      <c r="F92" s="96">
        <v>134000</v>
      </c>
      <c r="G92" s="96"/>
      <c r="H92" s="96"/>
      <c r="I92" s="96"/>
      <c r="J92" s="96">
        <v>126300</v>
      </c>
      <c r="K92" s="96"/>
      <c r="L92" s="96"/>
      <c r="M92" s="150">
        <f t="shared" si="80"/>
        <v>94.25373134328359</v>
      </c>
      <c r="N92" s="96">
        <f t="shared" ref="N92" si="103">P92+S92</f>
        <v>0</v>
      </c>
      <c r="O92" s="96"/>
      <c r="P92" s="96"/>
      <c r="Q92" s="96"/>
      <c r="R92" s="96"/>
      <c r="S92" s="96"/>
      <c r="T92" s="96">
        <f t="shared" si="87"/>
        <v>0</v>
      </c>
      <c r="U92" s="96"/>
      <c r="V92" s="96"/>
      <c r="W92" s="96"/>
      <c r="X92" s="96"/>
      <c r="Y92" s="96"/>
      <c r="Z92" s="150" t="e">
        <f t="shared" si="88"/>
        <v>#DIV/0!</v>
      </c>
      <c r="AA92" s="96">
        <f t="shared" si="89"/>
        <v>126300</v>
      </c>
      <c r="AB92" s="96">
        <f t="shared" ref="AB92" si="104">E92+N92</f>
        <v>134000</v>
      </c>
      <c r="AC92" s="237"/>
      <c r="AD92" s="113"/>
      <c r="AE92" s="132"/>
      <c r="AF92" s="125"/>
    </row>
    <row r="93" spans="1:32" s="15" customFormat="1" ht="35.25" customHeight="1" x14ac:dyDescent="0.25">
      <c r="A93" s="12" t="s">
        <v>301</v>
      </c>
      <c r="B93" s="13" t="str">
        <f>'дод 5'!A62</f>
        <v>1151</v>
      </c>
      <c r="C93" s="12" t="str">
        <f>'дод 5'!B62</f>
        <v>0990</v>
      </c>
      <c r="D93" s="16" t="str">
        <f>'дод 5'!C62</f>
        <v>Забезпечення діяльності інклюзивно-ресурсних центрів за рахунок коштів місцевого бюджету</v>
      </c>
      <c r="E93" s="96">
        <f t="shared" si="65"/>
        <v>173400</v>
      </c>
      <c r="F93" s="96">
        <v>173400</v>
      </c>
      <c r="G93" s="96"/>
      <c r="H93" s="96">
        <v>129400</v>
      </c>
      <c r="I93" s="96"/>
      <c r="J93" s="96">
        <v>167654.06</v>
      </c>
      <c r="K93" s="96"/>
      <c r="L93" s="96">
        <v>128058.3</v>
      </c>
      <c r="M93" s="150">
        <f t="shared" si="80"/>
        <v>96.686309111880036</v>
      </c>
      <c r="N93" s="96">
        <f t="shared" si="67"/>
        <v>0</v>
      </c>
      <c r="O93" s="96"/>
      <c r="P93" s="96"/>
      <c r="Q93" s="96"/>
      <c r="R93" s="96"/>
      <c r="S93" s="96"/>
      <c r="T93" s="96">
        <f t="shared" si="87"/>
        <v>503462.99</v>
      </c>
      <c r="U93" s="96"/>
      <c r="V93" s="96">
        <v>29243.49</v>
      </c>
      <c r="W93" s="96"/>
      <c r="X93" s="96"/>
      <c r="Y93" s="96">
        <v>474219.5</v>
      </c>
      <c r="Z93" s="150" t="e">
        <f t="shared" si="88"/>
        <v>#DIV/0!</v>
      </c>
      <c r="AA93" s="96">
        <f t="shared" si="89"/>
        <v>671117.05</v>
      </c>
      <c r="AB93" s="96">
        <f t="shared" si="66"/>
        <v>173400</v>
      </c>
      <c r="AC93" s="237"/>
      <c r="AD93" s="113"/>
      <c r="AE93" s="132"/>
      <c r="AF93" s="125"/>
    </row>
    <row r="94" spans="1:32" s="15" customFormat="1" ht="47.25" x14ac:dyDescent="0.25">
      <c r="A94" s="12" t="s">
        <v>393</v>
      </c>
      <c r="B94" s="13" t="str">
        <f>'дод 5'!A63</f>
        <v>1152</v>
      </c>
      <c r="C94" s="12" t="str">
        <f>'дод 5'!B63</f>
        <v>0990</v>
      </c>
      <c r="D94" s="16" t="str">
        <f>'дод 5'!C63</f>
        <v>Забезпечення діяльності інклюзивно-ресурсних центрів за рахунок освітньої субвенції, у т. ч. за рахунок:</v>
      </c>
      <c r="E94" s="96">
        <f t="shared" ref="E94:E95" si="105">F94+I94</f>
        <v>2150831</v>
      </c>
      <c r="F94" s="96">
        <f>1434970+715861</f>
        <v>2150831</v>
      </c>
      <c r="G94" s="96">
        <f>1176210+584921</f>
        <v>1761131</v>
      </c>
      <c r="H94" s="96"/>
      <c r="I94" s="96"/>
      <c r="J94" s="96">
        <v>2145621.54</v>
      </c>
      <c r="K94" s="96">
        <v>1755921.87</v>
      </c>
      <c r="L94" s="96"/>
      <c r="M94" s="150">
        <f t="shared" si="80"/>
        <v>99.757793150647359</v>
      </c>
      <c r="N94" s="96">
        <f t="shared" ref="N94:N95" si="106">P94+S94</f>
        <v>0</v>
      </c>
      <c r="O94" s="96"/>
      <c r="P94" s="96"/>
      <c r="Q94" s="96"/>
      <c r="R94" s="96"/>
      <c r="S94" s="96"/>
      <c r="T94" s="96">
        <f t="shared" si="87"/>
        <v>0</v>
      </c>
      <c r="U94" s="96"/>
      <c r="V94" s="96"/>
      <c r="W94" s="96"/>
      <c r="X94" s="96"/>
      <c r="Y94" s="96"/>
      <c r="Z94" s="150" t="e">
        <f t="shared" si="88"/>
        <v>#DIV/0!</v>
      </c>
      <c r="AA94" s="96">
        <f t="shared" si="89"/>
        <v>2145621.54</v>
      </c>
      <c r="AB94" s="96">
        <f t="shared" ref="AB94:AB95" si="107">E94+N94</f>
        <v>2150831</v>
      </c>
      <c r="AC94" s="237"/>
      <c r="AD94" s="113"/>
      <c r="AE94" s="132"/>
      <c r="AF94" s="125"/>
    </row>
    <row r="95" spans="1:32" s="23" customFormat="1" ht="47.25" x14ac:dyDescent="0.25">
      <c r="A95" s="20"/>
      <c r="B95" s="21"/>
      <c r="C95" s="20"/>
      <c r="D95" s="22" t="str">
        <f>'дод 5'!C64</f>
        <v>субвенції з місцевого бюджету на здійснення переданих видатків у сфері освіти за рахунок коштів освітньої субвенції</v>
      </c>
      <c r="E95" s="97">
        <f t="shared" si="105"/>
        <v>2150831</v>
      </c>
      <c r="F95" s="97">
        <f>F94</f>
        <v>2150831</v>
      </c>
      <c r="G95" s="97">
        <f>G94</f>
        <v>1761131</v>
      </c>
      <c r="H95" s="97"/>
      <c r="I95" s="97"/>
      <c r="J95" s="97">
        <v>2145621.54</v>
      </c>
      <c r="K95" s="97">
        <v>1755921.87</v>
      </c>
      <c r="L95" s="97"/>
      <c r="M95" s="151">
        <f t="shared" si="80"/>
        <v>99.757793150647359</v>
      </c>
      <c r="N95" s="97">
        <f t="shared" si="106"/>
        <v>0</v>
      </c>
      <c r="O95" s="97"/>
      <c r="P95" s="97"/>
      <c r="Q95" s="97"/>
      <c r="R95" s="97"/>
      <c r="S95" s="97"/>
      <c r="T95" s="97">
        <f t="shared" si="87"/>
        <v>0</v>
      </c>
      <c r="U95" s="97"/>
      <c r="V95" s="97"/>
      <c r="W95" s="97"/>
      <c r="X95" s="97"/>
      <c r="Y95" s="97"/>
      <c r="Z95" s="151" t="e">
        <f t="shared" si="88"/>
        <v>#DIV/0!</v>
      </c>
      <c r="AA95" s="97">
        <f t="shared" si="89"/>
        <v>2145621.54</v>
      </c>
      <c r="AB95" s="97">
        <f t="shared" si="107"/>
        <v>2150831</v>
      </c>
      <c r="AC95" s="237"/>
      <c r="AD95" s="114"/>
      <c r="AE95" s="132"/>
      <c r="AF95" s="125"/>
    </row>
    <row r="96" spans="1:32" s="15" customFormat="1" ht="36" customHeight="1" x14ac:dyDescent="0.25">
      <c r="A96" s="12" t="s">
        <v>304</v>
      </c>
      <c r="B96" s="13" t="str">
        <f>'дод 5'!A65</f>
        <v>1160</v>
      </c>
      <c r="C96" s="12" t="str">
        <f>'дод 5'!B65</f>
        <v>0990</v>
      </c>
      <c r="D96" s="16" t="str">
        <f>'дод 5'!C65</f>
        <v>Забезпечення діяльності центрів професійного розвитку педагогічних працівників</v>
      </c>
      <c r="E96" s="96">
        <f t="shared" si="65"/>
        <v>3385200</v>
      </c>
      <c r="F96" s="96">
        <f>3763400+17300-395500</f>
        <v>3385200</v>
      </c>
      <c r="G96" s="96">
        <f>2713000+14200-305000</f>
        <v>2422200</v>
      </c>
      <c r="H96" s="96">
        <v>315500</v>
      </c>
      <c r="I96" s="96"/>
      <c r="J96" s="96">
        <v>3167093.82</v>
      </c>
      <c r="K96" s="96">
        <v>2307251.0699999998</v>
      </c>
      <c r="L96" s="96">
        <v>254396.38</v>
      </c>
      <c r="M96" s="150">
        <f t="shared" si="80"/>
        <v>93.557066643034375</v>
      </c>
      <c r="N96" s="96">
        <f t="shared" si="67"/>
        <v>0</v>
      </c>
      <c r="O96" s="96"/>
      <c r="P96" s="96"/>
      <c r="Q96" s="96"/>
      <c r="R96" s="96"/>
      <c r="S96" s="96"/>
      <c r="T96" s="96">
        <f t="shared" si="87"/>
        <v>60303.06</v>
      </c>
      <c r="U96" s="96"/>
      <c r="V96" s="96">
        <v>34933.06</v>
      </c>
      <c r="W96" s="96"/>
      <c r="X96" s="96"/>
      <c r="Y96" s="96">
        <v>25370</v>
      </c>
      <c r="Z96" s="150" t="e">
        <f t="shared" si="88"/>
        <v>#DIV/0!</v>
      </c>
      <c r="AA96" s="96">
        <f t="shared" si="89"/>
        <v>3227396.88</v>
      </c>
      <c r="AB96" s="96">
        <f t="shared" si="66"/>
        <v>3385200</v>
      </c>
      <c r="AC96" s="237"/>
      <c r="AD96" s="113"/>
      <c r="AE96" s="132"/>
      <c r="AF96" s="125"/>
    </row>
    <row r="97" spans="1:32" s="15" customFormat="1" ht="86.45" customHeight="1" x14ac:dyDescent="0.25">
      <c r="A97" s="12" t="s">
        <v>415</v>
      </c>
      <c r="B97" s="13" t="str">
        <f>'дод 5'!A66</f>
        <v>1183</v>
      </c>
      <c r="C97" s="12" t="str">
        <f>'дод 5'!B66</f>
        <v>0990</v>
      </c>
      <c r="D97" s="16" t="str">
        <f>'дод 5'!C66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v>
      </c>
      <c r="E97" s="96">
        <f t="shared" si="65"/>
        <v>959666</v>
      </c>
      <c r="F97" s="96">
        <f>1125107+166152-109989-91223+97600-146387-81594</f>
        <v>959666</v>
      </c>
      <c r="G97" s="96"/>
      <c r="H97" s="96"/>
      <c r="I97" s="96"/>
      <c r="J97" s="96">
        <v>921223.9</v>
      </c>
      <c r="K97" s="96"/>
      <c r="L97" s="96"/>
      <c r="M97" s="150">
        <f t="shared" si="80"/>
        <v>95.994220906023557</v>
      </c>
      <c r="N97" s="96">
        <f t="shared" si="67"/>
        <v>3455834</v>
      </c>
      <c r="O97" s="96">
        <f>4415500-1125107-166152+109989+91223-97600+146387+81594</f>
        <v>3455834</v>
      </c>
      <c r="P97" s="96"/>
      <c r="Q97" s="96"/>
      <c r="R97" s="96"/>
      <c r="S97" s="96">
        <f>4415500-1125107-166152+109989+91223-97600+146387+81594</f>
        <v>3455834</v>
      </c>
      <c r="T97" s="96">
        <f t="shared" si="87"/>
        <v>3271732.7</v>
      </c>
      <c r="U97" s="96">
        <v>3271732.7</v>
      </c>
      <c r="V97" s="96"/>
      <c r="W97" s="96"/>
      <c r="X97" s="96"/>
      <c r="Y97" s="96">
        <v>3271732.7</v>
      </c>
      <c r="Z97" s="150">
        <f t="shared" si="88"/>
        <v>94.67273891049166</v>
      </c>
      <c r="AA97" s="96">
        <f t="shared" si="89"/>
        <v>4192956.6</v>
      </c>
      <c r="AB97" s="96">
        <f t="shared" si="66"/>
        <v>4415500</v>
      </c>
      <c r="AC97" s="237"/>
      <c r="AD97" s="113"/>
      <c r="AE97" s="132"/>
      <c r="AF97" s="125"/>
    </row>
    <row r="98" spans="1:32" s="15" customFormat="1" ht="104.25" customHeight="1" x14ac:dyDescent="0.25">
      <c r="A98" s="12" t="s">
        <v>421</v>
      </c>
      <c r="B98" s="13" t="str">
        <f>'дод 5'!A67</f>
        <v>1184</v>
      </c>
      <c r="C98" s="12" t="str">
        <f>'дод 5'!B67</f>
        <v>0990</v>
      </c>
      <c r="D98" s="16" t="str">
        <f>'дод 5'!C67</f>
        <v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бюджетам, у т.ч. за рахунок:</v>
      </c>
      <c r="E98" s="96">
        <f t="shared" si="65"/>
        <v>2239207</v>
      </c>
      <c r="F98" s="96">
        <f>2625231+230106-99055-212853+227732-341567-190387</f>
        <v>2239207</v>
      </c>
      <c r="G98" s="96"/>
      <c r="H98" s="96"/>
      <c r="I98" s="96"/>
      <c r="J98" s="96">
        <v>2137666.1</v>
      </c>
      <c r="K98" s="96"/>
      <c r="L98" s="96"/>
      <c r="M98" s="150">
        <f t="shared" si="80"/>
        <v>95.465318749003558</v>
      </c>
      <c r="N98" s="96">
        <f t="shared" si="67"/>
        <v>8063593</v>
      </c>
      <c r="O98" s="96">
        <f>10302800-2625231-230106+99055+212853-227732+341567+190387</f>
        <v>8063593</v>
      </c>
      <c r="P98" s="96"/>
      <c r="Q98" s="96"/>
      <c r="R98" s="96"/>
      <c r="S98" s="96">
        <f>10302800-2625231-230106+99055+212853-227732+341567+190387</f>
        <v>8063593</v>
      </c>
      <c r="T98" s="96">
        <f t="shared" si="87"/>
        <v>7634048.2999999998</v>
      </c>
      <c r="U98" s="96">
        <v>7634048.2999999998</v>
      </c>
      <c r="V98" s="96"/>
      <c r="W98" s="96"/>
      <c r="X98" s="96"/>
      <c r="Y98" s="96">
        <v>7634048.2999999998</v>
      </c>
      <c r="Z98" s="150">
        <f t="shared" si="88"/>
        <v>94.673035953079477</v>
      </c>
      <c r="AA98" s="96">
        <f t="shared" si="89"/>
        <v>9771714.4000000004</v>
      </c>
      <c r="AB98" s="96">
        <f t="shared" si="66"/>
        <v>10302800</v>
      </c>
      <c r="AC98" s="237"/>
      <c r="AD98" s="113"/>
      <c r="AE98" s="132"/>
      <c r="AF98" s="125"/>
    </row>
    <row r="99" spans="1:32" s="23" customFormat="1" ht="101.25" customHeight="1" x14ac:dyDescent="0.25">
      <c r="A99" s="20"/>
      <c r="B99" s="21"/>
      <c r="C99" s="20"/>
      <c r="D99" s="22" t="str">
        <f>'дод 5'!C68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E99" s="97">
        <f>E98</f>
        <v>2239207</v>
      </c>
      <c r="F99" s="97">
        <f t="shared" ref="F99:AB99" si="108">F98</f>
        <v>2239207</v>
      </c>
      <c r="G99" s="97">
        <f t="shared" si="108"/>
        <v>0</v>
      </c>
      <c r="H99" s="97">
        <f t="shared" si="108"/>
        <v>0</v>
      </c>
      <c r="I99" s="97">
        <f t="shared" si="108"/>
        <v>0</v>
      </c>
      <c r="J99" s="97">
        <v>2137666.1</v>
      </c>
      <c r="K99" s="97"/>
      <c r="L99" s="97"/>
      <c r="M99" s="151">
        <f t="shared" si="80"/>
        <v>95.465318749003558</v>
      </c>
      <c r="N99" s="97">
        <f t="shared" si="108"/>
        <v>8063593</v>
      </c>
      <c r="O99" s="97">
        <f t="shared" si="108"/>
        <v>8063593</v>
      </c>
      <c r="P99" s="97">
        <f t="shared" si="108"/>
        <v>0</v>
      </c>
      <c r="Q99" s="97">
        <f t="shared" si="108"/>
        <v>0</v>
      </c>
      <c r="R99" s="97">
        <f t="shared" si="108"/>
        <v>0</v>
      </c>
      <c r="S99" s="97">
        <f t="shared" si="108"/>
        <v>8063593</v>
      </c>
      <c r="T99" s="97">
        <f t="shared" si="87"/>
        <v>7634048.2999999998</v>
      </c>
      <c r="U99" s="97">
        <v>7634048.2999999998</v>
      </c>
      <c r="V99" s="97"/>
      <c r="W99" s="97"/>
      <c r="X99" s="97"/>
      <c r="Y99" s="97">
        <v>7634048.2999999998</v>
      </c>
      <c r="Z99" s="151">
        <f t="shared" si="88"/>
        <v>94.673035953079477</v>
      </c>
      <c r="AA99" s="97">
        <f t="shared" si="89"/>
        <v>9771714.4000000004</v>
      </c>
      <c r="AB99" s="97">
        <f t="shared" si="108"/>
        <v>10302800</v>
      </c>
      <c r="AC99" s="237"/>
      <c r="AD99" s="114"/>
      <c r="AE99" s="132"/>
      <c r="AF99" s="125"/>
    </row>
    <row r="100" spans="1:32" s="15" customFormat="1" ht="78.400000000000006" customHeight="1" x14ac:dyDescent="0.25">
      <c r="A100" s="12" t="s">
        <v>422</v>
      </c>
      <c r="B100" s="13" t="str">
        <f>'дод 5'!A69</f>
        <v>1200</v>
      </c>
      <c r="C100" s="12" t="str">
        <f>'дод 5'!B69</f>
        <v>0990</v>
      </c>
      <c r="D100" s="16" t="str">
        <f>'дод 5'!C69</f>
        <v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потребами, у т.ч. за рахунок:</v>
      </c>
      <c r="E100" s="96">
        <f t="shared" si="65"/>
        <v>891200</v>
      </c>
      <c r="F100" s="96">
        <v>891200</v>
      </c>
      <c r="G100" s="96">
        <v>730490</v>
      </c>
      <c r="H100" s="96"/>
      <c r="I100" s="96"/>
      <c r="J100" s="96">
        <v>891199.9</v>
      </c>
      <c r="K100" s="96">
        <v>730490</v>
      </c>
      <c r="L100" s="96"/>
      <c r="M100" s="150">
        <f t="shared" si="80"/>
        <v>99.99998877917416</v>
      </c>
      <c r="N100" s="96">
        <f t="shared" si="67"/>
        <v>0</v>
      </c>
      <c r="O100" s="96"/>
      <c r="P100" s="96"/>
      <c r="Q100" s="96"/>
      <c r="R100" s="96"/>
      <c r="S100" s="96"/>
      <c r="T100" s="96">
        <f t="shared" si="87"/>
        <v>0</v>
      </c>
      <c r="U100" s="96"/>
      <c r="V100" s="96"/>
      <c r="W100" s="96"/>
      <c r="X100" s="96"/>
      <c r="Y100" s="96"/>
      <c r="Z100" s="150" t="e">
        <f t="shared" si="88"/>
        <v>#DIV/0!</v>
      </c>
      <c r="AA100" s="96">
        <f t="shared" si="89"/>
        <v>891199.9</v>
      </c>
      <c r="AB100" s="96">
        <f t="shared" si="66"/>
        <v>891200</v>
      </c>
      <c r="AC100" s="237"/>
      <c r="AD100" s="113"/>
      <c r="AE100" s="132"/>
      <c r="AF100" s="125"/>
    </row>
    <row r="101" spans="1:32" s="23" customFormat="1" ht="60.75" customHeight="1" x14ac:dyDescent="0.25">
      <c r="A101" s="20"/>
      <c r="B101" s="21">
        <f>'дод 5'!A70</f>
        <v>0</v>
      </c>
      <c r="C101" s="20">
        <f>'дод 5'!B70</f>
        <v>0</v>
      </c>
      <c r="D101" s="22" t="str">
        <f>'дод 5'!C70</f>
        <v>субвенції з державного бюджету місцевим бюджетам на надання державної пітримки особам з особливими освітніми потребами</v>
      </c>
      <c r="E101" s="97">
        <f t="shared" si="65"/>
        <v>891200</v>
      </c>
      <c r="F101" s="97">
        <v>891200</v>
      </c>
      <c r="G101" s="97">
        <v>730490</v>
      </c>
      <c r="H101" s="97"/>
      <c r="I101" s="97"/>
      <c r="J101" s="97">
        <v>891199.9</v>
      </c>
      <c r="K101" s="97">
        <v>730490</v>
      </c>
      <c r="L101" s="97"/>
      <c r="M101" s="151">
        <f t="shared" si="80"/>
        <v>99.99998877917416</v>
      </c>
      <c r="N101" s="97">
        <f t="shared" si="67"/>
        <v>0</v>
      </c>
      <c r="O101" s="97"/>
      <c r="P101" s="97"/>
      <c r="Q101" s="97"/>
      <c r="R101" s="97"/>
      <c r="S101" s="97"/>
      <c r="T101" s="97">
        <f t="shared" si="87"/>
        <v>0</v>
      </c>
      <c r="U101" s="97"/>
      <c r="V101" s="97"/>
      <c r="W101" s="97"/>
      <c r="X101" s="97"/>
      <c r="Y101" s="97"/>
      <c r="Z101" s="151" t="e">
        <f t="shared" si="88"/>
        <v>#DIV/0!</v>
      </c>
      <c r="AA101" s="97">
        <f t="shared" si="89"/>
        <v>891199.9</v>
      </c>
      <c r="AB101" s="97">
        <f t="shared" si="66"/>
        <v>891200</v>
      </c>
      <c r="AC101" s="237"/>
      <c r="AD101" s="114"/>
      <c r="AE101" s="132"/>
      <c r="AF101" s="125"/>
    </row>
    <row r="102" spans="1:32" s="15" customFormat="1" ht="110.25" customHeight="1" x14ac:dyDescent="0.25">
      <c r="A102" s="12" t="s">
        <v>593</v>
      </c>
      <c r="B102" s="13">
        <v>1221</v>
      </c>
      <c r="C102" s="12" t="s">
        <v>47</v>
      </c>
      <c r="D102" s="16" t="s">
        <v>594</v>
      </c>
      <c r="E102" s="96">
        <f t="shared" si="65"/>
        <v>2500000</v>
      </c>
      <c r="F102" s="96">
        <v>2500000</v>
      </c>
      <c r="G102" s="96"/>
      <c r="H102" s="96"/>
      <c r="I102" s="96"/>
      <c r="J102" s="96">
        <v>2500000</v>
      </c>
      <c r="K102" s="96"/>
      <c r="L102" s="96"/>
      <c r="M102" s="150">
        <f t="shared" si="80"/>
        <v>100</v>
      </c>
      <c r="N102" s="96">
        <f t="shared" si="67"/>
        <v>0</v>
      </c>
      <c r="O102" s="96"/>
      <c r="P102" s="96"/>
      <c r="Q102" s="96"/>
      <c r="R102" s="96"/>
      <c r="S102" s="96"/>
      <c r="T102" s="96">
        <f t="shared" si="87"/>
        <v>0</v>
      </c>
      <c r="U102" s="96"/>
      <c r="V102" s="96"/>
      <c r="W102" s="96"/>
      <c r="X102" s="96"/>
      <c r="Y102" s="96"/>
      <c r="Z102" s="150" t="e">
        <f t="shared" si="88"/>
        <v>#DIV/0!</v>
      </c>
      <c r="AA102" s="96">
        <f t="shared" si="89"/>
        <v>2500000</v>
      </c>
      <c r="AB102" s="96">
        <f t="shared" si="66"/>
        <v>2500000</v>
      </c>
      <c r="AC102" s="237"/>
      <c r="AD102" s="113"/>
      <c r="AE102" s="132"/>
      <c r="AF102" s="125"/>
    </row>
    <row r="103" spans="1:32" s="15" customFormat="1" ht="110.25" customHeight="1" x14ac:dyDescent="0.25">
      <c r="A103" s="12" t="s">
        <v>504</v>
      </c>
      <c r="B103" s="13" t="str">
        <f>'дод 5'!A72</f>
        <v>1222</v>
      </c>
      <c r="C103" s="12" t="str">
        <f>'дод 5'!B72</f>
        <v>0990</v>
      </c>
      <c r="D103" s="16" t="str">
        <f>'дод 5'!C72</f>
        <v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бюджетам,  у т.ч. за рахунок:</v>
      </c>
      <c r="E103" s="96">
        <f t="shared" ref="E103:E104" si="109">F103+I103</f>
        <v>2442000</v>
      </c>
      <c r="F103" s="96">
        <v>2442000</v>
      </c>
      <c r="G103" s="96"/>
      <c r="H103" s="96"/>
      <c r="I103" s="96"/>
      <c r="J103" s="96">
        <v>1817007.36</v>
      </c>
      <c r="K103" s="96"/>
      <c r="L103" s="96"/>
      <c r="M103" s="150">
        <f t="shared" si="80"/>
        <v>74.406525798525806</v>
      </c>
      <c r="N103" s="96">
        <f t="shared" ref="N103:N104" si="110">P103+S103</f>
        <v>12258000</v>
      </c>
      <c r="O103" s="96">
        <v>12258000</v>
      </c>
      <c r="P103" s="96"/>
      <c r="Q103" s="96"/>
      <c r="R103" s="96"/>
      <c r="S103" s="96">
        <v>12258000</v>
      </c>
      <c r="T103" s="96">
        <f t="shared" si="87"/>
        <v>5102077</v>
      </c>
      <c r="U103" s="96">
        <v>5102077</v>
      </c>
      <c r="V103" s="96"/>
      <c r="W103" s="96"/>
      <c r="X103" s="96"/>
      <c r="Y103" s="96">
        <v>5102077</v>
      </c>
      <c r="Z103" s="150">
        <f t="shared" si="88"/>
        <v>41.622426170664056</v>
      </c>
      <c r="AA103" s="96">
        <f t="shared" si="89"/>
        <v>6919084.3600000003</v>
      </c>
      <c r="AB103" s="96">
        <f t="shared" ref="AB103:AB104" si="111">E103+N103</f>
        <v>14700000</v>
      </c>
      <c r="AC103" s="237"/>
      <c r="AD103" s="113"/>
      <c r="AE103" s="132"/>
      <c r="AF103" s="125"/>
    </row>
    <row r="104" spans="1:32" s="23" customFormat="1" ht="123" customHeight="1" x14ac:dyDescent="0.25">
      <c r="A104" s="20"/>
      <c r="B104" s="21">
        <f>'дод 5'!A73</f>
        <v>0</v>
      </c>
      <c r="C104" s="20">
        <f>'дод 5'!B73</f>
        <v>0</v>
      </c>
      <c r="D104" s="22" t="str">
        <f>'дод 5'!C73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E104" s="97">
        <f t="shared" si="109"/>
        <v>2442000</v>
      </c>
      <c r="F104" s="97">
        <v>2442000</v>
      </c>
      <c r="G104" s="97"/>
      <c r="H104" s="97"/>
      <c r="I104" s="97"/>
      <c r="J104" s="97">
        <v>1817007.36</v>
      </c>
      <c r="K104" s="97"/>
      <c r="L104" s="97"/>
      <c r="M104" s="151">
        <f t="shared" si="80"/>
        <v>74.406525798525806</v>
      </c>
      <c r="N104" s="97">
        <f t="shared" si="110"/>
        <v>12258000</v>
      </c>
      <c r="O104" s="97">
        <v>12258000</v>
      </c>
      <c r="P104" s="97"/>
      <c r="Q104" s="97"/>
      <c r="R104" s="97"/>
      <c r="S104" s="97">
        <v>12258000</v>
      </c>
      <c r="T104" s="97">
        <f t="shared" si="87"/>
        <v>5102077</v>
      </c>
      <c r="U104" s="97">
        <v>5102077</v>
      </c>
      <c r="V104" s="97"/>
      <c r="W104" s="97"/>
      <c r="X104" s="97"/>
      <c r="Y104" s="97">
        <v>5102077</v>
      </c>
      <c r="Z104" s="151">
        <f t="shared" si="88"/>
        <v>41.622426170664056</v>
      </c>
      <c r="AA104" s="97">
        <f t="shared" si="89"/>
        <v>6919084.3600000003</v>
      </c>
      <c r="AB104" s="97">
        <f t="shared" si="111"/>
        <v>14700000</v>
      </c>
      <c r="AC104" s="237">
        <v>15</v>
      </c>
      <c r="AD104" s="114"/>
      <c r="AE104" s="132"/>
      <c r="AF104" s="125"/>
    </row>
    <row r="105" spans="1:32" s="15" customFormat="1" ht="123.4" customHeight="1" x14ac:dyDescent="0.25">
      <c r="A105" s="12" t="s">
        <v>537</v>
      </c>
      <c r="B105" s="13">
        <v>1231</v>
      </c>
      <c r="C105" s="12" t="s">
        <v>47</v>
      </c>
      <c r="D105" s="16" t="s">
        <v>541</v>
      </c>
      <c r="E105" s="96">
        <f t="shared" ref="E105" si="112">F105+I105</f>
        <v>79200</v>
      </c>
      <c r="F105" s="96">
        <v>79200</v>
      </c>
      <c r="G105" s="96"/>
      <c r="H105" s="96"/>
      <c r="I105" s="96"/>
      <c r="J105" s="96">
        <v>79159.5</v>
      </c>
      <c r="K105" s="96"/>
      <c r="L105" s="96"/>
      <c r="M105" s="150">
        <f t="shared" si="80"/>
        <v>99.94886363636364</v>
      </c>
      <c r="N105" s="96">
        <f t="shared" ref="N105" si="113">P105+S105</f>
        <v>0</v>
      </c>
      <c r="O105" s="96"/>
      <c r="P105" s="96"/>
      <c r="Q105" s="96"/>
      <c r="R105" s="96"/>
      <c r="S105" s="96"/>
      <c r="T105" s="96">
        <f t="shared" si="87"/>
        <v>0</v>
      </c>
      <c r="U105" s="96"/>
      <c r="V105" s="96"/>
      <c r="W105" s="96"/>
      <c r="X105" s="96"/>
      <c r="Y105" s="96"/>
      <c r="Z105" s="150" t="e">
        <f t="shared" si="88"/>
        <v>#DIV/0!</v>
      </c>
      <c r="AA105" s="96">
        <f t="shared" si="89"/>
        <v>79159.5</v>
      </c>
      <c r="AB105" s="96">
        <f t="shared" ref="AB105" si="114">E105+N105</f>
        <v>79200</v>
      </c>
      <c r="AC105" s="237"/>
      <c r="AD105" s="113"/>
      <c r="AE105" s="132"/>
      <c r="AF105" s="125"/>
    </row>
    <row r="106" spans="1:32" s="15" customFormat="1" ht="127.9" customHeight="1" x14ac:dyDescent="0.25">
      <c r="A106" s="12" t="s">
        <v>539</v>
      </c>
      <c r="B106" s="13">
        <v>1232</v>
      </c>
      <c r="C106" s="12" t="s">
        <v>47</v>
      </c>
      <c r="D106" s="16" t="s">
        <v>542</v>
      </c>
      <c r="E106" s="96">
        <f t="shared" ref="E106:E108" si="115">F106+I106</f>
        <v>79200</v>
      </c>
      <c r="F106" s="96">
        <v>79200</v>
      </c>
      <c r="G106" s="96"/>
      <c r="H106" s="96"/>
      <c r="I106" s="96"/>
      <c r="J106" s="96">
        <v>79159.5</v>
      </c>
      <c r="K106" s="96"/>
      <c r="L106" s="96"/>
      <c r="M106" s="150">
        <f t="shared" si="80"/>
        <v>99.94886363636364</v>
      </c>
      <c r="N106" s="96">
        <f t="shared" ref="N106:N108" si="116">P106+S106</f>
        <v>0</v>
      </c>
      <c r="O106" s="96"/>
      <c r="P106" s="96"/>
      <c r="Q106" s="96"/>
      <c r="R106" s="96"/>
      <c r="S106" s="96"/>
      <c r="T106" s="96">
        <f t="shared" si="87"/>
        <v>0</v>
      </c>
      <c r="U106" s="96"/>
      <c r="V106" s="96"/>
      <c r="W106" s="96"/>
      <c r="X106" s="96"/>
      <c r="Y106" s="96"/>
      <c r="Z106" s="150" t="e">
        <f t="shared" si="88"/>
        <v>#DIV/0!</v>
      </c>
      <c r="AA106" s="96">
        <f t="shared" si="89"/>
        <v>79159.5</v>
      </c>
      <c r="AB106" s="96">
        <f t="shared" ref="AB106:AB108" si="117">E106+N106</f>
        <v>79200</v>
      </c>
      <c r="AC106" s="237"/>
      <c r="AD106" s="113"/>
      <c r="AE106" s="132"/>
      <c r="AF106" s="125"/>
    </row>
    <row r="107" spans="1:32" s="23" customFormat="1" ht="137.25" customHeight="1" x14ac:dyDescent="0.25">
      <c r="A107" s="20"/>
      <c r="B107" s="21"/>
      <c r="C107" s="20"/>
      <c r="D107" s="22" t="s">
        <v>540</v>
      </c>
      <c r="E107" s="97">
        <f t="shared" si="115"/>
        <v>79200</v>
      </c>
      <c r="F107" s="97">
        <v>79200</v>
      </c>
      <c r="G107" s="97"/>
      <c r="H107" s="97"/>
      <c r="I107" s="97"/>
      <c r="J107" s="97">
        <v>79159.5</v>
      </c>
      <c r="K107" s="97"/>
      <c r="L107" s="97"/>
      <c r="M107" s="151">
        <f t="shared" si="80"/>
        <v>99.94886363636364</v>
      </c>
      <c r="N107" s="97">
        <f t="shared" si="116"/>
        <v>0</v>
      </c>
      <c r="O107" s="97"/>
      <c r="P107" s="97"/>
      <c r="Q107" s="97"/>
      <c r="R107" s="97"/>
      <c r="S107" s="97"/>
      <c r="T107" s="97">
        <f t="shared" si="87"/>
        <v>0</v>
      </c>
      <c r="U107" s="97"/>
      <c r="V107" s="97"/>
      <c r="W107" s="97"/>
      <c r="X107" s="97"/>
      <c r="Y107" s="97"/>
      <c r="Z107" s="151" t="e">
        <f t="shared" si="88"/>
        <v>#DIV/0!</v>
      </c>
      <c r="AA107" s="97">
        <f t="shared" si="89"/>
        <v>79159.5</v>
      </c>
      <c r="AB107" s="97">
        <f t="shared" si="117"/>
        <v>79200</v>
      </c>
      <c r="AC107" s="237"/>
      <c r="AD107" s="114"/>
      <c r="AE107" s="132"/>
      <c r="AF107" s="125"/>
    </row>
    <row r="108" spans="1:32" s="15" customFormat="1" ht="126" customHeight="1" x14ac:dyDescent="0.25">
      <c r="A108" s="12" t="s">
        <v>549</v>
      </c>
      <c r="B108" s="13" t="str">
        <f>'дод 5'!A77</f>
        <v>1261</v>
      </c>
      <c r="C108" s="13" t="str">
        <f>'дод 5'!B77</f>
        <v>0990</v>
      </c>
      <c r="D108" s="16" t="str">
        <f>'дод 5'!C77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108" s="97">
        <f t="shared" si="115"/>
        <v>0</v>
      </c>
      <c r="F108" s="96"/>
      <c r="G108" s="97"/>
      <c r="H108" s="97"/>
      <c r="I108" s="97"/>
      <c r="J108" s="97"/>
      <c r="K108" s="97"/>
      <c r="L108" s="97"/>
      <c r="M108" s="151" t="e">
        <f t="shared" si="80"/>
        <v>#DIV/0!</v>
      </c>
      <c r="N108" s="97">
        <f t="shared" si="116"/>
        <v>645540</v>
      </c>
      <c r="O108" s="97">
        <f>659469-13929</f>
        <v>645540</v>
      </c>
      <c r="P108" s="97"/>
      <c r="Q108" s="97"/>
      <c r="R108" s="97"/>
      <c r="S108" s="97">
        <f>659469-13929</f>
        <v>645540</v>
      </c>
      <c r="T108" s="97">
        <f t="shared" si="87"/>
        <v>433854.65</v>
      </c>
      <c r="U108" s="97">
        <v>433854.65</v>
      </c>
      <c r="V108" s="97"/>
      <c r="W108" s="97"/>
      <c r="X108" s="97"/>
      <c r="Y108" s="97">
        <v>433854.65</v>
      </c>
      <c r="Z108" s="151">
        <f t="shared" si="88"/>
        <v>67.208019642469878</v>
      </c>
      <c r="AA108" s="97">
        <f t="shared" si="89"/>
        <v>433854.65</v>
      </c>
      <c r="AB108" s="96">
        <f t="shared" si="117"/>
        <v>645540</v>
      </c>
      <c r="AC108" s="237"/>
      <c r="AD108" s="113"/>
      <c r="AE108" s="132"/>
      <c r="AF108" s="125"/>
    </row>
    <row r="109" spans="1:32" s="15" customFormat="1" ht="111" customHeight="1" x14ac:dyDescent="0.25">
      <c r="A109" s="12" t="s">
        <v>499</v>
      </c>
      <c r="B109" s="13" t="str">
        <f>'дод 5'!A80</f>
        <v>1273</v>
      </c>
      <c r="C109" s="12" t="str">
        <f>'дод 5'!B80</f>
        <v>0990</v>
      </c>
      <c r="D109" s="16" t="str">
        <f>'дод 5'!C80</f>
        <v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v>
      </c>
      <c r="E109" s="97">
        <f t="shared" ref="E109" si="118">F109+I109</f>
        <v>0</v>
      </c>
      <c r="F109" s="96"/>
      <c r="G109" s="97"/>
      <c r="H109" s="97"/>
      <c r="I109" s="97"/>
      <c r="J109" s="97"/>
      <c r="K109" s="97"/>
      <c r="L109" s="97"/>
      <c r="M109" s="151" t="e">
        <f t="shared" si="80"/>
        <v>#DIV/0!</v>
      </c>
      <c r="N109" s="97">
        <f t="shared" ref="N109" si="119">P109+S109</f>
        <v>20026937</v>
      </c>
      <c r="O109" s="97">
        <f>6615904+940671+2369691+984522+171154+2219343+3655633+2215627+854392</f>
        <v>20026937</v>
      </c>
      <c r="P109" s="97"/>
      <c r="Q109" s="97"/>
      <c r="R109" s="97"/>
      <c r="S109" s="97">
        <f>6615904+940671+2369691+984522+171154+2219343+3655633+2215627+854392</f>
        <v>20026937</v>
      </c>
      <c r="T109" s="97">
        <f t="shared" si="87"/>
        <v>18179341.780000001</v>
      </c>
      <c r="U109" s="97">
        <v>18179341.780000001</v>
      </c>
      <c r="V109" s="97"/>
      <c r="W109" s="97"/>
      <c r="X109" s="97"/>
      <c r="Y109" s="97">
        <v>18179341.780000001</v>
      </c>
      <c r="Z109" s="151">
        <f t="shared" si="88"/>
        <v>90.774449332915964</v>
      </c>
      <c r="AA109" s="97">
        <f t="shared" si="89"/>
        <v>18179341.780000001</v>
      </c>
      <c r="AB109" s="96">
        <f t="shared" ref="AB109" si="120">E109+N109</f>
        <v>20026937</v>
      </c>
      <c r="AC109" s="237"/>
      <c r="AD109" s="113"/>
      <c r="AE109" s="132"/>
      <c r="AF109" s="125"/>
    </row>
    <row r="110" spans="1:32" s="15" customFormat="1" ht="114" customHeight="1" x14ac:dyDescent="0.25">
      <c r="A110" s="12" t="s">
        <v>500</v>
      </c>
      <c r="B110" s="13" t="str">
        <f>'дод 5'!A81</f>
        <v>1274</v>
      </c>
      <c r="C110" s="12" t="str">
        <f>'дод 5'!B81</f>
        <v>0990</v>
      </c>
      <c r="D110" s="16" t="str">
        <f>'дод 5'!C81</f>
        <v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освіти, у т.ч. за рахунок:</v>
      </c>
      <c r="E110" s="96">
        <f t="shared" ref="E110:E114" si="121">F110+I110</f>
        <v>0</v>
      </c>
      <c r="F110" s="96"/>
      <c r="G110" s="96"/>
      <c r="H110" s="96"/>
      <c r="I110" s="96"/>
      <c r="J110" s="96"/>
      <c r="K110" s="96"/>
      <c r="L110" s="96"/>
      <c r="M110" s="150" t="e">
        <f t="shared" si="80"/>
        <v>#DIV/0!</v>
      </c>
      <c r="N110" s="96">
        <f t="shared" ref="N110:N114" si="122">P110+S110</f>
        <v>15081700</v>
      </c>
      <c r="O110" s="96"/>
      <c r="P110" s="96"/>
      <c r="Q110" s="96"/>
      <c r="R110" s="96"/>
      <c r="S110" s="96">
        <v>15081700</v>
      </c>
      <c r="T110" s="96">
        <f t="shared" si="87"/>
        <v>14491008.73</v>
      </c>
      <c r="U110" s="96"/>
      <c r="V110" s="96"/>
      <c r="W110" s="96"/>
      <c r="X110" s="96"/>
      <c r="Y110" s="96">
        <v>14491008.73</v>
      </c>
      <c r="Z110" s="150">
        <f t="shared" si="88"/>
        <v>96.083390665508531</v>
      </c>
      <c r="AA110" s="96">
        <f t="shared" si="89"/>
        <v>14491008.73</v>
      </c>
      <c r="AB110" s="96">
        <f t="shared" ref="AB110:AB114" si="123">E110+N110</f>
        <v>15081700</v>
      </c>
      <c r="AC110" s="237"/>
      <c r="AD110" s="113"/>
      <c r="AE110" s="132"/>
      <c r="AF110" s="125"/>
    </row>
    <row r="111" spans="1:32" s="23" customFormat="1" ht="31.5" x14ac:dyDescent="0.25">
      <c r="A111" s="20"/>
      <c r="B111" s="21">
        <f>'дод 5'!A82</f>
        <v>0</v>
      </c>
      <c r="C111" s="20">
        <f>'дод 5'!B82</f>
        <v>0</v>
      </c>
      <c r="D111" s="22" t="str">
        <f>'дод 5'!C82</f>
        <v>освітньої субвенції з державного бюджету місцевим бюджетам</v>
      </c>
      <c r="E111" s="97">
        <f t="shared" si="121"/>
        <v>0</v>
      </c>
      <c r="F111" s="97"/>
      <c r="G111" s="97"/>
      <c r="H111" s="97"/>
      <c r="I111" s="97"/>
      <c r="J111" s="97"/>
      <c r="K111" s="97"/>
      <c r="L111" s="97"/>
      <c r="M111" s="151" t="e">
        <f t="shared" si="80"/>
        <v>#DIV/0!</v>
      </c>
      <c r="N111" s="97">
        <f t="shared" si="122"/>
        <v>15081700</v>
      </c>
      <c r="O111" s="97"/>
      <c r="P111" s="97"/>
      <c r="Q111" s="97"/>
      <c r="R111" s="97"/>
      <c r="S111" s="97">
        <v>15081700</v>
      </c>
      <c r="T111" s="97">
        <f t="shared" si="87"/>
        <v>14491008.73</v>
      </c>
      <c r="U111" s="97"/>
      <c r="V111" s="97"/>
      <c r="W111" s="97"/>
      <c r="X111" s="97"/>
      <c r="Y111" s="97">
        <v>14491008.73</v>
      </c>
      <c r="Z111" s="151">
        <f t="shared" si="88"/>
        <v>96.083390665508531</v>
      </c>
      <c r="AA111" s="97">
        <f t="shared" si="89"/>
        <v>14491008.73</v>
      </c>
      <c r="AB111" s="97">
        <f t="shared" si="123"/>
        <v>15081700</v>
      </c>
      <c r="AC111" s="237"/>
      <c r="AD111" s="114"/>
      <c r="AE111" s="132"/>
      <c r="AF111" s="125"/>
    </row>
    <row r="112" spans="1:32" s="15" customFormat="1" ht="80.650000000000006" hidden="1" customHeight="1" x14ac:dyDescent="0.25">
      <c r="A112" s="12" t="s">
        <v>530</v>
      </c>
      <c r="B112" s="13">
        <v>1275</v>
      </c>
      <c r="C112" s="12" t="s">
        <v>47</v>
      </c>
      <c r="D112" s="16" t="s">
        <v>531</v>
      </c>
      <c r="E112" s="96">
        <f t="shared" si="121"/>
        <v>0</v>
      </c>
      <c r="F112" s="96"/>
      <c r="G112" s="96"/>
      <c r="H112" s="96"/>
      <c r="I112" s="96"/>
      <c r="J112" s="96"/>
      <c r="K112" s="96"/>
      <c r="L112" s="96"/>
      <c r="M112" s="150" t="e">
        <f t="shared" si="80"/>
        <v>#DIV/0!</v>
      </c>
      <c r="N112" s="96">
        <f t="shared" si="122"/>
        <v>0</v>
      </c>
      <c r="O112" s="96"/>
      <c r="P112" s="96"/>
      <c r="Q112" s="96"/>
      <c r="R112" s="96"/>
      <c r="S112" s="96"/>
      <c r="T112" s="96">
        <f t="shared" si="87"/>
        <v>0</v>
      </c>
      <c r="U112" s="96"/>
      <c r="V112" s="96"/>
      <c r="W112" s="96"/>
      <c r="X112" s="96"/>
      <c r="Y112" s="96"/>
      <c r="Z112" s="150" t="e">
        <f t="shared" si="88"/>
        <v>#DIV/0!</v>
      </c>
      <c r="AA112" s="96">
        <f t="shared" si="89"/>
        <v>0</v>
      </c>
      <c r="AB112" s="96">
        <f t="shared" si="123"/>
        <v>0</v>
      </c>
      <c r="AC112" s="237"/>
      <c r="AD112" s="113"/>
      <c r="AE112" s="132"/>
      <c r="AF112" s="125"/>
    </row>
    <row r="113" spans="1:32" s="15" customFormat="1" ht="80.650000000000006" hidden="1" customHeight="1" x14ac:dyDescent="0.25">
      <c r="A113" s="12" t="s">
        <v>535</v>
      </c>
      <c r="B113" s="13">
        <v>1276</v>
      </c>
      <c r="C113" s="12" t="s">
        <v>47</v>
      </c>
      <c r="D113" s="16" t="s">
        <v>536</v>
      </c>
      <c r="E113" s="96">
        <f t="shared" si="121"/>
        <v>0</v>
      </c>
      <c r="F113" s="96"/>
      <c r="G113" s="96"/>
      <c r="H113" s="96"/>
      <c r="I113" s="96"/>
      <c r="J113" s="96"/>
      <c r="K113" s="96"/>
      <c r="L113" s="96"/>
      <c r="M113" s="150" t="e">
        <f t="shared" si="80"/>
        <v>#DIV/0!</v>
      </c>
      <c r="N113" s="96">
        <f t="shared" si="122"/>
        <v>0</v>
      </c>
      <c r="O113" s="96"/>
      <c r="P113" s="96"/>
      <c r="Q113" s="96"/>
      <c r="R113" s="96"/>
      <c r="S113" s="96"/>
      <c r="T113" s="96">
        <f t="shared" si="87"/>
        <v>0</v>
      </c>
      <c r="U113" s="96"/>
      <c r="V113" s="96"/>
      <c r="W113" s="96"/>
      <c r="X113" s="96"/>
      <c r="Y113" s="96"/>
      <c r="Z113" s="150" t="e">
        <f t="shared" si="88"/>
        <v>#DIV/0!</v>
      </c>
      <c r="AA113" s="96">
        <f t="shared" si="89"/>
        <v>0</v>
      </c>
      <c r="AB113" s="96">
        <f t="shared" si="123"/>
        <v>0</v>
      </c>
      <c r="AC113" s="237"/>
      <c r="AD113" s="113"/>
      <c r="AE113" s="132"/>
      <c r="AF113" s="125"/>
    </row>
    <row r="114" spans="1:32" s="23" customFormat="1" ht="34.9" hidden="1" customHeight="1" x14ac:dyDescent="0.25">
      <c r="A114" s="20"/>
      <c r="B114" s="21"/>
      <c r="C114" s="20"/>
      <c r="D114" s="22" t="s">
        <v>394</v>
      </c>
      <c r="E114" s="97">
        <f t="shared" si="121"/>
        <v>0</v>
      </c>
      <c r="F114" s="97"/>
      <c r="G114" s="97"/>
      <c r="H114" s="97"/>
      <c r="I114" s="97"/>
      <c r="J114" s="97"/>
      <c r="K114" s="97"/>
      <c r="L114" s="97"/>
      <c r="M114" s="151" t="e">
        <f t="shared" si="80"/>
        <v>#DIV/0!</v>
      </c>
      <c r="N114" s="97">
        <f t="shared" si="122"/>
        <v>0</v>
      </c>
      <c r="O114" s="97"/>
      <c r="P114" s="97"/>
      <c r="Q114" s="97"/>
      <c r="R114" s="97"/>
      <c r="S114" s="97"/>
      <c r="T114" s="97">
        <f t="shared" si="87"/>
        <v>0</v>
      </c>
      <c r="U114" s="97"/>
      <c r="V114" s="97"/>
      <c r="W114" s="97"/>
      <c r="X114" s="97"/>
      <c r="Y114" s="97"/>
      <c r="Z114" s="151" t="e">
        <f t="shared" si="88"/>
        <v>#DIV/0!</v>
      </c>
      <c r="AA114" s="97">
        <f t="shared" si="89"/>
        <v>0</v>
      </c>
      <c r="AB114" s="97">
        <f t="shared" si="123"/>
        <v>0</v>
      </c>
      <c r="AC114" s="237"/>
      <c r="AD114" s="114"/>
      <c r="AE114" s="132"/>
      <c r="AF114" s="125"/>
    </row>
    <row r="115" spans="1:32" s="15" customFormat="1" ht="78.75" x14ac:dyDescent="0.25">
      <c r="A115" s="12" t="s">
        <v>554</v>
      </c>
      <c r="B115" s="13">
        <f>'дод 5'!A86</f>
        <v>1279</v>
      </c>
      <c r="C115" s="13" t="str">
        <f>'дод 5'!B86</f>
        <v>0990</v>
      </c>
      <c r="D115" s="16" t="str">
        <f>'дод 5'!C86</f>
        <v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освіти, у т.ч. за рахунок:</v>
      </c>
      <c r="E115" s="96">
        <f t="shared" ref="E115:E116" si="124">F115+I115</f>
        <v>0</v>
      </c>
      <c r="F115" s="96"/>
      <c r="G115" s="96"/>
      <c r="H115" s="96"/>
      <c r="I115" s="96"/>
      <c r="J115" s="96"/>
      <c r="K115" s="96"/>
      <c r="L115" s="96"/>
      <c r="M115" s="150" t="e">
        <f t="shared" si="80"/>
        <v>#DIV/0!</v>
      </c>
      <c r="N115" s="96">
        <f t="shared" ref="N115:N116" si="125">P115+S115</f>
        <v>5092400</v>
      </c>
      <c r="O115" s="96"/>
      <c r="P115" s="96">
        <v>5092400</v>
      </c>
      <c r="Q115" s="96"/>
      <c r="R115" s="96"/>
      <c r="S115" s="96"/>
      <c r="T115" s="96">
        <f t="shared" si="87"/>
        <v>3764348.2</v>
      </c>
      <c r="U115" s="96"/>
      <c r="V115" s="96">
        <v>3764348.2</v>
      </c>
      <c r="W115" s="96"/>
      <c r="X115" s="96"/>
      <c r="Y115" s="96"/>
      <c r="Z115" s="150">
        <f t="shared" si="88"/>
        <v>73.920905663341458</v>
      </c>
      <c r="AA115" s="96">
        <f t="shared" si="89"/>
        <v>3764348.2</v>
      </c>
      <c r="AB115" s="96">
        <f t="shared" ref="AB115:AB116" si="126">E115+N115</f>
        <v>5092400</v>
      </c>
      <c r="AC115" s="237"/>
      <c r="AD115" s="113"/>
      <c r="AE115" s="132"/>
      <c r="AF115" s="125"/>
    </row>
    <row r="116" spans="1:32" s="23" customFormat="1" ht="31.5" x14ac:dyDescent="0.25">
      <c r="A116" s="20"/>
      <c r="B116" s="21">
        <f>'дод 5'!A87</f>
        <v>0</v>
      </c>
      <c r="C116" s="21">
        <f>'дод 5'!B87</f>
        <v>0</v>
      </c>
      <c r="D116" s="22" t="str">
        <f>'дод 5'!C87</f>
        <v>освітньої субвенції з державного бюджету місцевим бюджетам</v>
      </c>
      <c r="E116" s="97">
        <f t="shared" si="124"/>
        <v>0</v>
      </c>
      <c r="F116" s="97"/>
      <c r="G116" s="97"/>
      <c r="H116" s="97"/>
      <c r="I116" s="97"/>
      <c r="J116" s="97"/>
      <c r="K116" s="97"/>
      <c r="L116" s="97"/>
      <c r="M116" s="151" t="e">
        <f t="shared" si="80"/>
        <v>#DIV/0!</v>
      </c>
      <c r="N116" s="97">
        <f t="shared" si="125"/>
        <v>5092400</v>
      </c>
      <c r="O116" s="97"/>
      <c r="P116" s="97">
        <v>5092400</v>
      </c>
      <c r="Q116" s="97"/>
      <c r="R116" s="97"/>
      <c r="S116" s="97"/>
      <c r="T116" s="97">
        <f t="shared" si="87"/>
        <v>3764348.2</v>
      </c>
      <c r="U116" s="97"/>
      <c r="V116" s="97">
        <v>3764348.2</v>
      </c>
      <c r="W116" s="97"/>
      <c r="X116" s="97"/>
      <c r="Y116" s="97"/>
      <c r="Z116" s="151">
        <f t="shared" si="88"/>
        <v>73.920905663341458</v>
      </c>
      <c r="AA116" s="97">
        <f t="shared" si="89"/>
        <v>3764348.2</v>
      </c>
      <c r="AB116" s="97">
        <f t="shared" si="126"/>
        <v>5092400</v>
      </c>
      <c r="AC116" s="237"/>
      <c r="AD116" s="114"/>
      <c r="AE116" s="132"/>
      <c r="AF116" s="125"/>
    </row>
    <row r="117" spans="1:32" s="15" customFormat="1" ht="96.75" customHeight="1" x14ac:dyDescent="0.25">
      <c r="A117" s="12" t="s">
        <v>520</v>
      </c>
      <c r="B117" s="13" t="str">
        <f>'дод 5'!A88</f>
        <v>1291</v>
      </c>
      <c r="C117" s="12" t="str">
        <f>'дод 5'!B88</f>
        <v>0990</v>
      </c>
      <c r="D117" s="16" t="str">
        <f>'дод 5'!C88</f>
        <v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v>
      </c>
      <c r="E117" s="96">
        <f t="shared" ref="E117:E118" si="127">F117+I117</f>
        <v>234501.65</v>
      </c>
      <c r="F117" s="96">
        <f>75998.65+115916+42587</f>
        <v>234501.65</v>
      </c>
      <c r="G117" s="96"/>
      <c r="H117" s="96"/>
      <c r="I117" s="96"/>
      <c r="J117" s="96">
        <v>234494.06</v>
      </c>
      <c r="K117" s="96"/>
      <c r="L117" s="96"/>
      <c r="M117" s="150">
        <f t="shared" si="80"/>
        <v>99.996763348999892</v>
      </c>
      <c r="N117" s="96">
        <f t="shared" ref="N117:N118" si="128">P117+S117</f>
        <v>352210.35</v>
      </c>
      <c r="O117" s="96">
        <f>510713.35-115916-42587</f>
        <v>352210.35</v>
      </c>
      <c r="P117" s="96"/>
      <c r="Q117" s="96"/>
      <c r="R117" s="96"/>
      <c r="S117" s="96">
        <f>510713.35-115916-42587</f>
        <v>352210.35</v>
      </c>
      <c r="T117" s="96">
        <f t="shared" si="87"/>
        <v>349047.6</v>
      </c>
      <c r="U117" s="96">
        <v>349047.6</v>
      </c>
      <c r="V117" s="96"/>
      <c r="W117" s="96"/>
      <c r="X117" s="96"/>
      <c r="Y117" s="96">
        <v>349047.6</v>
      </c>
      <c r="Z117" s="150">
        <f t="shared" si="88"/>
        <v>99.102028092019452</v>
      </c>
      <c r="AA117" s="96">
        <f t="shared" si="89"/>
        <v>583541.65999999992</v>
      </c>
      <c r="AB117" s="96">
        <f t="shared" ref="AB117:AB118" si="129">E117+N117</f>
        <v>586712</v>
      </c>
      <c r="AC117" s="237"/>
      <c r="AD117" s="113"/>
      <c r="AE117" s="132"/>
      <c r="AF117" s="125"/>
    </row>
    <row r="118" spans="1:32" s="15" customFormat="1" ht="101.65" customHeight="1" x14ac:dyDescent="0.25">
      <c r="A118" s="12" t="s">
        <v>526</v>
      </c>
      <c r="B118" s="13" t="str">
        <f>'дод 5'!A89</f>
        <v>1292</v>
      </c>
      <c r="C118" s="12" t="str">
        <f>'дод 5'!B89</f>
        <v>0990</v>
      </c>
      <c r="D118" s="16" t="str">
        <f>'дод 5'!C89</f>
        <v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v>
      </c>
      <c r="E118" s="96">
        <f t="shared" si="127"/>
        <v>0</v>
      </c>
      <c r="F118" s="96"/>
      <c r="G118" s="96"/>
      <c r="H118" s="96"/>
      <c r="I118" s="96"/>
      <c r="J118" s="96"/>
      <c r="K118" s="96"/>
      <c r="L118" s="96"/>
      <c r="M118" s="150" t="e">
        <f t="shared" si="80"/>
        <v>#DIV/0!</v>
      </c>
      <c r="N118" s="96">
        <f t="shared" si="128"/>
        <v>1368993.2799999998</v>
      </c>
      <c r="O118" s="96"/>
      <c r="P118" s="96">
        <f>177328.13+270471+99370</f>
        <v>547169.13</v>
      </c>
      <c r="Q118" s="96"/>
      <c r="R118" s="96"/>
      <c r="S118" s="96">
        <f>1191665.15-270471-99370</f>
        <v>821824.14999999991</v>
      </c>
      <c r="T118" s="96">
        <f t="shared" si="87"/>
        <v>1361595.1600000001</v>
      </c>
      <c r="U118" s="96"/>
      <c r="V118" s="96">
        <v>547150.76</v>
      </c>
      <c r="W118" s="96"/>
      <c r="X118" s="96"/>
      <c r="Y118" s="96">
        <v>814444.4</v>
      </c>
      <c r="Z118" s="150">
        <f t="shared" si="88"/>
        <v>99.459594133288974</v>
      </c>
      <c r="AA118" s="96">
        <f t="shared" si="89"/>
        <v>1361595.1600000001</v>
      </c>
      <c r="AB118" s="96">
        <f t="shared" si="129"/>
        <v>1368993.2799999998</v>
      </c>
      <c r="AC118" s="237"/>
      <c r="AD118" s="113"/>
      <c r="AE118" s="132"/>
      <c r="AF118" s="125"/>
    </row>
    <row r="119" spans="1:32" s="23" customFormat="1" ht="69" customHeight="1" x14ac:dyDescent="0.25">
      <c r="A119" s="20"/>
      <c r="B119" s="21">
        <f>'дод 5'!A90</f>
        <v>0</v>
      </c>
      <c r="C119" s="20">
        <f>'дод 5'!B90</f>
        <v>0</v>
      </c>
      <c r="D119" s="22" t="str">
        <f>'дод 5'!C90</f>
        <v>субвенція з місцевого бюджету за рахунок залишку коштів освітньої субвенції, що утворився на початок бюджетного періоду</v>
      </c>
      <c r="E119" s="97">
        <f>E118</f>
        <v>0</v>
      </c>
      <c r="F119" s="97">
        <f t="shared" ref="F119:AB119" si="130">F118</f>
        <v>0</v>
      </c>
      <c r="G119" s="97">
        <f t="shared" si="130"/>
        <v>0</v>
      </c>
      <c r="H119" s="97">
        <f t="shared" si="130"/>
        <v>0</v>
      </c>
      <c r="I119" s="97">
        <f t="shared" si="130"/>
        <v>0</v>
      </c>
      <c r="J119" s="97"/>
      <c r="K119" s="97"/>
      <c r="L119" s="97"/>
      <c r="M119" s="151" t="e">
        <f t="shared" si="80"/>
        <v>#DIV/0!</v>
      </c>
      <c r="N119" s="97">
        <f t="shared" si="130"/>
        <v>1368993.2799999998</v>
      </c>
      <c r="O119" s="97">
        <f t="shared" si="130"/>
        <v>0</v>
      </c>
      <c r="P119" s="97">
        <f t="shared" si="130"/>
        <v>547169.13</v>
      </c>
      <c r="Q119" s="97">
        <f t="shared" si="130"/>
        <v>0</v>
      </c>
      <c r="R119" s="97">
        <f t="shared" si="130"/>
        <v>0</v>
      </c>
      <c r="S119" s="97">
        <f t="shared" si="130"/>
        <v>821824.14999999991</v>
      </c>
      <c r="T119" s="97">
        <f t="shared" si="87"/>
        <v>1361595.1600000001</v>
      </c>
      <c r="U119" s="97"/>
      <c r="V119" s="97">
        <v>547150.76</v>
      </c>
      <c r="W119" s="97"/>
      <c r="X119" s="97"/>
      <c r="Y119" s="97">
        <v>814444.4</v>
      </c>
      <c r="Z119" s="151">
        <f t="shared" si="88"/>
        <v>99.459594133288974</v>
      </c>
      <c r="AA119" s="97">
        <f t="shared" si="89"/>
        <v>1361595.1600000001</v>
      </c>
      <c r="AB119" s="97">
        <f t="shared" si="130"/>
        <v>1368993.2799999998</v>
      </c>
      <c r="AC119" s="237"/>
      <c r="AD119" s="114"/>
      <c r="AE119" s="132"/>
      <c r="AF119" s="125"/>
    </row>
    <row r="120" spans="1:32" s="15" customFormat="1" ht="33.75" customHeight="1" x14ac:dyDescent="0.25">
      <c r="A120" s="12" t="s">
        <v>452</v>
      </c>
      <c r="B120" s="13" t="str">
        <f>'дод 5'!A91</f>
        <v>1300</v>
      </c>
      <c r="C120" s="12" t="str">
        <f>'дод 5'!B91</f>
        <v>0990</v>
      </c>
      <c r="D120" s="16" t="s">
        <v>458</v>
      </c>
      <c r="E120" s="97">
        <f t="shared" si="65"/>
        <v>0</v>
      </c>
      <c r="F120" s="96"/>
      <c r="G120" s="97"/>
      <c r="H120" s="97"/>
      <c r="I120" s="97"/>
      <c r="J120" s="97"/>
      <c r="K120" s="97"/>
      <c r="L120" s="97"/>
      <c r="M120" s="151" t="e">
        <f t="shared" si="80"/>
        <v>#DIV/0!</v>
      </c>
      <c r="N120" s="97">
        <f t="shared" si="67"/>
        <v>27850239.670000002</v>
      </c>
      <c r="O120" s="97">
        <f>29463973.67+250000+2995025-18852000+13993241</f>
        <v>27850239.670000002</v>
      </c>
      <c r="P120" s="97"/>
      <c r="Q120" s="97"/>
      <c r="R120" s="97"/>
      <c r="S120" s="97">
        <f>29463973.67+250000+2995025-18852000+13993241</f>
        <v>27850239.670000002</v>
      </c>
      <c r="T120" s="97">
        <f t="shared" si="87"/>
        <v>20551846.469999999</v>
      </c>
      <c r="U120" s="97">
        <v>20551846.469999999</v>
      </c>
      <c r="V120" s="97"/>
      <c r="W120" s="97"/>
      <c r="X120" s="97"/>
      <c r="Y120" s="97">
        <v>20551846.469999999</v>
      </c>
      <c r="Z120" s="151">
        <f t="shared" si="88"/>
        <v>73.794145808153473</v>
      </c>
      <c r="AA120" s="97">
        <f t="shared" si="89"/>
        <v>20551846.469999999</v>
      </c>
      <c r="AB120" s="96">
        <f t="shared" si="66"/>
        <v>27850239.670000002</v>
      </c>
      <c r="AC120" s="237"/>
      <c r="AD120" s="113"/>
      <c r="AE120" s="132"/>
      <c r="AF120" s="125"/>
    </row>
    <row r="121" spans="1:32" s="23" customFormat="1" ht="143.25" customHeight="1" x14ac:dyDescent="0.25">
      <c r="A121" s="20"/>
      <c r="B121" s="21"/>
      <c r="C121" s="20"/>
      <c r="D121" s="22" t="s">
        <v>439</v>
      </c>
      <c r="E121" s="97">
        <f t="shared" si="65"/>
        <v>0</v>
      </c>
      <c r="F121" s="97"/>
      <c r="G121" s="97"/>
      <c r="H121" s="97"/>
      <c r="I121" s="97"/>
      <c r="J121" s="97"/>
      <c r="K121" s="97"/>
      <c r="L121" s="97"/>
      <c r="M121" s="151" t="e">
        <f t="shared" si="80"/>
        <v>#DIV/0!</v>
      </c>
      <c r="N121" s="97">
        <f t="shared" si="67"/>
        <v>24605214.670000002</v>
      </c>
      <c r="O121" s="97">
        <f>29463973.67-18852000+13993241</f>
        <v>24605214.670000002</v>
      </c>
      <c r="P121" s="97"/>
      <c r="Q121" s="97"/>
      <c r="R121" s="97"/>
      <c r="S121" s="97">
        <f>29463973.67-18852000+13993241</f>
        <v>24605214.670000002</v>
      </c>
      <c r="T121" s="97">
        <f t="shared" si="87"/>
        <v>17998197.82</v>
      </c>
      <c r="U121" s="97">
        <v>17998197.82</v>
      </c>
      <c r="V121" s="97"/>
      <c r="W121" s="97"/>
      <c r="X121" s="97"/>
      <c r="Y121" s="97">
        <v>17998197.82</v>
      </c>
      <c r="Z121" s="151">
        <f t="shared" si="88"/>
        <v>73.147899993509796</v>
      </c>
      <c r="AA121" s="97">
        <f t="shared" si="89"/>
        <v>17998197.82</v>
      </c>
      <c r="AB121" s="97">
        <f t="shared" si="66"/>
        <v>24605214.670000002</v>
      </c>
      <c r="AC121" s="237"/>
      <c r="AD121" s="114"/>
      <c r="AE121" s="132"/>
      <c r="AF121" s="125"/>
    </row>
    <row r="122" spans="1:32" s="15" customFormat="1" ht="63" x14ac:dyDescent="0.25">
      <c r="A122" s="12" t="s">
        <v>432</v>
      </c>
      <c r="B122" s="13" t="str">
        <f>'дод 5'!A96</f>
        <v>1403</v>
      </c>
      <c r="C122" s="12" t="str">
        <f>'дод 5'!B96</f>
        <v>0990</v>
      </c>
      <c r="D122" s="16" t="str">
        <f>'дод 5'!C96</f>
        <v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v>
      </c>
      <c r="E122" s="96">
        <f t="shared" ref="E122:E123" si="131">F122+I122</f>
        <v>0</v>
      </c>
      <c r="F122" s="96"/>
      <c r="G122" s="96"/>
      <c r="H122" s="96"/>
      <c r="I122" s="96"/>
      <c r="J122" s="96"/>
      <c r="K122" s="96"/>
      <c r="L122" s="96"/>
      <c r="M122" s="150" t="e">
        <f t="shared" si="80"/>
        <v>#DIV/0!</v>
      </c>
      <c r="N122" s="96">
        <f t="shared" ref="N122:N123" si="132">P122+S122</f>
        <v>22533600</v>
      </c>
      <c r="O122" s="96"/>
      <c r="P122" s="96">
        <v>22533600</v>
      </c>
      <c r="Q122" s="96"/>
      <c r="R122" s="96"/>
      <c r="S122" s="96"/>
      <c r="T122" s="96">
        <f t="shared" si="87"/>
        <v>12419141.67</v>
      </c>
      <c r="U122" s="96"/>
      <c r="V122" s="96">
        <v>12419141.67</v>
      </c>
      <c r="W122" s="96"/>
      <c r="X122" s="96"/>
      <c r="Y122" s="96"/>
      <c r="Z122" s="150">
        <f t="shared" si="88"/>
        <v>55.113881803173925</v>
      </c>
      <c r="AA122" s="96">
        <f t="shared" si="89"/>
        <v>12419141.67</v>
      </c>
      <c r="AB122" s="96">
        <f t="shared" ref="AB122:AB123" si="133">E122+N122</f>
        <v>22533600</v>
      </c>
      <c r="AC122" s="237"/>
      <c r="AD122" s="113"/>
      <c r="AE122" s="132"/>
      <c r="AF122" s="125"/>
    </row>
    <row r="123" spans="1:32" s="23" customFormat="1" ht="67.5" customHeight="1" x14ac:dyDescent="0.25">
      <c r="A123" s="20"/>
      <c r="B123" s="21">
        <f>'дод 5'!A97</f>
        <v>0</v>
      </c>
      <c r="C123" s="20">
        <f>'дод 5'!B97</f>
        <v>0</v>
      </c>
      <c r="D123" s="22" t="str">
        <f>'дод 5'!C97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123" s="97">
        <f t="shared" si="131"/>
        <v>0</v>
      </c>
      <c r="F123" s="97"/>
      <c r="G123" s="97"/>
      <c r="H123" s="97"/>
      <c r="I123" s="97"/>
      <c r="J123" s="97"/>
      <c r="K123" s="97"/>
      <c r="L123" s="97"/>
      <c r="M123" s="151" t="e">
        <f t="shared" si="80"/>
        <v>#DIV/0!</v>
      </c>
      <c r="N123" s="97">
        <f t="shared" si="132"/>
        <v>22533600</v>
      </c>
      <c r="O123" s="97"/>
      <c r="P123" s="97">
        <v>22533600</v>
      </c>
      <c r="Q123" s="97"/>
      <c r="R123" s="97"/>
      <c r="S123" s="97"/>
      <c r="T123" s="97">
        <f t="shared" si="87"/>
        <v>12419141.67</v>
      </c>
      <c r="U123" s="97"/>
      <c r="V123" s="97">
        <v>12419141.67</v>
      </c>
      <c r="W123" s="97"/>
      <c r="X123" s="97"/>
      <c r="Y123" s="97"/>
      <c r="Z123" s="151">
        <f t="shared" si="88"/>
        <v>55.113881803173925</v>
      </c>
      <c r="AA123" s="97">
        <f t="shared" si="89"/>
        <v>12419141.67</v>
      </c>
      <c r="AB123" s="97">
        <f t="shared" si="133"/>
        <v>22533600</v>
      </c>
      <c r="AC123" s="237"/>
      <c r="AD123" s="114"/>
      <c r="AE123" s="132"/>
      <c r="AF123" s="125"/>
    </row>
    <row r="124" spans="1:32" s="15" customFormat="1" ht="101.65" customHeight="1" x14ac:dyDescent="0.25">
      <c r="A124" s="12" t="s">
        <v>558</v>
      </c>
      <c r="B124" s="13" t="str">
        <f>'дод 5'!A98</f>
        <v>1501</v>
      </c>
      <c r="C124" s="13" t="str">
        <f>'дод 5'!B98</f>
        <v>0990</v>
      </c>
      <c r="D124" s="16" t="str">
        <f>'дод 5'!C98</f>
        <v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бюджету), у т.ч. за рахунок:</v>
      </c>
      <c r="E124" s="96">
        <f t="shared" ref="E124:E125" si="134">F124+I124</f>
        <v>0</v>
      </c>
      <c r="F124" s="96"/>
      <c r="G124" s="96"/>
      <c r="H124" s="96"/>
      <c r="I124" s="96"/>
      <c r="J124" s="96"/>
      <c r="K124" s="96"/>
      <c r="L124" s="96"/>
      <c r="M124" s="150" t="e">
        <f t="shared" si="80"/>
        <v>#DIV/0!</v>
      </c>
      <c r="N124" s="96">
        <f t="shared" ref="N124:N125" si="135">P124+S124</f>
        <v>1511800</v>
      </c>
      <c r="O124" s="96"/>
      <c r="P124" s="96">
        <v>1511800</v>
      </c>
      <c r="Q124" s="96">
        <v>1239180</v>
      </c>
      <c r="R124" s="96"/>
      <c r="S124" s="96"/>
      <c r="T124" s="96">
        <f t="shared" si="87"/>
        <v>1511800</v>
      </c>
      <c r="U124" s="96"/>
      <c r="V124" s="96">
        <v>1511800</v>
      </c>
      <c r="W124" s="96">
        <v>1239180</v>
      </c>
      <c r="X124" s="96"/>
      <c r="Y124" s="96"/>
      <c r="Z124" s="150">
        <f t="shared" si="88"/>
        <v>100</v>
      </c>
      <c r="AA124" s="96">
        <f t="shared" si="89"/>
        <v>1511800</v>
      </c>
      <c r="AB124" s="96">
        <f t="shared" ref="AB124:AB125" si="136">E124+N124</f>
        <v>1511800</v>
      </c>
      <c r="AC124" s="237">
        <v>16</v>
      </c>
      <c r="AD124" s="113"/>
      <c r="AE124" s="132"/>
      <c r="AF124" s="125"/>
    </row>
    <row r="125" spans="1:32" s="23" customFormat="1" ht="60.75" customHeight="1" x14ac:dyDescent="0.25">
      <c r="A125" s="20"/>
      <c r="B125" s="21">
        <f>'дод 5'!A99</f>
        <v>0</v>
      </c>
      <c r="C125" s="21">
        <f>'дод 5'!B99</f>
        <v>0</v>
      </c>
      <c r="D125" s="22" t="str">
        <f>'дод 5'!C99</f>
        <v>субвенції з державного бюджету місцевим бюджетам на надання державної підтримки особам з особливими освітніми потребами</v>
      </c>
      <c r="E125" s="97">
        <f t="shared" si="134"/>
        <v>0</v>
      </c>
      <c r="F125" s="97"/>
      <c r="G125" s="97"/>
      <c r="H125" s="97"/>
      <c r="I125" s="97"/>
      <c r="J125" s="97"/>
      <c r="K125" s="97"/>
      <c r="L125" s="97"/>
      <c r="M125" s="151" t="e">
        <f t="shared" si="80"/>
        <v>#DIV/0!</v>
      </c>
      <c r="N125" s="97">
        <f t="shared" si="135"/>
        <v>1511800</v>
      </c>
      <c r="O125" s="97"/>
      <c r="P125" s="97">
        <v>1511800</v>
      </c>
      <c r="Q125" s="97">
        <v>1239180</v>
      </c>
      <c r="R125" s="97"/>
      <c r="S125" s="97"/>
      <c r="T125" s="97">
        <f t="shared" si="87"/>
        <v>1511800</v>
      </c>
      <c r="U125" s="97"/>
      <c r="V125" s="97">
        <v>1511800</v>
      </c>
      <c r="W125" s="97">
        <v>1239180</v>
      </c>
      <c r="X125" s="97"/>
      <c r="Y125" s="97"/>
      <c r="Z125" s="151">
        <f t="shared" si="88"/>
        <v>100</v>
      </c>
      <c r="AA125" s="97">
        <f t="shared" si="89"/>
        <v>1511800</v>
      </c>
      <c r="AB125" s="97">
        <f t="shared" si="136"/>
        <v>1511800</v>
      </c>
      <c r="AC125" s="237"/>
      <c r="AD125" s="114"/>
      <c r="AE125" s="132"/>
      <c r="AF125" s="125"/>
    </row>
    <row r="126" spans="1:32" s="15" customFormat="1" ht="66.400000000000006" customHeight="1" x14ac:dyDescent="0.25">
      <c r="A126" s="12" t="s">
        <v>429</v>
      </c>
      <c r="B126" s="13" t="str">
        <f>'дод 5'!A100</f>
        <v>1600</v>
      </c>
      <c r="C126" s="12" t="str">
        <f>'дод 5'!B100</f>
        <v>0990</v>
      </c>
      <c r="D126" s="16" t="str">
        <f>'дод 5'!C100</f>
        <v>Здійснення доплат педагогічним працівникам закладів загальної середньої освіти за рахунок субвенції з державного бюджету місцевим бюджетам, у т.ч. за рахунок:</v>
      </c>
      <c r="E126" s="96">
        <f t="shared" si="65"/>
        <v>93946200</v>
      </c>
      <c r="F126" s="96">
        <f>F127</f>
        <v>93946200</v>
      </c>
      <c r="G126" s="96">
        <f>G127</f>
        <v>77069710</v>
      </c>
      <c r="H126" s="96"/>
      <c r="I126" s="96"/>
      <c r="J126" s="96">
        <v>85461031.459999993</v>
      </c>
      <c r="K126" s="96">
        <v>70340992.209999993</v>
      </c>
      <c r="L126" s="96"/>
      <c r="M126" s="150">
        <f t="shared" si="80"/>
        <v>90.968055610551573</v>
      </c>
      <c r="N126" s="96">
        <f t="shared" si="67"/>
        <v>0</v>
      </c>
      <c r="O126" s="96"/>
      <c r="P126" s="96"/>
      <c r="Q126" s="96"/>
      <c r="R126" s="96"/>
      <c r="S126" s="96"/>
      <c r="T126" s="96">
        <f t="shared" si="87"/>
        <v>0</v>
      </c>
      <c r="U126" s="96"/>
      <c r="V126" s="96"/>
      <c r="W126" s="96"/>
      <c r="X126" s="96"/>
      <c r="Y126" s="96"/>
      <c r="Z126" s="150" t="e">
        <f t="shared" si="88"/>
        <v>#DIV/0!</v>
      </c>
      <c r="AA126" s="96">
        <f t="shared" si="89"/>
        <v>85461031.459999993</v>
      </c>
      <c r="AB126" s="96">
        <f t="shared" si="66"/>
        <v>93946200</v>
      </c>
      <c r="AC126" s="237"/>
      <c r="AD126" s="113"/>
      <c r="AE126" s="132"/>
      <c r="AF126" s="125"/>
    </row>
    <row r="127" spans="1:32" s="23" customFormat="1" ht="53.25" customHeight="1" x14ac:dyDescent="0.25">
      <c r="A127" s="20"/>
      <c r="B127" s="21">
        <f>'дод 5'!A101</f>
        <v>0</v>
      </c>
      <c r="C127" s="20">
        <f>'дод 5'!B101</f>
        <v>0</v>
      </c>
      <c r="D127" s="22" t="str">
        <f>'дод 5'!C101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E127" s="97">
        <f t="shared" si="65"/>
        <v>93946200</v>
      </c>
      <c r="F127" s="97">
        <f>24742100+1922700+33640700+33640700</f>
        <v>93946200</v>
      </c>
      <c r="G127" s="97">
        <f>20280410+1640500+27574400+27574400</f>
        <v>77069710</v>
      </c>
      <c r="H127" s="97"/>
      <c r="I127" s="97"/>
      <c r="J127" s="97">
        <v>85461031.459999993</v>
      </c>
      <c r="K127" s="97">
        <v>70340992.209999993</v>
      </c>
      <c r="L127" s="97"/>
      <c r="M127" s="151">
        <f t="shared" si="80"/>
        <v>90.968055610551573</v>
      </c>
      <c r="N127" s="97">
        <f t="shared" si="67"/>
        <v>0</v>
      </c>
      <c r="O127" s="97"/>
      <c r="P127" s="97"/>
      <c r="Q127" s="97"/>
      <c r="R127" s="97"/>
      <c r="S127" s="97"/>
      <c r="T127" s="97">
        <f t="shared" si="87"/>
        <v>0</v>
      </c>
      <c r="U127" s="97"/>
      <c r="V127" s="97"/>
      <c r="W127" s="97"/>
      <c r="X127" s="97"/>
      <c r="Y127" s="97"/>
      <c r="Z127" s="151" t="e">
        <f t="shared" si="88"/>
        <v>#DIV/0!</v>
      </c>
      <c r="AA127" s="97">
        <f t="shared" si="89"/>
        <v>85461031.459999993</v>
      </c>
      <c r="AB127" s="97">
        <f t="shared" si="66"/>
        <v>93946200</v>
      </c>
      <c r="AC127" s="237"/>
      <c r="AD127" s="114"/>
      <c r="AE127" s="132"/>
      <c r="AF127" s="125"/>
    </row>
    <row r="128" spans="1:32" s="23" customFormat="1" ht="84.4" customHeight="1" x14ac:dyDescent="0.25">
      <c r="A128" s="12" t="s">
        <v>438</v>
      </c>
      <c r="B128" s="13" t="str">
        <f>'дод 5'!A102</f>
        <v>1700</v>
      </c>
      <c r="C128" s="12" t="str">
        <f>'дод 5'!B102</f>
        <v>0990</v>
      </c>
      <c r="D128" s="16" t="str">
        <f>'дод 5'!C102</f>
        <v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освіти, у т.ч. за рахунок:</v>
      </c>
      <c r="E128" s="96">
        <f t="shared" ref="E128" si="137">F128+I128</f>
        <v>0</v>
      </c>
      <c r="F128" s="96"/>
      <c r="G128" s="96"/>
      <c r="H128" s="96"/>
      <c r="I128" s="96"/>
      <c r="J128" s="96"/>
      <c r="K128" s="96"/>
      <c r="L128" s="96"/>
      <c r="M128" s="150" t="e">
        <f t="shared" si="80"/>
        <v>#DIV/0!</v>
      </c>
      <c r="N128" s="96">
        <f t="shared" ref="N128" si="138">P128+S128</f>
        <v>10792700</v>
      </c>
      <c r="O128" s="96"/>
      <c r="P128" s="96">
        <f>2892900+2892900+3974800+1032100</f>
        <v>10792700</v>
      </c>
      <c r="Q128" s="96"/>
      <c r="R128" s="96"/>
      <c r="S128" s="96"/>
      <c r="T128" s="96">
        <f t="shared" si="87"/>
        <v>5754810.4000000004</v>
      </c>
      <c r="U128" s="96"/>
      <c r="V128" s="96">
        <v>5754810.4000000004</v>
      </c>
      <c r="W128" s="96"/>
      <c r="X128" s="96"/>
      <c r="Y128" s="96"/>
      <c r="Z128" s="150">
        <f t="shared" si="88"/>
        <v>53.321322745930125</v>
      </c>
      <c r="AA128" s="96">
        <f t="shared" si="89"/>
        <v>5754810.4000000004</v>
      </c>
      <c r="AB128" s="96">
        <f t="shared" ref="AB128:AB129" si="139">E128+N128</f>
        <v>10792700</v>
      </c>
      <c r="AC128" s="237"/>
      <c r="AD128" s="113"/>
      <c r="AE128" s="132"/>
      <c r="AF128" s="125"/>
    </row>
    <row r="129" spans="1:32" s="23" customFormat="1" ht="109.5" customHeight="1" x14ac:dyDescent="0.25">
      <c r="A129" s="20"/>
      <c r="B129" s="21">
        <f>'дод 5'!A103</f>
        <v>0</v>
      </c>
      <c r="C129" s="20">
        <f>'дод 5'!B103</f>
        <v>0</v>
      </c>
      <c r="D129" s="22" t="str">
        <f>'дод 5'!C103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129" s="97">
        <f>F129+I129</f>
        <v>0</v>
      </c>
      <c r="F129" s="97"/>
      <c r="G129" s="97"/>
      <c r="H129" s="97"/>
      <c r="I129" s="97"/>
      <c r="J129" s="97"/>
      <c r="K129" s="97"/>
      <c r="L129" s="97"/>
      <c r="M129" s="151" t="e">
        <f t="shared" si="80"/>
        <v>#DIV/0!</v>
      </c>
      <c r="N129" s="97">
        <f>P129+S129</f>
        <v>2892900</v>
      </c>
      <c r="O129" s="97"/>
      <c r="P129" s="97">
        <v>2892900</v>
      </c>
      <c r="Q129" s="97"/>
      <c r="R129" s="97"/>
      <c r="S129" s="97"/>
      <c r="T129" s="97">
        <f t="shared" si="87"/>
        <v>2892900</v>
      </c>
      <c r="U129" s="97"/>
      <c r="V129" s="97">
        <v>2892900</v>
      </c>
      <c r="W129" s="97"/>
      <c r="X129" s="97"/>
      <c r="Y129" s="97"/>
      <c r="Z129" s="151">
        <f t="shared" si="88"/>
        <v>100</v>
      </c>
      <c r="AA129" s="97">
        <f t="shared" si="89"/>
        <v>2892900</v>
      </c>
      <c r="AB129" s="97">
        <f t="shared" si="139"/>
        <v>2892900</v>
      </c>
      <c r="AC129" s="237"/>
      <c r="AD129" s="114"/>
      <c r="AE129" s="132"/>
      <c r="AF129" s="125"/>
    </row>
    <row r="130" spans="1:32" s="23" customFormat="1" ht="86.25" customHeight="1" x14ac:dyDescent="0.25">
      <c r="A130" s="20"/>
      <c r="B130" s="21"/>
      <c r="C130" s="20"/>
      <c r="D130" s="22" t="s">
        <v>560</v>
      </c>
      <c r="E130" s="97">
        <f>F130+I130</f>
        <v>0</v>
      </c>
      <c r="F130" s="97"/>
      <c r="G130" s="97"/>
      <c r="H130" s="97"/>
      <c r="I130" s="97"/>
      <c r="J130" s="97"/>
      <c r="K130" s="97"/>
      <c r="L130" s="97"/>
      <c r="M130" s="151" t="e">
        <f t="shared" si="80"/>
        <v>#DIV/0!</v>
      </c>
      <c r="N130" s="97">
        <f>P130+S130</f>
        <v>7899800</v>
      </c>
      <c r="O130" s="97"/>
      <c r="P130" s="97">
        <f>2892900+3974800+1032100</f>
        <v>7899800</v>
      </c>
      <c r="Q130" s="97"/>
      <c r="R130" s="97"/>
      <c r="S130" s="97"/>
      <c r="T130" s="97">
        <f t="shared" si="87"/>
        <v>2861910.4</v>
      </c>
      <c r="U130" s="97"/>
      <c r="V130" s="97">
        <v>2861910.4</v>
      </c>
      <c r="W130" s="97"/>
      <c r="X130" s="97"/>
      <c r="Y130" s="97"/>
      <c r="Z130" s="151">
        <f t="shared" si="88"/>
        <v>36.22763107926783</v>
      </c>
      <c r="AA130" s="97">
        <f t="shared" si="89"/>
        <v>2861910.4</v>
      </c>
      <c r="AB130" s="97">
        <f t="shared" ref="AB130:AB131" si="140">E130+N130</f>
        <v>7899800</v>
      </c>
      <c r="AC130" s="237"/>
      <c r="AD130" s="114"/>
      <c r="AE130" s="132"/>
      <c r="AF130" s="125"/>
    </row>
    <row r="131" spans="1:32" s="15" customFormat="1" ht="60.75" customHeight="1" x14ac:dyDescent="0.25">
      <c r="A131" s="12" t="s">
        <v>561</v>
      </c>
      <c r="B131" s="13" t="str">
        <f>'дод 5'!A105</f>
        <v>1702</v>
      </c>
      <c r="C131" s="13" t="str">
        <f>'дод 5'!B105</f>
        <v>0990</v>
      </c>
      <c r="D131" s="16" t="str">
        <f>'дод 5'!C105</f>
        <v>Забезпечення харчуванням учнів закладів загальної середньої освіти за рахунок субвенції з державного бюджету місцевим бюджетам, у т.ч. за рахунок:</v>
      </c>
      <c r="E131" s="96">
        <f t="shared" ref="E131" si="141">F131+I131</f>
        <v>12808000</v>
      </c>
      <c r="F131" s="96">
        <v>12808000</v>
      </c>
      <c r="G131" s="96"/>
      <c r="H131" s="96"/>
      <c r="I131" s="96"/>
      <c r="J131" s="96">
        <v>2161021.58</v>
      </c>
      <c r="K131" s="96"/>
      <c r="L131" s="96"/>
      <c r="M131" s="150">
        <f t="shared" si="80"/>
        <v>16.872435821361652</v>
      </c>
      <c r="N131" s="96">
        <f t="shared" ref="N131" si="142">P131+S131</f>
        <v>0</v>
      </c>
      <c r="O131" s="96"/>
      <c r="P131" s="96"/>
      <c r="Q131" s="96"/>
      <c r="R131" s="96"/>
      <c r="S131" s="96"/>
      <c r="T131" s="96">
        <f t="shared" si="87"/>
        <v>0</v>
      </c>
      <c r="U131" s="96"/>
      <c r="V131" s="96"/>
      <c r="W131" s="96"/>
      <c r="X131" s="96"/>
      <c r="Y131" s="96"/>
      <c r="Z131" s="150" t="e">
        <f t="shared" si="88"/>
        <v>#DIV/0!</v>
      </c>
      <c r="AA131" s="96">
        <f t="shared" si="89"/>
        <v>2161021.58</v>
      </c>
      <c r="AB131" s="96">
        <f t="shared" si="140"/>
        <v>12808000</v>
      </c>
      <c r="AC131" s="237"/>
      <c r="AD131" s="113"/>
      <c r="AE131" s="132"/>
      <c r="AF131" s="125"/>
    </row>
    <row r="132" spans="1:32" s="23" customFormat="1" ht="69" customHeight="1" x14ac:dyDescent="0.25">
      <c r="A132" s="20"/>
      <c r="B132" s="21">
        <f>'дод 5'!A106</f>
        <v>0</v>
      </c>
      <c r="C132" s="21">
        <f>'дод 5'!B106</f>
        <v>0</v>
      </c>
      <c r="D132" s="22" t="str">
        <f>'дод 5'!C106</f>
        <v>субвенції з державного бюджету місцевим бюджетам на забезпечення харчуванням учнів закладів загальної середньої освіти</v>
      </c>
      <c r="E132" s="97">
        <f>E131</f>
        <v>12808000</v>
      </c>
      <c r="F132" s="97">
        <f t="shared" ref="F132:AB132" si="143">F131</f>
        <v>12808000</v>
      </c>
      <c r="G132" s="97">
        <f t="shared" si="143"/>
        <v>0</v>
      </c>
      <c r="H132" s="97">
        <f t="shared" si="143"/>
        <v>0</v>
      </c>
      <c r="I132" s="97">
        <f t="shared" si="143"/>
        <v>0</v>
      </c>
      <c r="J132" s="97">
        <v>2161021.58</v>
      </c>
      <c r="K132" s="97"/>
      <c r="L132" s="97"/>
      <c r="M132" s="151">
        <f t="shared" si="80"/>
        <v>16.872435821361652</v>
      </c>
      <c r="N132" s="97">
        <f t="shared" si="143"/>
        <v>0</v>
      </c>
      <c r="O132" s="97">
        <f t="shared" si="143"/>
        <v>0</v>
      </c>
      <c r="P132" s="97">
        <f t="shared" si="143"/>
        <v>0</v>
      </c>
      <c r="Q132" s="97">
        <f t="shared" si="143"/>
        <v>0</v>
      </c>
      <c r="R132" s="97">
        <f t="shared" si="143"/>
        <v>0</v>
      </c>
      <c r="S132" s="97">
        <f t="shared" si="143"/>
        <v>0</v>
      </c>
      <c r="T132" s="97">
        <f t="shared" si="87"/>
        <v>0</v>
      </c>
      <c r="U132" s="97"/>
      <c r="V132" s="97"/>
      <c r="W132" s="97"/>
      <c r="X132" s="97"/>
      <c r="Y132" s="97"/>
      <c r="Z132" s="151" t="e">
        <f t="shared" si="88"/>
        <v>#DIV/0!</v>
      </c>
      <c r="AA132" s="97">
        <f t="shared" si="89"/>
        <v>2161021.58</v>
      </c>
      <c r="AB132" s="97">
        <f t="shared" si="143"/>
        <v>12808000</v>
      </c>
      <c r="AC132" s="237"/>
      <c r="AD132" s="114"/>
      <c r="AE132" s="132"/>
      <c r="AF132" s="125"/>
    </row>
    <row r="133" spans="1:32" s="23" customFormat="1" ht="39.75" customHeight="1" x14ac:dyDescent="0.25">
      <c r="A133" s="12" t="s">
        <v>307</v>
      </c>
      <c r="B133" s="13" t="str">
        <f>'дод 5'!A155</f>
        <v>3242</v>
      </c>
      <c r="C133" s="12">
        <v>1090</v>
      </c>
      <c r="D133" s="14" t="s">
        <v>283</v>
      </c>
      <c r="E133" s="96">
        <f t="shared" si="65"/>
        <v>68780</v>
      </c>
      <c r="F133" s="96">
        <f>61600+7180</f>
        <v>68780</v>
      </c>
      <c r="G133" s="96"/>
      <c r="H133" s="96"/>
      <c r="I133" s="96"/>
      <c r="J133" s="96">
        <v>68780</v>
      </c>
      <c r="K133" s="96"/>
      <c r="L133" s="96"/>
      <c r="M133" s="150">
        <f t="shared" si="80"/>
        <v>100</v>
      </c>
      <c r="N133" s="96">
        <f t="shared" si="67"/>
        <v>0</v>
      </c>
      <c r="O133" s="96"/>
      <c r="P133" s="96"/>
      <c r="Q133" s="96"/>
      <c r="R133" s="96"/>
      <c r="S133" s="96"/>
      <c r="T133" s="96">
        <f t="shared" si="87"/>
        <v>0</v>
      </c>
      <c r="U133" s="96"/>
      <c r="V133" s="96"/>
      <c r="W133" s="96"/>
      <c r="X133" s="96"/>
      <c r="Y133" s="96"/>
      <c r="Z133" s="150" t="e">
        <f t="shared" si="88"/>
        <v>#DIV/0!</v>
      </c>
      <c r="AA133" s="96">
        <f t="shared" si="89"/>
        <v>68780</v>
      </c>
      <c r="AB133" s="96">
        <f t="shared" si="66"/>
        <v>68780</v>
      </c>
      <c r="AC133" s="237"/>
      <c r="AD133" s="113"/>
      <c r="AE133" s="132"/>
      <c r="AF133" s="125"/>
    </row>
    <row r="134" spans="1:32" s="23" customFormat="1" ht="49.5" customHeight="1" x14ac:dyDescent="0.25">
      <c r="A134" s="12" t="s">
        <v>308</v>
      </c>
      <c r="B134" s="13" t="str">
        <f>'дод 5'!A170</f>
        <v>5031</v>
      </c>
      <c r="C134" s="12" t="str">
        <f>'дод 5'!B170</f>
        <v>0810</v>
      </c>
      <c r="D134" s="16" t="str">
        <f>'дод 5'!C170</f>
        <v>Розвиток здібностей у дітей та молоді з фізичної
культури та спорту комунальними дитячо-юнацькими спортивними школами</v>
      </c>
      <c r="E134" s="96">
        <f t="shared" si="65"/>
        <v>12923327</v>
      </c>
      <c r="F134" s="96">
        <f>12802100+500000+68600-462000+14627</f>
        <v>12923327</v>
      </c>
      <c r="G134" s="96">
        <f>9623600+56200-334600</f>
        <v>9345200</v>
      </c>
      <c r="H134" s="96">
        <v>508400</v>
      </c>
      <c r="I134" s="96"/>
      <c r="J134" s="96">
        <v>12673174.380000001</v>
      </c>
      <c r="K134" s="96">
        <v>9345198.1999999993</v>
      </c>
      <c r="L134" s="96">
        <v>400925.19</v>
      </c>
      <c r="M134" s="150">
        <f t="shared" si="80"/>
        <v>98.064332659848347</v>
      </c>
      <c r="N134" s="96">
        <f t="shared" si="67"/>
        <v>0</v>
      </c>
      <c r="O134" s="96"/>
      <c r="P134" s="96"/>
      <c r="Q134" s="96"/>
      <c r="R134" s="96"/>
      <c r="S134" s="96"/>
      <c r="T134" s="96">
        <f t="shared" si="87"/>
        <v>1679.7</v>
      </c>
      <c r="U134" s="96"/>
      <c r="V134" s="96">
        <v>1679.7</v>
      </c>
      <c r="W134" s="96"/>
      <c r="X134" s="96"/>
      <c r="Y134" s="96"/>
      <c r="Z134" s="150" t="e">
        <f t="shared" si="88"/>
        <v>#DIV/0!</v>
      </c>
      <c r="AA134" s="96">
        <f t="shared" si="89"/>
        <v>12674854.08</v>
      </c>
      <c r="AB134" s="96">
        <f t="shared" si="66"/>
        <v>12923327</v>
      </c>
      <c r="AC134" s="237"/>
      <c r="AD134" s="113"/>
      <c r="AE134" s="132"/>
      <c r="AF134" s="125"/>
    </row>
    <row r="135" spans="1:32" s="23" customFormat="1" ht="21" customHeight="1" x14ac:dyDescent="0.25">
      <c r="A135" s="12" t="s">
        <v>309</v>
      </c>
      <c r="B135" s="13" t="str">
        <f>'дод 5'!A227</f>
        <v>7640</v>
      </c>
      <c r="C135" s="12" t="str">
        <f>'дод 5'!B227</f>
        <v>0470</v>
      </c>
      <c r="D135" s="25" t="s">
        <v>288</v>
      </c>
      <c r="E135" s="96">
        <f t="shared" si="65"/>
        <v>585000</v>
      </c>
      <c r="F135" s="96">
        <v>585000</v>
      </c>
      <c r="G135" s="96"/>
      <c r="H135" s="96"/>
      <c r="I135" s="96"/>
      <c r="J135" s="96">
        <v>571500</v>
      </c>
      <c r="K135" s="96"/>
      <c r="L135" s="96"/>
      <c r="M135" s="150">
        <f t="shared" si="80"/>
        <v>97.692307692307693</v>
      </c>
      <c r="N135" s="96">
        <f>P135+S135</f>
        <v>14020188</v>
      </c>
      <c r="O135" s="96">
        <f>1230864+573027+3732022+8228431+255844</f>
        <v>14020188</v>
      </c>
      <c r="P135" s="96"/>
      <c r="Q135" s="96"/>
      <c r="R135" s="96"/>
      <c r="S135" s="96">
        <f>1230864+573027+3732022+8228431+255844</f>
        <v>14020188</v>
      </c>
      <c r="T135" s="96">
        <f t="shared" si="87"/>
        <v>13974408.550000001</v>
      </c>
      <c r="U135" s="96">
        <v>13974408.550000001</v>
      </c>
      <c r="V135" s="96"/>
      <c r="W135" s="96"/>
      <c r="X135" s="96"/>
      <c r="Y135" s="96">
        <v>13974408.550000001</v>
      </c>
      <c r="Z135" s="150">
        <f t="shared" si="88"/>
        <v>99.673474777941635</v>
      </c>
      <c r="AA135" s="96">
        <f t="shared" si="89"/>
        <v>14545908.550000001</v>
      </c>
      <c r="AB135" s="96">
        <f t="shared" si="66"/>
        <v>14605188</v>
      </c>
      <c r="AC135" s="237"/>
      <c r="AD135" s="113"/>
      <c r="AE135" s="132"/>
      <c r="AF135" s="125"/>
    </row>
    <row r="136" spans="1:32" s="23" customFormat="1" ht="21" customHeight="1" x14ac:dyDescent="0.25">
      <c r="A136" s="12" t="s">
        <v>350</v>
      </c>
      <c r="B136" s="13">
        <f>'дод 5'!A246</f>
        <v>8240</v>
      </c>
      <c r="C136" s="12" t="str">
        <f>'дод 5'!B246</f>
        <v>0380</v>
      </c>
      <c r="D136" s="16" t="str">
        <f>'дод 5'!C246</f>
        <v>Заходи та роботи з територіальної оборони</v>
      </c>
      <c r="E136" s="96">
        <f t="shared" si="65"/>
        <v>14734200</v>
      </c>
      <c r="F136" s="102">
        <f>3741000+3741000+3741000+3777000-265800</f>
        <v>14734200</v>
      </c>
      <c r="G136" s="96"/>
      <c r="H136" s="96">
        <f>465000+465000+465000+465000</f>
        <v>1860000</v>
      </c>
      <c r="I136" s="96"/>
      <c r="J136" s="96">
        <v>13267121.99</v>
      </c>
      <c r="K136" s="96"/>
      <c r="L136" s="96">
        <v>1730649.48</v>
      </c>
      <c r="M136" s="150">
        <f t="shared" si="80"/>
        <v>90.043042649074948</v>
      </c>
      <c r="N136" s="96">
        <f t="shared" si="67"/>
        <v>0</v>
      </c>
      <c r="O136" s="96"/>
      <c r="P136" s="96"/>
      <c r="Q136" s="96"/>
      <c r="R136" s="96"/>
      <c r="S136" s="96"/>
      <c r="T136" s="96">
        <f t="shared" si="87"/>
        <v>195053.3</v>
      </c>
      <c r="U136" s="96"/>
      <c r="V136" s="96">
        <v>195053.3</v>
      </c>
      <c r="W136" s="96"/>
      <c r="X136" s="96"/>
      <c r="Y136" s="96"/>
      <c r="Z136" s="150" t="e">
        <f t="shared" si="88"/>
        <v>#DIV/0!</v>
      </c>
      <c r="AA136" s="96">
        <f t="shared" si="89"/>
        <v>13462175.290000001</v>
      </c>
      <c r="AB136" s="96">
        <f t="shared" si="66"/>
        <v>14734200</v>
      </c>
      <c r="AC136" s="237"/>
      <c r="AD136" s="113"/>
      <c r="AE136" s="132"/>
      <c r="AF136" s="125"/>
    </row>
    <row r="137" spans="1:32" s="23" customFormat="1" ht="41.25" customHeight="1" x14ac:dyDescent="0.25">
      <c r="A137" s="12" t="s">
        <v>310</v>
      </c>
      <c r="B137" s="13" t="str">
        <f>'дод 5'!A249</f>
        <v>8340</v>
      </c>
      <c r="C137" s="12" t="str">
        <f>'дод 5'!B249</f>
        <v>0540</v>
      </c>
      <c r="D137" s="16" t="str">
        <f>'дод 5'!C249</f>
        <v>Природоохоронні заходи за рахунок цільових фондів</v>
      </c>
      <c r="E137" s="96">
        <f t="shared" si="65"/>
        <v>0</v>
      </c>
      <c r="F137" s="96"/>
      <c r="G137" s="96"/>
      <c r="H137" s="96"/>
      <c r="I137" s="96"/>
      <c r="J137" s="96"/>
      <c r="K137" s="96"/>
      <c r="L137" s="96"/>
      <c r="M137" s="150" t="e">
        <f t="shared" si="80"/>
        <v>#DIV/0!</v>
      </c>
      <c r="N137" s="96">
        <f t="shared" si="67"/>
        <v>415000</v>
      </c>
      <c r="O137" s="96"/>
      <c r="P137" s="96">
        <v>415000</v>
      </c>
      <c r="Q137" s="96"/>
      <c r="R137" s="96"/>
      <c r="S137" s="96"/>
      <c r="T137" s="96">
        <f t="shared" si="87"/>
        <v>386500</v>
      </c>
      <c r="U137" s="96"/>
      <c r="V137" s="96">
        <v>386500</v>
      </c>
      <c r="W137" s="96"/>
      <c r="X137" s="96"/>
      <c r="Y137" s="96"/>
      <c r="Z137" s="150">
        <f t="shared" si="88"/>
        <v>93.132530120481931</v>
      </c>
      <c r="AA137" s="96">
        <f t="shared" si="89"/>
        <v>386500</v>
      </c>
      <c r="AB137" s="96">
        <f t="shared" si="66"/>
        <v>415000</v>
      </c>
      <c r="AC137" s="237"/>
      <c r="AD137" s="113"/>
      <c r="AE137" s="132"/>
      <c r="AF137" s="125"/>
    </row>
    <row r="138" spans="1:32" s="23" customFormat="1" ht="30.4" customHeight="1" x14ac:dyDescent="0.25">
      <c r="A138" s="12" t="s">
        <v>585</v>
      </c>
      <c r="B138" s="13">
        <v>9150</v>
      </c>
      <c r="C138" s="12" t="s">
        <v>35</v>
      </c>
      <c r="D138" s="16" t="s">
        <v>588</v>
      </c>
      <c r="E138" s="96">
        <f t="shared" si="65"/>
        <v>4858759</v>
      </c>
      <c r="F138" s="96">
        <v>4858759</v>
      </c>
      <c r="G138" s="96"/>
      <c r="H138" s="96"/>
      <c r="I138" s="96"/>
      <c r="J138" s="96">
        <v>4858759</v>
      </c>
      <c r="K138" s="96"/>
      <c r="L138" s="96"/>
      <c r="M138" s="150">
        <f t="shared" si="80"/>
        <v>100</v>
      </c>
      <c r="N138" s="96">
        <f t="shared" si="67"/>
        <v>0</v>
      </c>
      <c r="O138" s="96"/>
      <c r="P138" s="96"/>
      <c r="Q138" s="96"/>
      <c r="R138" s="96"/>
      <c r="S138" s="96"/>
      <c r="T138" s="96">
        <f t="shared" si="87"/>
        <v>0</v>
      </c>
      <c r="U138" s="96"/>
      <c r="V138" s="96"/>
      <c r="W138" s="96"/>
      <c r="X138" s="96"/>
      <c r="Y138" s="96"/>
      <c r="Z138" s="150" t="e">
        <f t="shared" si="88"/>
        <v>#DIV/0!</v>
      </c>
      <c r="AA138" s="96">
        <f t="shared" si="89"/>
        <v>4858759</v>
      </c>
      <c r="AB138" s="96">
        <f t="shared" si="66"/>
        <v>4858759</v>
      </c>
      <c r="AC138" s="237"/>
      <c r="AD138" s="113"/>
      <c r="AE138" s="132"/>
      <c r="AF138" s="125"/>
    </row>
    <row r="139" spans="1:32" s="23" customFormat="1" ht="152.25" customHeight="1" x14ac:dyDescent="0.25">
      <c r="A139" s="20"/>
      <c r="B139" s="21"/>
      <c r="C139" s="20"/>
      <c r="D139" s="22" t="s">
        <v>439</v>
      </c>
      <c r="E139" s="97">
        <f t="shared" ref="E139" si="144">F139+I139</f>
        <v>4858759</v>
      </c>
      <c r="F139" s="97">
        <v>4858759</v>
      </c>
      <c r="G139" s="97"/>
      <c r="H139" s="97"/>
      <c r="I139" s="97"/>
      <c r="J139" s="97">
        <v>4858759</v>
      </c>
      <c r="K139" s="97"/>
      <c r="L139" s="97"/>
      <c r="M139" s="151">
        <f t="shared" si="80"/>
        <v>100</v>
      </c>
      <c r="N139" s="97">
        <f t="shared" ref="N139" si="145">P139+S139</f>
        <v>0</v>
      </c>
      <c r="O139" s="97"/>
      <c r="P139" s="97"/>
      <c r="Q139" s="97"/>
      <c r="R139" s="97"/>
      <c r="S139" s="97"/>
      <c r="T139" s="97">
        <f t="shared" si="87"/>
        <v>0</v>
      </c>
      <c r="U139" s="97"/>
      <c r="V139" s="97"/>
      <c r="W139" s="97"/>
      <c r="X139" s="97"/>
      <c r="Y139" s="97"/>
      <c r="Z139" s="151" t="e">
        <f t="shared" si="88"/>
        <v>#DIV/0!</v>
      </c>
      <c r="AA139" s="97">
        <f t="shared" si="89"/>
        <v>4858759</v>
      </c>
      <c r="AB139" s="97">
        <f t="shared" ref="AB139" si="146">E139+N139</f>
        <v>4858759</v>
      </c>
      <c r="AC139" s="237"/>
      <c r="AD139" s="114"/>
      <c r="AE139" s="132"/>
      <c r="AF139" s="125"/>
    </row>
    <row r="140" spans="1:32" s="132" customFormat="1" ht="33.75" customHeight="1" x14ac:dyDescent="0.25">
      <c r="A140" s="8" t="s">
        <v>136</v>
      </c>
      <c r="B140" s="17"/>
      <c r="C140" s="8"/>
      <c r="D140" s="130" t="s">
        <v>290</v>
      </c>
      <c r="E140" s="120">
        <f>E141</f>
        <v>148143032</v>
      </c>
      <c r="F140" s="120">
        <f t="shared" ref="F140:AA140" si="147">F141</f>
        <v>147883632</v>
      </c>
      <c r="G140" s="120">
        <f t="shared" si="147"/>
        <v>5960448</v>
      </c>
      <c r="H140" s="120">
        <f t="shared" si="147"/>
        <v>249200</v>
      </c>
      <c r="I140" s="120">
        <f t="shared" si="147"/>
        <v>259400</v>
      </c>
      <c r="J140" s="120">
        <f t="shared" si="147"/>
        <v>140999294.99000001</v>
      </c>
      <c r="K140" s="120">
        <f t="shared" si="147"/>
        <v>5775933.3800000008</v>
      </c>
      <c r="L140" s="120">
        <f t="shared" si="147"/>
        <v>187315.03</v>
      </c>
      <c r="M140" s="146">
        <f t="shared" si="80"/>
        <v>95.177810988774695</v>
      </c>
      <c r="N140" s="120">
        <f t="shared" si="147"/>
        <v>21152849</v>
      </c>
      <c r="O140" s="120">
        <f t="shared" si="147"/>
        <v>21152849</v>
      </c>
      <c r="P140" s="120">
        <f t="shared" si="147"/>
        <v>0</v>
      </c>
      <c r="Q140" s="120">
        <f t="shared" si="147"/>
        <v>0</v>
      </c>
      <c r="R140" s="120">
        <f t="shared" si="147"/>
        <v>0</v>
      </c>
      <c r="S140" s="120">
        <f t="shared" si="147"/>
        <v>21152849</v>
      </c>
      <c r="T140" s="120">
        <f t="shared" si="147"/>
        <v>19899243.5</v>
      </c>
      <c r="U140" s="120">
        <f t="shared" si="147"/>
        <v>16058012.459999999</v>
      </c>
      <c r="V140" s="120">
        <f t="shared" si="147"/>
        <v>3158890.6</v>
      </c>
      <c r="W140" s="120">
        <f t="shared" si="147"/>
        <v>0</v>
      </c>
      <c r="X140" s="120">
        <f t="shared" si="147"/>
        <v>0</v>
      </c>
      <c r="Y140" s="120">
        <f t="shared" si="147"/>
        <v>16740352.899999999</v>
      </c>
      <c r="Z140" s="146">
        <f t="shared" si="88"/>
        <v>94.073585548688982</v>
      </c>
      <c r="AA140" s="120">
        <f t="shared" si="147"/>
        <v>160898538.49000001</v>
      </c>
      <c r="AB140" s="120">
        <f t="shared" ref="AB140" si="148">AB141</f>
        <v>169295881</v>
      </c>
      <c r="AC140" s="237"/>
      <c r="AD140" s="112"/>
      <c r="AF140" s="125"/>
    </row>
    <row r="141" spans="1:32" s="11" customFormat="1" ht="33" customHeight="1" x14ac:dyDescent="0.25">
      <c r="A141" s="9" t="s">
        <v>137</v>
      </c>
      <c r="B141" s="18"/>
      <c r="C141" s="9"/>
      <c r="D141" s="131" t="s">
        <v>506</v>
      </c>
      <c r="E141" s="121">
        <f>E143+E144+E145+E146+E147+E148+E149+E154+E150+E152+E155+E151</f>
        <v>148143032</v>
      </c>
      <c r="F141" s="121">
        <f t="shared" ref="F141:AA141" si="149">F143+F144+F145+F146+F147+F148+F149+F154+F150+F152+F155+F151</f>
        <v>147883632</v>
      </c>
      <c r="G141" s="121">
        <f t="shared" si="149"/>
        <v>5960448</v>
      </c>
      <c r="H141" s="121">
        <f t="shared" si="149"/>
        <v>249200</v>
      </c>
      <c r="I141" s="121">
        <f t="shared" si="149"/>
        <v>259400</v>
      </c>
      <c r="J141" s="121">
        <f t="shared" si="149"/>
        <v>140999294.99000001</v>
      </c>
      <c r="K141" s="121">
        <f t="shared" si="149"/>
        <v>5775933.3800000008</v>
      </c>
      <c r="L141" s="121">
        <f t="shared" si="149"/>
        <v>187315.03</v>
      </c>
      <c r="M141" s="149">
        <f t="shared" si="80"/>
        <v>95.177810988774695</v>
      </c>
      <c r="N141" s="121">
        <f t="shared" si="149"/>
        <v>21152849</v>
      </c>
      <c r="O141" s="121">
        <f t="shared" si="149"/>
        <v>21152849</v>
      </c>
      <c r="P141" s="121">
        <f t="shared" si="149"/>
        <v>0</v>
      </c>
      <c r="Q141" s="121">
        <f t="shared" si="149"/>
        <v>0</v>
      </c>
      <c r="R141" s="121">
        <f t="shared" si="149"/>
        <v>0</v>
      </c>
      <c r="S141" s="121">
        <f t="shared" si="149"/>
        <v>21152849</v>
      </c>
      <c r="T141" s="121">
        <f t="shared" si="149"/>
        <v>19899243.5</v>
      </c>
      <c r="U141" s="121">
        <f t="shared" si="149"/>
        <v>16058012.459999999</v>
      </c>
      <c r="V141" s="121">
        <f t="shared" si="149"/>
        <v>3158890.6</v>
      </c>
      <c r="W141" s="121">
        <f t="shared" si="149"/>
        <v>0</v>
      </c>
      <c r="X141" s="121">
        <f t="shared" si="149"/>
        <v>0</v>
      </c>
      <c r="Y141" s="121">
        <f t="shared" si="149"/>
        <v>16740352.899999999</v>
      </c>
      <c r="Z141" s="149">
        <f t="shared" si="88"/>
        <v>94.073585548688982</v>
      </c>
      <c r="AA141" s="121">
        <f t="shared" si="149"/>
        <v>160898538.49000001</v>
      </c>
      <c r="AB141" s="121">
        <f t="shared" ref="AB141" si="150">AB143+AB144+AB145+AB146+AB147+AB148+AB149+AB154+AB150+AB152+AB155+AB151</f>
        <v>169295881</v>
      </c>
      <c r="AC141" s="237"/>
      <c r="AD141" s="98"/>
      <c r="AE141" s="132"/>
      <c r="AF141" s="125"/>
    </row>
    <row r="142" spans="1:32" s="11" customFormat="1" ht="110.25" x14ac:dyDescent="0.25">
      <c r="A142" s="9"/>
      <c r="B142" s="18"/>
      <c r="C142" s="9"/>
      <c r="D142" s="131" t="str">
        <f>D153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42" s="121">
        <f>E153</f>
        <v>583578</v>
      </c>
      <c r="F142" s="121">
        <f t="shared" ref="F142:AA142" si="151">F153</f>
        <v>583578</v>
      </c>
      <c r="G142" s="121">
        <f t="shared" si="151"/>
        <v>0</v>
      </c>
      <c r="H142" s="121">
        <f t="shared" si="151"/>
        <v>0</v>
      </c>
      <c r="I142" s="121">
        <f t="shared" si="151"/>
        <v>0</v>
      </c>
      <c r="J142" s="121">
        <f t="shared" si="151"/>
        <v>175811.06</v>
      </c>
      <c r="K142" s="121">
        <f t="shared" si="151"/>
        <v>0</v>
      </c>
      <c r="L142" s="121">
        <f t="shared" si="151"/>
        <v>0</v>
      </c>
      <c r="M142" s="149">
        <f t="shared" si="80"/>
        <v>30.126402982977424</v>
      </c>
      <c r="N142" s="121">
        <f t="shared" si="151"/>
        <v>0</v>
      </c>
      <c r="O142" s="121">
        <f t="shared" si="151"/>
        <v>0</v>
      </c>
      <c r="P142" s="121">
        <f t="shared" si="151"/>
        <v>0</v>
      </c>
      <c r="Q142" s="121">
        <f t="shared" si="151"/>
        <v>0</v>
      </c>
      <c r="R142" s="121">
        <f t="shared" si="151"/>
        <v>0</v>
      </c>
      <c r="S142" s="121">
        <f t="shared" si="151"/>
        <v>0</v>
      </c>
      <c r="T142" s="121">
        <f t="shared" si="151"/>
        <v>0</v>
      </c>
      <c r="U142" s="121">
        <f t="shared" si="151"/>
        <v>0</v>
      </c>
      <c r="V142" s="121">
        <f t="shared" si="151"/>
        <v>0</v>
      </c>
      <c r="W142" s="121">
        <f t="shared" si="151"/>
        <v>0</v>
      </c>
      <c r="X142" s="121">
        <f t="shared" si="151"/>
        <v>0</v>
      </c>
      <c r="Y142" s="121">
        <f t="shared" si="151"/>
        <v>0</v>
      </c>
      <c r="Z142" s="149" t="e">
        <f t="shared" si="88"/>
        <v>#DIV/0!</v>
      </c>
      <c r="AA142" s="121">
        <f t="shared" si="151"/>
        <v>175811.06</v>
      </c>
      <c r="AB142" s="121">
        <f t="shared" ref="AB142" si="152">AB153</f>
        <v>583578</v>
      </c>
      <c r="AC142" s="237"/>
      <c r="AD142" s="98"/>
      <c r="AE142" s="132"/>
      <c r="AF142" s="125"/>
    </row>
    <row r="143" spans="1:32" s="15" customFormat="1" ht="39" customHeight="1" x14ac:dyDescent="0.25">
      <c r="A143" s="12" t="s">
        <v>138</v>
      </c>
      <c r="B143" s="13" t="str">
        <f>'дод 5'!A19</f>
        <v>0160</v>
      </c>
      <c r="C143" s="12" t="str">
        <f>'дод 5'!B19</f>
        <v>0111</v>
      </c>
      <c r="D143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143" s="96">
        <f t="shared" ref="E143:E148" si="153">F143+I143</f>
        <v>3465660</v>
      </c>
      <c r="F143" s="96">
        <f>3451700-72000+8700+52700+47600-23040</f>
        <v>3465660</v>
      </c>
      <c r="G143" s="96">
        <f>2537500+7100+43200+37548</f>
        <v>2625348</v>
      </c>
      <c r="H143" s="96">
        <v>79200</v>
      </c>
      <c r="I143" s="96"/>
      <c r="J143" s="96">
        <v>3434038.63</v>
      </c>
      <c r="K143" s="96">
        <v>2620919.7000000002</v>
      </c>
      <c r="L143" s="96">
        <v>59797.95</v>
      </c>
      <c r="M143" s="150">
        <f t="shared" si="80"/>
        <v>99.087580143464734</v>
      </c>
      <c r="N143" s="96">
        <f>P143+S143</f>
        <v>0</v>
      </c>
      <c r="O143" s="96"/>
      <c r="P143" s="96"/>
      <c r="Q143" s="96"/>
      <c r="R143" s="96"/>
      <c r="S143" s="96"/>
      <c r="T143" s="96">
        <f t="shared" si="87"/>
        <v>850</v>
      </c>
      <c r="U143" s="96"/>
      <c r="V143" s="96">
        <v>850</v>
      </c>
      <c r="W143" s="96"/>
      <c r="X143" s="96"/>
      <c r="Y143" s="96"/>
      <c r="Z143" s="150" t="e">
        <f t="shared" si="88"/>
        <v>#DIV/0!</v>
      </c>
      <c r="AA143" s="96">
        <f t="shared" si="89"/>
        <v>3434888.63</v>
      </c>
      <c r="AB143" s="96">
        <f t="shared" ref="AB143:AB155" si="154">E143+N143</f>
        <v>3465660</v>
      </c>
      <c r="AC143" s="237"/>
      <c r="AD143" s="113"/>
      <c r="AE143" s="132"/>
      <c r="AF143" s="125"/>
    </row>
    <row r="144" spans="1:32" s="15" customFormat="1" ht="34.5" customHeight="1" x14ac:dyDescent="0.25">
      <c r="A144" s="12" t="s">
        <v>139</v>
      </c>
      <c r="B144" s="13" t="str">
        <f>'дод 5'!A108</f>
        <v>2010</v>
      </c>
      <c r="C144" s="12" t="str">
        <f>'дод 5'!B108</f>
        <v>0731</v>
      </c>
      <c r="D144" s="25" t="str">
        <f>'дод 5'!C108</f>
        <v>Багатопрофільна стаціонарна медична допомога населенню</v>
      </c>
      <c r="E144" s="96">
        <f>F144+I144</f>
        <v>87711198</v>
      </c>
      <c r="F144" s="96">
        <f>79145600+79212+120770+117413+47000+5000000-560000+366980.4+2074459.2+34359.6+594370.8-366980.4+366980.4-370861+370861-110500+110500-645438+1336471</f>
        <v>87711198</v>
      </c>
      <c r="G144" s="96"/>
      <c r="H144" s="96"/>
      <c r="I144" s="96"/>
      <c r="J144" s="96">
        <v>84244881.900000006</v>
      </c>
      <c r="K144" s="96"/>
      <c r="L144" s="96"/>
      <c r="M144" s="150">
        <f t="shared" si="80"/>
        <v>96.048034710459675</v>
      </c>
      <c r="N144" s="96">
        <f t="shared" ref="N144:N155" si="155">P144+S144</f>
        <v>11792083</v>
      </c>
      <c r="O144" s="96">
        <f>7966974-1466974+1280000+2578804+2124312-691033</f>
        <v>11792083</v>
      </c>
      <c r="P144" s="96"/>
      <c r="Q144" s="96"/>
      <c r="R144" s="96"/>
      <c r="S144" s="96">
        <f>7966974-1466974+1280000+2578804+2124312-691033</f>
        <v>11792083</v>
      </c>
      <c r="T144" s="96">
        <f t="shared" si="87"/>
        <v>9213276.5299999993</v>
      </c>
      <c r="U144" s="96">
        <v>9213276.5299999993</v>
      </c>
      <c r="V144" s="96"/>
      <c r="W144" s="96"/>
      <c r="X144" s="96"/>
      <c r="Y144" s="96">
        <v>9213276.5299999993</v>
      </c>
      <c r="Z144" s="150">
        <f t="shared" si="88"/>
        <v>78.131035288676301</v>
      </c>
      <c r="AA144" s="96">
        <f t="shared" si="89"/>
        <v>93458158.430000007</v>
      </c>
      <c r="AB144" s="96">
        <f t="shared" si="154"/>
        <v>99503281</v>
      </c>
      <c r="AC144" s="237"/>
      <c r="AD144" s="113"/>
      <c r="AE144" s="132"/>
      <c r="AF144" s="125"/>
    </row>
    <row r="145" spans="1:32" s="15" customFormat="1" ht="31.5" x14ac:dyDescent="0.25">
      <c r="A145" s="12" t="s">
        <v>143</v>
      </c>
      <c r="B145" s="13" t="str">
        <f>'дод 5'!A109</f>
        <v>2030</v>
      </c>
      <c r="C145" s="12" t="str">
        <f>'дод 5'!B109</f>
        <v>0733</v>
      </c>
      <c r="D145" s="14" t="str">
        <f>'дод 5'!C109</f>
        <v>Лікарсько-акушерська допомога вагітним, породіллям та новонародженим</v>
      </c>
      <c r="E145" s="96">
        <f t="shared" si="153"/>
        <v>5941862</v>
      </c>
      <c r="F145" s="96">
        <f>6632300+29730-85000-635168</f>
        <v>5941862</v>
      </c>
      <c r="G145" s="96"/>
      <c r="H145" s="96"/>
      <c r="I145" s="96"/>
      <c r="J145" s="96">
        <v>5196525.37</v>
      </c>
      <c r="K145" s="96"/>
      <c r="L145" s="96"/>
      <c r="M145" s="150">
        <f t="shared" ref="M145:M208" si="156">J145/E145*100</f>
        <v>87.456177373355359</v>
      </c>
      <c r="N145" s="96">
        <f t="shared" si="155"/>
        <v>0</v>
      </c>
      <c r="O145" s="96"/>
      <c r="P145" s="96"/>
      <c r="Q145" s="96"/>
      <c r="R145" s="96"/>
      <c r="S145" s="96"/>
      <c r="T145" s="96">
        <f t="shared" ref="T145:T208" si="157">V145+Y145</f>
        <v>0</v>
      </c>
      <c r="U145" s="96"/>
      <c r="V145" s="96"/>
      <c r="W145" s="96"/>
      <c r="X145" s="96"/>
      <c r="Y145" s="96"/>
      <c r="Z145" s="150" t="e">
        <f t="shared" ref="Z145:Z208" si="158">T145/N145*100</f>
        <v>#DIV/0!</v>
      </c>
      <c r="AA145" s="96">
        <f t="shared" ref="AA145:AA208" si="159">T145+J145</f>
        <v>5196525.37</v>
      </c>
      <c r="AB145" s="96">
        <f t="shared" si="154"/>
        <v>5941862</v>
      </c>
      <c r="AC145" s="237"/>
      <c r="AD145" s="113"/>
      <c r="AE145" s="132"/>
      <c r="AF145" s="125"/>
    </row>
    <row r="146" spans="1:32" s="15" customFormat="1" ht="24" customHeight="1" x14ac:dyDescent="0.25">
      <c r="A146" s="12" t="s">
        <v>142</v>
      </c>
      <c r="B146" s="13" t="str">
        <f>'дод 5'!A110</f>
        <v>2100</v>
      </c>
      <c r="C146" s="12" t="str">
        <f>'дод 5'!B110</f>
        <v>0722</v>
      </c>
      <c r="D146" s="14" t="str">
        <f>'дод 5'!C110</f>
        <v>Стоматологічна допомога населенню</v>
      </c>
      <c r="E146" s="96">
        <f t="shared" si="153"/>
        <v>3090800</v>
      </c>
      <c r="F146" s="96">
        <f>1295800+1710000+85000</f>
        <v>3090800</v>
      </c>
      <c r="G146" s="96"/>
      <c r="H146" s="96"/>
      <c r="I146" s="96"/>
      <c r="J146" s="96">
        <v>3090799.49</v>
      </c>
      <c r="K146" s="96"/>
      <c r="L146" s="96"/>
      <c r="M146" s="150">
        <f t="shared" si="156"/>
        <v>99.999983499417638</v>
      </c>
      <c r="N146" s="96">
        <f t="shared" si="155"/>
        <v>0</v>
      </c>
      <c r="O146" s="96"/>
      <c r="P146" s="96"/>
      <c r="Q146" s="96"/>
      <c r="R146" s="96"/>
      <c r="S146" s="96"/>
      <c r="T146" s="96">
        <f t="shared" si="157"/>
        <v>0</v>
      </c>
      <c r="U146" s="96"/>
      <c r="V146" s="96"/>
      <c r="W146" s="96"/>
      <c r="X146" s="96"/>
      <c r="Y146" s="96"/>
      <c r="Z146" s="150" t="e">
        <f t="shared" si="158"/>
        <v>#DIV/0!</v>
      </c>
      <c r="AA146" s="96">
        <f t="shared" si="159"/>
        <v>3090799.49</v>
      </c>
      <c r="AB146" s="96">
        <f t="shared" si="154"/>
        <v>3090800</v>
      </c>
      <c r="AC146" s="237"/>
      <c r="AD146" s="113"/>
      <c r="AE146" s="132"/>
      <c r="AF146" s="125"/>
    </row>
    <row r="147" spans="1:32" s="15" customFormat="1" ht="48" customHeight="1" x14ac:dyDescent="0.25">
      <c r="A147" s="12" t="s">
        <v>141</v>
      </c>
      <c r="B147" s="13" t="str">
        <f>'дод 5'!A111</f>
        <v>2111</v>
      </c>
      <c r="C147" s="12" t="str">
        <f>'дод 5'!B111</f>
        <v>0726</v>
      </c>
      <c r="D147" s="14" t="str">
        <f>'дод 5'!C111</f>
        <v>Первинна медична допомога населенню, що надається центрами первинної медичної (медико-санітарної) допомоги</v>
      </c>
      <c r="E147" s="96">
        <f t="shared" si="153"/>
        <v>6034800</v>
      </c>
      <c r="F147" s="96">
        <v>6034800</v>
      </c>
      <c r="G147" s="96"/>
      <c r="H147" s="96"/>
      <c r="I147" s="96"/>
      <c r="J147" s="96">
        <v>5347922.8600000003</v>
      </c>
      <c r="K147" s="96"/>
      <c r="L147" s="96"/>
      <c r="M147" s="150">
        <f t="shared" si="156"/>
        <v>88.618062901836026</v>
      </c>
      <c r="N147" s="96">
        <f t="shared" si="155"/>
        <v>0</v>
      </c>
      <c r="O147" s="96"/>
      <c r="P147" s="96"/>
      <c r="Q147" s="96"/>
      <c r="R147" s="96"/>
      <c r="S147" s="96"/>
      <c r="T147" s="96">
        <f t="shared" si="157"/>
        <v>0</v>
      </c>
      <c r="U147" s="96"/>
      <c r="V147" s="96"/>
      <c r="W147" s="96"/>
      <c r="X147" s="96"/>
      <c r="Y147" s="96"/>
      <c r="Z147" s="150" t="e">
        <f t="shared" si="158"/>
        <v>#DIV/0!</v>
      </c>
      <c r="AA147" s="96">
        <f t="shared" si="159"/>
        <v>5347922.8600000003</v>
      </c>
      <c r="AB147" s="96">
        <f t="shared" si="154"/>
        <v>6034800</v>
      </c>
      <c r="AC147" s="237"/>
      <c r="AD147" s="113"/>
      <c r="AE147" s="132"/>
      <c r="AF147" s="125"/>
    </row>
    <row r="148" spans="1:32" s="15" customFormat="1" ht="43.5" customHeight="1" x14ac:dyDescent="0.25">
      <c r="A148" s="12" t="s">
        <v>249</v>
      </c>
      <c r="B148" s="13" t="str">
        <f>'дод 5'!A112</f>
        <v>2151</v>
      </c>
      <c r="C148" s="12" t="str">
        <f>'дод 5'!B112</f>
        <v>0763</v>
      </c>
      <c r="D148" s="14" t="str">
        <f>'дод 5'!C112</f>
        <v>Забезпечення діяльності інших закладів у сфері охорони здоров'я</v>
      </c>
      <c r="E148" s="96">
        <f t="shared" si="153"/>
        <v>4456000</v>
      </c>
      <c r="F148" s="96">
        <f>4355200+32100+68700</f>
        <v>4456000</v>
      </c>
      <c r="G148" s="96">
        <f>3252200+26300+56600</f>
        <v>3335100</v>
      </c>
      <c r="H148" s="96">
        <v>170000</v>
      </c>
      <c r="I148" s="96"/>
      <c r="J148" s="96">
        <v>4187733.07</v>
      </c>
      <c r="K148" s="96">
        <v>3155013.68</v>
      </c>
      <c r="L148" s="96">
        <v>127517.08</v>
      </c>
      <c r="M148" s="150">
        <f t="shared" si="156"/>
        <v>93.979646992818672</v>
      </c>
      <c r="N148" s="96">
        <f t="shared" si="155"/>
        <v>0</v>
      </c>
      <c r="O148" s="96"/>
      <c r="P148" s="96"/>
      <c r="Q148" s="96"/>
      <c r="R148" s="96"/>
      <c r="S148" s="96"/>
      <c r="T148" s="96">
        <f t="shared" si="157"/>
        <v>32945.9</v>
      </c>
      <c r="U148" s="96"/>
      <c r="V148" s="96">
        <v>125</v>
      </c>
      <c r="W148" s="96"/>
      <c r="X148" s="96"/>
      <c r="Y148" s="96">
        <v>32820.9</v>
      </c>
      <c r="Z148" s="150" t="e">
        <f t="shared" si="158"/>
        <v>#DIV/0!</v>
      </c>
      <c r="AA148" s="96">
        <f t="shared" si="159"/>
        <v>4220678.97</v>
      </c>
      <c r="AB148" s="96">
        <f t="shared" si="154"/>
        <v>4456000</v>
      </c>
      <c r="AC148" s="237"/>
      <c r="AD148" s="113"/>
      <c r="AE148" s="132"/>
      <c r="AF148" s="125"/>
    </row>
    <row r="149" spans="1:32" s="15" customFormat="1" ht="22.9" customHeight="1" x14ac:dyDescent="0.25">
      <c r="A149" s="12" t="s">
        <v>250</v>
      </c>
      <c r="B149" s="13" t="str">
        <f>'дод 5'!A113</f>
        <v>2152</v>
      </c>
      <c r="C149" s="12" t="str">
        <f>'дод 5'!B113</f>
        <v>0763</v>
      </c>
      <c r="D149" s="14" t="str">
        <f>'дод 5'!C113</f>
        <v>Інші програми та заходи у сфері охорони здоров'я</v>
      </c>
      <c r="E149" s="96">
        <f>F149+I149</f>
        <v>36149734</v>
      </c>
      <c r="F149" s="96">
        <f>35566700-1710000+560000+2740000-1156966-350000+350000+150000</f>
        <v>36149734</v>
      </c>
      <c r="G149" s="96"/>
      <c r="H149" s="96"/>
      <c r="I149" s="96"/>
      <c r="J149" s="96">
        <v>34830604.149999999</v>
      </c>
      <c r="K149" s="96"/>
      <c r="L149" s="96"/>
      <c r="M149" s="150">
        <f t="shared" si="156"/>
        <v>96.350927921074046</v>
      </c>
      <c r="N149" s="96">
        <f t="shared" si="155"/>
        <v>0</v>
      </c>
      <c r="O149" s="96"/>
      <c r="P149" s="96"/>
      <c r="Q149" s="96"/>
      <c r="R149" s="96"/>
      <c r="S149" s="96"/>
      <c r="T149" s="96">
        <f t="shared" si="157"/>
        <v>3807435.14</v>
      </c>
      <c r="U149" s="96"/>
      <c r="V149" s="96">
        <v>3157915.6</v>
      </c>
      <c r="W149" s="96"/>
      <c r="X149" s="96"/>
      <c r="Y149" s="96">
        <v>649519.54</v>
      </c>
      <c r="Z149" s="150" t="e">
        <f t="shared" si="158"/>
        <v>#DIV/0!</v>
      </c>
      <c r="AA149" s="96">
        <f t="shared" si="159"/>
        <v>38638039.289999999</v>
      </c>
      <c r="AB149" s="96">
        <f t="shared" si="154"/>
        <v>36149734</v>
      </c>
      <c r="AC149" s="237"/>
      <c r="AD149" s="113"/>
      <c r="AE149" s="132"/>
      <c r="AF149" s="125"/>
    </row>
    <row r="150" spans="1:32" s="15" customFormat="1" ht="23.65" customHeight="1" x14ac:dyDescent="0.25">
      <c r="A150" s="12" t="s">
        <v>455</v>
      </c>
      <c r="B150" s="13">
        <f>'дод 5'!A114</f>
        <v>2170</v>
      </c>
      <c r="C150" s="12" t="str">
        <f>'дод 5'!B114</f>
        <v>0763</v>
      </c>
      <c r="D150" s="16" t="str">
        <f>'дод 5'!C114</f>
        <v>Будівництво1 закладів охорони здоров'я</v>
      </c>
      <c r="E150" s="96">
        <f t="shared" ref="E150:E151" si="160">F150+I150</f>
        <v>0</v>
      </c>
      <c r="F150" s="96"/>
      <c r="G150" s="96"/>
      <c r="H150" s="96"/>
      <c r="I150" s="96"/>
      <c r="J150" s="96"/>
      <c r="K150" s="96"/>
      <c r="L150" s="96"/>
      <c r="M150" s="150" t="e">
        <f t="shared" si="156"/>
        <v>#DIV/0!</v>
      </c>
      <c r="N150" s="96">
        <f t="shared" si="155"/>
        <v>2156076</v>
      </c>
      <c r="O150" s="96">
        <f>2178246+1466974-2124312-1520908+2156076</f>
        <v>2156076</v>
      </c>
      <c r="P150" s="96"/>
      <c r="Q150" s="96"/>
      <c r="R150" s="96"/>
      <c r="S150" s="96">
        <f>2178246+1466974-2124312-1520908+2156076</f>
        <v>2156076</v>
      </c>
      <c r="T150" s="96">
        <f t="shared" si="157"/>
        <v>439589.99</v>
      </c>
      <c r="U150" s="96">
        <v>439589.99</v>
      </c>
      <c r="V150" s="96"/>
      <c r="W150" s="96"/>
      <c r="X150" s="96"/>
      <c r="Y150" s="96">
        <v>439589.99</v>
      </c>
      <c r="Z150" s="150">
        <f t="shared" si="158"/>
        <v>20.388427402373573</v>
      </c>
      <c r="AA150" s="96">
        <f t="shared" si="159"/>
        <v>439589.99</v>
      </c>
      <c r="AB150" s="96">
        <f t="shared" si="154"/>
        <v>2156076</v>
      </c>
      <c r="AC150" s="237"/>
      <c r="AD150" s="113"/>
      <c r="AE150" s="132"/>
      <c r="AF150" s="125"/>
    </row>
    <row r="151" spans="1:32" s="15" customFormat="1" ht="57" customHeight="1" x14ac:dyDescent="0.25">
      <c r="A151" s="12" t="s">
        <v>569</v>
      </c>
      <c r="B151" s="13">
        <v>2171</v>
      </c>
      <c r="C151" s="12" t="s">
        <v>53</v>
      </c>
      <c r="D151" s="16" t="s">
        <v>570</v>
      </c>
      <c r="E151" s="96">
        <f t="shared" si="160"/>
        <v>150000</v>
      </c>
      <c r="F151" s="96">
        <v>150000</v>
      </c>
      <c r="G151" s="96"/>
      <c r="H151" s="96"/>
      <c r="I151" s="96"/>
      <c r="J151" s="96">
        <v>68178</v>
      </c>
      <c r="K151" s="96"/>
      <c r="L151" s="96"/>
      <c r="M151" s="150">
        <f t="shared" si="156"/>
        <v>45.451999999999998</v>
      </c>
      <c r="N151" s="96">
        <f t="shared" si="155"/>
        <v>0</v>
      </c>
      <c r="O151" s="96"/>
      <c r="P151" s="96"/>
      <c r="Q151" s="96"/>
      <c r="R151" s="96"/>
      <c r="S151" s="96"/>
      <c r="T151" s="96">
        <f t="shared" si="157"/>
        <v>0</v>
      </c>
      <c r="U151" s="96"/>
      <c r="V151" s="96"/>
      <c r="W151" s="96"/>
      <c r="X151" s="96"/>
      <c r="Y151" s="96"/>
      <c r="Z151" s="150" t="e">
        <f t="shared" si="158"/>
        <v>#DIV/0!</v>
      </c>
      <c r="AA151" s="96">
        <f t="shared" si="159"/>
        <v>68178</v>
      </c>
      <c r="AB151" s="96">
        <f t="shared" si="154"/>
        <v>150000</v>
      </c>
      <c r="AC151" s="237"/>
      <c r="AD151" s="113"/>
      <c r="AE151" s="132"/>
      <c r="AF151" s="125"/>
    </row>
    <row r="152" spans="1:32" s="15" customFormat="1" ht="72.75" customHeight="1" x14ac:dyDescent="0.25">
      <c r="A152" s="12" t="s">
        <v>505</v>
      </c>
      <c r="B152" s="13">
        <f>'дод 5'!A148</f>
        <v>3193</v>
      </c>
      <c r="C152" s="12">
        <f>'дод 5'!B148</f>
        <v>1030</v>
      </c>
      <c r="D152" s="16" t="str">
        <f>'дод 5'!C148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v>
      </c>
      <c r="E152" s="96">
        <f t="shared" ref="E152:E155" si="161">F152+I152</f>
        <v>583578</v>
      </c>
      <c r="F152" s="96">
        <f>468236+115342</f>
        <v>583578</v>
      </c>
      <c r="G152" s="96"/>
      <c r="H152" s="96"/>
      <c r="I152" s="96"/>
      <c r="J152" s="96">
        <v>175811.66</v>
      </c>
      <c r="K152" s="96"/>
      <c r="L152" s="96"/>
      <c r="M152" s="150">
        <f t="shared" si="156"/>
        <v>30.126505796997144</v>
      </c>
      <c r="N152" s="96">
        <f t="shared" si="155"/>
        <v>0</v>
      </c>
      <c r="O152" s="96"/>
      <c r="P152" s="96"/>
      <c r="Q152" s="96"/>
      <c r="R152" s="96"/>
      <c r="S152" s="96"/>
      <c r="T152" s="96">
        <f t="shared" si="157"/>
        <v>0</v>
      </c>
      <c r="U152" s="96"/>
      <c r="V152" s="96"/>
      <c r="W152" s="96"/>
      <c r="X152" s="96"/>
      <c r="Y152" s="96"/>
      <c r="Z152" s="150" t="e">
        <f t="shared" si="158"/>
        <v>#DIV/0!</v>
      </c>
      <c r="AA152" s="96">
        <f t="shared" si="159"/>
        <v>175811.66</v>
      </c>
      <c r="AB152" s="96">
        <f t="shared" si="154"/>
        <v>583578</v>
      </c>
      <c r="AC152" s="237"/>
      <c r="AD152" s="113"/>
      <c r="AE152" s="132"/>
      <c r="AF152" s="125"/>
    </row>
    <row r="153" spans="1:32" s="23" customFormat="1" ht="94.9" customHeight="1" x14ac:dyDescent="0.25">
      <c r="A153" s="20"/>
      <c r="B153" s="21"/>
      <c r="C153" s="20"/>
      <c r="D153" s="22" t="str">
        <f>'дод 5'!C149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53" s="96">
        <f t="shared" si="161"/>
        <v>583578</v>
      </c>
      <c r="F153" s="97">
        <f>F152</f>
        <v>583578</v>
      </c>
      <c r="G153" s="96"/>
      <c r="H153" s="96"/>
      <c r="I153" s="96"/>
      <c r="J153" s="96">
        <v>175811.06</v>
      </c>
      <c r="K153" s="96"/>
      <c r="L153" s="96"/>
      <c r="M153" s="150">
        <f t="shared" si="156"/>
        <v>30.126402982977424</v>
      </c>
      <c r="N153" s="96">
        <f t="shared" si="155"/>
        <v>0</v>
      </c>
      <c r="O153" s="96"/>
      <c r="P153" s="96"/>
      <c r="Q153" s="96"/>
      <c r="R153" s="96"/>
      <c r="S153" s="96"/>
      <c r="T153" s="96">
        <f t="shared" si="157"/>
        <v>0</v>
      </c>
      <c r="U153" s="96"/>
      <c r="V153" s="96"/>
      <c r="W153" s="96"/>
      <c r="X153" s="96"/>
      <c r="Y153" s="96"/>
      <c r="Z153" s="150" t="e">
        <f t="shared" si="158"/>
        <v>#DIV/0!</v>
      </c>
      <c r="AA153" s="96">
        <f t="shared" si="159"/>
        <v>175811.06</v>
      </c>
      <c r="AB153" s="96">
        <f t="shared" si="154"/>
        <v>583578</v>
      </c>
      <c r="AC153" s="237">
        <v>17</v>
      </c>
      <c r="AD153" s="113"/>
      <c r="AE153" s="132"/>
      <c r="AF153" s="125"/>
    </row>
    <row r="154" spans="1:32" s="15" customFormat="1" ht="23.25" customHeight="1" x14ac:dyDescent="0.25">
      <c r="A154" s="12" t="s">
        <v>140</v>
      </c>
      <c r="B154" s="13" t="str">
        <f>'дод 5'!A227</f>
        <v>7640</v>
      </c>
      <c r="C154" s="12" t="str">
        <f>'дод 5'!B227</f>
        <v>0470</v>
      </c>
      <c r="D154" s="14" t="s">
        <v>288</v>
      </c>
      <c r="E154" s="96">
        <f t="shared" si="161"/>
        <v>259400</v>
      </c>
      <c r="F154" s="96"/>
      <c r="G154" s="96"/>
      <c r="H154" s="96"/>
      <c r="I154" s="96">
        <f>465000-126800-78800</f>
        <v>259400</v>
      </c>
      <c r="J154" s="96">
        <v>139700</v>
      </c>
      <c r="K154" s="96"/>
      <c r="L154" s="96"/>
      <c r="M154" s="150">
        <f t="shared" si="156"/>
        <v>53.855050115651501</v>
      </c>
      <c r="N154" s="96">
        <f t="shared" si="155"/>
        <v>2204690</v>
      </c>
      <c r="O154" s="96">
        <f>1999090+126800+78800</f>
        <v>2204690</v>
      </c>
      <c r="P154" s="96"/>
      <c r="Q154" s="96"/>
      <c r="R154" s="96"/>
      <c r="S154" s="96">
        <f>1999090+126800+78800</f>
        <v>2204690</v>
      </c>
      <c r="T154" s="96">
        <f t="shared" si="157"/>
        <v>1405145.94</v>
      </c>
      <c r="U154" s="96">
        <v>1405145.94</v>
      </c>
      <c r="V154" s="96"/>
      <c r="W154" s="96"/>
      <c r="X154" s="96"/>
      <c r="Y154" s="96">
        <v>1405145.94</v>
      </c>
      <c r="Z154" s="150">
        <f t="shared" si="158"/>
        <v>63.734399847597622</v>
      </c>
      <c r="AA154" s="96">
        <f t="shared" si="159"/>
        <v>1544845.94</v>
      </c>
      <c r="AB154" s="96">
        <f t="shared" si="154"/>
        <v>2464090</v>
      </c>
      <c r="AC154" s="237"/>
      <c r="AD154" s="113"/>
      <c r="AE154" s="132"/>
      <c r="AF154" s="125"/>
    </row>
    <row r="155" spans="1:32" s="73" customFormat="1" ht="23.25" customHeight="1" x14ac:dyDescent="0.25">
      <c r="A155" s="12" t="s">
        <v>518</v>
      </c>
      <c r="B155" s="13" t="str">
        <f>'дод 5'!A260</f>
        <v>9770</v>
      </c>
      <c r="C155" s="12" t="str">
        <f>'дод 5'!B260</f>
        <v>0180</v>
      </c>
      <c r="D155" s="16" t="str">
        <f>'дод 5'!C260</f>
        <v>Інші субвенції з місцевого бюджету</v>
      </c>
      <c r="E155" s="96">
        <f t="shared" si="161"/>
        <v>300000</v>
      </c>
      <c r="F155" s="96">
        <v>300000</v>
      </c>
      <c r="G155" s="96"/>
      <c r="H155" s="96"/>
      <c r="I155" s="96"/>
      <c r="J155" s="96">
        <v>283099.86</v>
      </c>
      <c r="K155" s="96"/>
      <c r="L155" s="96"/>
      <c r="M155" s="150">
        <f t="shared" si="156"/>
        <v>94.366619999999983</v>
      </c>
      <c r="N155" s="96">
        <f t="shared" si="155"/>
        <v>5000000</v>
      </c>
      <c r="O155" s="96">
        <v>5000000</v>
      </c>
      <c r="P155" s="96"/>
      <c r="Q155" s="96"/>
      <c r="R155" s="96"/>
      <c r="S155" s="96">
        <v>5000000</v>
      </c>
      <c r="T155" s="96">
        <f t="shared" si="157"/>
        <v>5000000</v>
      </c>
      <c r="U155" s="96">
        <v>5000000</v>
      </c>
      <c r="V155" s="96"/>
      <c r="W155" s="96"/>
      <c r="X155" s="96"/>
      <c r="Y155" s="96">
        <v>5000000</v>
      </c>
      <c r="Z155" s="150">
        <f t="shared" si="158"/>
        <v>100</v>
      </c>
      <c r="AA155" s="96">
        <f t="shared" si="159"/>
        <v>5283099.8600000003</v>
      </c>
      <c r="AB155" s="100">
        <f t="shared" si="154"/>
        <v>5300000</v>
      </c>
      <c r="AC155" s="237"/>
      <c r="AD155" s="115"/>
      <c r="AE155" s="132"/>
      <c r="AF155" s="125"/>
    </row>
    <row r="156" spans="1:32" s="132" customFormat="1" ht="36" customHeight="1" x14ac:dyDescent="0.25">
      <c r="A156" s="8" t="s">
        <v>144</v>
      </c>
      <c r="B156" s="17"/>
      <c r="C156" s="8"/>
      <c r="D156" s="130" t="s">
        <v>31</v>
      </c>
      <c r="E156" s="120">
        <f>E157</f>
        <v>498055688.52999997</v>
      </c>
      <c r="F156" s="120">
        <f t="shared" ref="F156:AA156" si="162">F157</f>
        <v>498055688.52999997</v>
      </c>
      <c r="G156" s="120">
        <f t="shared" si="162"/>
        <v>88087862</v>
      </c>
      <c r="H156" s="120">
        <f t="shared" si="162"/>
        <v>4235300</v>
      </c>
      <c r="I156" s="120">
        <f t="shared" si="162"/>
        <v>0</v>
      </c>
      <c r="J156" s="120">
        <f t="shared" si="162"/>
        <v>494654935.57999992</v>
      </c>
      <c r="K156" s="120">
        <f t="shared" si="162"/>
        <v>87744449.49000001</v>
      </c>
      <c r="L156" s="120">
        <f t="shared" si="162"/>
        <v>3406333.39</v>
      </c>
      <c r="M156" s="146">
        <f t="shared" si="156"/>
        <v>99.317194235841924</v>
      </c>
      <c r="N156" s="120">
        <f t="shared" si="162"/>
        <v>24747017.789999999</v>
      </c>
      <c r="O156" s="120">
        <f t="shared" si="162"/>
        <v>24688417.789999999</v>
      </c>
      <c r="P156" s="120">
        <f t="shared" si="162"/>
        <v>58600</v>
      </c>
      <c r="Q156" s="120">
        <f t="shared" si="162"/>
        <v>48000</v>
      </c>
      <c r="R156" s="120">
        <f t="shared" si="162"/>
        <v>0</v>
      </c>
      <c r="S156" s="120">
        <f t="shared" si="162"/>
        <v>24688417.789999999</v>
      </c>
      <c r="T156" s="120">
        <f t="shared" si="162"/>
        <v>54254368.319999993</v>
      </c>
      <c r="U156" s="120">
        <f t="shared" si="162"/>
        <v>24686413.789999999</v>
      </c>
      <c r="V156" s="120">
        <f t="shared" si="162"/>
        <v>24068745.079999998</v>
      </c>
      <c r="W156" s="120">
        <f t="shared" si="162"/>
        <v>34695.29</v>
      </c>
      <c r="X156" s="120">
        <f t="shared" si="162"/>
        <v>0</v>
      </c>
      <c r="Y156" s="120">
        <f t="shared" si="162"/>
        <v>30185623.239999998</v>
      </c>
      <c r="Z156" s="146">
        <f t="shared" si="158"/>
        <v>219.23598544436976</v>
      </c>
      <c r="AA156" s="120">
        <f t="shared" si="162"/>
        <v>548909303.89999998</v>
      </c>
      <c r="AB156" s="120">
        <f t="shared" ref="AB156" si="163">AB157</f>
        <v>522802706.31999999</v>
      </c>
      <c r="AC156" s="237"/>
      <c r="AD156" s="112"/>
      <c r="AF156" s="125"/>
    </row>
    <row r="157" spans="1:32" s="11" customFormat="1" ht="32.25" customHeight="1" x14ac:dyDescent="0.25">
      <c r="A157" s="9" t="s">
        <v>145</v>
      </c>
      <c r="B157" s="18"/>
      <c r="C157" s="9"/>
      <c r="D157" s="131" t="s">
        <v>344</v>
      </c>
      <c r="E157" s="121">
        <f>E163+E164+E165+E166+E168+E169+E174+E178+E182+E184+E187+E190+E191+E195+E177+E175+E170+E172+E180+E185+E188</f>
        <v>498055688.52999997</v>
      </c>
      <c r="F157" s="121">
        <f t="shared" ref="F157:AA157" si="164">F163+F164+F165+F166+F168+F169+F174+F178+F182+F184+F187+F190+F191+F195+F177+F175+F170+F172+F180+F185+F188</f>
        <v>498055688.52999997</v>
      </c>
      <c r="G157" s="121">
        <f t="shared" si="164"/>
        <v>88087862</v>
      </c>
      <c r="H157" s="121">
        <f t="shared" si="164"/>
        <v>4235300</v>
      </c>
      <c r="I157" s="121">
        <f t="shared" si="164"/>
        <v>0</v>
      </c>
      <c r="J157" s="121">
        <f t="shared" si="164"/>
        <v>494654935.57999992</v>
      </c>
      <c r="K157" s="121">
        <f t="shared" si="164"/>
        <v>87744449.49000001</v>
      </c>
      <c r="L157" s="121">
        <f t="shared" si="164"/>
        <v>3406333.39</v>
      </c>
      <c r="M157" s="149">
        <f t="shared" si="156"/>
        <v>99.317194235841924</v>
      </c>
      <c r="N157" s="121">
        <f t="shared" si="164"/>
        <v>24747017.789999999</v>
      </c>
      <c r="O157" s="121">
        <f t="shared" si="164"/>
        <v>24688417.789999999</v>
      </c>
      <c r="P157" s="121">
        <f t="shared" si="164"/>
        <v>58600</v>
      </c>
      <c r="Q157" s="121">
        <f t="shared" si="164"/>
        <v>48000</v>
      </c>
      <c r="R157" s="121">
        <f t="shared" si="164"/>
        <v>0</v>
      </c>
      <c r="S157" s="121">
        <f t="shared" si="164"/>
        <v>24688417.789999999</v>
      </c>
      <c r="T157" s="121">
        <f t="shared" si="164"/>
        <v>54254368.319999993</v>
      </c>
      <c r="U157" s="121">
        <f t="shared" si="164"/>
        <v>24686413.789999999</v>
      </c>
      <c r="V157" s="121">
        <f t="shared" si="164"/>
        <v>24068745.079999998</v>
      </c>
      <c r="W157" s="121">
        <f t="shared" si="164"/>
        <v>34695.29</v>
      </c>
      <c r="X157" s="121">
        <f t="shared" si="164"/>
        <v>0</v>
      </c>
      <c r="Y157" s="121">
        <f t="shared" si="164"/>
        <v>30185623.239999998</v>
      </c>
      <c r="Z157" s="149">
        <f t="shared" si="158"/>
        <v>219.23598544436976</v>
      </c>
      <c r="AA157" s="121">
        <f t="shared" si="164"/>
        <v>548909303.89999998</v>
      </c>
      <c r="AB157" s="121">
        <f t="shared" ref="AB157" si="165">AB163+AB164+AB165+AB166+AB168+AB169+AB174+AB178+AB182+AB184+AB187+AB190+AB191+AB195+AB177+AB175+AB170+AB172+AB180+AB185+AB188</f>
        <v>522802706.31999999</v>
      </c>
      <c r="AC157" s="237"/>
      <c r="AD157" s="98"/>
      <c r="AE157" s="132"/>
      <c r="AF157" s="125"/>
    </row>
    <row r="158" spans="1:32" s="11" customFormat="1" ht="15.75" x14ac:dyDescent="0.25">
      <c r="A158" s="9"/>
      <c r="B158" s="18"/>
      <c r="C158" s="9"/>
      <c r="D158" s="131" t="s">
        <v>402</v>
      </c>
      <c r="E158" s="121">
        <f>E192+E171+E173+E181+E167+E176</f>
        <v>1763755.99</v>
      </c>
      <c r="F158" s="121">
        <f t="shared" ref="F158:AA158" si="166">F192+F171+F173+F181+F167+F176</f>
        <v>1763755.99</v>
      </c>
      <c r="G158" s="121">
        <f t="shared" si="166"/>
        <v>0</v>
      </c>
      <c r="H158" s="121">
        <f t="shared" si="166"/>
        <v>0</v>
      </c>
      <c r="I158" s="121">
        <f t="shared" si="166"/>
        <v>0</v>
      </c>
      <c r="J158" s="121">
        <f t="shared" si="166"/>
        <v>1605160.21</v>
      </c>
      <c r="K158" s="121">
        <f t="shared" si="166"/>
        <v>0</v>
      </c>
      <c r="L158" s="121">
        <f t="shared" si="166"/>
        <v>0</v>
      </c>
      <c r="M158" s="149">
        <f t="shared" si="156"/>
        <v>91.008065690538061</v>
      </c>
      <c r="N158" s="121">
        <f t="shared" si="166"/>
        <v>0</v>
      </c>
      <c r="O158" s="121">
        <f t="shared" si="166"/>
        <v>0</v>
      </c>
      <c r="P158" s="121">
        <f t="shared" si="166"/>
        <v>0</v>
      </c>
      <c r="Q158" s="121">
        <f t="shared" si="166"/>
        <v>0</v>
      </c>
      <c r="R158" s="121">
        <f t="shared" si="166"/>
        <v>0</v>
      </c>
      <c r="S158" s="121">
        <f t="shared" si="166"/>
        <v>0</v>
      </c>
      <c r="T158" s="121">
        <f t="shared" si="166"/>
        <v>0</v>
      </c>
      <c r="U158" s="121">
        <f t="shared" si="166"/>
        <v>0</v>
      </c>
      <c r="V158" s="121">
        <f t="shared" si="166"/>
        <v>0</v>
      </c>
      <c r="W158" s="121">
        <f t="shared" si="166"/>
        <v>0</v>
      </c>
      <c r="X158" s="121">
        <f t="shared" si="166"/>
        <v>0</v>
      </c>
      <c r="Y158" s="121">
        <f t="shared" si="166"/>
        <v>0</v>
      </c>
      <c r="Z158" s="149" t="e">
        <f t="shared" si="158"/>
        <v>#DIV/0!</v>
      </c>
      <c r="AA158" s="121">
        <f t="shared" si="166"/>
        <v>1605160.21</v>
      </c>
      <c r="AB158" s="121">
        <f t="shared" ref="AB158" si="167">AB192+AB171+AB173+AB181+AB167+AB176</f>
        <v>1763755.99</v>
      </c>
      <c r="AC158" s="237"/>
      <c r="AD158" s="98"/>
      <c r="AE158" s="132"/>
      <c r="AF158" s="125"/>
    </row>
    <row r="159" spans="1:32" s="11" customFormat="1" ht="94.5" x14ac:dyDescent="0.25">
      <c r="A159" s="9"/>
      <c r="B159" s="18"/>
      <c r="C159" s="9"/>
      <c r="D159" s="131" t="s">
        <v>385</v>
      </c>
      <c r="E159" s="121">
        <f>E193+E179+E183</f>
        <v>89324300</v>
      </c>
      <c r="F159" s="121">
        <f t="shared" ref="F159:AA159" si="168">F193+F179+F183</f>
        <v>89324300</v>
      </c>
      <c r="G159" s="121">
        <f t="shared" si="168"/>
        <v>0</v>
      </c>
      <c r="H159" s="121">
        <f t="shared" si="168"/>
        <v>0</v>
      </c>
      <c r="I159" s="121">
        <f t="shared" si="168"/>
        <v>0</v>
      </c>
      <c r="J159" s="121">
        <f t="shared" si="168"/>
        <v>89099575.579999998</v>
      </c>
      <c r="K159" s="121">
        <f t="shared" si="168"/>
        <v>0</v>
      </c>
      <c r="L159" s="121">
        <f t="shared" si="168"/>
        <v>0</v>
      </c>
      <c r="M159" s="149">
        <f t="shared" si="156"/>
        <v>99.748417373547852</v>
      </c>
      <c r="N159" s="121">
        <f t="shared" si="168"/>
        <v>0</v>
      </c>
      <c r="O159" s="121">
        <f t="shared" si="168"/>
        <v>0</v>
      </c>
      <c r="P159" s="121">
        <f t="shared" si="168"/>
        <v>0</v>
      </c>
      <c r="Q159" s="121">
        <f t="shared" si="168"/>
        <v>0</v>
      </c>
      <c r="R159" s="121">
        <f t="shared" si="168"/>
        <v>0</v>
      </c>
      <c r="S159" s="121">
        <f t="shared" si="168"/>
        <v>0</v>
      </c>
      <c r="T159" s="121">
        <f t="shared" si="168"/>
        <v>0</v>
      </c>
      <c r="U159" s="121">
        <f t="shared" si="168"/>
        <v>0</v>
      </c>
      <c r="V159" s="121">
        <f t="shared" si="168"/>
        <v>0</v>
      </c>
      <c r="W159" s="121">
        <f t="shared" si="168"/>
        <v>0</v>
      </c>
      <c r="X159" s="121">
        <f t="shared" si="168"/>
        <v>0</v>
      </c>
      <c r="Y159" s="121">
        <f t="shared" si="168"/>
        <v>0</v>
      </c>
      <c r="Z159" s="149" t="e">
        <f t="shared" si="158"/>
        <v>#DIV/0!</v>
      </c>
      <c r="AA159" s="121">
        <f t="shared" si="168"/>
        <v>89099575.579999998</v>
      </c>
      <c r="AB159" s="121">
        <f t="shared" ref="AB159" si="169">AB193+AB179+AB183</f>
        <v>89324300</v>
      </c>
      <c r="AC159" s="237"/>
      <c r="AD159" s="98"/>
      <c r="AE159" s="132"/>
      <c r="AF159" s="125"/>
    </row>
    <row r="160" spans="1:32" s="11" customFormat="1" ht="141.75" x14ac:dyDescent="0.25">
      <c r="A160" s="9"/>
      <c r="B160" s="18"/>
      <c r="C160" s="9"/>
      <c r="D160" s="131" t="str">
        <f>D194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160" s="121">
        <f>E194</f>
        <v>2868232.83</v>
      </c>
      <c r="F160" s="121">
        <f t="shared" ref="F160:AA160" si="170">F194</f>
        <v>2868232.83</v>
      </c>
      <c r="G160" s="121">
        <f t="shared" si="170"/>
        <v>0</v>
      </c>
      <c r="H160" s="121">
        <f t="shared" si="170"/>
        <v>0</v>
      </c>
      <c r="I160" s="121">
        <f t="shared" si="170"/>
        <v>0</v>
      </c>
      <c r="J160" s="121">
        <f t="shared" si="170"/>
        <v>2868232.83</v>
      </c>
      <c r="K160" s="121">
        <f t="shared" si="170"/>
        <v>0</v>
      </c>
      <c r="L160" s="121">
        <f t="shared" si="170"/>
        <v>0</v>
      </c>
      <c r="M160" s="149">
        <f t="shared" si="156"/>
        <v>100</v>
      </c>
      <c r="N160" s="121">
        <f t="shared" si="170"/>
        <v>0</v>
      </c>
      <c r="O160" s="121">
        <f t="shared" si="170"/>
        <v>0</v>
      </c>
      <c r="P160" s="121">
        <f t="shared" si="170"/>
        <v>0</v>
      </c>
      <c r="Q160" s="121">
        <f t="shared" si="170"/>
        <v>0</v>
      </c>
      <c r="R160" s="121">
        <f t="shared" si="170"/>
        <v>0</v>
      </c>
      <c r="S160" s="121">
        <f t="shared" si="170"/>
        <v>0</v>
      </c>
      <c r="T160" s="121">
        <f t="shared" si="170"/>
        <v>0</v>
      </c>
      <c r="U160" s="121">
        <f t="shared" si="170"/>
        <v>0</v>
      </c>
      <c r="V160" s="121">
        <f t="shared" si="170"/>
        <v>0</v>
      </c>
      <c r="W160" s="121">
        <f t="shared" si="170"/>
        <v>0</v>
      </c>
      <c r="X160" s="121">
        <f t="shared" si="170"/>
        <v>0</v>
      </c>
      <c r="Y160" s="121">
        <f t="shared" si="170"/>
        <v>0</v>
      </c>
      <c r="Z160" s="149" t="e">
        <f t="shared" si="158"/>
        <v>#DIV/0!</v>
      </c>
      <c r="AA160" s="121">
        <f t="shared" si="170"/>
        <v>2868232.83</v>
      </c>
      <c r="AB160" s="121">
        <f t="shared" ref="AB160" si="171">AB194</f>
        <v>2868232.83</v>
      </c>
      <c r="AC160" s="237"/>
      <c r="AD160" s="98"/>
      <c r="AE160" s="132"/>
      <c r="AF160" s="125"/>
    </row>
    <row r="161" spans="1:32" s="11" customFormat="1" ht="110.25" x14ac:dyDescent="0.25">
      <c r="A161" s="9"/>
      <c r="B161" s="18"/>
      <c r="C161" s="9"/>
      <c r="D161" s="131" t="str">
        <f>D186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61" s="121">
        <f>E186</f>
        <v>1215805</v>
      </c>
      <c r="F161" s="121">
        <f t="shared" ref="F161:AA161" si="172">F186</f>
        <v>1215805</v>
      </c>
      <c r="G161" s="121">
        <f t="shared" si="172"/>
        <v>996562</v>
      </c>
      <c r="H161" s="121">
        <f t="shared" si="172"/>
        <v>0</v>
      </c>
      <c r="I161" s="121">
        <f t="shared" si="172"/>
        <v>0</v>
      </c>
      <c r="J161" s="121">
        <f t="shared" si="172"/>
        <v>975485.58</v>
      </c>
      <c r="K161" s="121">
        <f t="shared" si="172"/>
        <v>796325.89</v>
      </c>
      <c r="L161" s="121">
        <f t="shared" si="172"/>
        <v>0</v>
      </c>
      <c r="M161" s="149">
        <f t="shared" si="156"/>
        <v>80.233720045566514</v>
      </c>
      <c r="N161" s="121">
        <f t="shared" si="172"/>
        <v>0</v>
      </c>
      <c r="O161" s="121">
        <f t="shared" si="172"/>
        <v>0</v>
      </c>
      <c r="P161" s="121">
        <f t="shared" si="172"/>
        <v>0</v>
      </c>
      <c r="Q161" s="121">
        <f t="shared" si="172"/>
        <v>0</v>
      </c>
      <c r="R161" s="121">
        <f t="shared" si="172"/>
        <v>0</v>
      </c>
      <c r="S161" s="121">
        <f t="shared" si="172"/>
        <v>0</v>
      </c>
      <c r="T161" s="121">
        <f t="shared" si="172"/>
        <v>0</v>
      </c>
      <c r="U161" s="121">
        <f t="shared" si="172"/>
        <v>0</v>
      </c>
      <c r="V161" s="121">
        <f t="shared" si="172"/>
        <v>0</v>
      </c>
      <c r="W161" s="121">
        <f t="shared" si="172"/>
        <v>0</v>
      </c>
      <c r="X161" s="121">
        <f t="shared" si="172"/>
        <v>0</v>
      </c>
      <c r="Y161" s="121">
        <f t="shared" si="172"/>
        <v>0</v>
      </c>
      <c r="Z161" s="149" t="e">
        <f t="shared" si="158"/>
        <v>#DIV/0!</v>
      </c>
      <c r="AA161" s="121">
        <f t="shared" si="172"/>
        <v>975485.58</v>
      </c>
      <c r="AB161" s="121">
        <f t="shared" ref="AB161" si="173">AB186</f>
        <v>1215805</v>
      </c>
      <c r="AC161" s="237"/>
      <c r="AD161" s="98"/>
      <c r="AE161" s="132"/>
      <c r="AF161" s="125"/>
    </row>
    <row r="162" spans="1:32" s="11" customFormat="1" ht="372.75" customHeight="1" x14ac:dyDescent="0.25">
      <c r="A162" s="9"/>
      <c r="B162" s="18"/>
      <c r="C162" s="9"/>
      <c r="D162" s="131" t="str">
        <f>D189</f>
        <v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v>
      </c>
      <c r="E162" s="121">
        <f>E189</f>
        <v>0</v>
      </c>
      <c r="F162" s="121">
        <f t="shared" ref="F162:AA162" si="174">F189</f>
        <v>0</v>
      </c>
      <c r="G162" s="121">
        <f t="shared" si="174"/>
        <v>0</v>
      </c>
      <c r="H162" s="121">
        <f t="shared" si="174"/>
        <v>0</v>
      </c>
      <c r="I162" s="121">
        <f t="shared" si="174"/>
        <v>0</v>
      </c>
      <c r="J162" s="121">
        <f t="shared" si="174"/>
        <v>0</v>
      </c>
      <c r="K162" s="121">
        <f t="shared" si="174"/>
        <v>0</v>
      </c>
      <c r="L162" s="121">
        <f t="shared" si="174"/>
        <v>0</v>
      </c>
      <c r="M162" s="149" t="e">
        <f t="shared" si="156"/>
        <v>#DIV/0!</v>
      </c>
      <c r="N162" s="121">
        <f t="shared" si="174"/>
        <v>24578417.789999999</v>
      </c>
      <c r="O162" s="121">
        <f t="shared" si="174"/>
        <v>24578417.789999999</v>
      </c>
      <c r="P162" s="121">
        <f t="shared" si="174"/>
        <v>0</v>
      </c>
      <c r="Q162" s="121">
        <f t="shared" si="174"/>
        <v>0</v>
      </c>
      <c r="R162" s="121">
        <f t="shared" si="174"/>
        <v>0</v>
      </c>
      <c r="S162" s="121">
        <f t="shared" si="174"/>
        <v>24578417.789999999</v>
      </c>
      <c r="T162" s="121">
        <f t="shared" si="174"/>
        <v>24578417.789999999</v>
      </c>
      <c r="U162" s="121">
        <f t="shared" si="174"/>
        <v>24578417.789999999</v>
      </c>
      <c r="V162" s="121">
        <f t="shared" si="174"/>
        <v>0</v>
      </c>
      <c r="W162" s="121">
        <f t="shared" si="174"/>
        <v>0</v>
      </c>
      <c r="X162" s="121">
        <f t="shared" si="174"/>
        <v>0</v>
      </c>
      <c r="Y162" s="121">
        <f t="shared" si="174"/>
        <v>24578417.789999999</v>
      </c>
      <c r="Z162" s="149">
        <f t="shared" si="158"/>
        <v>100</v>
      </c>
      <c r="AA162" s="121">
        <f t="shared" si="174"/>
        <v>24578417.789999999</v>
      </c>
      <c r="AB162" s="121">
        <f t="shared" ref="AB162" si="175">AB189</f>
        <v>24578417.789999999</v>
      </c>
      <c r="AC162" s="237"/>
      <c r="AD162" s="98"/>
      <c r="AE162" s="132"/>
      <c r="AF162" s="125"/>
    </row>
    <row r="163" spans="1:32" s="15" customFormat="1" ht="36" customHeight="1" x14ac:dyDescent="0.25">
      <c r="A163" s="12" t="s">
        <v>146</v>
      </c>
      <c r="B163" s="13" t="str">
        <f>'дод 5'!A19</f>
        <v>0160</v>
      </c>
      <c r="C163" s="12" t="str">
        <f>'дод 5'!B19</f>
        <v>0111</v>
      </c>
      <c r="D163" s="83" t="str">
        <f>'дод 5'!C19</f>
        <v>Керівництво і управління у відповідній сфері у містах (місті Києві), селищах, селах, територіальних громадах</v>
      </c>
      <c r="E163" s="96">
        <f t="shared" ref="E163:E195" si="176">F163+I163</f>
        <v>75621100</v>
      </c>
      <c r="F163" s="96">
        <f>74544600+178800-83600-72000+190300-281700-47000+1191700</f>
        <v>75621100</v>
      </c>
      <c r="G163" s="96">
        <f>57433400+146500-68500+156000-230900-38500+976800</f>
        <v>58374800</v>
      </c>
      <c r="H163" s="96">
        <v>1952800</v>
      </c>
      <c r="I163" s="96"/>
      <c r="J163" s="96">
        <v>74790275.709999993</v>
      </c>
      <c r="K163" s="96">
        <v>58374780.420000002</v>
      </c>
      <c r="L163" s="96">
        <v>1592186.08</v>
      </c>
      <c r="M163" s="150">
        <f t="shared" si="156"/>
        <v>98.901332710050497</v>
      </c>
      <c r="N163" s="96">
        <f>P163+S163</f>
        <v>0</v>
      </c>
      <c r="O163" s="96"/>
      <c r="P163" s="96"/>
      <c r="Q163" s="96"/>
      <c r="R163" s="96"/>
      <c r="S163" s="96"/>
      <c r="T163" s="96">
        <f t="shared" si="157"/>
        <v>22526774.609999999</v>
      </c>
      <c r="U163" s="96"/>
      <c r="V163" s="96">
        <v>21798484.370000001</v>
      </c>
      <c r="W163" s="96"/>
      <c r="X163" s="96"/>
      <c r="Y163" s="96">
        <v>728290.24</v>
      </c>
      <c r="Z163" s="150" t="e">
        <f t="shared" si="158"/>
        <v>#DIV/0!</v>
      </c>
      <c r="AA163" s="96">
        <f t="shared" si="159"/>
        <v>97317050.319999993</v>
      </c>
      <c r="AB163" s="96">
        <f t="shared" ref="AB163:AB195" si="177">E163+N163</f>
        <v>75621100</v>
      </c>
      <c r="AC163" s="237"/>
      <c r="AD163" s="113"/>
      <c r="AE163" s="132"/>
      <c r="AF163" s="125"/>
    </row>
    <row r="164" spans="1:32" s="15" customFormat="1" ht="36" customHeight="1" x14ac:dyDescent="0.25">
      <c r="A164" s="12" t="s">
        <v>147</v>
      </c>
      <c r="B164" s="13" t="str">
        <f>'дод 5'!A122</f>
        <v>3031</v>
      </c>
      <c r="C164" s="12" t="str">
        <f>'дод 5'!B122</f>
        <v>1030</v>
      </c>
      <c r="D164" s="14" t="str">
        <f>'дод 5'!C122</f>
        <v>Надання інших пільг окремим категоріям громадян відповідно до законодавства</v>
      </c>
      <c r="E164" s="96">
        <f t="shared" si="176"/>
        <v>372635</v>
      </c>
      <c r="F164" s="96">
        <f>438760-36125-30000</f>
        <v>372635</v>
      </c>
      <c r="G164" s="96"/>
      <c r="H164" s="96"/>
      <c r="I164" s="96"/>
      <c r="J164" s="96">
        <v>367199.37</v>
      </c>
      <c r="K164" s="96"/>
      <c r="L164" s="96"/>
      <c r="M164" s="150">
        <f t="shared" si="156"/>
        <v>98.541299126491069</v>
      </c>
      <c r="N164" s="96">
        <f t="shared" ref="N164:N189" si="178">P164+S164</f>
        <v>0</v>
      </c>
      <c r="O164" s="96"/>
      <c r="P164" s="96"/>
      <c r="Q164" s="96"/>
      <c r="R164" s="96"/>
      <c r="S164" s="96"/>
      <c r="T164" s="96">
        <f t="shared" si="157"/>
        <v>0</v>
      </c>
      <c r="U164" s="96"/>
      <c r="V164" s="96"/>
      <c r="W164" s="96"/>
      <c r="X164" s="96"/>
      <c r="Y164" s="96"/>
      <c r="Z164" s="150" t="e">
        <f t="shared" si="158"/>
        <v>#DIV/0!</v>
      </c>
      <c r="AA164" s="96">
        <f t="shared" si="159"/>
        <v>367199.37</v>
      </c>
      <c r="AB164" s="96">
        <f t="shared" si="177"/>
        <v>372635</v>
      </c>
      <c r="AC164" s="237"/>
      <c r="AD164" s="113"/>
      <c r="AE164" s="132"/>
      <c r="AF164" s="125"/>
    </row>
    <row r="165" spans="1:32" s="15" customFormat="1" ht="32.25" customHeight="1" x14ac:dyDescent="0.25">
      <c r="A165" s="12" t="s">
        <v>148</v>
      </c>
      <c r="B165" s="13" t="str">
        <f>'дод 5'!A123</f>
        <v>3032</v>
      </c>
      <c r="C165" s="12" t="str">
        <f>'дод 5'!B123</f>
        <v>1070</v>
      </c>
      <c r="D165" s="14" t="str">
        <f>'дод 5'!C123</f>
        <v>Надання пільг окремим категоріям громадян з оплати послуг зв'язку</v>
      </c>
      <c r="E165" s="96">
        <f t="shared" si="176"/>
        <v>409634</v>
      </c>
      <c r="F165" s="96">
        <f>700000-190366-100000</f>
        <v>409634</v>
      </c>
      <c r="G165" s="96"/>
      <c r="H165" s="96"/>
      <c r="I165" s="96"/>
      <c r="J165" s="96">
        <v>404909.84</v>
      </c>
      <c r="K165" s="96"/>
      <c r="L165" s="96"/>
      <c r="M165" s="150">
        <f t="shared" si="156"/>
        <v>98.846736354892414</v>
      </c>
      <c r="N165" s="96">
        <f t="shared" si="178"/>
        <v>0</v>
      </c>
      <c r="O165" s="96"/>
      <c r="P165" s="96"/>
      <c r="Q165" s="96"/>
      <c r="R165" s="96"/>
      <c r="S165" s="96"/>
      <c r="T165" s="96">
        <f t="shared" si="157"/>
        <v>0</v>
      </c>
      <c r="U165" s="96"/>
      <c r="V165" s="96"/>
      <c r="W165" s="96"/>
      <c r="X165" s="96"/>
      <c r="Y165" s="96"/>
      <c r="Z165" s="150" t="e">
        <f t="shared" si="158"/>
        <v>#DIV/0!</v>
      </c>
      <c r="AA165" s="96">
        <f t="shared" si="159"/>
        <v>404909.84</v>
      </c>
      <c r="AB165" s="96">
        <f t="shared" si="177"/>
        <v>409634</v>
      </c>
      <c r="AC165" s="237"/>
      <c r="AD165" s="113"/>
      <c r="AE165" s="132"/>
      <c r="AF165" s="125"/>
    </row>
    <row r="166" spans="1:32" s="15" customFormat="1" ht="48.75" customHeight="1" x14ac:dyDescent="0.25">
      <c r="A166" s="12" t="s">
        <v>271</v>
      </c>
      <c r="B166" s="13" t="str">
        <f>'дод 5'!A124</f>
        <v>3033</v>
      </c>
      <c r="C166" s="12" t="str">
        <f>'дод 5'!B124</f>
        <v>1070</v>
      </c>
      <c r="D166" s="14" t="str">
        <f>'дод 5'!C124</f>
        <v>Компенсаційні виплати на пільговий проїзд автомобільним транспортом окремим категоріям громадян, у т.ч. за рахунок:</v>
      </c>
      <c r="E166" s="96">
        <f t="shared" si="176"/>
        <v>24930220.989999998</v>
      </c>
      <c r="F166" s="96">
        <f>21385300+739388.99+642128+312168+956096-359150-32980+1287270</f>
        <v>24930220.989999998</v>
      </c>
      <c r="G166" s="96"/>
      <c r="H166" s="96"/>
      <c r="I166" s="96"/>
      <c r="J166" s="96">
        <v>24634180.27</v>
      </c>
      <c r="K166" s="96"/>
      <c r="L166" s="96"/>
      <c r="M166" s="150">
        <f t="shared" si="156"/>
        <v>98.812522680329437</v>
      </c>
      <c r="N166" s="96">
        <f t="shared" si="178"/>
        <v>0</v>
      </c>
      <c r="O166" s="96"/>
      <c r="P166" s="96"/>
      <c r="Q166" s="96"/>
      <c r="R166" s="96"/>
      <c r="S166" s="96"/>
      <c r="T166" s="96">
        <f t="shared" si="157"/>
        <v>0</v>
      </c>
      <c r="U166" s="96"/>
      <c r="V166" s="96"/>
      <c r="W166" s="96"/>
      <c r="X166" s="96"/>
      <c r="Y166" s="96"/>
      <c r="Z166" s="150" t="e">
        <f t="shared" si="158"/>
        <v>#DIV/0!</v>
      </c>
      <c r="AA166" s="96">
        <f t="shared" si="159"/>
        <v>24634180.27</v>
      </c>
      <c r="AB166" s="96">
        <f t="shared" si="177"/>
        <v>24930220.989999998</v>
      </c>
      <c r="AC166" s="237"/>
      <c r="AD166" s="113"/>
      <c r="AE166" s="132"/>
      <c r="AF166" s="125"/>
    </row>
    <row r="167" spans="1:32" s="23" customFormat="1" ht="23.25" customHeight="1" x14ac:dyDescent="0.25">
      <c r="A167" s="20"/>
      <c r="B167" s="21"/>
      <c r="C167" s="20"/>
      <c r="D167" s="22" t="s">
        <v>281</v>
      </c>
      <c r="E167" s="97">
        <f t="shared" ref="E167" si="179">F167+I167</f>
        <v>380238.99</v>
      </c>
      <c r="F167" s="97">
        <f>739388.99-359150</f>
        <v>380238.99</v>
      </c>
      <c r="G167" s="97"/>
      <c r="H167" s="97"/>
      <c r="I167" s="97"/>
      <c r="J167" s="97">
        <v>281555.40000000002</v>
      </c>
      <c r="K167" s="97"/>
      <c r="L167" s="97"/>
      <c r="M167" s="151">
        <f t="shared" si="156"/>
        <v>74.046956625884164</v>
      </c>
      <c r="N167" s="97">
        <f t="shared" ref="N167" si="180">P167+S167</f>
        <v>0</v>
      </c>
      <c r="O167" s="97"/>
      <c r="P167" s="97"/>
      <c r="Q167" s="97"/>
      <c r="R167" s="97"/>
      <c r="S167" s="97"/>
      <c r="T167" s="97">
        <f t="shared" si="157"/>
        <v>0</v>
      </c>
      <c r="U167" s="97"/>
      <c r="V167" s="97"/>
      <c r="W167" s="97"/>
      <c r="X167" s="97"/>
      <c r="Y167" s="97"/>
      <c r="Z167" s="151" t="e">
        <f t="shared" si="158"/>
        <v>#DIV/0!</v>
      </c>
      <c r="AA167" s="97">
        <f t="shared" si="159"/>
        <v>281555.40000000002</v>
      </c>
      <c r="AB167" s="97">
        <f t="shared" ref="AB167" si="181">E167+N167</f>
        <v>380238.99</v>
      </c>
      <c r="AC167" s="237"/>
      <c r="AD167" s="114"/>
      <c r="AE167" s="132"/>
      <c r="AF167" s="125"/>
    </row>
    <row r="168" spans="1:32" s="15" customFormat="1" ht="42" customHeight="1" x14ac:dyDescent="0.25">
      <c r="A168" s="12" t="s">
        <v>248</v>
      </c>
      <c r="B168" s="13" t="str">
        <f>'дод 5'!A126</f>
        <v>3035</v>
      </c>
      <c r="C168" s="12" t="str">
        <f>'дод 5'!B126</f>
        <v>1070</v>
      </c>
      <c r="D168" s="14" t="str">
        <f>'дод 5'!C126</f>
        <v>Компенсаційні виплати за пільговий проїзд окремих категорій громадян на залізничному транспорті</v>
      </c>
      <c r="E168" s="96">
        <f t="shared" si="176"/>
        <v>1000000</v>
      </c>
      <c r="F168" s="96">
        <v>1000000</v>
      </c>
      <c r="G168" s="96"/>
      <c r="H168" s="96"/>
      <c r="I168" s="96"/>
      <c r="J168" s="96">
        <v>1000000</v>
      </c>
      <c r="K168" s="96"/>
      <c r="L168" s="96"/>
      <c r="M168" s="150">
        <f t="shared" si="156"/>
        <v>100</v>
      </c>
      <c r="N168" s="96">
        <f t="shared" si="178"/>
        <v>0</v>
      </c>
      <c r="O168" s="96"/>
      <c r="P168" s="96"/>
      <c r="Q168" s="96"/>
      <c r="R168" s="96"/>
      <c r="S168" s="96"/>
      <c r="T168" s="96">
        <f t="shared" si="157"/>
        <v>0</v>
      </c>
      <c r="U168" s="96"/>
      <c r="V168" s="96"/>
      <c r="W168" s="96"/>
      <c r="X168" s="96"/>
      <c r="Y168" s="96"/>
      <c r="Z168" s="150" t="e">
        <f t="shared" si="158"/>
        <v>#DIV/0!</v>
      </c>
      <c r="AA168" s="96">
        <f t="shared" si="159"/>
        <v>1000000</v>
      </c>
      <c r="AB168" s="96">
        <f t="shared" si="177"/>
        <v>1000000</v>
      </c>
      <c r="AC168" s="237"/>
      <c r="AD168" s="113"/>
      <c r="AE168" s="132"/>
      <c r="AF168" s="125"/>
    </row>
    <row r="169" spans="1:32" s="15" customFormat="1" ht="36.75" customHeight="1" x14ac:dyDescent="0.25">
      <c r="A169" s="12" t="s">
        <v>149</v>
      </c>
      <c r="B169" s="13" t="str">
        <f>'дод 5'!A127</f>
        <v>3036</v>
      </c>
      <c r="C169" s="12" t="str">
        <f>'дод 5'!B127</f>
        <v>1070</v>
      </c>
      <c r="D169" s="14" t="str">
        <f>'дод 5'!C127</f>
        <v>Компенсаційні виплати на пільговий проїзд електротранспортом окремим категоріям громадян</v>
      </c>
      <c r="E169" s="96">
        <f t="shared" si="176"/>
        <v>49391728</v>
      </c>
      <c r="F169" s="96">
        <f>43231400+1000000+857872+2966616-41000+1376840</f>
        <v>49391728</v>
      </c>
      <c r="G169" s="96"/>
      <c r="H169" s="96"/>
      <c r="I169" s="96"/>
      <c r="J169" s="96">
        <v>49390112</v>
      </c>
      <c r="K169" s="96"/>
      <c r="L169" s="96"/>
      <c r="M169" s="150">
        <f t="shared" si="156"/>
        <v>99.996728197077857</v>
      </c>
      <c r="N169" s="96">
        <f t="shared" si="178"/>
        <v>0</v>
      </c>
      <c r="O169" s="96"/>
      <c r="P169" s="96"/>
      <c r="Q169" s="96"/>
      <c r="R169" s="96"/>
      <c r="S169" s="96"/>
      <c r="T169" s="96">
        <f t="shared" si="157"/>
        <v>0</v>
      </c>
      <c r="U169" s="96"/>
      <c r="V169" s="96"/>
      <c r="W169" s="96"/>
      <c r="X169" s="96"/>
      <c r="Y169" s="96"/>
      <c r="Z169" s="150" t="e">
        <f t="shared" si="158"/>
        <v>#DIV/0!</v>
      </c>
      <c r="AA169" s="96">
        <f t="shared" si="159"/>
        <v>49390112</v>
      </c>
      <c r="AB169" s="96">
        <f t="shared" si="177"/>
        <v>49391728</v>
      </c>
      <c r="AC169" s="237"/>
      <c r="AD169" s="113"/>
      <c r="AE169" s="132"/>
      <c r="AF169" s="125"/>
    </row>
    <row r="170" spans="1:32" s="15" customFormat="1" ht="52.5" customHeight="1" x14ac:dyDescent="0.25">
      <c r="A170" s="12" t="s">
        <v>403</v>
      </c>
      <c r="B170" s="13" t="str">
        <f>'дод 5'!A128</f>
        <v>3050</v>
      </c>
      <c r="C170" s="12" t="str">
        <f>'дод 5'!B128</f>
        <v>1070</v>
      </c>
      <c r="D170" s="16" t="str">
        <f>'дод 5'!C128</f>
        <v>Пільгове медичне обслуговування осіб, які постраждали внаслідок Чорнобильської катастрофи, у т.ч. за рахунок:</v>
      </c>
      <c r="E170" s="96">
        <f t="shared" si="176"/>
        <v>856600</v>
      </c>
      <c r="F170" s="96">
        <v>856600</v>
      </c>
      <c r="G170" s="96"/>
      <c r="H170" s="96"/>
      <c r="I170" s="96"/>
      <c r="J170" s="96">
        <v>856056.08</v>
      </c>
      <c r="K170" s="96"/>
      <c r="L170" s="96"/>
      <c r="M170" s="150">
        <f t="shared" si="156"/>
        <v>99.936502451552641</v>
      </c>
      <c r="N170" s="96"/>
      <c r="O170" s="96"/>
      <c r="P170" s="96"/>
      <c r="Q170" s="96"/>
      <c r="R170" s="96"/>
      <c r="S170" s="96"/>
      <c r="T170" s="96">
        <f t="shared" si="157"/>
        <v>0</v>
      </c>
      <c r="U170" s="96"/>
      <c r="V170" s="96"/>
      <c r="W170" s="96"/>
      <c r="X170" s="96"/>
      <c r="Y170" s="96"/>
      <c r="Z170" s="150" t="e">
        <f t="shared" si="158"/>
        <v>#DIV/0!</v>
      </c>
      <c r="AA170" s="96">
        <f t="shared" si="159"/>
        <v>856056.08</v>
      </c>
      <c r="AB170" s="96">
        <f t="shared" si="177"/>
        <v>856600</v>
      </c>
      <c r="AC170" s="237"/>
      <c r="AD170" s="113"/>
      <c r="AE170" s="132"/>
      <c r="AF170" s="125"/>
    </row>
    <row r="171" spans="1:32" s="23" customFormat="1" ht="15.75" x14ac:dyDescent="0.25">
      <c r="A171" s="20"/>
      <c r="B171" s="21">
        <f>'дод 5'!A129</f>
        <v>0</v>
      </c>
      <c r="C171" s="20">
        <f>'дод 5'!B129</f>
        <v>0</v>
      </c>
      <c r="D171" s="22" t="str">
        <f>'дод 5'!C129</f>
        <v>іншої субвенції з місцевого бюджету</v>
      </c>
      <c r="E171" s="97">
        <f t="shared" si="176"/>
        <v>856600</v>
      </c>
      <c r="F171" s="97">
        <v>856600</v>
      </c>
      <c r="G171" s="97"/>
      <c r="H171" s="97"/>
      <c r="I171" s="97"/>
      <c r="J171" s="97">
        <v>856056.08</v>
      </c>
      <c r="K171" s="97"/>
      <c r="L171" s="97"/>
      <c r="M171" s="151">
        <f t="shared" si="156"/>
        <v>99.936502451552641</v>
      </c>
      <c r="N171" s="97"/>
      <c r="O171" s="97"/>
      <c r="P171" s="97"/>
      <c r="Q171" s="97"/>
      <c r="R171" s="97"/>
      <c r="S171" s="97"/>
      <c r="T171" s="97">
        <f t="shared" si="157"/>
        <v>0</v>
      </c>
      <c r="U171" s="97"/>
      <c r="V171" s="97"/>
      <c r="W171" s="97"/>
      <c r="X171" s="97"/>
      <c r="Y171" s="97"/>
      <c r="Z171" s="151" t="e">
        <f t="shared" si="158"/>
        <v>#DIV/0!</v>
      </c>
      <c r="AA171" s="97">
        <f t="shared" si="159"/>
        <v>856056.08</v>
      </c>
      <c r="AB171" s="97">
        <f t="shared" si="177"/>
        <v>856600</v>
      </c>
      <c r="AC171" s="237"/>
      <c r="AD171" s="114"/>
      <c r="AE171" s="132"/>
      <c r="AF171" s="125"/>
    </row>
    <row r="172" spans="1:32" s="15" customFormat="1" ht="42" customHeight="1" x14ac:dyDescent="0.25">
      <c r="A172" s="12" t="s">
        <v>404</v>
      </c>
      <c r="B172" s="13" t="str">
        <f>'дод 5'!A130</f>
        <v>3090</v>
      </c>
      <c r="C172" s="12" t="str">
        <f>'дод 5'!B130</f>
        <v>1030</v>
      </c>
      <c r="D172" s="16" t="str">
        <f>'дод 5'!C130</f>
        <v>Видатки на поховання учасників бойових дій та осіб з інвалідністю внаслідок війни, у т.ч. за рахунок:</v>
      </c>
      <c r="E172" s="96">
        <f t="shared" si="176"/>
        <v>104000</v>
      </c>
      <c r="F172" s="96">
        <f>124000-20000</f>
        <v>104000</v>
      </c>
      <c r="G172" s="96"/>
      <c r="H172" s="96"/>
      <c r="I172" s="96"/>
      <c r="J172" s="96">
        <v>80306.75</v>
      </c>
      <c r="K172" s="96"/>
      <c r="L172" s="96"/>
      <c r="M172" s="150">
        <f t="shared" si="156"/>
        <v>77.218028846153842</v>
      </c>
      <c r="N172" s="96"/>
      <c r="O172" s="96"/>
      <c r="P172" s="96"/>
      <c r="Q172" s="96"/>
      <c r="R172" s="96"/>
      <c r="S172" s="96"/>
      <c r="T172" s="96">
        <f t="shared" si="157"/>
        <v>0</v>
      </c>
      <c r="U172" s="96"/>
      <c r="V172" s="96"/>
      <c r="W172" s="96"/>
      <c r="X172" s="96"/>
      <c r="Y172" s="96"/>
      <c r="Z172" s="150" t="e">
        <f t="shared" si="158"/>
        <v>#DIV/0!</v>
      </c>
      <c r="AA172" s="96">
        <f t="shared" si="159"/>
        <v>80306.75</v>
      </c>
      <c r="AB172" s="96">
        <f t="shared" si="177"/>
        <v>104000</v>
      </c>
      <c r="AC172" s="237"/>
      <c r="AD172" s="113"/>
      <c r="AE172" s="132"/>
      <c r="AF172" s="125"/>
    </row>
    <row r="173" spans="1:32" s="23" customFormat="1" ht="15.75" x14ac:dyDescent="0.25">
      <c r="A173" s="20"/>
      <c r="B173" s="21">
        <f>'дод 5'!A131</f>
        <v>0</v>
      </c>
      <c r="C173" s="20">
        <f>'дод 5'!B131</f>
        <v>0</v>
      </c>
      <c r="D173" s="22" t="str">
        <f>'дод 5'!C131</f>
        <v>іншої субвенції з місцевого бюджету</v>
      </c>
      <c r="E173" s="97">
        <f t="shared" si="176"/>
        <v>104000</v>
      </c>
      <c r="F173" s="97">
        <f>124000-20000</f>
        <v>104000</v>
      </c>
      <c r="G173" s="97"/>
      <c r="H173" s="97"/>
      <c r="I173" s="97"/>
      <c r="J173" s="97">
        <v>80306.75</v>
      </c>
      <c r="K173" s="97"/>
      <c r="L173" s="97"/>
      <c r="M173" s="151">
        <f t="shared" si="156"/>
        <v>77.218028846153842</v>
      </c>
      <c r="N173" s="97"/>
      <c r="O173" s="97"/>
      <c r="P173" s="97"/>
      <c r="Q173" s="97"/>
      <c r="R173" s="97"/>
      <c r="S173" s="97"/>
      <c r="T173" s="97">
        <f t="shared" si="157"/>
        <v>0</v>
      </c>
      <c r="U173" s="97"/>
      <c r="V173" s="97"/>
      <c r="W173" s="97"/>
      <c r="X173" s="97"/>
      <c r="Y173" s="97"/>
      <c r="Z173" s="151" t="e">
        <f t="shared" si="158"/>
        <v>#DIV/0!</v>
      </c>
      <c r="AA173" s="97">
        <f t="shared" si="159"/>
        <v>80306.75</v>
      </c>
      <c r="AB173" s="97">
        <f t="shared" si="177"/>
        <v>104000</v>
      </c>
      <c r="AC173" s="237"/>
      <c r="AD173" s="114"/>
      <c r="AE173" s="132"/>
      <c r="AF173" s="125"/>
    </row>
    <row r="174" spans="1:32" s="15" customFormat="1" ht="64.5" customHeight="1" x14ac:dyDescent="0.25">
      <c r="A174" s="12" t="s">
        <v>150</v>
      </c>
      <c r="B174" s="13" t="str">
        <f>'дод 5'!A132</f>
        <v>3104</v>
      </c>
      <c r="C174" s="12" t="str">
        <f>'дод 5'!B132</f>
        <v>1020</v>
      </c>
      <c r="D174" s="14" t="str">
        <f>'дод 5'!C132</f>
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</c>
      <c r="E174" s="96">
        <f>F174+I174</f>
        <v>27561400</v>
      </c>
      <c r="F174" s="96">
        <f>27074900+158200+328300</f>
        <v>27561400</v>
      </c>
      <c r="G174" s="96">
        <f>20066500+129700+269100-40000</f>
        <v>20425300</v>
      </c>
      <c r="H174" s="96">
        <v>1317500</v>
      </c>
      <c r="I174" s="96"/>
      <c r="J174" s="96">
        <v>26989391.140000001</v>
      </c>
      <c r="K174" s="96">
        <v>20282216.07</v>
      </c>
      <c r="L174" s="96">
        <v>1007654.17</v>
      </c>
      <c r="M174" s="150">
        <f t="shared" si="156"/>
        <v>97.924601580471233</v>
      </c>
      <c r="N174" s="96">
        <f t="shared" si="178"/>
        <v>58600</v>
      </c>
      <c r="O174" s="96"/>
      <c r="P174" s="96">
        <v>58600</v>
      </c>
      <c r="Q174" s="96">
        <v>48000</v>
      </c>
      <c r="R174" s="96"/>
      <c r="S174" s="96"/>
      <c r="T174" s="96">
        <f t="shared" si="157"/>
        <v>4042080.6799999997</v>
      </c>
      <c r="U174" s="96"/>
      <c r="V174" s="96">
        <v>1660320.68</v>
      </c>
      <c r="W174" s="96">
        <v>34695.29</v>
      </c>
      <c r="X174" s="96"/>
      <c r="Y174" s="96">
        <v>2381760</v>
      </c>
      <c r="Z174" s="150">
        <f t="shared" si="158"/>
        <v>6897.748600682593</v>
      </c>
      <c r="AA174" s="96">
        <f t="shared" si="159"/>
        <v>31031471.82</v>
      </c>
      <c r="AB174" s="96">
        <f t="shared" si="177"/>
        <v>27620000</v>
      </c>
      <c r="AC174" s="237"/>
      <c r="AD174" s="113"/>
      <c r="AE174" s="132"/>
      <c r="AF174" s="125"/>
    </row>
    <row r="175" spans="1:32" s="15" customFormat="1" ht="83.25" customHeight="1" x14ac:dyDescent="0.25">
      <c r="A175" s="12" t="s">
        <v>383</v>
      </c>
      <c r="B175" s="13" t="str">
        <f>'дод 5'!A136</f>
        <v>3121</v>
      </c>
      <c r="C175" s="12" t="str">
        <f>'дод 5'!B136</f>
        <v>1040</v>
      </c>
      <c r="D175" s="78" t="str">
        <f>'дод 5'!C136</f>
        <v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обставинах, у т.ч. за рахунок:</v>
      </c>
      <c r="E175" s="96">
        <f t="shared" ref="E175:E176" si="182">F175+I175</f>
        <v>6515590</v>
      </c>
      <c r="F175" s="96">
        <f>4261800+1897200+237900+28400+1200+7790+81300</f>
        <v>6515590</v>
      </c>
      <c r="G175" s="96">
        <f>3095700+1260800+23300+66600</f>
        <v>4446400</v>
      </c>
      <c r="H175" s="96">
        <f>114600+287500</f>
        <v>402100</v>
      </c>
      <c r="I175" s="96"/>
      <c r="J175" s="96">
        <v>6323355.0300000003</v>
      </c>
      <c r="K175" s="96">
        <v>4446332.92</v>
      </c>
      <c r="L175" s="96">
        <v>329398.5</v>
      </c>
      <c r="M175" s="150">
        <f t="shared" si="156"/>
        <v>97.049615307286061</v>
      </c>
      <c r="N175" s="96">
        <f t="shared" si="178"/>
        <v>0</v>
      </c>
      <c r="O175" s="96"/>
      <c r="P175" s="96"/>
      <c r="Q175" s="96"/>
      <c r="R175" s="96"/>
      <c r="S175" s="96"/>
      <c r="T175" s="96">
        <f t="shared" si="157"/>
        <v>2813457.91</v>
      </c>
      <c r="U175" s="96"/>
      <c r="V175" s="96">
        <v>424298.7</v>
      </c>
      <c r="W175" s="96"/>
      <c r="X175" s="96"/>
      <c r="Y175" s="96">
        <v>2389159.21</v>
      </c>
      <c r="Z175" s="150" t="e">
        <f t="shared" si="158"/>
        <v>#DIV/0!</v>
      </c>
      <c r="AA175" s="96">
        <f t="shared" si="159"/>
        <v>9136812.9400000013</v>
      </c>
      <c r="AB175" s="96">
        <f t="shared" si="177"/>
        <v>6515590</v>
      </c>
      <c r="AC175" s="237"/>
      <c r="AD175" s="113"/>
      <c r="AE175" s="132"/>
      <c r="AF175" s="125"/>
    </row>
    <row r="176" spans="1:32" s="23" customFormat="1" ht="15.75" x14ac:dyDescent="0.25">
      <c r="A176" s="20"/>
      <c r="B176" s="21"/>
      <c r="C176" s="20"/>
      <c r="D176" s="77" t="str">
        <f>'дод 5'!C137</f>
        <v>іншої субвенції з місцевого бюджету</v>
      </c>
      <c r="E176" s="97">
        <f t="shared" si="182"/>
        <v>1200</v>
      </c>
      <c r="F176" s="97">
        <v>1200</v>
      </c>
      <c r="G176" s="97"/>
      <c r="H176" s="97"/>
      <c r="I176" s="97"/>
      <c r="J176" s="97">
        <v>1050</v>
      </c>
      <c r="K176" s="97"/>
      <c r="L176" s="97"/>
      <c r="M176" s="151">
        <f t="shared" si="156"/>
        <v>87.5</v>
      </c>
      <c r="N176" s="97">
        <f t="shared" si="178"/>
        <v>0</v>
      </c>
      <c r="O176" s="97"/>
      <c r="P176" s="97"/>
      <c r="Q176" s="97"/>
      <c r="R176" s="97"/>
      <c r="S176" s="97"/>
      <c r="T176" s="97">
        <f t="shared" si="157"/>
        <v>0</v>
      </c>
      <c r="U176" s="97"/>
      <c r="V176" s="97"/>
      <c r="W176" s="97"/>
      <c r="X176" s="97"/>
      <c r="Y176" s="97"/>
      <c r="Z176" s="151" t="e">
        <f t="shared" si="158"/>
        <v>#DIV/0!</v>
      </c>
      <c r="AA176" s="97">
        <f t="shared" si="159"/>
        <v>1050</v>
      </c>
      <c r="AB176" s="97">
        <f t="shared" si="177"/>
        <v>1200</v>
      </c>
      <c r="AC176" s="237"/>
      <c r="AD176" s="114"/>
      <c r="AE176" s="132"/>
      <c r="AF176" s="125"/>
    </row>
    <row r="177" spans="1:32" s="15" customFormat="1" ht="63" customHeight="1" x14ac:dyDescent="0.25">
      <c r="A177" s="12" t="s">
        <v>369</v>
      </c>
      <c r="B177" s="13">
        <f>'дод 5'!A140</f>
        <v>3140</v>
      </c>
      <c r="C177" s="12">
        <f>'дод 5'!B140</f>
        <v>1040</v>
      </c>
      <c r="D177" s="78" t="str">
        <f>'дод 5'!C140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177" s="96">
        <f t="shared" ref="E177" si="183">F177+I177</f>
        <v>2000000</v>
      </c>
      <c r="F177" s="96">
        <v>2000000</v>
      </c>
      <c r="G177" s="96"/>
      <c r="H177" s="96"/>
      <c r="I177" s="96"/>
      <c r="J177" s="96">
        <v>1999200</v>
      </c>
      <c r="K177" s="96"/>
      <c r="L177" s="96"/>
      <c r="M177" s="150">
        <f t="shared" si="156"/>
        <v>99.960000000000008</v>
      </c>
      <c r="N177" s="96"/>
      <c r="O177" s="96"/>
      <c r="P177" s="96"/>
      <c r="Q177" s="96"/>
      <c r="R177" s="96"/>
      <c r="S177" s="96"/>
      <c r="T177" s="96">
        <f t="shared" si="157"/>
        <v>0</v>
      </c>
      <c r="U177" s="96"/>
      <c r="V177" s="96"/>
      <c r="W177" s="96"/>
      <c r="X177" s="96"/>
      <c r="Y177" s="96"/>
      <c r="Z177" s="150" t="e">
        <f t="shared" si="158"/>
        <v>#DIV/0!</v>
      </c>
      <c r="AA177" s="96">
        <f t="shared" si="159"/>
        <v>1999200</v>
      </c>
      <c r="AB177" s="96">
        <f t="shared" ref="AB177" si="184">E177+N177</f>
        <v>2000000</v>
      </c>
      <c r="AC177" s="237"/>
      <c r="AD177" s="113"/>
      <c r="AE177" s="132"/>
      <c r="AF177" s="125"/>
    </row>
    <row r="178" spans="1:32" s="15" customFormat="1" ht="79.150000000000006" customHeight="1" x14ac:dyDescent="0.25">
      <c r="A178" s="12" t="s">
        <v>151</v>
      </c>
      <c r="B178" s="13" t="str">
        <f>'дод 5'!A141</f>
        <v>3160</v>
      </c>
      <c r="C178" s="12">
        <f>'дод 5'!B141</f>
        <v>1010</v>
      </c>
      <c r="D178" s="14" t="s">
        <v>590</v>
      </c>
      <c r="E178" s="96">
        <f>F178+I178</f>
        <v>18194129</v>
      </c>
      <c r="F178" s="96">
        <f>22228000-2836115-308562-790000-99194</f>
        <v>18194129</v>
      </c>
      <c r="G178" s="96"/>
      <c r="H178" s="96"/>
      <c r="I178" s="96"/>
      <c r="J178" s="96">
        <v>18131540.300000001</v>
      </c>
      <c r="K178" s="96"/>
      <c r="L178" s="96"/>
      <c r="M178" s="150">
        <f t="shared" si="156"/>
        <v>99.655995074015365</v>
      </c>
      <c r="N178" s="96">
        <f t="shared" si="178"/>
        <v>0</v>
      </c>
      <c r="O178" s="96"/>
      <c r="P178" s="96"/>
      <c r="Q178" s="96"/>
      <c r="R178" s="96"/>
      <c r="S178" s="96"/>
      <c r="T178" s="96">
        <f t="shared" si="157"/>
        <v>0</v>
      </c>
      <c r="U178" s="96"/>
      <c r="V178" s="96"/>
      <c r="W178" s="96"/>
      <c r="X178" s="96"/>
      <c r="Y178" s="96"/>
      <c r="Z178" s="150" t="e">
        <f t="shared" si="158"/>
        <v>#DIV/0!</v>
      </c>
      <c r="AA178" s="96">
        <f t="shared" si="159"/>
        <v>18131540.300000001</v>
      </c>
      <c r="AB178" s="96">
        <f t="shared" si="177"/>
        <v>18194129</v>
      </c>
      <c r="AC178" s="237"/>
      <c r="AD178" s="113"/>
      <c r="AE178" s="132"/>
      <c r="AF178" s="125"/>
    </row>
    <row r="179" spans="1:32" s="23" customFormat="1" ht="94.5" x14ac:dyDescent="0.25">
      <c r="A179" s="20"/>
      <c r="B179" s="21"/>
      <c r="C179" s="20"/>
      <c r="D179" s="24" t="s">
        <v>385</v>
      </c>
      <c r="E179" s="97">
        <f t="shared" ref="E179:E181" si="185">F179+I179</f>
        <v>18184929</v>
      </c>
      <c r="F179" s="97">
        <f>20000000-617315-308562-790000-99194</f>
        <v>18184929</v>
      </c>
      <c r="G179" s="97"/>
      <c r="H179" s="97"/>
      <c r="I179" s="97"/>
      <c r="J179" s="97">
        <v>18122860.280000001</v>
      </c>
      <c r="K179" s="97"/>
      <c r="L179" s="97"/>
      <c r="M179" s="151">
        <f t="shared" si="156"/>
        <v>99.658680438070462</v>
      </c>
      <c r="N179" s="97">
        <f t="shared" si="178"/>
        <v>0</v>
      </c>
      <c r="O179" s="97"/>
      <c r="P179" s="97"/>
      <c r="Q179" s="97"/>
      <c r="R179" s="97"/>
      <c r="S179" s="97"/>
      <c r="T179" s="97">
        <f t="shared" si="157"/>
        <v>0</v>
      </c>
      <c r="U179" s="97"/>
      <c r="V179" s="97"/>
      <c r="W179" s="97"/>
      <c r="X179" s="97"/>
      <c r="Y179" s="97"/>
      <c r="Z179" s="151" t="e">
        <f t="shared" si="158"/>
        <v>#DIV/0!</v>
      </c>
      <c r="AA179" s="97">
        <f t="shared" si="159"/>
        <v>18122860.280000001</v>
      </c>
      <c r="AB179" s="97">
        <f t="shared" si="177"/>
        <v>18184929</v>
      </c>
      <c r="AC179" s="237">
        <v>18</v>
      </c>
      <c r="AD179" s="114"/>
      <c r="AE179" s="132"/>
      <c r="AF179" s="125"/>
    </row>
    <row r="180" spans="1:32" s="15" customFormat="1" ht="46.5" customHeight="1" x14ac:dyDescent="0.25">
      <c r="A180" s="12" t="s">
        <v>405</v>
      </c>
      <c r="B180" s="13" t="str">
        <f>'дод 5'!A143</f>
        <v>3171</v>
      </c>
      <c r="C180" s="12">
        <f>'дод 5'!B143</f>
        <v>1010</v>
      </c>
      <c r="D180" s="16" t="str">
        <f>'дод 5'!C143</f>
        <v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v>
      </c>
      <c r="E180" s="96">
        <f t="shared" si="185"/>
        <v>190117</v>
      </c>
      <c r="F180" s="96">
        <f>203057-12940</f>
        <v>190117</v>
      </c>
      <c r="G180" s="96"/>
      <c r="H180" s="96"/>
      <c r="I180" s="96"/>
      <c r="J180" s="96">
        <v>178591.98</v>
      </c>
      <c r="K180" s="96"/>
      <c r="L180" s="96"/>
      <c r="M180" s="150">
        <f t="shared" si="156"/>
        <v>93.937932957073812</v>
      </c>
      <c r="N180" s="96"/>
      <c r="O180" s="96"/>
      <c r="P180" s="96"/>
      <c r="Q180" s="96"/>
      <c r="R180" s="96"/>
      <c r="S180" s="96"/>
      <c r="T180" s="96">
        <f t="shared" si="157"/>
        <v>0</v>
      </c>
      <c r="U180" s="96"/>
      <c r="V180" s="96"/>
      <c r="W180" s="96"/>
      <c r="X180" s="96"/>
      <c r="Y180" s="96"/>
      <c r="Z180" s="150" t="e">
        <f t="shared" si="158"/>
        <v>#DIV/0!</v>
      </c>
      <c r="AA180" s="96">
        <f t="shared" si="159"/>
        <v>178591.98</v>
      </c>
      <c r="AB180" s="96">
        <f t="shared" si="177"/>
        <v>190117</v>
      </c>
      <c r="AC180" s="237"/>
      <c r="AD180" s="113"/>
      <c r="AE180" s="132"/>
      <c r="AF180" s="125"/>
    </row>
    <row r="181" spans="1:32" s="23" customFormat="1" ht="21" customHeight="1" x14ac:dyDescent="0.25">
      <c r="A181" s="20"/>
      <c r="B181" s="21">
        <f>'дод 5'!A144</f>
        <v>0</v>
      </c>
      <c r="C181" s="20">
        <f>'дод 5'!B144</f>
        <v>0</v>
      </c>
      <c r="D181" s="22" t="str">
        <f>'дод 5'!C144</f>
        <v>іншої субвенції з місцевого бюджету</v>
      </c>
      <c r="E181" s="97">
        <f t="shared" si="185"/>
        <v>190117</v>
      </c>
      <c r="F181" s="97">
        <f>203057-12940</f>
        <v>190117</v>
      </c>
      <c r="G181" s="97"/>
      <c r="H181" s="97"/>
      <c r="I181" s="97"/>
      <c r="J181" s="97">
        <v>178591.98</v>
      </c>
      <c r="K181" s="97"/>
      <c r="L181" s="97"/>
      <c r="M181" s="151">
        <f t="shared" si="156"/>
        <v>93.937932957073812</v>
      </c>
      <c r="N181" s="97"/>
      <c r="O181" s="97"/>
      <c r="P181" s="97"/>
      <c r="Q181" s="97"/>
      <c r="R181" s="97"/>
      <c r="S181" s="97"/>
      <c r="T181" s="97">
        <f t="shared" si="157"/>
        <v>0</v>
      </c>
      <c r="U181" s="97"/>
      <c r="V181" s="97"/>
      <c r="W181" s="97"/>
      <c r="X181" s="97"/>
      <c r="Y181" s="97"/>
      <c r="Z181" s="151" t="e">
        <f t="shared" si="158"/>
        <v>#DIV/0!</v>
      </c>
      <c r="AA181" s="97">
        <f t="shared" si="159"/>
        <v>178591.98</v>
      </c>
      <c r="AB181" s="97">
        <f t="shared" si="177"/>
        <v>190117</v>
      </c>
      <c r="AC181" s="237"/>
      <c r="AD181" s="114"/>
      <c r="AE181" s="132"/>
      <c r="AF181" s="125"/>
    </row>
    <row r="182" spans="1:32" s="15" customFormat="1" ht="40.9" customHeight="1" x14ac:dyDescent="0.25">
      <c r="A182" s="12" t="s">
        <v>238</v>
      </c>
      <c r="B182" s="13" t="str">
        <f>'дод 5'!A145</f>
        <v>3191</v>
      </c>
      <c r="C182" s="12" t="str">
        <f>'дод 5'!B145</f>
        <v>1030</v>
      </c>
      <c r="D182" s="14" t="s">
        <v>589</v>
      </c>
      <c r="E182" s="96">
        <f t="shared" si="176"/>
        <v>34920307</v>
      </c>
      <c r="F182" s="96">
        <f>28137700+1200000+269154+3378527+1548738+386188</f>
        <v>34920307</v>
      </c>
      <c r="G182" s="96"/>
      <c r="H182" s="96"/>
      <c r="I182" s="96"/>
      <c r="J182" s="96">
        <v>34878511.630000003</v>
      </c>
      <c r="K182" s="96"/>
      <c r="L182" s="96"/>
      <c r="M182" s="150">
        <f t="shared" si="156"/>
        <v>99.880312134712909</v>
      </c>
      <c r="N182" s="96">
        <f t="shared" si="178"/>
        <v>0</v>
      </c>
      <c r="O182" s="96"/>
      <c r="P182" s="96"/>
      <c r="Q182" s="96"/>
      <c r="R182" s="96"/>
      <c r="S182" s="96"/>
      <c r="T182" s="96">
        <f t="shared" si="157"/>
        <v>0</v>
      </c>
      <c r="U182" s="96"/>
      <c r="V182" s="96"/>
      <c r="W182" s="96"/>
      <c r="X182" s="96"/>
      <c r="Y182" s="96"/>
      <c r="Z182" s="150" t="e">
        <f t="shared" si="158"/>
        <v>#DIV/0!</v>
      </c>
      <c r="AA182" s="96">
        <f t="shared" si="159"/>
        <v>34878511.630000003</v>
      </c>
      <c r="AB182" s="96">
        <f t="shared" si="177"/>
        <v>34920307</v>
      </c>
      <c r="AC182" s="237"/>
      <c r="AD182" s="113"/>
      <c r="AE182" s="132"/>
      <c r="AF182" s="125"/>
    </row>
    <row r="183" spans="1:32" s="23" customFormat="1" ht="94.5" x14ac:dyDescent="0.25">
      <c r="A183" s="20"/>
      <c r="B183" s="21"/>
      <c r="C183" s="20"/>
      <c r="D183" s="24" t="s">
        <v>385</v>
      </c>
      <c r="E183" s="97">
        <f t="shared" si="176"/>
        <v>1517729</v>
      </c>
      <c r="F183" s="97">
        <f>1300779+216950</f>
        <v>1517729</v>
      </c>
      <c r="G183" s="97"/>
      <c r="H183" s="97"/>
      <c r="I183" s="97"/>
      <c r="J183" s="97">
        <v>1517729</v>
      </c>
      <c r="K183" s="97"/>
      <c r="L183" s="97"/>
      <c r="M183" s="151">
        <f t="shared" si="156"/>
        <v>100</v>
      </c>
      <c r="N183" s="97"/>
      <c r="O183" s="97"/>
      <c r="P183" s="97"/>
      <c r="Q183" s="97"/>
      <c r="R183" s="97"/>
      <c r="S183" s="97"/>
      <c r="T183" s="97">
        <f t="shared" si="157"/>
        <v>0</v>
      </c>
      <c r="U183" s="97"/>
      <c r="V183" s="97"/>
      <c r="W183" s="97"/>
      <c r="X183" s="97"/>
      <c r="Y183" s="97"/>
      <c r="Z183" s="151" t="e">
        <f t="shared" si="158"/>
        <v>#DIV/0!</v>
      </c>
      <c r="AA183" s="97">
        <f t="shared" si="159"/>
        <v>1517729</v>
      </c>
      <c r="AB183" s="97">
        <f t="shared" si="177"/>
        <v>1517729</v>
      </c>
      <c r="AC183" s="237"/>
      <c r="AD183" s="114"/>
      <c r="AE183" s="132"/>
      <c r="AF183" s="125"/>
    </row>
    <row r="184" spans="1:32" s="15" customFormat="1" ht="47.25" x14ac:dyDescent="0.25">
      <c r="A184" s="12" t="s">
        <v>239</v>
      </c>
      <c r="B184" s="13" t="str">
        <f>'дод 5'!A147</f>
        <v>3192</v>
      </c>
      <c r="C184" s="12" t="str">
        <f>'дод 5'!B147</f>
        <v>1030</v>
      </c>
      <c r="D184" s="14" t="str">
        <f>'дод 5'!C147</f>
        <v>Надання фінансової підтримки громадським об'єднанням ветеранів і осіб з інвалідністю, діяльність яких має соціальну спрямованість</v>
      </c>
      <c r="E184" s="96">
        <f t="shared" si="176"/>
        <v>1998216</v>
      </c>
      <c r="F184" s="96">
        <f>2042540-44324</f>
        <v>1998216</v>
      </c>
      <c r="G184" s="96"/>
      <c r="H184" s="96"/>
      <c r="I184" s="96"/>
      <c r="J184" s="96">
        <v>1994766.76</v>
      </c>
      <c r="K184" s="96"/>
      <c r="L184" s="96"/>
      <c r="M184" s="150">
        <f t="shared" si="156"/>
        <v>99.827384026551684</v>
      </c>
      <c r="N184" s="96">
        <f t="shared" si="178"/>
        <v>0</v>
      </c>
      <c r="O184" s="96"/>
      <c r="P184" s="96"/>
      <c r="Q184" s="96"/>
      <c r="R184" s="96"/>
      <c r="S184" s="96"/>
      <c r="T184" s="96">
        <f t="shared" si="157"/>
        <v>0</v>
      </c>
      <c r="U184" s="96"/>
      <c r="V184" s="96"/>
      <c r="W184" s="96"/>
      <c r="X184" s="96"/>
      <c r="Y184" s="96"/>
      <c r="Z184" s="150" t="e">
        <f t="shared" si="158"/>
        <v>#DIV/0!</v>
      </c>
      <c r="AA184" s="96">
        <f t="shared" si="159"/>
        <v>1994766.76</v>
      </c>
      <c r="AB184" s="96">
        <f t="shared" si="177"/>
        <v>1998216</v>
      </c>
      <c r="AC184" s="237"/>
      <c r="AD184" s="113"/>
      <c r="AE184" s="132"/>
      <c r="AF184" s="125"/>
    </row>
    <row r="185" spans="1:32" s="15" customFormat="1" ht="78.75" x14ac:dyDescent="0.25">
      <c r="A185" s="12" t="s">
        <v>461</v>
      </c>
      <c r="B185" s="13">
        <f>'дод 5'!A148</f>
        <v>3193</v>
      </c>
      <c r="C185" s="12">
        <f>'дод 5'!B148</f>
        <v>1030</v>
      </c>
      <c r="D185" s="16" t="str">
        <f>'дод 5'!C148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v>
      </c>
      <c r="E185" s="96">
        <f t="shared" si="176"/>
        <v>1215805</v>
      </c>
      <c r="F185" s="96">
        <f>430007+785798</f>
        <v>1215805</v>
      </c>
      <c r="G185" s="96">
        <f>352465+644097</f>
        <v>996562</v>
      </c>
      <c r="H185" s="96"/>
      <c r="I185" s="96"/>
      <c r="J185" s="96">
        <v>975485.58</v>
      </c>
      <c r="K185" s="96">
        <v>796325.89</v>
      </c>
      <c r="L185" s="96"/>
      <c r="M185" s="150">
        <f t="shared" si="156"/>
        <v>80.233720045566514</v>
      </c>
      <c r="N185" s="96">
        <f t="shared" si="178"/>
        <v>0</v>
      </c>
      <c r="O185" s="96"/>
      <c r="P185" s="96"/>
      <c r="Q185" s="96"/>
      <c r="R185" s="96"/>
      <c r="S185" s="96"/>
      <c r="T185" s="96">
        <f t="shared" si="157"/>
        <v>0</v>
      </c>
      <c r="U185" s="96"/>
      <c r="V185" s="96"/>
      <c r="W185" s="96"/>
      <c r="X185" s="96"/>
      <c r="Y185" s="96"/>
      <c r="Z185" s="150" t="e">
        <f t="shared" si="158"/>
        <v>#DIV/0!</v>
      </c>
      <c r="AA185" s="96">
        <f t="shared" si="159"/>
        <v>975485.58</v>
      </c>
      <c r="AB185" s="96">
        <f t="shared" si="177"/>
        <v>1215805</v>
      </c>
      <c r="AC185" s="237"/>
      <c r="AD185" s="113"/>
      <c r="AE185" s="132"/>
      <c r="AF185" s="125"/>
    </row>
    <row r="186" spans="1:32" s="23" customFormat="1" ht="110.25" x14ac:dyDescent="0.25">
      <c r="A186" s="20"/>
      <c r="B186" s="21">
        <f>'дод 5'!A149</f>
        <v>0</v>
      </c>
      <c r="C186" s="20">
        <f>'дод 5'!B149</f>
        <v>0</v>
      </c>
      <c r="D186" s="77" t="str">
        <f>'дод 5'!C149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86" s="97">
        <f t="shared" si="176"/>
        <v>1215805</v>
      </c>
      <c r="F186" s="97">
        <f>F185</f>
        <v>1215805</v>
      </c>
      <c r="G186" s="97">
        <f>G185</f>
        <v>996562</v>
      </c>
      <c r="H186" s="97"/>
      <c r="I186" s="97"/>
      <c r="J186" s="97">
        <v>975485.58</v>
      </c>
      <c r="K186" s="97">
        <v>796325.89</v>
      </c>
      <c r="L186" s="97"/>
      <c r="M186" s="151">
        <f t="shared" si="156"/>
        <v>80.233720045566514</v>
      </c>
      <c r="N186" s="97">
        <f t="shared" si="178"/>
        <v>0</v>
      </c>
      <c r="O186" s="97"/>
      <c r="P186" s="97"/>
      <c r="Q186" s="97"/>
      <c r="R186" s="97"/>
      <c r="S186" s="97"/>
      <c r="T186" s="97">
        <f t="shared" si="157"/>
        <v>0</v>
      </c>
      <c r="U186" s="97"/>
      <c r="V186" s="97"/>
      <c r="W186" s="97"/>
      <c r="X186" s="97"/>
      <c r="Y186" s="97"/>
      <c r="Z186" s="151" t="e">
        <f t="shared" si="158"/>
        <v>#DIV/0!</v>
      </c>
      <c r="AA186" s="97">
        <f t="shared" si="159"/>
        <v>975485.58</v>
      </c>
      <c r="AB186" s="96">
        <f t="shared" si="177"/>
        <v>1215805</v>
      </c>
      <c r="AC186" s="237"/>
      <c r="AD186" s="113"/>
      <c r="AE186" s="132"/>
      <c r="AF186" s="125"/>
    </row>
    <row r="187" spans="1:32" s="15" customFormat="1" ht="28.5" customHeight="1" x14ac:dyDescent="0.25">
      <c r="A187" s="12" t="s">
        <v>152</v>
      </c>
      <c r="B187" s="13" t="str">
        <f>'дод 5'!A150</f>
        <v>3200</v>
      </c>
      <c r="C187" s="12" t="str">
        <f>'дод 5'!B150</f>
        <v>1090</v>
      </c>
      <c r="D187" s="14" t="str">
        <f>'дод 5'!C150</f>
        <v>Забезпечення обробки інформації з нарахування та виплати допомог і компенсацій</v>
      </c>
      <c r="E187" s="96">
        <f t="shared" si="176"/>
        <v>107000</v>
      </c>
      <c r="F187" s="96">
        <v>107000</v>
      </c>
      <c r="G187" s="96"/>
      <c r="H187" s="96"/>
      <c r="I187" s="96"/>
      <c r="J187" s="96">
        <v>106944.84</v>
      </c>
      <c r="K187" s="96"/>
      <c r="L187" s="96"/>
      <c r="M187" s="150">
        <f t="shared" si="156"/>
        <v>99.948448598130838</v>
      </c>
      <c r="N187" s="96">
        <f t="shared" si="178"/>
        <v>0</v>
      </c>
      <c r="O187" s="96"/>
      <c r="P187" s="96"/>
      <c r="Q187" s="96"/>
      <c r="R187" s="96"/>
      <c r="S187" s="96"/>
      <c r="T187" s="96">
        <f t="shared" si="157"/>
        <v>0</v>
      </c>
      <c r="U187" s="96"/>
      <c r="V187" s="96"/>
      <c r="W187" s="96"/>
      <c r="X187" s="96"/>
      <c r="Y187" s="96"/>
      <c r="Z187" s="150" t="e">
        <f t="shared" si="158"/>
        <v>#DIV/0!</v>
      </c>
      <c r="AA187" s="96">
        <f t="shared" si="159"/>
        <v>106944.84</v>
      </c>
      <c r="AB187" s="96">
        <f t="shared" si="177"/>
        <v>107000</v>
      </c>
      <c r="AC187" s="237"/>
      <c r="AD187" s="113"/>
      <c r="AE187" s="132"/>
      <c r="AF187" s="125"/>
    </row>
    <row r="188" spans="1:32" s="15" customFormat="1" ht="299.25" customHeight="1" x14ac:dyDescent="0.25">
      <c r="A188" s="12" t="s">
        <v>532</v>
      </c>
      <c r="B188" s="13">
        <v>3225</v>
      </c>
      <c r="C188" s="12">
        <v>1060</v>
      </c>
      <c r="D188" s="83" t="s">
        <v>533</v>
      </c>
      <c r="E188" s="96">
        <f t="shared" si="176"/>
        <v>0</v>
      </c>
      <c r="F188" s="96"/>
      <c r="G188" s="96"/>
      <c r="H188" s="96"/>
      <c r="I188" s="96"/>
      <c r="J188" s="96"/>
      <c r="K188" s="96"/>
      <c r="L188" s="96"/>
      <c r="M188" s="150" t="e">
        <f t="shared" si="156"/>
        <v>#DIV/0!</v>
      </c>
      <c r="N188" s="96">
        <f t="shared" si="178"/>
        <v>24578417.789999999</v>
      </c>
      <c r="O188" s="96">
        <f>19662734.23+4915683.56</f>
        <v>24578417.789999999</v>
      </c>
      <c r="P188" s="96"/>
      <c r="Q188" s="96"/>
      <c r="R188" s="96"/>
      <c r="S188" s="96">
        <f>19662734.23+4915683.56</f>
        <v>24578417.789999999</v>
      </c>
      <c r="T188" s="96">
        <f t="shared" si="157"/>
        <v>24578417.789999999</v>
      </c>
      <c r="U188" s="96">
        <v>24578417.789999999</v>
      </c>
      <c r="V188" s="96"/>
      <c r="W188" s="96"/>
      <c r="X188" s="96"/>
      <c r="Y188" s="96">
        <v>24578417.789999999</v>
      </c>
      <c r="Z188" s="150">
        <f t="shared" si="158"/>
        <v>100</v>
      </c>
      <c r="AA188" s="96">
        <f t="shared" si="159"/>
        <v>24578417.789999999</v>
      </c>
      <c r="AB188" s="96">
        <f t="shared" si="177"/>
        <v>24578417.789999999</v>
      </c>
      <c r="AC188" s="237"/>
      <c r="AD188" s="113"/>
      <c r="AE188" s="132"/>
      <c r="AF188" s="125"/>
    </row>
    <row r="189" spans="1:32" s="23" customFormat="1" ht="332.25" customHeight="1" x14ac:dyDescent="0.25">
      <c r="A189" s="20"/>
      <c r="B189" s="21"/>
      <c r="C189" s="20"/>
      <c r="D189" s="90" t="s">
        <v>534</v>
      </c>
      <c r="E189" s="97">
        <f t="shared" si="176"/>
        <v>0</v>
      </c>
      <c r="F189" s="97"/>
      <c r="G189" s="97"/>
      <c r="H189" s="97"/>
      <c r="I189" s="97"/>
      <c r="J189" s="97"/>
      <c r="K189" s="97"/>
      <c r="L189" s="97"/>
      <c r="M189" s="151" t="e">
        <f t="shared" si="156"/>
        <v>#DIV/0!</v>
      </c>
      <c r="N189" s="97">
        <f t="shared" si="178"/>
        <v>24578417.789999999</v>
      </c>
      <c r="O189" s="97">
        <f>19662734.23+4915683.56</f>
        <v>24578417.789999999</v>
      </c>
      <c r="P189" s="97"/>
      <c r="Q189" s="97"/>
      <c r="R189" s="97"/>
      <c r="S189" s="97">
        <f>19662734.23+4915683.56</f>
        <v>24578417.789999999</v>
      </c>
      <c r="T189" s="97">
        <f t="shared" si="157"/>
        <v>24578417.789999999</v>
      </c>
      <c r="U189" s="97">
        <v>24578417.789999999</v>
      </c>
      <c r="V189" s="97"/>
      <c r="W189" s="97"/>
      <c r="X189" s="97"/>
      <c r="Y189" s="97">
        <v>24578417.789999999</v>
      </c>
      <c r="Z189" s="151">
        <f t="shared" si="158"/>
        <v>100</v>
      </c>
      <c r="AA189" s="97">
        <f t="shared" si="159"/>
        <v>24578417.789999999</v>
      </c>
      <c r="AB189" s="97">
        <f t="shared" si="177"/>
        <v>24578417.789999999</v>
      </c>
      <c r="AC189" s="237"/>
      <c r="AD189" s="114"/>
      <c r="AE189" s="132"/>
      <c r="AF189" s="125"/>
    </row>
    <row r="190" spans="1:32" s="15" customFormat="1" ht="47.25" x14ac:dyDescent="0.25">
      <c r="A190" s="12" t="s">
        <v>237</v>
      </c>
      <c r="B190" s="13" t="str">
        <f>'дод 5'!A154</f>
        <v>3241</v>
      </c>
      <c r="C190" s="12" t="str">
        <f>'дод 5'!B154</f>
        <v>1090</v>
      </c>
      <c r="D190" s="14" t="str">
        <f>'дод 5'!C154</f>
        <v>Надання комплексу послуг особам/сім’ям у сфері соціального захисту та соціального забезпечення іншими надавачами соціальних послуг</v>
      </c>
      <c r="E190" s="96">
        <f t="shared" si="176"/>
        <v>7109400</v>
      </c>
      <c r="F190" s="96">
        <f>7634300+1897200-1897200+49000+21000-400000-194900</f>
        <v>7109400</v>
      </c>
      <c r="G190" s="96">
        <f>4315200+1260800-1260800+17200-327800-159800</f>
        <v>3844800</v>
      </c>
      <c r="H190" s="96">
        <f>562900+287500-287500</f>
        <v>562900</v>
      </c>
      <c r="I190" s="96"/>
      <c r="J190" s="96">
        <v>6420885.9000000004</v>
      </c>
      <c r="K190" s="96">
        <v>3844794.19</v>
      </c>
      <c r="L190" s="96">
        <v>477094.64</v>
      </c>
      <c r="M190" s="150">
        <f t="shared" si="156"/>
        <v>90.315440121529249</v>
      </c>
      <c r="N190" s="96">
        <f t="shared" ref="N190:N195" si="186">P190+S190</f>
        <v>110000</v>
      </c>
      <c r="O190" s="96">
        <v>110000</v>
      </c>
      <c r="P190" s="96"/>
      <c r="Q190" s="96"/>
      <c r="R190" s="96"/>
      <c r="S190" s="96">
        <v>110000</v>
      </c>
      <c r="T190" s="96">
        <f t="shared" si="157"/>
        <v>293637.32999999996</v>
      </c>
      <c r="U190" s="96">
        <v>107996</v>
      </c>
      <c r="V190" s="96">
        <v>185641.33</v>
      </c>
      <c r="W190" s="96"/>
      <c r="X190" s="96"/>
      <c r="Y190" s="96">
        <v>107996</v>
      </c>
      <c r="Z190" s="150">
        <f t="shared" si="158"/>
        <v>266.94302727272725</v>
      </c>
      <c r="AA190" s="96">
        <f t="shared" si="159"/>
        <v>6714523.2300000004</v>
      </c>
      <c r="AB190" s="96">
        <f t="shared" si="177"/>
        <v>7219400</v>
      </c>
      <c r="AC190" s="237"/>
      <c r="AD190" s="113"/>
      <c r="AE190" s="132"/>
      <c r="AF190" s="125"/>
    </row>
    <row r="191" spans="1:32" s="15" customFormat="1" ht="31.5" x14ac:dyDescent="0.25">
      <c r="A191" s="12" t="s">
        <v>272</v>
      </c>
      <c r="B191" s="13" t="str">
        <f>'дод 5'!A155</f>
        <v>3242</v>
      </c>
      <c r="C191" s="12" t="str">
        <f>'дод 5'!B155</f>
        <v>1090</v>
      </c>
      <c r="D191" s="14" t="str">
        <f>'дод 5'!C155</f>
        <v>Інші заходи у сфері соціального захисту і соціального забезпечення,    у т. ч. за рахунок:</v>
      </c>
      <c r="E191" s="96">
        <f t="shared" si="176"/>
        <v>245402156.53999999</v>
      </c>
      <c r="F191" s="96">
        <f>72756307+238400+6000000+207800+41235267.17+1750000+2868232.83+500000+600000+9000000+31410593.54+13665906+4400000+550000+1000000+43199300+500000+850000+66910+1307000+98195+960000+6000+1000000+42287+5700000+6699-78788+4600000+100000-506287-1036196+120000+1750000+448136+99194-12800</f>
        <v>245402156.53999999</v>
      </c>
      <c r="G191" s="96"/>
      <c r="H191" s="96"/>
      <c r="I191" s="96"/>
      <c r="J191" s="96">
        <v>244977572.40000001</v>
      </c>
      <c r="K191" s="96"/>
      <c r="L191" s="96"/>
      <c r="M191" s="150">
        <f t="shared" si="156"/>
        <v>99.826984348472593</v>
      </c>
      <c r="N191" s="96">
        <f t="shared" si="186"/>
        <v>0</v>
      </c>
      <c r="O191" s="96"/>
      <c r="P191" s="96"/>
      <c r="Q191" s="96"/>
      <c r="R191" s="96"/>
      <c r="S191" s="96"/>
      <c r="T191" s="96">
        <f t="shared" si="157"/>
        <v>0</v>
      </c>
      <c r="U191" s="96"/>
      <c r="V191" s="96"/>
      <c r="W191" s="96"/>
      <c r="X191" s="96"/>
      <c r="Y191" s="96"/>
      <c r="Z191" s="150" t="e">
        <f t="shared" si="158"/>
        <v>#DIV/0!</v>
      </c>
      <c r="AA191" s="96">
        <f t="shared" si="159"/>
        <v>244977572.40000001</v>
      </c>
      <c r="AB191" s="96">
        <f t="shared" si="177"/>
        <v>245402156.53999999</v>
      </c>
      <c r="AC191" s="237"/>
      <c r="AD191" s="113"/>
      <c r="AE191" s="132"/>
      <c r="AF191" s="125"/>
    </row>
    <row r="192" spans="1:32" s="23" customFormat="1" ht="15.75" x14ac:dyDescent="0.25">
      <c r="A192" s="20"/>
      <c r="B192" s="21"/>
      <c r="C192" s="20"/>
      <c r="D192" s="24" t="str">
        <f>'дод 5'!C156</f>
        <v>іншої субвенції з місцевого бюджету</v>
      </c>
      <c r="E192" s="97">
        <f t="shared" ref="E192:E194" si="187">F192+I192</f>
        <v>231600</v>
      </c>
      <c r="F192" s="97">
        <f>201600+24000+12800+6000-12800</f>
        <v>231600</v>
      </c>
      <c r="G192" s="97"/>
      <c r="H192" s="97"/>
      <c r="I192" s="97"/>
      <c r="J192" s="97">
        <v>207600</v>
      </c>
      <c r="K192" s="97"/>
      <c r="L192" s="97"/>
      <c r="M192" s="151">
        <f t="shared" si="156"/>
        <v>89.637305699481857</v>
      </c>
      <c r="N192" s="97">
        <f t="shared" si="186"/>
        <v>0</v>
      </c>
      <c r="O192" s="97"/>
      <c r="P192" s="97"/>
      <c r="Q192" s="97"/>
      <c r="R192" s="97"/>
      <c r="S192" s="97"/>
      <c r="T192" s="97">
        <f t="shared" si="157"/>
        <v>0</v>
      </c>
      <c r="U192" s="97"/>
      <c r="V192" s="97"/>
      <c r="W192" s="97"/>
      <c r="X192" s="97"/>
      <c r="Y192" s="97"/>
      <c r="Z192" s="151" t="e">
        <f t="shared" si="158"/>
        <v>#DIV/0!</v>
      </c>
      <c r="AA192" s="97">
        <f t="shared" si="159"/>
        <v>207600</v>
      </c>
      <c r="AB192" s="97">
        <f t="shared" ref="AB192:AB193" si="188">E192+N192</f>
        <v>231600</v>
      </c>
      <c r="AC192" s="237"/>
      <c r="AD192" s="114"/>
      <c r="AE192" s="132"/>
      <c r="AF192" s="125"/>
    </row>
    <row r="193" spans="1:32" s="23" customFormat="1" ht="94.5" x14ac:dyDescent="0.25">
      <c r="A193" s="20"/>
      <c r="B193" s="21"/>
      <c r="C193" s="20"/>
      <c r="D193" s="24" t="s">
        <v>385</v>
      </c>
      <c r="E193" s="97">
        <f t="shared" si="187"/>
        <v>69621642</v>
      </c>
      <c r="F193" s="97">
        <f>51303000+18021300+617315-992217+99194+573050</f>
        <v>69621642</v>
      </c>
      <c r="G193" s="97"/>
      <c r="H193" s="97"/>
      <c r="I193" s="97"/>
      <c r="J193" s="97">
        <v>69458986.299999997</v>
      </c>
      <c r="K193" s="97"/>
      <c r="L193" s="97"/>
      <c r="M193" s="151">
        <f t="shared" si="156"/>
        <v>99.766371927855417</v>
      </c>
      <c r="N193" s="97">
        <f t="shared" si="186"/>
        <v>0</v>
      </c>
      <c r="O193" s="97"/>
      <c r="P193" s="97"/>
      <c r="Q193" s="97"/>
      <c r="R193" s="97"/>
      <c r="S193" s="97"/>
      <c r="T193" s="97">
        <f t="shared" si="157"/>
        <v>0</v>
      </c>
      <c r="U193" s="97"/>
      <c r="V193" s="97"/>
      <c r="W193" s="97"/>
      <c r="X193" s="97"/>
      <c r="Y193" s="97"/>
      <c r="Z193" s="151" t="e">
        <f t="shared" si="158"/>
        <v>#DIV/0!</v>
      </c>
      <c r="AA193" s="97">
        <f t="shared" si="159"/>
        <v>69458986.299999997</v>
      </c>
      <c r="AB193" s="97">
        <f t="shared" si="188"/>
        <v>69621642</v>
      </c>
      <c r="AC193" s="237"/>
      <c r="AD193" s="114"/>
      <c r="AE193" s="132"/>
      <c r="AF193" s="125"/>
    </row>
    <row r="194" spans="1:32" s="23" customFormat="1" ht="126" x14ac:dyDescent="0.25">
      <c r="A194" s="20"/>
      <c r="B194" s="21"/>
      <c r="C194" s="20"/>
      <c r="D194" s="22" t="s">
        <v>439</v>
      </c>
      <c r="E194" s="97">
        <f t="shared" si="187"/>
        <v>2868232.83</v>
      </c>
      <c r="F194" s="97">
        <v>2868232.83</v>
      </c>
      <c r="G194" s="97"/>
      <c r="H194" s="97"/>
      <c r="I194" s="97"/>
      <c r="J194" s="97">
        <v>2868232.83</v>
      </c>
      <c r="K194" s="97"/>
      <c r="L194" s="97"/>
      <c r="M194" s="151">
        <f t="shared" si="156"/>
        <v>100</v>
      </c>
      <c r="N194" s="97">
        <f t="shared" si="186"/>
        <v>0</v>
      </c>
      <c r="O194" s="97"/>
      <c r="P194" s="97"/>
      <c r="Q194" s="97"/>
      <c r="R194" s="97"/>
      <c r="S194" s="97"/>
      <c r="T194" s="97">
        <f t="shared" si="157"/>
        <v>0</v>
      </c>
      <c r="U194" s="97"/>
      <c r="V194" s="97"/>
      <c r="W194" s="97"/>
      <c r="X194" s="97"/>
      <c r="Y194" s="97"/>
      <c r="Z194" s="151" t="e">
        <f t="shared" si="158"/>
        <v>#DIV/0!</v>
      </c>
      <c r="AA194" s="97">
        <f t="shared" si="159"/>
        <v>2868232.83</v>
      </c>
      <c r="AB194" s="96">
        <f t="shared" si="177"/>
        <v>2868232.83</v>
      </c>
      <c r="AC194" s="237"/>
      <c r="AD194" s="113"/>
      <c r="AE194" s="132"/>
      <c r="AF194" s="125"/>
    </row>
    <row r="195" spans="1:32" s="15" customFormat="1" ht="23.25" customHeight="1" x14ac:dyDescent="0.25">
      <c r="A195" s="12" t="s">
        <v>214</v>
      </c>
      <c r="B195" s="13" t="str">
        <f>'дод 5'!A260</f>
        <v>9770</v>
      </c>
      <c r="C195" s="12" t="str">
        <f>'дод 5'!B260</f>
        <v>0180</v>
      </c>
      <c r="D195" s="16" t="str">
        <f>'дод 5'!C260</f>
        <v>Інші субвенції з місцевого бюджету</v>
      </c>
      <c r="E195" s="96">
        <f t="shared" si="176"/>
        <v>155650</v>
      </c>
      <c r="F195" s="96">
        <v>155650</v>
      </c>
      <c r="G195" s="96"/>
      <c r="H195" s="96"/>
      <c r="I195" s="96"/>
      <c r="J195" s="96">
        <v>155650</v>
      </c>
      <c r="K195" s="96"/>
      <c r="L195" s="96"/>
      <c r="M195" s="150">
        <f t="shared" si="156"/>
        <v>100</v>
      </c>
      <c r="N195" s="96">
        <f t="shared" si="186"/>
        <v>0</v>
      </c>
      <c r="O195" s="96"/>
      <c r="P195" s="96"/>
      <c r="Q195" s="96"/>
      <c r="R195" s="96"/>
      <c r="S195" s="96"/>
      <c r="T195" s="96">
        <f t="shared" si="157"/>
        <v>0</v>
      </c>
      <c r="U195" s="96"/>
      <c r="V195" s="96"/>
      <c r="W195" s="96"/>
      <c r="X195" s="96"/>
      <c r="Y195" s="96"/>
      <c r="Z195" s="150" t="e">
        <f t="shared" si="158"/>
        <v>#DIV/0!</v>
      </c>
      <c r="AA195" s="96">
        <f t="shared" si="159"/>
        <v>155650</v>
      </c>
      <c r="AB195" s="96">
        <f t="shared" si="177"/>
        <v>155650</v>
      </c>
      <c r="AC195" s="237"/>
      <c r="AD195" s="113"/>
      <c r="AE195" s="132"/>
      <c r="AF195" s="125"/>
    </row>
    <row r="196" spans="1:32" s="132" customFormat="1" ht="31.5" x14ac:dyDescent="0.25">
      <c r="A196" s="8" t="s">
        <v>153</v>
      </c>
      <c r="B196" s="17"/>
      <c r="C196" s="8"/>
      <c r="D196" s="130" t="s">
        <v>277</v>
      </c>
      <c r="E196" s="120">
        <f>E197</f>
        <v>9607100</v>
      </c>
      <c r="F196" s="120">
        <f t="shared" ref="F196:AA196" si="189">F197</f>
        <v>9607100</v>
      </c>
      <c r="G196" s="120">
        <f t="shared" si="189"/>
        <v>7247900</v>
      </c>
      <c r="H196" s="120">
        <f t="shared" si="189"/>
        <v>159900</v>
      </c>
      <c r="I196" s="120">
        <f t="shared" si="189"/>
        <v>0</v>
      </c>
      <c r="J196" s="120">
        <f t="shared" si="189"/>
        <v>9362696.8800000008</v>
      </c>
      <c r="K196" s="120">
        <f t="shared" si="189"/>
        <v>7247899.9900000002</v>
      </c>
      <c r="L196" s="120">
        <f t="shared" si="189"/>
        <v>135605.82999999999</v>
      </c>
      <c r="M196" s="146">
        <f t="shared" si="156"/>
        <v>97.456015655088436</v>
      </c>
      <c r="N196" s="120">
        <f t="shared" si="189"/>
        <v>0</v>
      </c>
      <c r="O196" s="120">
        <f t="shared" si="189"/>
        <v>0</v>
      </c>
      <c r="P196" s="120">
        <f t="shared" si="189"/>
        <v>0</v>
      </c>
      <c r="Q196" s="120">
        <f t="shared" si="189"/>
        <v>0</v>
      </c>
      <c r="R196" s="120">
        <f t="shared" si="189"/>
        <v>0</v>
      </c>
      <c r="S196" s="120">
        <f t="shared" si="189"/>
        <v>0</v>
      </c>
      <c r="T196" s="120">
        <f t="shared" si="189"/>
        <v>1092801.1399999999</v>
      </c>
      <c r="U196" s="120">
        <f t="shared" si="189"/>
        <v>0</v>
      </c>
      <c r="V196" s="120">
        <f t="shared" si="189"/>
        <v>1015801.1399999999</v>
      </c>
      <c r="W196" s="120">
        <f t="shared" si="189"/>
        <v>0</v>
      </c>
      <c r="X196" s="120">
        <f t="shared" si="189"/>
        <v>0</v>
      </c>
      <c r="Y196" s="120">
        <f t="shared" si="189"/>
        <v>77000</v>
      </c>
      <c r="Z196" s="146" t="e">
        <f t="shared" si="158"/>
        <v>#DIV/0!</v>
      </c>
      <c r="AA196" s="120">
        <f t="shared" si="189"/>
        <v>10455498.02</v>
      </c>
      <c r="AB196" s="120">
        <f t="shared" ref="AB196" si="190">AB197</f>
        <v>9607100</v>
      </c>
      <c r="AC196" s="237"/>
      <c r="AD196" s="112"/>
      <c r="AF196" s="125"/>
    </row>
    <row r="197" spans="1:32" s="11" customFormat="1" ht="31.5" x14ac:dyDescent="0.25">
      <c r="A197" s="9" t="s">
        <v>154</v>
      </c>
      <c r="B197" s="18"/>
      <c r="C197" s="9"/>
      <c r="D197" s="131" t="s">
        <v>277</v>
      </c>
      <c r="E197" s="121">
        <f>E198+E199+E200+E201</f>
        <v>9607100</v>
      </c>
      <c r="F197" s="121">
        <f t="shared" ref="F197:AA197" si="191">F198+F199+F200+F201</f>
        <v>9607100</v>
      </c>
      <c r="G197" s="121">
        <f t="shared" si="191"/>
        <v>7247900</v>
      </c>
      <c r="H197" s="121">
        <f t="shared" si="191"/>
        <v>159900</v>
      </c>
      <c r="I197" s="121">
        <f t="shared" si="191"/>
        <v>0</v>
      </c>
      <c r="J197" s="121">
        <f t="shared" si="191"/>
        <v>9362696.8800000008</v>
      </c>
      <c r="K197" s="121">
        <f t="shared" si="191"/>
        <v>7247899.9900000002</v>
      </c>
      <c r="L197" s="121">
        <f t="shared" si="191"/>
        <v>135605.82999999999</v>
      </c>
      <c r="M197" s="149">
        <f t="shared" si="156"/>
        <v>97.456015655088436</v>
      </c>
      <c r="N197" s="121">
        <f t="shared" si="191"/>
        <v>0</v>
      </c>
      <c r="O197" s="121">
        <f t="shared" si="191"/>
        <v>0</v>
      </c>
      <c r="P197" s="121">
        <f t="shared" si="191"/>
        <v>0</v>
      </c>
      <c r="Q197" s="121">
        <f t="shared" si="191"/>
        <v>0</v>
      </c>
      <c r="R197" s="121">
        <f t="shared" si="191"/>
        <v>0</v>
      </c>
      <c r="S197" s="121">
        <f t="shared" si="191"/>
        <v>0</v>
      </c>
      <c r="T197" s="121">
        <f t="shared" si="191"/>
        <v>1092801.1399999999</v>
      </c>
      <c r="U197" s="121">
        <f t="shared" si="191"/>
        <v>0</v>
      </c>
      <c r="V197" s="121">
        <f t="shared" si="191"/>
        <v>1015801.1399999999</v>
      </c>
      <c r="W197" s="121">
        <f t="shared" si="191"/>
        <v>0</v>
      </c>
      <c r="X197" s="121">
        <f t="shared" si="191"/>
        <v>0</v>
      </c>
      <c r="Y197" s="121">
        <f t="shared" si="191"/>
        <v>77000</v>
      </c>
      <c r="Z197" s="149" t="e">
        <f t="shared" si="158"/>
        <v>#DIV/0!</v>
      </c>
      <c r="AA197" s="121">
        <f t="shared" si="191"/>
        <v>10455498.02</v>
      </c>
      <c r="AB197" s="121">
        <f t="shared" ref="AB197" si="192">AB198+AB199+AB200+AB201</f>
        <v>9607100</v>
      </c>
      <c r="AC197" s="237"/>
      <c r="AD197" s="98"/>
      <c r="AE197" s="132"/>
      <c r="AF197" s="125"/>
    </row>
    <row r="198" spans="1:32" s="15" customFormat="1" ht="42.75" customHeight="1" x14ac:dyDescent="0.25">
      <c r="A198" s="12" t="s">
        <v>155</v>
      </c>
      <c r="B198" s="13" t="str">
        <f>'дод 5'!A19</f>
        <v>0160</v>
      </c>
      <c r="C198" s="12" t="str">
        <f>'дод 5'!B19</f>
        <v>0111</v>
      </c>
      <c r="D198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198" s="96">
        <f t="shared" ref="E198:E201" si="193">F198+I198</f>
        <v>9314900</v>
      </c>
      <c r="F198" s="96">
        <f>8891300+254500+23800+145300</f>
        <v>9314900</v>
      </c>
      <c r="G198" s="96">
        <f>6900700+208600+19500+119100</f>
        <v>7247900</v>
      </c>
      <c r="H198" s="96">
        <v>159900</v>
      </c>
      <c r="I198" s="96"/>
      <c r="J198" s="96">
        <v>9159021.8900000006</v>
      </c>
      <c r="K198" s="96">
        <v>7247899.9900000002</v>
      </c>
      <c r="L198" s="96">
        <v>135605.82999999999</v>
      </c>
      <c r="M198" s="150">
        <f t="shared" si="156"/>
        <v>98.326572373294411</v>
      </c>
      <c r="N198" s="96">
        <f>P198+S198</f>
        <v>0</v>
      </c>
      <c r="O198" s="96">
        <f>12000-12000</f>
        <v>0</v>
      </c>
      <c r="P198" s="96"/>
      <c r="Q198" s="96"/>
      <c r="R198" s="96"/>
      <c r="S198" s="96">
        <f>12000-12000</f>
        <v>0</v>
      </c>
      <c r="T198" s="96">
        <f t="shared" si="157"/>
        <v>208784.69</v>
      </c>
      <c r="U198" s="96"/>
      <c r="V198" s="96">
        <v>131784.69</v>
      </c>
      <c r="W198" s="96"/>
      <c r="X198" s="96"/>
      <c r="Y198" s="96">
        <v>77000</v>
      </c>
      <c r="Z198" s="150" t="e">
        <f t="shared" si="158"/>
        <v>#DIV/0!</v>
      </c>
      <c r="AA198" s="96">
        <f t="shared" si="159"/>
        <v>9367806.5800000001</v>
      </c>
      <c r="AB198" s="96">
        <f t="shared" ref="AB198:AB201" si="194">E198+N198</f>
        <v>9314900</v>
      </c>
      <c r="AC198" s="237"/>
      <c r="AD198" s="113"/>
      <c r="AE198" s="132"/>
      <c r="AF198" s="125"/>
    </row>
    <row r="199" spans="1:32" s="15" customFormat="1" ht="84.75" hidden="1" customHeight="1" x14ac:dyDescent="0.25">
      <c r="A199" s="12" t="s">
        <v>256</v>
      </c>
      <c r="B199" s="13" t="str">
        <f>'дод 5'!A133</f>
        <v>3111</v>
      </c>
      <c r="C199" s="12" t="str">
        <f>'дод 5'!B133</f>
        <v>1040</v>
      </c>
      <c r="D199" s="16" t="str">
        <f>'дод 5'!C133</f>
        <v>Надання комплексу послуг дітям-сиротам, дітям,
позбавленим батьківського піклування, особам з їх
числа та дітям віком від 3 до 18 років, які опинились
у складних життєвих обставинах, закладами, які
надають соціальні послуги дітям</v>
      </c>
      <c r="E199" s="96">
        <f t="shared" si="193"/>
        <v>0</v>
      </c>
      <c r="F199" s="96">
        <f>100000-100000</f>
        <v>0</v>
      </c>
      <c r="G199" s="96"/>
      <c r="H199" s="96"/>
      <c r="I199" s="96"/>
      <c r="J199" s="96"/>
      <c r="K199" s="96"/>
      <c r="L199" s="96"/>
      <c r="M199" s="150" t="e">
        <f t="shared" si="156"/>
        <v>#DIV/0!</v>
      </c>
      <c r="N199" s="96">
        <f t="shared" ref="N199:N200" si="195">P199+S199</f>
        <v>0</v>
      </c>
      <c r="O199" s="96">
        <f>21140-21140</f>
        <v>0</v>
      </c>
      <c r="P199" s="96"/>
      <c r="Q199" s="96"/>
      <c r="R199" s="96"/>
      <c r="S199" s="96">
        <f>21140-21140</f>
        <v>0</v>
      </c>
      <c r="T199" s="96">
        <f t="shared" si="157"/>
        <v>0</v>
      </c>
      <c r="U199" s="96"/>
      <c r="V199" s="96"/>
      <c r="W199" s="96"/>
      <c r="X199" s="96"/>
      <c r="Y199" s="96"/>
      <c r="Z199" s="150" t="e">
        <f t="shared" si="158"/>
        <v>#DIV/0!</v>
      </c>
      <c r="AA199" s="96">
        <f t="shared" si="159"/>
        <v>0</v>
      </c>
      <c r="AB199" s="96">
        <f t="shared" si="194"/>
        <v>0</v>
      </c>
      <c r="AC199" s="215"/>
      <c r="AD199" s="113"/>
      <c r="AE199" s="132"/>
      <c r="AF199" s="125"/>
    </row>
    <row r="200" spans="1:32" s="15" customFormat="1" ht="31.5" customHeight="1" x14ac:dyDescent="0.25">
      <c r="A200" s="12" t="s">
        <v>156</v>
      </c>
      <c r="B200" s="13" t="str">
        <f>'дод 5'!A134</f>
        <v>3112</v>
      </c>
      <c r="C200" s="12" t="str">
        <f>'дод 5'!B134</f>
        <v>1040</v>
      </c>
      <c r="D200" s="16" t="str">
        <f>'дод 5'!C134</f>
        <v>Заходи державної політики з питань дітей та їх соціального захисту</v>
      </c>
      <c r="E200" s="96">
        <f t="shared" si="193"/>
        <v>141200</v>
      </c>
      <c r="F200" s="96">
        <f>192200-51000</f>
        <v>141200</v>
      </c>
      <c r="G200" s="96"/>
      <c r="H200" s="96"/>
      <c r="I200" s="96"/>
      <c r="J200" s="96">
        <v>126638.56</v>
      </c>
      <c r="K200" s="96"/>
      <c r="L200" s="96"/>
      <c r="M200" s="150">
        <f t="shared" si="156"/>
        <v>89.687365439093483</v>
      </c>
      <c r="N200" s="96">
        <f t="shared" si="195"/>
        <v>0</v>
      </c>
      <c r="O200" s="96"/>
      <c r="P200" s="96"/>
      <c r="Q200" s="96"/>
      <c r="R200" s="96"/>
      <c r="S200" s="96"/>
      <c r="T200" s="96">
        <f t="shared" si="157"/>
        <v>884016.45</v>
      </c>
      <c r="U200" s="96"/>
      <c r="V200" s="96">
        <v>884016.45</v>
      </c>
      <c r="W200" s="96"/>
      <c r="X200" s="96"/>
      <c r="Y200" s="96"/>
      <c r="Z200" s="150" t="e">
        <f t="shared" si="158"/>
        <v>#DIV/0!</v>
      </c>
      <c r="AA200" s="96">
        <f t="shared" si="159"/>
        <v>1010655.01</v>
      </c>
      <c r="AB200" s="96">
        <f t="shared" si="194"/>
        <v>141200</v>
      </c>
      <c r="AC200" s="237">
        <v>19</v>
      </c>
      <c r="AD200" s="113"/>
      <c r="AE200" s="132"/>
      <c r="AF200" s="125"/>
    </row>
    <row r="201" spans="1:32" s="15" customFormat="1" ht="56.25" customHeight="1" x14ac:dyDescent="0.25">
      <c r="A201" s="12" t="s">
        <v>430</v>
      </c>
      <c r="B201" s="13">
        <f>'дод 5'!A135</f>
        <v>3114</v>
      </c>
      <c r="C201" s="12">
        <f>'дод 5'!B135</f>
        <v>1040</v>
      </c>
      <c r="D201" s="16" t="str">
        <f>'дод 5'!C135</f>
        <v>Забезпечення умов для догляду та виховання дітей і молоді в дитячих будинках сімейного типу, прийомних сім’ях та сім’ях патронатних вихователів</v>
      </c>
      <c r="E201" s="96">
        <f t="shared" si="193"/>
        <v>151000</v>
      </c>
      <c r="F201" s="96">
        <v>151000</v>
      </c>
      <c r="G201" s="96"/>
      <c r="H201" s="96"/>
      <c r="I201" s="96"/>
      <c r="J201" s="96">
        <v>77036.429999999993</v>
      </c>
      <c r="K201" s="96"/>
      <c r="L201" s="96"/>
      <c r="M201" s="150">
        <f t="shared" si="156"/>
        <v>51.017503311258274</v>
      </c>
      <c r="N201" s="96"/>
      <c r="O201" s="96"/>
      <c r="P201" s="96"/>
      <c r="Q201" s="96"/>
      <c r="R201" s="96"/>
      <c r="S201" s="96"/>
      <c r="T201" s="96">
        <f t="shared" si="157"/>
        <v>0</v>
      </c>
      <c r="U201" s="96"/>
      <c r="V201" s="96"/>
      <c r="W201" s="96"/>
      <c r="X201" s="96"/>
      <c r="Y201" s="96"/>
      <c r="Z201" s="150" t="e">
        <f t="shared" si="158"/>
        <v>#DIV/0!</v>
      </c>
      <c r="AA201" s="96">
        <f t="shared" si="159"/>
        <v>77036.429999999993</v>
      </c>
      <c r="AB201" s="96">
        <f t="shared" si="194"/>
        <v>151000</v>
      </c>
      <c r="AC201" s="237"/>
      <c r="AD201" s="113"/>
      <c r="AE201" s="132"/>
      <c r="AF201" s="125"/>
    </row>
    <row r="202" spans="1:32" s="132" customFormat="1" ht="22.5" customHeight="1" x14ac:dyDescent="0.25">
      <c r="A202" s="8" t="s">
        <v>21</v>
      </c>
      <c r="B202" s="17"/>
      <c r="C202" s="8"/>
      <c r="D202" s="130" t="s">
        <v>257</v>
      </c>
      <c r="E202" s="120">
        <f>E203</f>
        <v>99834366</v>
      </c>
      <c r="F202" s="120">
        <f t="shared" ref="F202:AA202" si="196">F203</f>
        <v>99834366</v>
      </c>
      <c r="G202" s="120">
        <f t="shared" si="196"/>
        <v>74542596</v>
      </c>
      <c r="H202" s="120">
        <f t="shared" si="196"/>
        <v>5133000</v>
      </c>
      <c r="I202" s="120">
        <f t="shared" si="196"/>
        <v>0</v>
      </c>
      <c r="J202" s="120">
        <f t="shared" si="196"/>
        <v>97252124.069999993</v>
      </c>
      <c r="K202" s="120">
        <f t="shared" si="196"/>
        <v>73656681.669999987</v>
      </c>
      <c r="L202" s="120">
        <f t="shared" si="196"/>
        <v>4417353.2699999996</v>
      </c>
      <c r="M202" s="146">
        <f t="shared" si="156"/>
        <v>97.413473903365087</v>
      </c>
      <c r="N202" s="120">
        <f t="shared" si="196"/>
        <v>4660700</v>
      </c>
      <c r="O202" s="120">
        <f t="shared" si="196"/>
        <v>900000</v>
      </c>
      <c r="P202" s="120">
        <f t="shared" si="196"/>
        <v>3758500</v>
      </c>
      <c r="Q202" s="120">
        <f t="shared" si="196"/>
        <v>3029160</v>
      </c>
      <c r="R202" s="120">
        <f t="shared" si="196"/>
        <v>0</v>
      </c>
      <c r="S202" s="120">
        <f t="shared" si="196"/>
        <v>902200</v>
      </c>
      <c r="T202" s="120">
        <f t="shared" si="196"/>
        <v>4780251.26</v>
      </c>
      <c r="U202" s="120">
        <f t="shared" si="196"/>
        <v>697690.53</v>
      </c>
      <c r="V202" s="120">
        <f t="shared" si="196"/>
        <v>3161931.9799999995</v>
      </c>
      <c r="W202" s="120">
        <f t="shared" si="196"/>
        <v>2310470.86</v>
      </c>
      <c r="X202" s="120">
        <f t="shared" si="196"/>
        <v>0</v>
      </c>
      <c r="Y202" s="120">
        <f t="shared" si="196"/>
        <v>1618319.2800000003</v>
      </c>
      <c r="Z202" s="146">
        <f t="shared" si="158"/>
        <v>102.56509236809922</v>
      </c>
      <c r="AA202" s="120">
        <f t="shared" si="196"/>
        <v>102032375.33</v>
      </c>
      <c r="AB202" s="120">
        <f t="shared" ref="AB202" si="197">AB203</f>
        <v>104495066</v>
      </c>
      <c r="AC202" s="237"/>
      <c r="AD202" s="112"/>
      <c r="AF202" s="125"/>
    </row>
    <row r="203" spans="1:32" s="11" customFormat="1" ht="21.75" customHeight="1" x14ac:dyDescent="0.25">
      <c r="A203" s="9" t="s">
        <v>157</v>
      </c>
      <c r="B203" s="18"/>
      <c r="C203" s="9"/>
      <c r="D203" s="131" t="s">
        <v>257</v>
      </c>
      <c r="E203" s="121">
        <f>E204+E205+E206+E207+E208+E209+E210+E211</f>
        <v>99834366</v>
      </c>
      <c r="F203" s="121">
        <f t="shared" ref="F203:AA203" si="198">F204+F205+F206+F207+F208+F209+F210+F211</f>
        <v>99834366</v>
      </c>
      <c r="G203" s="121">
        <f t="shared" si="198"/>
        <v>74542596</v>
      </c>
      <c r="H203" s="121">
        <f t="shared" si="198"/>
        <v>5133000</v>
      </c>
      <c r="I203" s="121">
        <f t="shared" si="198"/>
        <v>0</v>
      </c>
      <c r="J203" s="121">
        <f t="shared" si="198"/>
        <v>97252124.069999993</v>
      </c>
      <c r="K203" s="121">
        <f t="shared" si="198"/>
        <v>73656681.669999987</v>
      </c>
      <c r="L203" s="121">
        <f t="shared" si="198"/>
        <v>4417353.2699999996</v>
      </c>
      <c r="M203" s="149">
        <f t="shared" si="156"/>
        <v>97.413473903365087</v>
      </c>
      <c r="N203" s="121">
        <f t="shared" si="198"/>
        <v>4660700</v>
      </c>
      <c r="O203" s="121">
        <f t="shared" si="198"/>
        <v>900000</v>
      </c>
      <c r="P203" s="121">
        <f t="shared" si="198"/>
        <v>3758500</v>
      </c>
      <c r="Q203" s="121">
        <f t="shared" si="198"/>
        <v>3029160</v>
      </c>
      <c r="R203" s="121">
        <f t="shared" si="198"/>
        <v>0</v>
      </c>
      <c r="S203" s="121">
        <f t="shared" si="198"/>
        <v>902200</v>
      </c>
      <c r="T203" s="121">
        <f t="shared" si="198"/>
        <v>4780251.26</v>
      </c>
      <c r="U203" s="121">
        <f t="shared" si="198"/>
        <v>697690.53</v>
      </c>
      <c r="V203" s="121">
        <f t="shared" si="198"/>
        <v>3161931.9799999995</v>
      </c>
      <c r="W203" s="121">
        <f t="shared" si="198"/>
        <v>2310470.86</v>
      </c>
      <c r="X203" s="121">
        <f t="shared" si="198"/>
        <v>0</v>
      </c>
      <c r="Y203" s="121">
        <f t="shared" si="198"/>
        <v>1618319.2800000003</v>
      </c>
      <c r="Z203" s="149">
        <f t="shared" si="158"/>
        <v>102.56509236809922</v>
      </c>
      <c r="AA203" s="121">
        <f t="shared" si="198"/>
        <v>102032375.33</v>
      </c>
      <c r="AB203" s="121">
        <f t="shared" ref="AB203" si="199">AB204+AB205+AB206+AB207+AB208+AB209+AB210+AB211</f>
        <v>104495066</v>
      </c>
      <c r="AC203" s="237"/>
      <c r="AD203" s="98"/>
      <c r="AE203" s="132"/>
      <c r="AF203" s="125"/>
    </row>
    <row r="204" spans="1:32" s="15" customFormat="1" ht="47.25" x14ac:dyDescent="0.25">
      <c r="A204" s="12" t="s">
        <v>112</v>
      </c>
      <c r="B204" s="13" t="str">
        <f>'дод 5'!A19</f>
        <v>0160</v>
      </c>
      <c r="C204" s="12" t="str">
        <f>'дод 5'!B19</f>
        <v>0111</v>
      </c>
      <c r="D204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204" s="96">
        <f t="shared" ref="E204:E211" si="200">F204+I204</f>
        <v>3341400</v>
      </c>
      <c r="F204" s="96">
        <f>3280300+6600+7400+47100</f>
        <v>3341400</v>
      </c>
      <c r="G204" s="96">
        <f>2536800+5400+6100-1762+38600</f>
        <v>2585138</v>
      </c>
      <c r="H204" s="96">
        <v>93300</v>
      </c>
      <c r="I204" s="96"/>
      <c r="J204" s="96">
        <v>3308807.75</v>
      </c>
      <c r="K204" s="96">
        <v>2585138</v>
      </c>
      <c r="L204" s="96">
        <v>83665.41</v>
      </c>
      <c r="M204" s="150">
        <f t="shared" si="156"/>
        <v>99.024592984976351</v>
      </c>
      <c r="N204" s="96">
        <f>P204+S204</f>
        <v>0</v>
      </c>
      <c r="O204" s="96"/>
      <c r="P204" s="96"/>
      <c r="Q204" s="96"/>
      <c r="R204" s="96"/>
      <c r="S204" s="96"/>
      <c r="T204" s="96">
        <f t="shared" si="157"/>
        <v>0</v>
      </c>
      <c r="U204" s="96"/>
      <c r="V204" s="96"/>
      <c r="W204" s="96"/>
      <c r="X204" s="96"/>
      <c r="Y204" s="96"/>
      <c r="Z204" s="150" t="e">
        <f t="shared" si="158"/>
        <v>#DIV/0!</v>
      </c>
      <c r="AA204" s="96">
        <f t="shared" si="159"/>
        <v>3308807.75</v>
      </c>
      <c r="AB204" s="96">
        <f t="shared" ref="AB204:AB211" si="201">E204+N204</f>
        <v>3341400</v>
      </c>
      <c r="AC204" s="237"/>
      <c r="AD204" s="113"/>
      <c r="AE204" s="132"/>
      <c r="AF204" s="125"/>
    </row>
    <row r="205" spans="1:32" s="15" customFormat="1" ht="34.9" customHeight="1" x14ac:dyDescent="0.25">
      <c r="A205" s="12" t="s">
        <v>313</v>
      </c>
      <c r="B205" s="13">
        <f>'дод 5'!A52</f>
        <v>1080</v>
      </c>
      <c r="C205" s="12" t="str">
        <f>'дод 5'!B52</f>
        <v>0960</v>
      </c>
      <c r="D205" s="16" t="str">
        <f>'дод 5'!C52</f>
        <v>Надання спеціалізованої освіти мистецькими школами</v>
      </c>
      <c r="E205" s="96">
        <f t="shared" si="200"/>
        <v>60063658</v>
      </c>
      <c r="F205" s="96">
        <f>58762400+378300+74158+848800</f>
        <v>60063658</v>
      </c>
      <c r="G205" s="96">
        <f>46330300+310300+695700</f>
        <v>47336300</v>
      </c>
      <c r="H205" s="96">
        <v>1616300</v>
      </c>
      <c r="I205" s="96"/>
      <c r="J205" s="96">
        <v>59082647.710000001</v>
      </c>
      <c r="K205" s="96">
        <v>46993084.170000002</v>
      </c>
      <c r="L205" s="96">
        <v>1317737.8400000001</v>
      </c>
      <c r="M205" s="150">
        <f t="shared" si="156"/>
        <v>98.366715710188686</v>
      </c>
      <c r="N205" s="96">
        <f>P205+S205</f>
        <v>3703600</v>
      </c>
      <c r="O205" s="96"/>
      <c r="P205" s="96">
        <v>3701400</v>
      </c>
      <c r="Q205" s="96">
        <v>3029160</v>
      </c>
      <c r="R205" s="96"/>
      <c r="S205" s="96">
        <v>2200</v>
      </c>
      <c r="T205" s="96">
        <f t="shared" si="157"/>
        <v>2948281.3099999996</v>
      </c>
      <c r="U205" s="96"/>
      <c r="V205" s="96">
        <v>2871767.51</v>
      </c>
      <c r="W205" s="96">
        <v>2310470.86</v>
      </c>
      <c r="X205" s="96"/>
      <c r="Y205" s="96">
        <v>76513.8</v>
      </c>
      <c r="Z205" s="150">
        <f t="shared" si="158"/>
        <v>79.605824333081316</v>
      </c>
      <c r="AA205" s="96">
        <f t="shared" si="159"/>
        <v>62030929.020000003</v>
      </c>
      <c r="AB205" s="96">
        <f t="shared" si="201"/>
        <v>63767258</v>
      </c>
      <c r="AC205" s="237"/>
      <c r="AD205" s="113"/>
      <c r="AE205" s="132"/>
      <c r="AF205" s="125"/>
    </row>
    <row r="206" spans="1:32" s="15" customFormat="1" ht="21" customHeight="1" x14ac:dyDescent="0.25">
      <c r="A206" s="12" t="s">
        <v>158</v>
      </c>
      <c r="B206" s="13" t="str">
        <f>'дод 5'!A160</f>
        <v>4030</v>
      </c>
      <c r="C206" s="12" t="str">
        <f>'дод 5'!B160</f>
        <v>0824</v>
      </c>
      <c r="D206" s="14" t="str">
        <f>'дод 5'!C160</f>
        <v>Забезпечення діяльності бібліотек</v>
      </c>
      <c r="E206" s="96">
        <f t="shared" si="200"/>
        <v>26951264</v>
      </c>
      <c r="F206" s="96">
        <f>26555900+85600+160000+9700+176000+42608+43456-122000</f>
        <v>26951264</v>
      </c>
      <c r="G206" s="96">
        <f>18518800+144900-100000</f>
        <v>18563700</v>
      </c>
      <c r="H206" s="96">
        <v>2877800</v>
      </c>
      <c r="I206" s="96"/>
      <c r="J206" s="96">
        <v>26328719.34</v>
      </c>
      <c r="K206" s="96">
        <v>18508979.629999999</v>
      </c>
      <c r="L206" s="96">
        <v>2624093.2999999998</v>
      </c>
      <c r="M206" s="150">
        <f t="shared" si="156"/>
        <v>97.690109599312308</v>
      </c>
      <c r="N206" s="96">
        <f t="shared" ref="N206:N211" si="202">P206+S206</f>
        <v>510000</v>
      </c>
      <c r="O206" s="96">
        <f>500000+160000-160000</f>
        <v>500000</v>
      </c>
      <c r="P206" s="96">
        <v>10000</v>
      </c>
      <c r="Q206" s="96"/>
      <c r="R206" s="96"/>
      <c r="S206" s="96">
        <f>500000+160000-160000</f>
        <v>500000</v>
      </c>
      <c r="T206" s="96">
        <f t="shared" si="157"/>
        <v>1379718.1500000001</v>
      </c>
      <c r="U206" s="96">
        <v>338920.9</v>
      </c>
      <c r="V206" s="96">
        <v>196682.3</v>
      </c>
      <c r="W206" s="96"/>
      <c r="X206" s="96"/>
      <c r="Y206" s="96">
        <v>1183035.8500000001</v>
      </c>
      <c r="Z206" s="150">
        <f t="shared" si="158"/>
        <v>270.53297058823534</v>
      </c>
      <c r="AA206" s="96">
        <f t="shared" si="159"/>
        <v>27708437.489999998</v>
      </c>
      <c r="AB206" s="96">
        <f t="shared" si="201"/>
        <v>27461264</v>
      </c>
      <c r="AC206" s="237"/>
      <c r="AD206" s="113"/>
      <c r="AE206" s="132"/>
      <c r="AF206" s="125"/>
    </row>
    <row r="207" spans="1:32" s="15" customFormat="1" ht="54.75" customHeight="1" x14ac:dyDescent="0.25">
      <c r="A207" s="12">
        <v>1014060</v>
      </c>
      <c r="B207" s="13" t="str">
        <f>'дод 5'!A161</f>
        <v>4060</v>
      </c>
      <c r="C207" s="12" t="str">
        <f>'дод 5'!B161</f>
        <v>0828</v>
      </c>
      <c r="D207" s="14" t="str">
        <f>'дод 5'!C161</f>
        <v>Забезпечення діяльності палаців i будинків культури, клубів, центрів дозвілля та iнших клубних закладів</v>
      </c>
      <c r="E207" s="96">
        <f t="shared" si="200"/>
        <v>5553400</v>
      </c>
      <c r="F207" s="96">
        <f>5950000+9700+20700-427000</f>
        <v>5553400</v>
      </c>
      <c r="G207" s="96">
        <f>3831000+17000-350000</f>
        <v>3498000</v>
      </c>
      <c r="H207" s="96">
        <v>413000</v>
      </c>
      <c r="I207" s="96"/>
      <c r="J207" s="96">
        <v>4709359.66</v>
      </c>
      <c r="K207" s="96">
        <v>3010024.49</v>
      </c>
      <c r="L207" s="96">
        <v>272846.40999999997</v>
      </c>
      <c r="M207" s="150">
        <f t="shared" si="156"/>
        <v>84.801376814203905</v>
      </c>
      <c r="N207" s="96">
        <f t="shared" si="202"/>
        <v>200000</v>
      </c>
      <c r="O207" s="96">
        <f>400000-200000</f>
        <v>200000</v>
      </c>
      <c r="P207" s="96"/>
      <c r="Q207" s="96"/>
      <c r="R207" s="96"/>
      <c r="S207" s="96">
        <f>400000-200000</f>
        <v>200000</v>
      </c>
      <c r="T207" s="96">
        <f t="shared" si="157"/>
        <v>258482.16999999998</v>
      </c>
      <c r="U207" s="96">
        <v>165000</v>
      </c>
      <c r="V207" s="96">
        <v>93482.17</v>
      </c>
      <c r="W207" s="96"/>
      <c r="X207" s="96"/>
      <c r="Y207" s="96">
        <v>165000</v>
      </c>
      <c r="Z207" s="150">
        <f t="shared" si="158"/>
        <v>129.241085</v>
      </c>
      <c r="AA207" s="96">
        <f t="shared" si="159"/>
        <v>4967841.83</v>
      </c>
      <c r="AB207" s="96">
        <f t="shared" si="201"/>
        <v>5753400</v>
      </c>
      <c r="AC207" s="237"/>
      <c r="AD207" s="113"/>
      <c r="AE207" s="132"/>
      <c r="AF207" s="125"/>
    </row>
    <row r="208" spans="1:32" s="23" customFormat="1" ht="33.75" customHeight="1" x14ac:dyDescent="0.25">
      <c r="A208" s="12">
        <v>1014081</v>
      </c>
      <c r="B208" s="13" t="str">
        <f>'дод 5'!A162</f>
        <v>4081</v>
      </c>
      <c r="C208" s="12" t="str">
        <f>'дод 5'!B162</f>
        <v>0829</v>
      </c>
      <c r="D208" s="14" t="str">
        <f>'дод 5'!C162</f>
        <v>Забезпечення діяльності інших закладів в галузі культури і мистецтва</v>
      </c>
      <c r="E208" s="96">
        <f t="shared" si="200"/>
        <v>3487500</v>
      </c>
      <c r="F208" s="96">
        <f>3394000+20300+73200</f>
        <v>3487500</v>
      </c>
      <c r="G208" s="96">
        <f>2483500+16600-642+60000</f>
        <v>2559458</v>
      </c>
      <c r="H208" s="96">
        <v>132600</v>
      </c>
      <c r="I208" s="96"/>
      <c r="J208" s="96">
        <v>3448307.78</v>
      </c>
      <c r="K208" s="96">
        <v>2559455.38</v>
      </c>
      <c r="L208" s="96">
        <v>119010.31</v>
      </c>
      <c r="M208" s="150">
        <f t="shared" si="156"/>
        <v>98.876208745519705</v>
      </c>
      <c r="N208" s="96">
        <f t="shared" si="202"/>
        <v>0</v>
      </c>
      <c r="O208" s="96"/>
      <c r="P208" s="96"/>
      <c r="Q208" s="96"/>
      <c r="R208" s="96"/>
      <c r="S208" s="96"/>
      <c r="T208" s="96">
        <f t="shared" si="157"/>
        <v>0</v>
      </c>
      <c r="U208" s="96"/>
      <c r="V208" s="96"/>
      <c r="W208" s="96"/>
      <c r="X208" s="96"/>
      <c r="Y208" s="96"/>
      <c r="Z208" s="150" t="e">
        <f t="shared" si="158"/>
        <v>#DIV/0!</v>
      </c>
      <c r="AA208" s="96">
        <f t="shared" si="159"/>
        <v>3448307.78</v>
      </c>
      <c r="AB208" s="96">
        <f t="shared" si="201"/>
        <v>3487500</v>
      </c>
      <c r="AC208" s="237"/>
      <c r="AD208" s="113"/>
      <c r="AE208" s="132"/>
      <c r="AF208" s="125"/>
    </row>
    <row r="209" spans="1:32" s="23" customFormat="1" ht="15.75" x14ac:dyDescent="0.25">
      <c r="A209" s="12">
        <v>1014082</v>
      </c>
      <c r="B209" s="13" t="str">
        <f>'дод 5'!A163</f>
        <v>4082</v>
      </c>
      <c r="C209" s="12" t="str">
        <f>'дод 5'!B163</f>
        <v>0829</v>
      </c>
      <c r="D209" s="14" t="str">
        <f>'дод 5'!C163</f>
        <v>Інші заходи в галузі культури і мистецтва</v>
      </c>
      <c r="E209" s="96">
        <f t="shared" si="200"/>
        <v>437144</v>
      </c>
      <c r="F209" s="96">
        <f>500000-19400-43456</f>
        <v>437144</v>
      </c>
      <c r="G209" s="96"/>
      <c r="H209" s="96"/>
      <c r="I209" s="96"/>
      <c r="J209" s="96">
        <v>374281.83</v>
      </c>
      <c r="K209" s="96"/>
      <c r="L209" s="96"/>
      <c r="M209" s="150">
        <f t="shared" ref="M209:M272" si="203">J209/E209*100</f>
        <v>85.61980262796699</v>
      </c>
      <c r="N209" s="96">
        <f t="shared" si="202"/>
        <v>0</v>
      </c>
      <c r="O209" s="96"/>
      <c r="P209" s="96"/>
      <c r="Q209" s="96"/>
      <c r="R209" s="96"/>
      <c r="S209" s="96"/>
      <c r="T209" s="96">
        <f t="shared" ref="T209:T272" si="204">V209+Y209</f>
        <v>0</v>
      </c>
      <c r="U209" s="96"/>
      <c r="V209" s="96"/>
      <c r="W209" s="96"/>
      <c r="X209" s="96"/>
      <c r="Y209" s="96"/>
      <c r="Z209" s="150" t="e">
        <f t="shared" ref="Z209:Z272" si="205">T209/N209*100</f>
        <v>#DIV/0!</v>
      </c>
      <c r="AA209" s="96">
        <f t="shared" ref="AA209:AA272" si="206">T209+J209</f>
        <v>374281.83</v>
      </c>
      <c r="AB209" s="96">
        <f t="shared" si="201"/>
        <v>437144</v>
      </c>
      <c r="AC209" s="237"/>
      <c r="AD209" s="113"/>
      <c r="AE209" s="132"/>
      <c r="AF209" s="125"/>
    </row>
    <row r="210" spans="1:32" s="23" customFormat="1" ht="15.75" x14ac:dyDescent="0.25">
      <c r="A210" s="12" t="s">
        <v>492</v>
      </c>
      <c r="B210" s="13">
        <f>'дод 5'!A164</f>
        <v>4083</v>
      </c>
      <c r="C210" s="12" t="str">
        <f>'дод 5'!B164</f>
        <v>0829</v>
      </c>
      <c r="D210" s="16" t="str">
        <f>'дод 5'!C164</f>
        <v>Будівництво-1 закладів культури і мистецтва</v>
      </c>
      <c r="E210" s="96">
        <f t="shared" si="200"/>
        <v>0</v>
      </c>
      <c r="F210" s="96"/>
      <c r="G210" s="96"/>
      <c r="H210" s="96"/>
      <c r="I210" s="96"/>
      <c r="J210" s="96"/>
      <c r="K210" s="96"/>
      <c r="L210" s="96"/>
      <c r="M210" s="150" t="e">
        <f t="shared" si="203"/>
        <v>#DIV/0!</v>
      </c>
      <c r="N210" s="96">
        <f t="shared" si="202"/>
        <v>200000</v>
      </c>
      <c r="O210" s="96">
        <v>200000</v>
      </c>
      <c r="P210" s="96"/>
      <c r="Q210" s="96"/>
      <c r="R210" s="96"/>
      <c r="S210" s="96">
        <v>200000</v>
      </c>
      <c r="T210" s="96">
        <f t="shared" si="204"/>
        <v>193769.63</v>
      </c>
      <c r="U210" s="96">
        <v>193769.63</v>
      </c>
      <c r="V210" s="96"/>
      <c r="W210" s="96"/>
      <c r="X210" s="96"/>
      <c r="Y210" s="96">
        <v>193769.63</v>
      </c>
      <c r="Z210" s="150">
        <f t="shared" si="205"/>
        <v>96.884815000000003</v>
      </c>
      <c r="AA210" s="96">
        <f t="shared" si="206"/>
        <v>193769.63</v>
      </c>
      <c r="AB210" s="96">
        <f t="shared" si="201"/>
        <v>200000</v>
      </c>
      <c r="AC210" s="237"/>
      <c r="AD210" s="113"/>
      <c r="AE210" s="132"/>
      <c r="AF210" s="125"/>
    </row>
    <row r="211" spans="1:32" s="15" customFormat="1" ht="21" customHeight="1" x14ac:dyDescent="0.25">
      <c r="A211" s="12">
        <v>1018340</v>
      </c>
      <c r="B211" s="13" t="str">
        <f>'дод 5'!A249</f>
        <v>8340</v>
      </c>
      <c r="C211" s="12" t="str">
        <f>'дод 5'!B249</f>
        <v>0540</v>
      </c>
      <c r="D211" s="16" t="str">
        <f>'дод 5'!C249</f>
        <v>Природоохоронні заходи за рахунок цільових фондів</v>
      </c>
      <c r="E211" s="96">
        <f t="shared" si="200"/>
        <v>0</v>
      </c>
      <c r="F211" s="96"/>
      <c r="G211" s="96"/>
      <c r="H211" s="96"/>
      <c r="I211" s="96"/>
      <c r="J211" s="96"/>
      <c r="K211" s="96"/>
      <c r="L211" s="96"/>
      <c r="M211" s="150" t="e">
        <f t="shared" si="203"/>
        <v>#DIV/0!</v>
      </c>
      <c r="N211" s="96">
        <f t="shared" si="202"/>
        <v>47100</v>
      </c>
      <c r="O211" s="96"/>
      <c r="P211" s="96">
        <v>47100</v>
      </c>
      <c r="Q211" s="96"/>
      <c r="R211" s="96"/>
      <c r="S211" s="96"/>
      <c r="T211" s="96">
        <f t="shared" si="204"/>
        <v>0</v>
      </c>
      <c r="U211" s="96"/>
      <c r="V211" s="96"/>
      <c r="W211" s="96"/>
      <c r="X211" s="96"/>
      <c r="Y211" s="96"/>
      <c r="Z211" s="150">
        <f t="shared" si="205"/>
        <v>0</v>
      </c>
      <c r="AA211" s="96">
        <f t="shared" si="206"/>
        <v>0</v>
      </c>
      <c r="AB211" s="96">
        <f t="shared" si="201"/>
        <v>47100</v>
      </c>
      <c r="AC211" s="237"/>
      <c r="AD211" s="113"/>
      <c r="AE211" s="132"/>
      <c r="AF211" s="125"/>
    </row>
    <row r="212" spans="1:32" s="132" customFormat="1" ht="31.5" x14ac:dyDescent="0.25">
      <c r="A212" s="8" t="s">
        <v>159</v>
      </c>
      <c r="B212" s="17"/>
      <c r="C212" s="8"/>
      <c r="D212" s="130" t="s">
        <v>26</v>
      </c>
      <c r="E212" s="120">
        <f>E213</f>
        <v>592421207</v>
      </c>
      <c r="F212" s="120">
        <f t="shared" ref="F212:AA212" si="207">F213</f>
        <v>416586631</v>
      </c>
      <c r="G212" s="120">
        <f t="shared" si="207"/>
        <v>23965800</v>
      </c>
      <c r="H212" s="120">
        <f t="shared" si="207"/>
        <v>33946275</v>
      </c>
      <c r="I212" s="120">
        <f t="shared" si="207"/>
        <v>175834576</v>
      </c>
      <c r="J212" s="120">
        <f t="shared" si="207"/>
        <v>547381978.54999995</v>
      </c>
      <c r="K212" s="120">
        <f t="shared" si="207"/>
        <v>23965275.059999999</v>
      </c>
      <c r="L212" s="120">
        <f t="shared" si="207"/>
        <v>27840709.589999996</v>
      </c>
      <c r="M212" s="146">
        <f t="shared" si="203"/>
        <v>92.397431435974909</v>
      </c>
      <c r="N212" s="120">
        <f t="shared" si="207"/>
        <v>466417477.26999998</v>
      </c>
      <c r="O212" s="120">
        <f t="shared" si="207"/>
        <v>353455807.37</v>
      </c>
      <c r="P212" s="120">
        <f t="shared" si="207"/>
        <v>1612200</v>
      </c>
      <c r="Q212" s="120">
        <f t="shared" si="207"/>
        <v>0</v>
      </c>
      <c r="R212" s="120">
        <f t="shared" si="207"/>
        <v>0</v>
      </c>
      <c r="S212" s="120">
        <f t="shared" si="207"/>
        <v>464805277.26999998</v>
      </c>
      <c r="T212" s="120">
        <f t="shared" si="207"/>
        <v>187613829.05000001</v>
      </c>
      <c r="U212" s="120">
        <f t="shared" si="207"/>
        <v>78372717.930000007</v>
      </c>
      <c r="V212" s="120">
        <f t="shared" si="207"/>
        <v>5691868.9699999997</v>
      </c>
      <c r="W212" s="120">
        <f t="shared" si="207"/>
        <v>40983.599999999999</v>
      </c>
      <c r="X212" s="120">
        <f t="shared" si="207"/>
        <v>0</v>
      </c>
      <c r="Y212" s="120">
        <f t="shared" si="207"/>
        <v>181921960.07999998</v>
      </c>
      <c r="Z212" s="146">
        <f t="shared" si="205"/>
        <v>40.224442306091809</v>
      </c>
      <c r="AA212" s="120">
        <f t="shared" si="207"/>
        <v>734995807.5999999</v>
      </c>
      <c r="AB212" s="120">
        <f t="shared" ref="AB212" si="208">AB213</f>
        <v>1058838684.2700001</v>
      </c>
      <c r="AC212" s="237"/>
      <c r="AD212" s="112"/>
      <c r="AF212" s="125"/>
    </row>
    <row r="213" spans="1:32" s="11" customFormat="1" ht="34.5" customHeight="1" x14ac:dyDescent="0.25">
      <c r="A213" s="9" t="s">
        <v>160</v>
      </c>
      <c r="B213" s="18"/>
      <c r="C213" s="9"/>
      <c r="D213" s="131" t="s">
        <v>465</v>
      </c>
      <c r="E213" s="121">
        <f>E220+E221+E222+E224+E227+E228+E229+E230+E240+E252+E253+E255+E258+E259+E256+E257+E232+E247+E250+E251+E231+E225+E249+E245+E238+E236+E244+E241+E243+E223+E248+E260+E226</f>
        <v>592421207</v>
      </c>
      <c r="F213" s="121">
        <f t="shared" ref="F213:AA213" si="209">F220+F221+F222+F224+F227+F228+F229+F230+F240+F252+F253+F255+F258+F259+F256+F257+F232+F247+F250+F251+F231+F225+F249+F245+F238+F236+F244+F241+F243+F223+F248+F260+F226</f>
        <v>416586631</v>
      </c>
      <c r="G213" s="121">
        <f t="shared" si="209"/>
        <v>23965800</v>
      </c>
      <c r="H213" s="121">
        <f t="shared" si="209"/>
        <v>33946275</v>
      </c>
      <c r="I213" s="121">
        <f t="shared" si="209"/>
        <v>175834576</v>
      </c>
      <c r="J213" s="121">
        <f t="shared" si="209"/>
        <v>547381978.54999995</v>
      </c>
      <c r="K213" s="121">
        <f t="shared" si="209"/>
        <v>23965275.059999999</v>
      </c>
      <c r="L213" s="121">
        <f t="shared" si="209"/>
        <v>27840709.589999996</v>
      </c>
      <c r="M213" s="149">
        <f t="shared" si="203"/>
        <v>92.397431435974909</v>
      </c>
      <c r="N213" s="121">
        <f t="shared" si="209"/>
        <v>466417477.26999998</v>
      </c>
      <c r="O213" s="121">
        <f t="shared" si="209"/>
        <v>353455807.37</v>
      </c>
      <c r="P213" s="121">
        <f t="shared" si="209"/>
        <v>1612200</v>
      </c>
      <c r="Q213" s="121">
        <f t="shared" si="209"/>
        <v>0</v>
      </c>
      <c r="R213" s="121">
        <f t="shared" si="209"/>
        <v>0</v>
      </c>
      <c r="S213" s="121">
        <f t="shared" si="209"/>
        <v>464805277.26999998</v>
      </c>
      <c r="T213" s="121">
        <f t="shared" si="209"/>
        <v>187613829.05000001</v>
      </c>
      <c r="U213" s="121">
        <f t="shared" si="209"/>
        <v>78372717.930000007</v>
      </c>
      <c r="V213" s="121">
        <f t="shared" si="209"/>
        <v>5691868.9699999997</v>
      </c>
      <c r="W213" s="121">
        <f t="shared" si="209"/>
        <v>40983.599999999999</v>
      </c>
      <c r="X213" s="121">
        <f t="shared" si="209"/>
        <v>0</v>
      </c>
      <c r="Y213" s="121">
        <f t="shared" si="209"/>
        <v>181921960.07999998</v>
      </c>
      <c r="Z213" s="149">
        <f t="shared" si="205"/>
        <v>40.224442306091809</v>
      </c>
      <c r="AA213" s="121">
        <f t="shared" si="209"/>
        <v>734995807.5999999</v>
      </c>
      <c r="AB213" s="121">
        <f t="shared" ref="AB213" si="210">AB220+AB221+AB222+AB224+AB227+AB228+AB229+AB230+AB240+AB252+AB253+AB255+AB258+AB259+AB256+AB257+AB232+AB247+AB250+AB251+AB231+AB225+AB249+AB245+AB238+AB236+AB244+AB241+AB243+AB223+AB248+AB260+AB226</f>
        <v>1058838684.2700001</v>
      </c>
      <c r="AC213" s="237"/>
      <c r="AD213" s="98"/>
      <c r="AE213" s="132"/>
      <c r="AF213" s="125"/>
    </row>
    <row r="214" spans="1:32" s="11" customFormat="1" ht="90.75" customHeight="1" x14ac:dyDescent="0.25">
      <c r="A214" s="9"/>
      <c r="B214" s="18"/>
      <c r="C214" s="9"/>
      <c r="D214" s="131" t="str">
        <f>D239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E214" s="121">
        <f>E239</f>
        <v>0</v>
      </c>
      <c r="F214" s="121">
        <f t="shared" ref="F214:AA214" si="211">F239</f>
        <v>0</v>
      </c>
      <c r="G214" s="121">
        <f t="shared" si="211"/>
        <v>0</v>
      </c>
      <c r="H214" s="121">
        <f t="shared" si="211"/>
        <v>0</v>
      </c>
      <c r="I214" s="121">
        <f t="shared" si="211"/>
        <v>0</v>
      </c>
      <c r="J214" s="121">
        <f t="shared" si="211"/>
        <v>0</v>
      </c>
      <c r="K214" s="121">
        <f t="shared" si="211"/>
        <v>0</v>
      </c>
      <c r="L214" s="121">
        <f t="shared" si="211"/>
        <v>0</v>
      </c>
      <c r="M214" s="149" t="e">
        <f t="shared" si="203"/>
        <v>#DIV/0!</v>
      </c>
      <c r="N214" s="121">
        <f t="shared" si="211"/>
        <v>89775000</v>
      </c>
      <c r="O214" s="121">
        <f t="shared" si="211"/>
        <v>0</v>
      </c>
      <c r="P214" s="121">
        <f t="shared" si="211"/>
        <v>0</v>
      </c>
      <c r="Q214" s="121">
        <f t="shared" si="211"/>
        <v>0</v>
      </c>
      <c r="R214" s="121">
        <f t="shared" si="211"/>
        <v>0</v>
      </c>
      <c r="S214" s="121">
        <f t="shared" si="211"/>
        <v>89775000</v>
      </c>
      <c r="T214" s="121">
        <f t="shared" si="211"/>
        <v>82331671.959999993</v>
      </c>
      <c r="U214" s="121">
        <f t="shared" si="211"/>
        <v>0</v>
      </c>
      <c r="V214" s="121">
        <f t="shared" si="211"/>
        <v>0</v>
      </c>
      <c r="W214" s="121">
        <f t="shared" si="211"/>
        <v>0</v>
      </c>
      <c r="X214" s="121">
        <f t="shared" si="211"/>
        <v>0</v>
      </c>
      <c r="Y214" s="121">
        <f t="shared" si="211"/>
        <v>82331671.959999993</v>
      </c>
      <c r="Z214" s="149">
        <f t="shared" si="205"/>
        <v>91.708907780562512</v>
      </c>
      <c r="AA214" s="121">
        <f t="shared" si="211"/>
        <v>82331671.959999993</v>
      </c>
      <c r="AB214" s="121">
        <f t="shared" ref="AB214" si="212">AB239</f>
        <v>89775000</v>
      </c>
      <c r="AC214" s="237"/>
      <c r="AD214" s="98"/>
      <c r="AE214" s="132"/>
      <c r="AF214" s="125"/>
    </row>
    <row r="215" spans="1:32" s="11" customFormat="1" ht="47.25" x14ac:dyDescent="0.25">
      <c r="A215" s="9"/>
      <c r="B215" s="18"/>
      <c r="C215" s="9"/>
      <c r="D215" s="131" t="str">
        <f>D242</f>
        <v>субвенції з державного бюджету місцевим бюджетам на реалізацію проектів в рамках Програми відновлення України III</v>
      </c>
      <c r="E215" s="121">
        <f>E242</f>
        <v>0</v>
      </c>
      <c r="F215" s="121">
        <f t="shared" ref="F215:AA215" si="213">F242</f>
        <v>0</v>
      </c>
      <c r="G215" s="121">
        <f t="shared" si="213"/>
        <v>0</v>
      </c>
      <c r="H215" s="121">
        <f t="shared" si="213"/>
        <v>0</v>
      </c>
      <c r="I215" s="121">
        <f t="shared" si="213"/>
        <v>0</v>
      </c>
      <c r="J215" s="121">
        <f t="shared" si="213"/>
        <v>0</v>
      </c>
      <c r="K215" s="121">
        <f t="shared" si="213"/>
        <v>0</v>
      </c>
      <c r="L215" s="121">
        <f t="shared" si="213"/>
        <v>0</v>
      </c>
      <c r="M215" s="149" t="e">
        <f t="shared" si="203"/>
        <v>#DIV/0!</v>
      </c>
      <c r="N215" s="121">
        <f t="shared" si="213"/>
        <v>15000000</v>
      </c>
      <c r="O215" s="121">
        <f t="shared" si="213"/>
        <v>0</v>
      </c>
      <c r="P215" s="121">
        <f t="shared" si="213"/>
        <v>0</v>
      </c>
      <c r="Q215" s="121">
        <f t="shared" si="213"/>
        <v>0</v>
      </c>
      <c r="R215" s="121">
        <f t="shared" si="213"/>
        <v>0</v>
      </c>
      <c r="S215" s="121">
        <f t="shared" si="213"/>
        <v>15000000</v>
      </c>
      <c r="T215" s="121">
        <f t="shared" si="213"/>
        <v>0</v>
      </c>
      <c r="U215" s="121">
        <f t="shared" si="213"/>
        <v>0</v>
      </c>
      <c r="V215" s="121">
        <f t="shared" si="213"/>
        <v>0</v>
      </c>
      <c r="W215" s="121">
        <f t="shared" si="213"/>
        <v>0</v>
      </c>
      <c r="X215" s="121">
        <f t="shared" si="213"/>
        <v>0</v>
      </c>
      <c r="Y215" s="121">
        <f t="shared" si="213"/>
        <v>0</v>
      </c>
      <c r="Z215" s="149">
        <f t="shared" si="205"/>
        <v>0</v>
      </c>
      <c r="AA215" s="121">
        <f t="shared" si="213"/>
        <v>0</v>
      </c>
      <c r="AB215" s="121">
        <f t="shared" ref="AB215" si="214">AB242</f>
        <v>15000000</v>
      </c>
      <c r="AC215" s="237"/>
      <c r="AD215" s="98"/>
      <c r="AE215" s="132"/>
      <c r="AF215" s="125"/>
    </row>
    <row r="216" spans="1:32" s="11" customFormat="1" ht="93.75" customHeight="1" x14ac:dyDescent="0.25">
      <c r="A216" s="9"/>
      <c r="B216" s="18"/>
      <c r="C216" s="9"/>
      <c r="D216" s="131" t="str">
        <f>D237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16" s="121">
        <f>E237+E254+E233</f>
        <v>313360</v>
      </c>
      <c r="F216" s="121">
        <f t="shared" ref="F216:AA216" si="215">F237+F254+F233</f>
        <v>313360</v>
      </c>
      <c r="G216" s="121">
        <f t="shared" si="215"/>
        <v>0</v>
      </c>
      <c r="H216" s="121">
        <f t="shared" si="215"/>
        <v>0</v>
      </c>
      <c r="I216" s="121">
        <f t="shared" si="215"/>
        <v>0</v>
      </c>
      <c r="J216" s="121">
        <f t="shared" si="215"/>
        <v>313302.40000000002</v>
      </c>
      <c r="K216" s="121">
        <f t="shared" si="215"/>
        <v>0</v>
      </c>
      <c r="L216" s="121">
        <f t="shared" si="215"/>
        <v>0</v>
      </c>
      <c r="M216" s="149">
        <f t="shared" si="203"/>
        <v>99.981618585652285</v>
      </c>
      <c r="N216" s="121">
        <f t="shared" si="215"/>
        <v>6951240</v>
      </c>
      <c r="O216" s="121">
        <f t="shared" si="215"/>
        <v>6951240</v>
      </c>
      <c r="P216" s="121">
        <f t="shared" si="215"/>
        <v>0</v>
      </c>
      <c r="Q216" s="121">
        <f t="shared" si="215"/>
        <v>0</v>
      </c>
      <c r="R216" s="121">
        <f t="shared" si="215"/>
        <v>0</v>
      </c>
      <c r="S216" s="121">
        <f t="shared" si="215"/>
        <v>6951240</v>
      </c>
      <c r="T216" s="121">
        <f t="shared" si="215"/>
        <v>6142269.2800000003</v>
      </c>
      <c r="U216" s="121">
        <f t="shared" si="215"/>
        <v>6142269.2800000003</v>
      </c>
      <c r="V216" s="121">
        <f t="shared" si="215"/>
        <v>0</v>
      </c>
      <c r="W216" s="121">
        <f t="shared" si="215"/>
        <v>0</v>
      </c>
      <c r="X216" s="121">
        <f t="shared" si="215"/>
        <v>0</v>
      </c>
      <c r="Y216" s="121">
        <f t="shared" si="215"/>
        <v>6142269.2800000003</v>
      </c>
      <c r="Z216" s="149">
        <f t="shared" si="205"/>
        <v>88.362209907872554</v>
      </c>
      <c r="AA216" s="121">
        <f t="shared" si="215"/>
        <v>6455571.6800000006</v>
      </c>
      <c r="AB216" s="121">
        <f t="shared" ref="AB216" si="216">AB237+AB254+AB233</f>
        <v>7264600</v>
      </c>
      <c r="AC216" s="237"/>
      <c r="AD216" s="98"/>
      <c r="AE216" s="132"/>
      <c r="AF216" s="125"/>
    </row>
    <row r="217" spans="1:32" s="11" customFormat="1" ht="123.75" customHeight="1" x14ac:dyDescent="0.25">
      <c r="A217" s="9"/>
      <c r="B217" s="18"/>
      <c r="C217" s="9"/>
      <c r="D217" s="131" t="str">
        <f>D246</f>
        <v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v>
      </c>
      <c r="E217" s="121">
        <f>E246</f>
        <v>0</v>
      </c>
      <c r="F217" s="121">
        <f t="shared" ref="F217:AA217" si="217">F246</f>
        <v>0</v>
      </c>
      <c r="G217" s="121">
        <f t="shared" si="217"/>
        <v>0</v>
      </c>
      <c r="H217" s="121">
        <f t="shared" si="217"/>
        <v>0</v>
      </c>
      <c r="I217" s="121">
        <f t="shared" si="217"/>
        <v>0</v>
      </c>
      <c r="J217" s="121">
        <f t="shared" si="217"/>
        <v>0</v>
      </c>
      <c r="K217" s="121">
        <f t="shared" si="217"/>
        <v>0</v>
      </c>
      <c r="L217" s="121">
        <f t="shared" si="217"/>
        <v>0</v>
      </c>
      <c r="M217" s="149" t="e">
        <f t="shared" si="203"/>
        <v>#DIV/0!</v>
      </c>
      <c r="N217" s="121">
        <f t="shared" si="217"/>
        <v>6564069.9000000004</v>
      </c>
      <c r="O217" s="121">
        <f t="shared" si="217"/>
        <v>0</v>
      </c>
      <c r="P217" s="121">
        <f t="shared" si="217"/>
        <v>0</v>
      </c>
      <c r="Q217" s="121">
        <f t="shared" si="217"/>
        <v>0</v>
      </c>
      <c r="R217" s="121">
        <f t="shared" si="217"/>
        <v>0</v>
      </c>
      <c r="S217" s="121">
        <f t="shared" si="217"/>
        <v>6564069.9000000004</v>
      </c>
      <c r="T217" s="121">
        <f t="shared" si="217"/>
        <v>0</v>
      </c>
      <c r="U217" s="121">
        <f t="shared" si="217"/>
        <v>0</v>
      </c>
      <c r="V217" s="121">
        <f t="shared" si="217"/>
        <v>0</v>
      </c>
      <c r="W217" s="121">
        <f t="shared" si="217"/>
        <v>0</v>
      </c>
      <c r="X217" s="121">
        <f t="shared" si="217"/>
        <v>0</v>
      </c>
      <c r="Y217" s="121">
        <f t="shared" si="217"/>
        <v>0</v>
      </c>
      <c r="Z217" s="149">
        <f t="shared" si="205"/>
        <v>0</v>
      </c>
      <c r="AA217" s="121">
        <f t="shared" si="217"/>
        <v>0</v>
      </c>
      <c r="AB217" s="121">
        <f t="shared" ref="AB217" si="218">AB246</f>
        <v>6564069.9000000004</v>
      </c>
      <c r="AC217" s="237"/>
      <c r="AD217" s="98"/>
      <c r="AE217" s="132"/>
      <c r="AF217" s="125"/>
    </row>
    <row r="218" spans="1:32" s="11" customFormat="1" ht="47.25" x14ac:dyDescent="0.25">
      <c r="A218" s="9"/>
      <c r="B218" s="18"/>
      <c r="C218" s="9"/>
      <c r="D218" s="131" t="str">
        <f>D234</f>
        <v>залишку коштів інших субвенцій з місцевого бюджету,  що склався станом на 01.01.2025 року</v>
      </c>
      <c r="E218" s="121">
        <f>E234</f>
        <v>0</v>
      </c>
      <c r="F218" s="121">
        <f t="shared" ref="F218:AA218" si="219">F234</f>
        <v>0</v>
      </c>
      <c r="G218" s="121">
        <f t="shared" si="219"/>
        <v>0</v>
      </c>
      <c r="H218" s="121">
        <f t="shared" si="219"/>
        <v>0</v>
      </c>
      <c r="I218" s="121">
        <f t="shared" si="219"/>
        <v>0</v>
      </c>
      <c r="J218" s="121">
        <f t="shared" si="219"/>
        <v>0</v>
      </c>
      <c r="K218" s="121">
        <f t="shared" si="219"/>
        <v>0</v>
      </c>
      <c r="L218" s="121">
        <f t="shared" si="219"/>
        <v>0</v>
      </c>
      <c r="M218" s="149" t="e">
        <f t="shared" si="203"/>
        <v>#DIV/0!</v>
      </c>
      <c r="N218" s="121">
        <f t="shared" si="219"/>
        <v>4380600</v>
      </c>
      <c r="O218" s="121">
        <f t="shared" si="219"/>
        <v>4380600</v>
      </c>
      <c r="P218" s="121">
        <f t="shared" si="219"/>
        <v>0</v>
      </c>
      <c r="Q218" s="121">
        <f t="shared" si="219"/>
        <v>0</v>
      </c>
      <c r="R218" s="121">
        <f t="shared" si="219"/>
        <v>0</v>
      </c>
      <c r="S218" s="121">
        <f t="shared" si="219"/>
        <v>4380600</v>
      </c>
      <c r="T218" s="121">
        <f t="shared" si="219"/>
        <v>4374246.3899999997</v>
      </c>
      <c r="U218" s="121">
        <f t="shared" si="219"/>
        <v>4374246.3899999997</v>
      </c>
      <c r="V218" s="121">
        <f t="shared" si="219"/>
        <v>0</v>
      </c>
      <c r="W218" s="121">
        <f t="shared" si="219"/>
        <v>0</v>
      </c>
      <c r="X218" s="121">
        <f t="shared" si="219"/>
        <v>0</v>
      </c>
      <c r="Y218" s="121">
        <f t="shared" si="219"/>
        <v>4374246.3899999997</v>
      </c>
      <c r="Z218" s="149">
        <f t="shared" si="205"/>
        <v>99.854960279413774</v>
      </c>
      <c r="AA218" s="121">
        <f t="shared" si="219"/>
        <v>4374246.3899999997</v>
      </c>
      <c r="AB218" s="121">
        <f t="shared" ref="AB218" si="220">AB234</f>
        <v>4380600</v>
      </c>
      <c r="AC218" s="237"/>
      <c r="AD218" s="98"/>
      <c r="AE218" s="132"/>
      <c r="AF218" s="125"/>
    </row>
    <row r="219" spans="1:32" s="11" customFormat="1" ht="23.25" customHeight="1" x14ac:dyDescent="0.25">
      <c r="A219" s="9"/>
      <c r="B219" s="18"/>
      <c r="C219" s="9"/>
      <c r="D219" s="131" t="str">
        <f>D235</f>
        <v>іншої субвенції з місцевого бюджету</v>
      </c>
      <c r="E219" s="121">
        <f>E235</f>
        <v>0</v>
      </c>
      <c r="F219" s="121">
        <f t="shared" ref="F219:AA219" si="221">F235</f>
        <v>0</v>
      </c>
      <c r="G219" s="121">
        <f t="shared" si="221"/>
        <v>0</v>
      </c>
      <c r="H219" s="121">
        <f t="shared" si="221"/>
        <v>0</v>
      </c>
      <c r="I219" s="121">
        <f t="shared" si="221"/>
        <v>0</v>
      </c>
      <c r="J219" s="121">
        <f t="shared" si="221"/>
        <v>0</v>
      </c>
      <c r="K219" s="121">
        <f t="shared" si="221"/>
        <v>0</v>
      </c>
      <c r="L219" s="121">
        <f t="shared" si="221"/>
        <v>0</v>
      </c>
      <c r="M219" s="149" t="e">
        <f t="shared" si="203"/>
        <v>#DIV/0!</v>
      </c>
      <c r="N219" s="121">
        <f t="shared" si="221"/>
        <v>2016277.44</v>
      </c>
      <c r="O219" s="121">
        <f t="shared" si="221"/>
        <v>2016277.44</v>
      </c>
      <c r="P219" s="121">
        <f t="shared" si="221"/>
        <v>0</v>
      </c>
      <c r="Q219" s="121">
        <f t="shared" si="221"/>
        <v>0</v>
      </c>
      <c r="R219" s="121">
        <f t="shared" si="221"/>
        <v>0</v>
      </c>
      <c r="S219" s="121">
        <f t="shared" si="221"/>
        <v>2016277.44</v>
      </c>
      <c r="T219" s="121">
        <f t="shared" si="221"/>
        <v>1031845.66</v>
      </c>
      <c r="U219" s="121">
        <f t="shared" si="221"/>
        <v>1031845.66</v>
      </c>
      <c r="V219" s="121">
        <f t="shared" si="221"/>
        <v>0</v>
      </c>
      <c r="W219" s="121">
        <f t="shared" si="221"/>
        <v>0</v>
      </c>
      <c r="X219" s="121">
        <f t="shared" si="221"/>
        <v>0</v>
      </c>
      <c r="Y219" s="121">
        <f t="shared" si="221"/>
        <v>1031845.66</v>
      </c>
      <c r="Z219" s="149">
        <f t="shared" si="205"/>
        <v>51.175777674723179</v>
      </c>
      <c r="AA219" s="121">
        <f t="shared" si="221"/>
        <v>1031845.66</v>
      </c>
      <c r="AB219" s="121">
        <f t="shared" ref="AB219" si="222">AB235</f>
        <v>2016277.44</v>
      </c>
      <c r="AC219" s="237"/>
      <c r="AD219" s="98"/>
      <c r="AE219" s="132"/>
      <c r="AF219" s="125"/>
    </row>
    <row r="220" spans="1:32" s="15" customFormat="1" ht="47.25" x14ac:dyDescent="0.25">
      <c r="A220" s="12" t="s">
        <v>161</v>
      </c>
      <c r="B220" s="12" t="str">
        <f>'дод 5'!A19</f>
        <v>0160</v>
      </c>
      <c r="C220" s="12" t="str">
        <f>'дод 5'!B19</f>
        <v>0111</v>
      </c>
      <c r="D220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220" s="96">
        <f t="shared" ref="E220:E260" si="223">F220+I220</f>
        <v>31036600</v>
      </c>
      <c r="F220" s="96">
        <f>30800100+367200-100000-393000+116000+74200-243400+415500</f>
        <v>31036600</v>
      </c>
      <c r="G220" s="96">
        <f>24109300-322100+60800-172800+340600-50000</f>
        <v>23965800</v>
      </c>
      <c r="H220" s="96">
        <v>593100</v>
      </c>
      <c r="I220" s="96"/>
      <c r="J220" s="96">
        <v>30708107.850000001</v>
      </c>
      <c r="K220" s="96">
        <v>23965275.059999999</v>
      </c>
      <c r="L220" s="96">
        <v>457343.88</v>
      </c>
      <c r="M220" s="150">
        <f t="shared" si="203"/>
        <v>98.94159750101494</v>
      </c>
      <c r="N220" s="96">
        <f>P220+S220</f>
        <v>0</v>
      </c>
      <c r="O220" s="96"/>
      <c r="P220" s="96"/>
      <c r="Q220" s="96"/>
      <c r="R220" s="96"/>
      <c r="S220" s="96"/>
      <c r="T220" s="96">
        <f t="shared" si="204"/>
        <v>0</v>
      </c>
      <c r="U220" s="96"/>
      <c r="V220" s="96"/>
      <c r="W220" s="96"/>
      <c r="X220" s="96"/>
      <c r="Y220" s="96"/>
      <c r="Z220" s="150" t="e">
        <f t="shared" si="205"/>
        <v>#DIV/0!</v>
      </c>
      <c r="AA220" s="96">
        <f t="shared" si="206"/>
        <v>30708107.850000001</v>
      </c>
      <c r="AB220" s="96">
        <f t="shared" ref="AB220:AB260" si="224">E220+N220</f>
        <v>31036600</v>
      </c>
      <c r="AC220" s="237"/>
      <c r="AD220" s="113"/>
      <c r="AE220" s="132"/>
      <c r="AF220" s="125"/>
    </row>
    <row r="221" spans="1:32" s="15" customFormat="1" ht="23.25" hidden="1" customHeight="1" x14ac:dyDescent="0.25">
      <c r="A221" s="12" t="s">
        <v>317</v>
      </c>
      <c r="B221" s="12" t="str">
        <f>'дод 5'!A20</f>
        <v>0180</v>
      </c>
      <c r="C221" s="12" t="str">
        <f>'дод 5'!B20</f>
        <v>0133</v>
      </c>
      <c r="D221" s="26" t="str">
        <f>'дод 5'!C20</f>
        <v>Інша діяльність у сфері державного управління</v>
      </c>
      <c r="E221" s="96">
        <f t="shared" si="223"/>
        <v>0</v>
      </c>
      <c r="F221" s="96"/>
      <c r="G221" s="96"/>
      <c r="H221" s="96"/>
      <c r="I221" s="96"/>
      <c r="J221" s="96"/>
      <c r="K221" s="96"/>
      <c r="L221" s="96"/>
      <c r="M221" s="150" t="e">
        <f t="shared" si="203"/>
        <v>#DIV/0!</v>
      </c>
      <c r="N221" s="96">
        <f>P221+S221</f>
        <v>0</v>
      </c>
      <c r="O221" s="96"/>
      <c r="P221" s="96"/>
      <c r="Q221" s="96"/>
      <c r="R221" s="96"/>
      <c r="S221" s="96"/>
      <c r="T221" s="96">
        <f t="shared" si="204"/>
        <v>0</v>
      </c>
      <c r="U221" s="96"/>
      <c r="V221" s="96"/>
      <c r="W221" s="96"/>
      <c r="X221" s="96"/>
      <c r="Y221" s="96"/>
      <c r="Z221" s="150" t="e">
        <f t="shared" si="205"/>
        <v>#DIV/0!</v>
      </c>
      <c r="AA221" s="96">
        <f t="shared" si="206"/>
        <v>0</v>
      </c>
      <c r="AB221" s="96">
        <f t="shared" si="224"/>
        <v>0</v>
      </c>
      <c r="AC221" s="237"/>
      <c r="AD221" s="113"/>
      <c r="AE221" s="132"/>
      <c r="AF221" s="125"/>
    </row>
    <row r="222" spans="1:32" s="15" customFormat="1" ht="21" customHeight="1" x14ac:dyDescent="0.25">
      <c r="A222" s="12" t="s">
        <v>234</v>
      </c>
      <c r="B222" s="13" t="str">
        <f>'дод 5'!A153</f>
        <v>3210</v>
      </c>
      <c r="C222" s="12" t="str">
        <f>'дод 5'!B153</f>
        <v>1050</v>
      </c>
      <c r="D222" s="14" t="str">
        <f>'дод 5'!C153</f>
        <v>Організація та проведення громадських робіт</v>
      </c>
      <c r="E222" s="96">
        <f t="shared" si="223"/>
        <v>0</v>
      </c>
      <c r="F222" s="96">
        <f>100000-49000-51000</f>
        <v>0</v>
      </c>
      <c r="G222" s="96"/>
      <c r="H222" s="96"/>
      <c r="I222" s="96"/>
      <c r="J222" s="96"/>
      <c r="K222" s="96"/>
      <c r="L222" s="96"/>
      <c r="M222" s="150" t="e">
        <f t="shared" si="203"/>
        <v>#DIV/0!</v>
      </c>
      <c r="N222" s="96">
        <f t="shared" ref="N222:N260" si="225">P222+S222</f>
        <v>0</v>
      </c>
      <c r="O222" s="96"/>
      <c r="P222" s="96"/>
      <c r="Q222" s="96"/>
      <c r="R222" s="96"/>
      <c r="S222" s="96"/>
      <c r="T222" s="96">
        <f t="shared" si="204"/>
        <v>50000</v>
      </c>
      <c r="U222" s="96"/>
      <c r="V222" s="96">
        <v>50000</v>
      </c>
      <c r="W222" s="96">
        <v>40983.599999999999</v>
      </c>
      <c r="X222" s="96"/>
      <c r="Y222" s="96"/>
      <c r="Z222" s="150" t="e">
        <f t="shared" si="205"/>
        <v>#DIV/0!</v>
      </c>
      <c r="AA222" s="96">
        <f t="shared" si="206"/>
        <v>50000</v>
      </c>
      <c r="AB222" s="96">
        <f t="shared" si="224"/>
        <v>0</v>
      </c>
      <c r="AC222" s="237"/>
      <c r="AD222" s="113"/>
      <c r="AE222" s="132"/>
      <c r="AF222" s="125"/>
    </row>
    <row r="223" spans="1:32" s="15" customFormat="1" ht="34.5" customHeight="1" x14ac:dyDescent="0.25">
      <c r="A223" s="12" t="s">
        <v>547</v>
      </c>
      <c r="B223" s="13">
        <f>'дод 5'!A165</f>
        <v>4084</v>
      </c>
      <c r="C223" s="13" t="str">
        <f>'дод 5'!B165</f>
        <v>0829</v>
      </c>
      <c r="D223" s="16" t="str">
        <f>'дод 5'!C165</f>
        <v>Проектування, реставрація та охорона пам'яток культурної спадщини</v>
      </c>
      <c r="E223" s="96">
        <f t="shared" si="223"/>
        <v>0</v>
      </c>
      <c r="F223" s="96"/>
      <c r="G223" s="96"/>
      <c r="H223" s="96"/>
      <c r="I223" s="96"/>
      <c r="J223" s="96"/>
      <c r="K223" s="96"/>
      <c r="L223" s="96"/>
      <c r="M223" s="150" t="e">
        <f t="shared" si="203"/>
        <v>#DIV/0!</v>
      </c>
      <c r="N223" s="96">
        <f t="shared" si="225"/>
        <v>190760</v>
      </c>
      <c r="O223" s="96">
        <v>190760</v>
      </c>
      <c r="P223" s="96"/>
      <c r="Q223" s="96"/>
      <c r="R223" s="96"/>
      <c r="S223" s="96">
        <v>190760</v>
      </c>
      <c r="T223" s="96">
        <f t="shared" si="204"/>
        <v>190760</v>
      </c>
      <c r="U223" s="96">
        <v>190760</v>
      </c>
      <c r="V223" s="96"/>
      <c r="W223" s="96"/>
      <c r="X223" s="96"/>
      <c r="Y223" s="96">
        <v>190760</v>
      </c>
      <c r="Z223" s="150">
        <f t="shared" si="205"/>
        <v>100</v>
      </c>
      <c r="AA223" s="96">
        <f t="shared" si="206"/>
        <v>190760</v>
      </c>
      <c r="AB223" s="96">
        <f t="shared" si="224"/>
        <v>190760</v>
      </c>
      <c r="AC223" s="237"/>
      <c r="AD223" s="113"/>
      <c r="AE223" s="132"/>
      <c r="AF223" s="125"/>
    </row>
    <row r="224" spans="1:32" s="15" customFormat="1" ht="31.5" x14ac:dyDescent="0.25">
      <c r="A224" s="12" t="s">
        <v>162</v>
      </c>
      <c r="B224" s="13" t="str">
        <f>'дод 5'!A179</f>
        <v>6013</v>
      </c>
      <c r="C224" s="12" t="str">
        <f>'дод 5'!B179</f>
        <v>0620</v>
      </c>
      <c r="D224" s="14" t="str">
        <f>'дод 5'!C179</f>
        <v>Забезпечення діяльності водопровідно-каналізаційного господарства</v>
      </c>
      <c r="E224" s="96">
        <f t="shared" si="223"/>
        <v>91585838</v>
      </c>
      <c r="F224" s="96">
        <f>1005000+29773-35000-150000-40000-50000</f>
        <v>759773</v>
      </c>
      <c r="G224" s="96"/>
      <c r="H224" s="96"/>
      <c r="I224" s="96">
        <f>60000000+6248432+703201+5754995+7467606+93024+3685579+4473628+2399600</f>
        <v>90826065</v>
      </c>
      <c r="J224" s="96">
        <v>91578133.030000001</v>
      </c>
      <c r="K224" s="96"/>
      <c r="L224" s="96"/>
      <c r="M224" s="150">
        <f t="shared" si="203"/>
        <v>99.991587160014845</v>
      </c>
      <c r="N224" s="96">
        <f t="shared" si="225"/>
        <v>43000</v>
      </c>
      <c r="O224" s="96">
        <v>43000</v>
      </c>
      <c r="P224" s="96"/>
      <c r="Q224" s="96"/>
      <c r="R224" s="96"/>
      <c r="S224" s="96">
        <v>43000</v>
      </c>
      <c r="T224" s="96">
        <f t="shared" si="204"/>
        <v>43000</v>
      </c>
      <c r="U224" s="96">
        <v>43000</v>
      </c>
      <c r="V224" s="96"/>
      <c r="W224" s="96"/>
      <c r="X224" s="96"/>
      <c r="Y224" s="96">
        <v>43000</v>
      </c>
      <c r="Z224" s="150">
        <f t="shared" si="205"/>
        <v>100</v>
      </c>
      <c r="AA224" s="96">
        <f t="shared" si="206"/>
        <v>91621133.030000001</v>
      </c>
      <c r="AB224" s="96">
        <f t="shared" si="224"/>
        <v>91628838</v>
      </c>
      <c r="AC224" s="237"/>
      <c r="AD224" s="113"/>
      <c r="AE224" s="132"/>
      <c r="AF224" s="125"/>
    </row>
    <row r="225" spans="1:32" s="15" customFormat="1" ht="25.15" customHeight="1" x14ac:dyDescent="0.25">
      <c r="A225" s="12" t="s">
        <v>372</v>
      </c>
      <c r="B225" s="13">
        <f>'дод 5'!A180</f>
        <v>6014</v>
      </c>
      <c r="C225" s="12" t="str">
        <f>'дод 5'!B180</f>
        <v>0620</v>
      </c>
      <c r="D225" s="16" t="str">
        <f>'дод 5'!C180</f>
        <v>Забезпечення збору та вивезення сміття і відходів</v>
      </c>
      <c r="E225" s="96">
        <f t="shared" ref="E225:E226" si="226">F225+I225</f>
        <v>7815206</v>
      </c>
      <c r="F225" s="96">
        <f>6500000-1900000+970000+550000+1740000-44794</f>
        <v>7815206</v>
      </c>
      <c r="G225" s="96"/>
      <c r="H225" s="96"/>
      <c r="I225" s="96"/>
      <c r="J225" s="96">
        <v>6295631.4000000004</v>
      </c>
      <c r="K225" s="96"/>
      <c r="L225" s="96"/>
      <c r="M225" s="150">
        <f t="shared" si="203"/>
        <v>80.556179837102178</v>
      </c>
      <c r="N225" s="96">
        <f t="shared" ref="N225:N226" si="227">P225+S225</f>
        <v>0</v>
      </c>
      <c r="O225" s="96"/>
      <c r="P225" s="96"/>
      <c r="Q225" s="96"/>
      <c r="R225" s="96"/>
      <c r="S225" s="96"/>
      <c r="T225" s="96">
        <f t="shared" si="204"/>
        <v>0</v>
      </c>
      <c r="U225" s="96"/>
      <c r="V225" s="96"/>
      <c r="W225" s="96"/>
      <c r="X225" s="96"/>
      <c r="Y225" s="96"/>
      <c r="Z225" s="150" t="e">
        <f t="shared" si="205"/>
        <v>#DIV/0!</v>
      </c>
      <c r="AA225" s="96">
        <f t="shared" si="206"/>
        <v>6295631.4000000004</v>
      </c>
      <c r="AB225" s="96">
        <f t="shared" ref="AB225:AB226" si="228">E225+N225</f>
        <v>7815206</v>
      </c>
      <c r="AC225" s="237"/>
      <c r="AD225" s="113"/>
      <c r="AE225" s="132"/>
      <c r="AF225" s="125"/>
    </row>
    <row r="226" spans="1:32" s="15" customFormat="1" ht="31.5" x14ac:dyDescent="0.25">
      <c r="A226" s="12" t="s">
        <v>568</v>
      </c>
      <c r="B226" s="13">
        <f>'дод 5'!A181</f>
        <v>6015</v>
      </c>
      <c r="C226" s="13" t="str">
        <f>'дод 5'!B181</f>
        <v>0620</v>
      </c>
      <c r="D226" s="16" t="str">
        <f>'дод 5'!C181</f>
        <v>Забезпечення надійної та безперебійної експлуатації ліфтів</v>
      </c>
      <c r="E226" s="96">
        <f t="shared" si="226"/>
        <v>0</v>
      </c>
      <c r="F226" s="96"/>
      <c r="G226" s="96"/>
      <c r="H226" s="96"/>
      <c r="I226" s="96"/>
      <c r="J226" s="96"/>
      <c r="K226" s="96"/>
      <c r="L226" s="96"/>
      <c r="M226" s="150" t="e">
        <f t="shared" si="203"/>
        <v>#DIV/0!</v>
      </c>
      <c r="N226" s="96">
        <f t="shared" si="227"/>
        <v>55000</v>
      </c>
      <c r="O226" s="96">
        <v>55000</v>
      </c>
      <c r="P226" s="96"/>
      <c r="Q226" s="96"/>
      <c r="R226" s="96"/>
      <c r="S226" s="96">
        <v>55000</v>
      </c>
      <c r="T226" s="96">
        <f t="shared" si="204"/>
        <v>53268.66</v>
      </c>
      <c r="U226" s="96">
        <v>53268.66</v>
      </c>
      <c r="V226" s="96"/>
      <c r="W226" s="96"/>
      <c r="X226" s="96"/>
      <c r="Y226" s="96">
        <v>53268.66</v>
      </c>
      <c r="Z226" s="150">
        <f t="shared" si="205"/>
        <v>96.852109090909096</v>
      </c>
      <c r="AA226" s="96">
        <f t="shared" si="206"/>
        <v>53268.66</v>
      </c>
      <c r="AB226" s="96">
        <f t="shared" si="228"/>
        <v>55000</v>
      </c>
      <c r="AC226" s="237"/>
      <c r="AD226" s="113"/>
      <c r="AE226" s="132"/>
      <c r="AF226" s="125"/>
    </row>
    <row r="227" spans="1:32" s="15" customFormat="1" ht="31.5" customHeight="1" x14ac:dyDescent="0.25">
      <c r="A227" s="12" t="s">
        <v>211</v>
      </c>
      <c r="B227" s="13" t="str">
        <f>'дод 5'!A182</f>
        <v>6017</v>
      </c>
      <c r="C227" s="12" t="str">
        <f>'дод 5'!B182</f>
        <v>0620</v>
      </c>
      <c r="D227" s="14" t="str">
        <f>'дод 5'!C182</f>
        <v>Інша діяльність, пов’язана з експлуатацією об’єктів житлово-комунального господарства</v>
      </c>
      <c r="E227" s="96">
        <f t="shared" si="223"/>
        <v>907500</v>
      </c>
      <c r="F227" s="96">
        <f>400000+200000+197000+110500</f>
        <v>907500</v>
      </c>
      <c r="G227" s="96"/>
      <c r="H227" s="96"/>
      <c r="I227" s="96"/>
      <c r="J227" s="96">
        <v>903860.64</v>
      </c>
      <c r="K227" s="96"/>
      <c r="L227" s="96"/>
      <c r="M227" s="150">
        <f t="shared" si="203"/>
        <v>99.598968595041327</v>
      </c>
      <c r="N227" s="96">
        <f t="shared" si="225"/>
        <v>0</v>
      </c>
      <c r="O227" s="96"/>
      <c r="P227" s="96"/>
      <c r="Q227" s="96"/>
      <c r="R227" s="96"/>
      <c r="S227" s="96"/>
      <c r="T227" s="96">
        <f t="shared" si="204"/>
        <v>0</v>
      </c>
      <c r="U227" s="96"/>
      <c r="V227" s="96"/>
      <c r="W227" s="96"/>
      <c r="X227" s="96"/>
      <c r="Y227" s="96"/>
      <c r="Z227" s="150" t="e">
        <f t="shared" si="205"/>
        <v>#DIV/0!</v>
      </c>
      <c r="AA227" s="96">
        <f t="shared" si="206"/>
        <v>903860.64</v>
      </c>
      <c r="AB227" s="96">
        <f t="shared" si="224"/>
        <v>907500</v>
      </c>
      <c r="AC227" s="237"/>
      <c r="AD227" s="113"/>
      <c r="AE227" s="132"/>
      <c r="AF227" s="125"/>
    </row>
    <row r="228" spans="1:32" s="15" customFormat="1" ht="47.25" x14ac:dyDescent="0.25">
      <c r="A228" s="12" t="s">
        <v>163</v>
      </c>
      <c r="B228" s="13" t="str">
        <f>'дод 5'!A183</f>
        <v>6020</v>
      </c>
      <c r="C228" s="12" t="str">
        <f>'дод 5'!B183</f>
        <v>0620</v>
      </c>
      <c r="D228" s="14" t="str">
        <f>'дод 5'!C183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E228" s="96">
        <f t="shared" si="223"/>
        <v>5435598</v>
      </c>
      <c r="F228" s="96"/>
      <c r="G228" s="96"/>
      <c r="H228" s="96"/>
      <c r="I228" s="96">
        <f>2785000+200000+6209+1900000+697500+376803+240000-889137+119223</f>
        <v>5435598</v>
      </c>
      <c r="J228" s="96">
        <v>4109474.88</v>
      </c>
      <c r="K228" s="96"/>
      <c r="L228" s="96"/>
      <c r="M228" s="150">
        <f t="shared" si="203"/>
        <v>75.602994923465644</v>
      </c>
      <c r="N228" s="96">
        <f t="shared" si="225"/>
        <v>0</v>
      </c>
      <c r="O228" s="96"/>
      <c r="P228" s="96"/>
      <c r="Q228" s="96"/>
      <c r="R228" s="96"/>
      <c r="S228" s="96"/>
      <c r="T228" s="96">
        <f t="shared" si="204"/>
        <v>0</v>
      </c>
      <c r="U228" s="96"/>
      <c r="V228" s="96"/>
      <c r="W228" s="96"/>
      <c r="X228" s="96"/>
      <c r="Y228" s="96"/>
      <c r="Z228" s="150" t="e">
        <f t="shared" si="205"/>
        <v>#DIV/0!</v>
      </c>
      <c r="AA228" s="96">
        <f t="shared" si="206"/>
        <v>4109474.88</v>
      </c>
      <c r="AB228" s="96">
        <f t="shared" si="224"/>
        <v>5435598</v>
      </c>
      <c r="AC228" s="237"/>
      <c r="AD228" s="113"/>
      <c r="AE228" s="132"/>
      <c r="AF228" s="125"/>
    </row>
    <row r="229" spans="1:32" s="15" customFormat="1" ht="24" customHeight="1" x14ac:dyDescent="0.25">
      <c r="A229" s="12" t="s">
        <v>164</v>
      </c>
      <c r="B229" s="13" t="str">
        <f>'дод 5'!A184</f>
        <v>6030</v>
      </c>
      <c r="C229" s="12" t="str">
        <f>'дод 5'!B184</f>
        <v>0620</v>
      </c>
      <c r="D229" s="14" t="str">
        <f>'дод 5'!C184</f>
        <v>Організація благоустрою населених пунктів</v>
      </c>
      <c r="E229" s="96">
        <f t="shared" si="223"/>
        <v>302547960</v>
      </c>
      <c r="F229" s="96">
        <f>294490800+1000000-1000000-367200+100000+50000+134047-30000+421000+99988+293400+55764+24000000+199944+49000+1700000-472636+100000+1000000+150000-195000+1388656+44800+49000+49000+59922-2071046-1500000-39700-30000-13281779-5000000-100000+100000</f>
        <v>301447960</v>
      </c>
      <c r="G229" s="96"/>
      <c r="H229" s="96">
        <f>60350000-5000000-150000-2071046-1500000-13281779-5000000</f>
        <v>33347175</v>
      </c>
      <c r="I229" s="96">
        <f>200000+1000000-100000</f>
        <v>1100000</v>
      </c>
      <c r="J229" s="96">
        <v>283311698.23000002</v>
      </c>
      <c r="K229" s="96"/>
      <c r="L229" s="96">
        <v>27382860.829999998</v>
      </c>
      <c r="M229" s="150">
        <f t="shared" si="203"/>
        <v>93.641913245754495</v>
      </c>
      <c r="N229" s="96">
        <f t="shared" si="225"/>
        <v>240540</v>
      </c>
      <c r="O229" s="96">
        <f>71000+95000+74540</f>
        <v>240540</v>
      </c>
      <c r="P229" s="96"/>
      <c r="Q229" s="96"/>
      <c r="R229" s="96"/>
      <c r="S229" s="96">
        <f>71000+95000+74540</f>
        <v>240540</v>
      </c>
      <c r="T229" s="96">
        <f t="shared" si="204"/>
        <v>165761.04999999999</v>
      </c>
      <c r="U229" s="96">
        <v>165761.04999999999</v>
      </c>
      <c r="V229" s="96"/>
      <c r="W229" s="96"/>
      <c r="X229" s="96"/>
      <c r="Y229" s="96">
        <v>165761.04999999999</v>
      </c>
      <c r="Z229" s="150">
        <f t="shared" si="205"/>
        <v>68.912052049555157</v>
      </c>
      <c r="AA229" s="96">
        <f t="shared" si="206"/>
        <v>283477459.28000003</v>
      </c>
      <c r="AB229" s="96">
        <f t="shared" si="224"/>
        <v>302788500</v>
      </c>
      <c r="AC229" s="237"/>
      <c r="AD229" s="113"/>
      <c r="AE229" s="132"/>
      <c r="AF229" s="125"/>
    </row>
    <row r="230" spans="1:32" s="15" customFormat="1" ht="30" customHeight="1" x14ac:dyDescent="0.25">
      <c r="A230" s="12" t="s">
        <v>208</v>
      </c>
      <c r="B230" s="13" t="str">
        <f>'дод 5'!A186</f>
        <v>6090</v>
      </c>
      <c r="C230" s="12" t="str">
        <f>'дод 5'!B186</f>
        <v>0640</v>
      </c>
      <c r="D230" s="14" t="str">
        <f>'дод 5'!C186</f>
        <v>Інша діяльність у сфері житлово-комунального господарства</v>
      </c>
      <c r="E230" s="96">
        <f t="shared" si="223"/>
        <v>2965608</v>
      </c>
      <c r="F230" s="96">
        <f>1590360-29773+65000+195000-20310+40000-15140+23700+96000-43000+52653+51780+100000</f>
        <v>2106270</v>
      </c>
      <c r="G230" s="96"/>
      <c r="H230" s="96">
        <v>6000</v>
      </c>
      <c r="I230" s="96">
        <f>1162500+700000+20310-640000-132610-146429-52653-51780</f>
        <v>859338</v>
      </c>
      <c r="J230" s="96">
        <v>2096187.53</v>
      </c>
      <c r="K230" s="96"/>
      <c r="L230" s="96">
        <v>504.88</v>
      </c>
      <c r="M230" s="150">
        <f t="shared" si="203"/>
        <v>70.6832302178845</v>
      </c>
      <c r="N230" s="96">
        <f t="shared" ref="N230" si="229">P230+S230</f>
        <v>0</v>
      </c>
      <c r="O230" s="96">
        <f>150000-150000</f>
        <v>0</v>
      </c>
      <c r="P230" s="96"/>
      <c r="Q230" s="96"/>
      <c r="R230" s="96"/>
      <c r="S230" s="96">
        <f>150000-150000</f>
        <v>0</v>
      </c>
      <c r="T230" s="96">
        <f t="shared" si="204"/>
        <v>24815163.710000001</v>
      </c>
      <c r="U230" s="96"/>
      <c r="V230" s="96">
        <v>4197593.5199999996</v>
      </c>
      <c r="W230" s="96"/>
      <c r="X230" s="96"/>
      <c r="Y230" s="96">
        <v>20617570.190000001</v>
      </c>
      <c r="Z230" s="150" t="e">
        <f t="shared" si="205"/>
        <v>#DIV/0!</v>
      </c>
      <c r="AA230" s="96">
        <f t="shared" si="206"/>
        <v>26911351.240000002</v>
      </c>
      <c r="AB230" s="96">
        <f t="shared" si="224"/>
        <v>2965608</v>
      </c>
      <c r="AC230" s="237"/>
      <c r="AD230" s="113"/>
      <c r="AE230" s="132"/>
      <c r="AF230" s="125"/>
    </row>
    <row r="231" spans="1:32" s="15" customFormat="1" ht="34.5" x14ac:dyDescent="0.25">
      <c r="A231" s="12" t="s">
        <v>382</v>
      </c>
      <c r="B231" s="13">
        <f>'дод 5'!A187</f>
        <v>6091</v>
      </c>
      <c r="C231" s="12" t="str">
        <f>'дод 5'!B187</f>
        <v>0640</v>
      </c>
      <c r="D231" s="14" t="s">
        <v>354</v>
      </c>
      <c r="E231" s="96">
        <f>F231+I231</f>
        <v>0</v>
      </c>
      <c r="F231" s="96"/>
      <c r="G231" s="96"/>
      <c r="H231" s="96"/>
      <c r="I231" s="96"/>
      <c r="J231" s="96"/>
      <c r="K231" s="96"/>
      <c r="L231" s="96"/>
      <c r="M231" s="150" t="e">
        <f t="shared" si="203"/>
        <v>#DIV/0!</v>
      </c>
      <c r="N231" s="96">
        <f t="shared" ref="N231" si="230">P231+S231</f>
        <v>26622681.999999996</v>
      </c>
      <c r="O231" s="96">
        <f>14083307+147000-8583307+3240000+14160000-17432.86-35449.92-7147.24-17693.84-17693.84-17693.84-35449.92-7147.24-11886.57-17693.84-7147.24+4467.49+16082.16+21889.44+4467.49+16082.16+27696.8+4467.49+4467.49+92815.83+3575682</f>
        <v>26622681.999999996</v>
      </c>
      <c r="P231" s="96"/>
      <c r="Q231" s="96"/>
      <c r="R231" s="96"/>
      <c r="S231" s="96">
        <f>14083307+147000-8583307+3240000+14160000-17432.86-35449.92-7147.24-17693.84-17693.84-17693.84-35449.92-7147.24-11886.57-17693.84-7147.24+4467.49+16082.16+21889.44+4467.49+16082.16+27696.8+4467.49+4467.49+92815.83+3575682</f>
        <v>26622681.999999996</v>
      </c>
      <c r="T231" s="96">
        <f t="shared" si="204"/>
        <v>11711270.619999999</v>
      </c>
      <c r="U231" s="96">
        <v>11711270.619999999</v>
      </c>
      <c r="V231" s="96"/>
      <c r="W231" s="96"/>
      <c r="X231" s="96"/>
      <c r="Y231" s="96">
        <v>11711270.619999999</v>
      </c>
      <c r="Z231" s="150">
        <f t="shared" si="205"/>
        <v>43.989822738370236</v>
      </c>
      <c r="AA231" s="96">
        <f t="shared" si="206"/>
        <v>11711270.619999999</v>
      </c>
      <c r="AB231" s="96">
        <f t="shared" ref="AB231" si="231">E231+N231</f>
        <v>26622681.999999996</v>
      </c>
      <c r="AC231" s="237"/>
      <c r="AD231" s="113"/>
      <c r="AE231" s="132"/>
      <c r="AF231" s="125"/>
    </row>
    <row r="232" spans="1:32" s="15" customFormat="1" ht="63" x14ac:dyDescent="0.25">
      <c r="A232" s="12" t="s">
        <v>373</v>
      </c>
      <c r="B232" s="13">
        <f>'дод 5'!A188</f>
        <v>6092</v>
      </c>
      <c r="C232" s="12" t="str">
        <f>'дод 5'!B188</f>
        <v>0610</v>
      </c>
      <c r="D232" s="16" t="str">
        <f>'дод 5'!C188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v>
      </c>
      <c r="E232" s="96">
        <f t="shared" ref="E232:E246" si="232">F232+I232</f>
        <v>4000000</v>
      </c>
      <c r="F232" s="96">
        <f>10000000-6000000</f>
        <v>4000000</v>
      </c>
      <c r="G232" s="96"/>
      <c r="H232" s="96"/>
      <c r="I232" s="96"/>
      <c r="J232" s="96">
        <v>2784102.35</v>
      </c>
      <c r="K232" s="96"/>
      <c r="L232" s="96"/>
      <c r="M232" s="150">
        <f t="shared" si="203"/>
        <v>69.60255875</v>
      </c>
      <c r="N232" s="96">
        <f t="shared" ref="N232:N239" si="233">P232+S232</f>
        <v>48788616.439999998</v>
      </c>
      <c r="O232" s="96">
        <f>6000000+10000000+2832085+1616770+50000+50000+50000+194540+950971+100000+260000+80000+967469+1931745+500000+50000+259584+416205+100000+100000+80000+4041984+1200000+850000+500000+500000+500000+500000+500000+100000+500000+474744+2879305+2071046-17461.56-2481745+680790+501000+150000+633694+8115891</f>
        <v>48788616.439999998</v>
      </c>
      <c r="P232" s="96"/>
      <c r="Q232" s="96"/>
      <c r="R232" s="96"/>
      <c r="S232" s="96">
        <f>6000000+10000000+2832085+1616770+50000+50000+50000+194540+950971+100000+260000+80000+967469+1931745+500000+50000+259584+416205+100000+100000+80000+4041984+1200000+850000+500000+500000+500000+500000+500000+100000+500000+474744+2879305+2071046-17461.56-2481745+680790+501000+150000+633694+8115891</f>
        <v>48788616.439999998</v>
      </c>
      <c r="T232" s="96">
        <f t="shared" si="204"/>
        <v>32670609.210000001</v>
      </c>
      <c r="U232" s="96">
        <v>32670609.210000001</v>
      </c>
      <c r="V232" s="96"/>
      <c r="W232" s="96"/>
      <c r="X232" s="96"/>
      <c r="Y232" s="96">
        <v>32670609.210000001</v>
      </c>
      <c r="Z232" s="150">
        <f t="shared" si="205"/>
        <v>66.963590267369355</v>
      </c>
      <c r="AA232" s="96">
        <f t="shared" si="206"/>
        <v>35454711.560000002</v>
      </c>
      <c r="AB232" s="96">
        <f t="shared" ref="AB232:AB239" si="234">E232+N232</f>
        <v>52788616.439999998</v>
      </c>
      <c r="AC232" s="237"/>
      <c r="AD232" s="113"/>
      <c r="AE232" s="132"/>
      <c r="AF232" s="125"/>
    </row>
    <row r="233" spans="1:32" s="23" customFormat="1" ht="94.5" x14ac:dyDescent="0.25">
      <c r="A233" s="20"/>
      <c r="B233" s="21"/>
      <c r="C233" s="20"/>
      <c r="D233" s="22" t="str">
        <f>'дод 5'!C191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33" s="97">
        <f t="shared" ref="E233" si="235">F233+I233</f>
        <v>0</v>
      </c>
      <c r="F233" s="97"/>
      <c r="G233" s="97"/>
      <c r="H233" s="97"/>
      <c r="I233" s="97"/>
      <c r="J233" s="97"/>
      <c r="K233" s="97"/>
      <c r="L233" s="97"/>
      <c r="M233" s="151" t="e">
        <f t="shared" si="203"/>
        <v>#DIV/0!</v>
      </c>
      <c r="N233" s="97">
        <f t="shared" ref="N233" si="236">P233+S233</f>
        <v>1918440</v>
      </c>
      <c r="O233" s="97">
        <f>950971+967469</f>
        <v>1918440</v>
      </c>
      <c r="P233" s="97"/>
      <c r="Q233" s="97"/>
      <c r="R233" s="97"/>
      <c r="S233" s="97">
        <f>950971+967469</f>
        <v>1918440</v>
      </c>
      <c r="T233" s="97">
        <f t="shared" si="204"/>
        <v>1109469.28</v>
      </c>
      <c r="U233" s="97">
        <v>1109469.28</v>
      </c>
      <c r="V233" s="97"/>
      <c r="W233" s="97"/>
      <c r="X233" s="97"/>
      <c r="Y233" s="97">
        <v>1109469.28</v>
      </c>
      <c r="Z233" s="151">
        <f t="shared" si="205"/>
        <v>57.831846708784219</v>
      </c>
      <c r="AA233" s="97">
        <f t="shared" si="206"/>
        <v>1109469.28</v>
      </c>
      <c r="AB233" s="97">
        <f t="shared" ref="AB233" si="237">E233+N233</f>
        <v>1918440</v>
      </c>
      <c r="AC233" s="237"/>
      <c r="AD233" s="114"/>
      <c r="AE233" s="132"/>
      <c r="AF233" s="125"/>
    </row>
    <row r="234" spans="1:32" s="23" customFormat="1" ht="38.25" customHeight="1" x14ac:dyDescent="0.25">
      <c r="A234" s="20"/>
      <c r="B234" s="21"/>
      <c r="C234" s="20"/>
      <c r="D234" s="22" t="str">
        <f>'дод 5'!C189</f>
        <v>залишку коштів інших субвенцій з місцевого бюджету,  що склався станом на 01.01.2025 року</v>
      </c>
      <c r="E234" s="97">
        <f t="shared" si="232"/>
        <v>0</v>
      </c>
      <c r="F234" s="97"/>
      <c r="G234" s="97"/>
      <c r="H234" s="97"/>
      <c r="I234" s="97"/>
      <c r="J234" s="97"/>
      <c r="K234" s="97"/>
      <c r="L234" s="97"/>
      <c r="M234" s="151" t="e">
        <f t="shared" si="203"/>
        <v>#DIV/0!</v>
      </c>
      <c r="N234" s="97">
        <f t="shared" si="233"/>
        <v>4380600</v>
      </c>
      <c r="O234" s="97">
        <f>4380600-17461.56+17461.56</f>
        <v>4380600</v>
      </c>
      <c r="P234" s="97"/>
      <c r="Q234" s="97"/>
      <c r="R234" s="97"/>
      <c r="S234" s="97">
        <f>4380600-17461.56+17461.56</f>
        <v>4380600</v>
      </c>
      <c r="T234" s="97">
        <f t="shared" si="204"/>
        <v>4374246.3899999997</v>
      </c>
      <c r="U234" s="97">
        <v>4374246.3899999997</v>
      </c>
      <c r="V234" s="97"/>
      <c r="W234" s="97"/>
      <c r="X234" s="97"/>
      <c r="Y234" s="97">
        <v>4374246.3899999997</v>
      </c>
      <c r="Z234" s="151">
        <f t="shared" si="205"/>
        <v>99.854960279413774</v>
      </c>
      <c r="AA234" s="97">
        <f t="shared" si="206"/>
        <v>4374246.3899999997</v>
      </c>
      <c r="AB234" s="97">
        <f t="shared" si="234"/>
        <v>4380600</v>
      </c>
      <c r="AC234" s="237"/>
      <c r="AD234" s="114"/>
      <c r="AE234" s="132"/>
      <c r="AF234" s="125"/>
    </row>
    <row r="235" spans="1:32" s="23" customFormat="1" ht="19.5" customHeight="1" x14ac:dyDescent="0.25">
      <c r="A235" s="20"/>
      <c r="B235" s="21"/>
      <c r="C235" s="20"/>
      <c r="D235" s="22" t="s">
        <v>281</v>
      </c>
      <c r="E235" s="97">
        <f t="shared" si="232"/>
        <v>0</v>
      </c>
      <c r="F235" s="97"/>
      <c r="G235" s="97"/>
      <c r="H235" s="97"/>
      <c r="I235" s="97"/>
      <c r="J235" s="97"/>
      <c r="K235" s="97"/>
      <c r="L235" s="97"/>
      <c r="M235" s="151" t="e">
        <f t="shared" si="203"/>
        <v>#DIV/0!</v>
      </c>
      <c r="N235" s="97">
        <f t="shared" si="233"/>
        <v>2016277.44</v>
      </c>
      <c r="O235" s="97">
        <f>68255+1931745+500000+50000-2481745+113384.44-56+550000+501000+150000+633694</f>
        <v>2016277.44</v>
      </c>
      <c r="P235" s="97"/>
      <c r="Q235" s="97"/>
      <c r="R235" s="97"/>
      <c r="S235" s="97">
        <f>68255+1931745+500000+50000-2481745+113384.44-56+550000+501000+150000+633694</f>
        <v>2016277.44</v>
      </c>
      <c r="T235" s="97">
        <f t="shared" si="204"/>
        <v>1031845.66</v>
      </c>
      <c r="U235" s="97">
        <v>1031845.66</v>
      </c>
      <c r="V235" s="97"/>
      <c r="W235" s="97"/>
      <c r="X235" s="97"/>
      <c r="Y235" s="97">
        <v>1031845.66</v>
      </c>
      <c r="Z235" s="151">
        <f t="shared" si="205"/>
        <v>51.175777674723179</v>
      </c>
      <c r="AA235" s="97">
        <f t="shared" si="206"/>
        <v>1031845.66</v>
      </c>
      <c r="AB235" s="97">
        <f t="shared" si="234"/>
        <v>2016277.44</v>
      </c>
      <c r="AC235" s="237"/>
      <c r="AD235" s="114"/>
      <c r="AE235" s="132"/>
      <c r="AF235" s="125"/>
    </row>
    <row r="236" spans="1:32" s="15" customFormat="1" ht="78.75" x14ac:dyDescent="0.25">
      <c r="A236" s="12" t="s">
        <v>511</v>
      </c>
      <c r="B236" s="13">
        <f>'дод 5'!A192</f>
        <v>6093</v>
      </c>
      <c r="C236" s="12" t="str">
        <f>'дод 5'!B192</f>
        <v>0640</v>
      </c>
      <c r="D236" s="16" t="str">
        <f>'дод 5'!C192</f>
        <v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бюджетів, у т.ч. за рахунок:</v>
      </c>
      <c r="E236" s="96">
        <f t="shared" si="232"/>
        <v>313360</v>
      </c>
      <c r="F236" s="96">
        <v>313360</v>
      </c>
      <c r="G236" s="96"/>
      <c r="H236" s="96"/>
      <c r="I236" s="96"/>
      <c r="J236" s="96">
        <v>313302.40000000002</v>
      </c>
      <c r="K236" s="96"/>
      <c r="L236" s="96"/>
      <c r="M236" s="150">
        <f t="shared" si="203"/>
        <v>99.981618585652285</v>
      </c>
      <c r="N236" s="96">
        <f t="shared" si="233"/>
        <v>0</v>
      </c>
      <c r="O236" s="96"/>
      <c r="P236" s="96"/>
      <c r="Q236" s="96"/>
      <c r="R236" s="96"/>
      <c r="S236" s="96"/>
      <c r="T236" s="96">
        <f t="shared" si="204"/>
        <v>0</v>
      </c>
      <c r="U236" s="96"/>
      <c r="V236" s="96"/>
      <c r="W236" s="96"/>
      <c r="X236" s="96"/>
      <c r="Y236" s="96"/>
      <c r="Z236" s="150" t="e">
        <f t="shared" si="205"/>
        <v>#DIV/0!</v>
      </c>
      <c r="AA236" s="96">
        <f t="shared" si="206"/>
        <v>313302.40000000002</v>
      </c>
      <c r="AB236" s="96">
        <f t="shared" si="234"/>
        <v>313360</v>
      </c>
      <c r="AC236" s="237"/>
      <c r="AD236" s="113"/>
      <c r="AE236" s="132"/>
      <c r="AF236" s="125"/>
    </row>
    <row r="237" spans="1:32" s="23" customFormat="1" ht="94.5" x14ac:dyDescent="0.25">
      <c r="A237" s="20"/>
      <c r="B237" s="21">
        <f>'дод 5'!A193</f>
        <v>0</v>
      </c>
      <c r="C237" s="20">
        <f>'дод 5'!B193</f>
        <v>0</v>
      </c>
      <c r="D237" s="22" t="str">
        <f>'дод 5'!C193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37" s="96">
        <f t="shared" si="232"/>
        <v>313360</v>
      </c>
      <c r="F237" s="97">
        <v>313360</v>
      </c>
      <c r="G237" s="96"/>
      <c r="H237" s="96"/>
      <c r="I237" s="96"/>
      <c r="J237" s="96">
        <v>313302.40000000002</v>
      </c>
      <c r="K237" s="96"/>
      <c r="L237" s="96"/>
      <c r="M237" s="150">
        <f t="shared" si="203"/>
        <v>99.981618585652285</v>
      </c>
      <c r="N237" s="96">
        <f t="shared" si="233"/>
        <v>0</v>
      </c>
      <c r="O237" s="96"/>
      <c r="P237" s="96"/>
      <c r="Q237" s="96"/>
      <c r="R237" s="96"/>
      <c r="S237" s="96"/>
      <c r="T237" s="96">
        <f t="shared" si="204"/>
        <v>0</v>
      </c>
      <c r="U237" s="96"/>
      <c r="V237" s="96"/>
      <c r="W237" s="96"/>
      <c r="X237" s="96"/>
      <c r="Y237" s="96"/>
      <c r="Z237" s="150" t="e">
        <f t="shared" si="205"/>
        <v>#DIV/0!</v>
      </c>
      <c r="AA237" s="96">
        <f t="shared" si="206"/>
        <v>313302.40000000002</v>
      </c>
      <c r="AB237" s="97">
        <f t="shared" si="234"/>
        <v>313360</v>
      </c>
      <c r="AC237" s="237"/>
      <c r="AD237" s="114"/>
      <c r="AE237" s="132"/>
      <c r="AF237" s="125"/>
    </row>
    <row r="238" spans="1:32" s="15" customFormat="1" ht="84.75" customHeight="1" x14ac:dyDescent="0.25">
      <c r="A238" s="12" t="s">
        <v>473</v>
      </c>
      <c r="B238" s="13">
        <f>'дод 5'!A194</f>
        <v>6094</v>
      </c>
      <c r="C238" s="12" t="str">
        <f>'дод 5'!B194</f>
        <v>0620</v>
      </c>
      <c r="D238" s="16" t="str">
        <f>'дод 5'!C194</f>
        <v>Реалізація заходів з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- 2», у т.ч. за рахунок:</v>
      </c>
      <c r="E238" s="96">
        <f t="shared" si="232"/>
        <v>0</v>
      </c>
      <c r="F238" s="96"/>
      <c r="G238" s="96"/>
      <c r="H238" s="96"/>
      <c r="I238" s="96"/>
      <c r="J238" s="96"/>
      <c r="K238" s="96"/>
      <c r="L238" s="96"/>
      <c r="M238" s="150" t="e">
        <f t="shared" si="203"/>
        <v>#DIV/0!</v>
      </c>
      <c r="N238" s="96">
        <f t="shared" si="233"/>
        <v>89775000</v>
      </c>
      <c r="O238" s="96"/>
      <c r="P238" s="96"/>
      <c r="Q238" s="96"/>
      <c r="R238" s="96"/>
      <c r="S238" s="96">
        <v>89775000</v>
      </c>
      <c r="T238" s="96">
        <f t="shared" si="204"/>
        <v>82331671.959999993</v>
      </c>
      <c r="U238" s="96"/>
      <c r="V238" s="96"/>
      <c r="W238" s="96"/>
      <c r="X238" s="96"/>
      <c r="Y238" s="96">
        <v>82331671.959999993</v>
      </c>
      <c r="Z238" s="150">
        <f t="shared" si="205"/>
        <v>91.708907780562512</v>
      </c>
      <c r="AA238" s="96">
        <f t="shared" si="206"/>
        <v>82331671.959999993</v>
      </c>
      <c r="AB238" s="96">
        <f t="shared" si="234"/>
        <v>89775000</v>
      </c>
      <c r="AC238" s="237">
        <v>20</v>
      </c>
      <c r="AD238" s="113"/>
      <c r="AE238" s="132"/>
      <c r="AF238" s="125"/>
    </row>
    <row r="239" spans="1:32" s="23" customFormat="1" ht="94.5" x14ac:dyDescent="0.25">
      <c r="A239" s="20"/>
      <c r="B239" s="21">
        <f>'дод 5'!A195</f>
        <v>0</v>
      </c>
      <c r="C239" s="20">
        <f>'дод 5'!B195</f>
        <v>0</v>
      </c>
      <c r="D239" s="22" t="str">
        <f>'дод 5'!C195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E239" s="96">
        <f t="shared" si="232"/>
        <v>0</v>
      </c>
      <c r="F239" s="97"/>
      <c r="G239" s="96"/>
      <c r="H239" s="96"/>
      <c r="I239" s="96"/>
      <c r="J239" s="96"/>
      <c r="K239" s="96"/>
      <c r="L239" s="96"/>
      <c r="M239" s="150" t="e">
        <f t="shared" si="203"/>
        <v>#DIV/0!</v>
      </c>
      <c r="N239" s="96">
        <f t="shared" si="233"/>
        <v>89775000</v>
      </c>
      <c r="O239" s="96"/>
      <c r="P239" s="96"/>
      <c r="Q239" s="96"/>
      <c r="R239" s="96"/>
      <c r="S239" s="96">
        <v>89775000</v>
      </c>
      <c r="T239" s="96">
        <f t="shared" si="204"/>
        <v>82331671.959999993</v>
      </c>
      <c r="U239" s="96"/>
      <c r="V239" s="96"/>
      <c r="W239" s="96"/>
      <c r="X239" s="96"/>
      <c r="Y239" s="96">
        <v>82331671.959999993</v>
      </c>
      <c r="Z239" s="150">
        <f t="shared" si="205"/>
        <v>91.708907780562512</v>
      </c>
      <c r="AA239" s="96">
        <f t="shared" si="206"/>
        <v>82331671.959999993</v>
      </c>
      <c r="AB239" s="96">
        <f t="shared" si="234"/>
        <v>89775000</v>
      </c>
      <c r="AC239" s="237"/>
      <c r="AD239" s="113"/>
      <c r="AE239" s="132"/>
      <c r="AF239" s="125"/>
    </row>
    <row r="240" spans="1:32" s="15" customFormat="1" ht="27.75" customHeight="1" x14ac:dyDescent="0.25">
      <c r="A240" s="12" t="s">
        <v>218</v>
      </c>
      <c r="B240" s="13" t="str">
        <f>'дод 5'!A207</f>
        <v>7330</v>
      </c>
      <c r="C240" s="12" t="str">
        <f>'дод 5'!B207</f>
        <v>0443</v>
      </c>
      <c r="D240" s="25" t="s">
        <v>453</v>
      </c>
      <c r="E240" s="96">
        <f t="shared" si="232"/>
        <v>0</v>
      </c>
      <c r="F240" s="96"/>
      <c r="G240" s="96"/>
      <c r="H240" s="96"/>
      <c r="I240" s="96"/>
      <c r="J240" s="96"/>
      <c r="K240" s="96"/>
      <c r="L240" s="96"/>
      <c r="M240" s="150" t="e">
        <f t="shared" si="203"/>
        <v>#DIV/0!</v>
      </c>
      <c r="N240" s="96">
        <f>P240+S240</f>
        <v>26734845.93</v>
      </c>
      <c r="O240" s="96">
        <f>10000000+8034503+2500000+1472048+1000000+173.28+3000000+121.65+340000+2820000+640000-252000+252000-2399600-252000-420400</f>
        <v>26734845.93</v>
      </c>
      <c r="P240" s="96"/>
      <c r="Q240" s="96"/>
      <c r="R240" s="96"/>
      <c r="S240" s="96">
        <f>10000000+8034503+2500000+1472048+1000000+173.28+3000000+121.65+340000+2820000+640000-252000+252000-2399600-252000-420400</f>
        <v>26734845.93</v>
      </c>
      <c r="T240" s="96">
        <f t="shared" si="204"/>
        <v>13729954.199999999</v>
      </c>
      <c r="U240" s="96">
        <v>13729954.199999999</v>
      </c>
      <c r="V240" s="96"/>
      <c r="W240" s="96"/>
      <c r="X240" s="96"/>
      <c r="Y240" s="96">
        <v>13729954.199999999</v>
      </c>
      <c r="Z240" s="150">
        <f t="shared" si="205"/>
        <v>51.356025151404339</v>
      </c>
      <c r="AA240" s="96">
        <f t="shared" si="206"/>
        <v>13729954.199999999</v>
      </c>
      <c r="AB240" s="96">
        <f t="shared" si="224"/>
        <v>26734845.93</v>
      </c>
      <c r="AC240" s="237"/>
      <c r="AD240" s="113"/>
      <c r="AE240" s="132"/>
      <c r="AF240" s="125"/>
    </row>
    <row r="241" spans="1:32" s="15" customFormat="1" ht="36.75" customHeight="1" x14ac:dyDescent="0.25">
      <c r="A241" s="12" t="s">
        <v>538</v>
      </c>
      <c r="B241" s="13">
        <v>7367</v>
      </c>
      <c r="C241" s="12" t="s">
        <v>68</v>
      </c>
      <c r="D241" s="25" t="s">
        <v>544</v>
      </c>
      <c r="E241" s="96">
        <f t="shared" ref="E241:E243" si="238">F241+I241</f>
        <v>0</v>
      </c>
      <c r="F241" s="96"/>
      <c r="G241" s="96"/>
      <c r="H241" s="96"/>
      <c r="I241" s="96"/>
      <c r="J241" s="96"/>
      <c r="K241" s="96"/>
      <c r="L241" s="96"/>
      <c r="M241" s="150" t="e">
        <f t="shared" si="203"/>
        <v>#DIV/0!</v>
      </c>
      <c r="N241" s="96">
        <f>P241+S241</f>
        <v>17818740</v>
      </c>
      <c r="O241" s="96">
        <f>5974022-3155282</f>
        <v>2818740</v>
      </c>
      <c r="P241" s="96"/>
      <c r="Q241" s="96"/>
      <c r="R241" s="96"/>
      <c r="S241" s="96">
        <f>5974022+20000000-5000000-3155282</f>
        <v>17818740</v>
      </c>
      <c r="T241" s="96">
        <f t="shared" si="204"/>
        <v>0</v>
      </c>
      <c r="U241" s="96"/>
      <c r="V241" s="96"/>
      <c r="W241" s="96"/>
      <c r="X241" s="96"/>
      <c r="Y241" s="96"/>
      <c r="Z241" s="150">
        <f t="shared" si="205"/>
        <v>0</v>
      </c>
      <c r="AA241" s="96">
        <f t="shared" si="206"/>
        <v>0</v>
      </c>
      <c r="AB241" s="96">
        <f>E241+N241</f>
        <v>17818740</v>
      </c>
      <c r="AC241" s="237"/>
      <c r="AD241" s="113"/>
      <c r="AE241" s="132"/>
      <c r="AF241" s="125"/>
    </row>
    <row r="242" spans="1:32" s="23" customFormat="1" ht="53.85" customHeight="1" x14ac:dyDescent="0.25">
      <c r="A242" s="20"/>
      <c r="B242" s="21"/>
      <c r="C242" s="20"/>
      <c r="D242" s="50" t="s">
        <v>545</v>
      </c>
      <c r="E242" s="97"/>
      <c r="F242" s="97"/>
      <c r="G242" s="97"/>
      <c r="H242" s="97"/>
      <c r="I242" s="97"/>
      <c r="J242" s="97"/>
      <c r="K242" s="97"/>
      <c r="L242" s="97"/>
      <c r="M242" s="151" t="e">
        <f t="shared" si="203"/>
        <v>#DIV/0!</v>
      </c>
      <c r="N242" s="97">
        <f>P242+S242</f>
        <v>15000000</v>
      </c>
      <c r="O242" s="97"/>
      <c r="P242" s="97"/>
      <c r="Q242" s="97"/>
      <c r="R242" s="97"/>
      <c r="S242" s="97">
        <f>20000000-5000000</f>
        <v>15000000</v>
      </c>
      <c r="T242" s="97">
        <f t="shared" si="204"/>
        <v>0</v>
      </c>
      <c r="U242" s="97"/>
      <c r="V242" s="97"/>
      <c r="W242" s="97"/>
      <c r="X242" s="97"/>
      <c r="Y242" s="97"/>
      <c r="Z242" s="151">
        <f t="shared" si="205"/>
        <v>0</v>
      </c>
      <c r="AA242" s="97">
        <f t="shared" si="206"/>
        <v>0</v>
      </c>
      <c r="AB242" s="97">
        <f>E242+N242</f>
        <v>15000000</v>
      </c>
      <c r="AC242" s="237"/>
      <c r="AD242" s="114"/>
      <c r="AE242" s="132"/>
      <c r="AF242" s="125"/>
    </row>
    <row r="243" spans="1:32" s="75" customFormat="1" ht="36.75" customHeight="1" x14ac:dyDescent="0.25">
      <c r="A243" s="12" t="s">
        <v>543</v>
      </c>
      <c r="B243" s="13">
        <f>'дод 5'!A210</f>
        <v>7370</v>
      </c>
      <c r="C243" s="13" t="str">
        <f>'дод 5'!B210</f>
        <v>0490</v>
      </c>
      <c r="D243" s="16" t="str">
        <f>'дод 5'!C210</f>
        <v>Реалізація інших заходів щодо соціально-економічного розвитку територій</v>
      </c>
      <c r="E243" s="96">
        <f t="shared" si="238"/>
        <v>0</v>
      </c>
      <c r="F243" s="96"/>
      <c r="G243" s="96"/>
      <c r="H243" s="96"/>
      <c r="I243" s="96"/>
      <c r="J243" s="96"/>
      <c r="K243" s="96"/>
      <c r="L243" s="96"/>
      <c r="M243" s="150" t="e">
        <f t="shared" si="203"/>
        <v>#DIV/0!</v>
      </c>
      <c r="N243" s="96">
        <f>P243+S243</f>
        <v>300000</v>
      </c>
      <c r="O243" s="96">
        <v>300000</v>
      </c>
      <c r="P243" s="96"/>
      <c r="Q243" s="96"/>
      <c r="R243" s="96"/>
      <c r="S243" s="96">
        <v>300000</v>
      </c>
      <c r="T243" s="96">
        <f t="shared" si="204"/>
        <v>234000</v>
      </c>
      <c r="U243" s="96">
        <v>234000</v>
      </c>
      <c r="V243" s="96"/>
      <c r="W243" s="96"/>
      <c r="X243" s="96"/>
      <c r="Y243" s="96">
        <v>234000</v>
      </c>
      <c r="Z243" s="150">
        <f t="shared" si="205"/>
        <v>78</v>
      </c>
      <c r="AA243" s="96">
        <f t="shared" si="206"/>
        <v>234000</v>
      </c>
      <c r="AB243" s="96">
        <f t="shared" ref="AB243" si="239">E243+N243</f>
        <v>300000</v>
      </c>
      <c r="AC243" s="237"/>
      <c r="AD243" s="113"/>
      <c r="AE243" s="132"/>
      <c r="AF243" s="125"/>
    </row>
    <row r="244" spans="1:32" s="15" customFormat="1" ht="61.15" customHeight="1" x14ac:dyDescent="0.25">
      <c r="A244" s="87" t="s">
        <v>516</v>
      </c>
      <c r="B244" s="88">
        <v>7377</v>
      </c>
      <c r="C244" s="87" t="s">
        <v>68</v>
      </c>
      <c r="D244" s="89" t="s">
        <v>517</v>
      </c>
      <c r="E244" s="101">
        <f t="shared" si="232"/>
        <v>0</v>
      </c>
      <c r="F244" s="101"/>
      <c r="G244" s="101"/>
      <c r="H244" s="101"/>
      <c r="I244" s="101"/>
      <c r="J244" s="101"/>
      <c r="K244" s="101"/>
      <c r="L244" s="101"/>
      <c r="M244" s="154" t="e">
        <f t="shared" si="203"/>
        <v>#DIV/0!</v>
      </c>
      <c r="N244" s="101">
        <f>P244+S244</f>
        <v>5007904</v>
      </c>
      <c r="O244" s="101">
        <f>1300000+1300000+79350+2343260-14706</f>
        <v>5007904</v>
      </c>
      <c r="P244" s="101"/>
      <c r="Q244" s="101"/>
      <c r="R244" s="101"/>
      <c r="S244" s="101">
        <f>1300000+1300000+79350+2343260-14706</f>
        <v>5007904</v>
      </c>
      <c r="T244" s="101">
        <f t="shared" si="204"/>
        <v>4037981.15</v>
      </c>
      <c r="U244" s="101">
        <v>4037981.15</v>
      </c>
      <c r="V244" s="101"/>
      <c r="W244" s="101"/>
      <c r="X244" s="101"/>
      <c r="Y244" s="101">
        <v>4037981.15</v>
      </c>
      <c r="Z244" s="154">
        <f t="shared" si="205"/>
        <v>80.632159681974741</v>
      </c>
      <c r="AA244" s="101">
        <f t="shared" si="206"/>
        <v>4037981.15</v>
      </c>
      <c r="AB244" s="101">
        <f t="shared" si="224"/>
        <v>5007904</v>
      </c>
      <c r="AC244" s="237"/>
      <c r="AD244" s="113"/>
      <c r="AE244" s="132"/>
      <c r="AF244" s="125"/>
    </row>
    <row r="245" spans="1:32" s="15" customFormat="1" ht="94.5" x14ac:dyDescent="0.25">
      <c r="A245" s="12" t="s">
        <v>464</v>
      </c>
      <c r="B245" s="13">
        <f>'дод 5'!A212</f>
        <v>7384</v>
      </c>
      <c r="C245" s="12" t="str">
        <f>'дод 5'!B212</f>
        <v>0490</v>
      </c>
      <c r="D245" s="16" t="str">
        <f>'дод 5'!C212</f>
        <v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т.ч. за рахунок:</v>
      </c>
      <c r="E245" s="96">
        <f t="shared" si="232"/>
        <v>0</v>
      </c>
      <c r="F245" s="96"/>
      <c r="G245" s="96"/>
      <c r="H245" s="96"/>
      <c r="I245" s="96"/>
      <c r="J245" s="96"/>
      <c r="K245" s="96"/>
      <c r="L245" s="96"/>
      <c r="M245" s="150" t="e">
        <f t="shared" si="203"/>
        <v>#DIV/0!</v>
      </c>
      <c r="N245" s="96">
        <f t="shared" ref="N245:N246" si="240">P245+S245</f>
        <v>6564069.9000000004</v>
      </c>
      <c r="O245" s="96"/>
      <c r="P245" s="96"/>
      <c r="Q245" s="96"/>
      <c r="R245" s="96"/>
      <c r="S245" s="96">
        <v>6564069.9000000004</v>
      </c>
      <c r="T245" s="96">
        <f t="shared" si="204"/>
        <v>0</v>
      </c>
      <c r="U245" s="96"/>
      <c r="V245" s="96"/>
      <c r="W245" s="96"/>
      <c r="X245" s="96"/>
      <c r="Y245" s="96"/>
      <c r="Z245" s="150">
        <f t="shared" si="205"/>
        <v>0</v>
      </c>
      <c r="AA245" s="96">
        <f t="shared" si="206"/>
        <v>0</v>
      </c>
      <c r="AB245" s="96">
        <f t="shared" si="224"/>
        <v>6564069.9000000004</v>
      </c>
      <c r="AC245" s="237"/>
      <c r="AD245" s="113"/>
      <c r="AE245" s="132"/>
      <c r="AF245" s="125"/>
    </row>
    <row r="246" spans="1:32" s="23" customFormat="1" ht="126" x14ac:dyDescent="0.25">
      <c r="A246" s="20"/>
      <c r="B246" s="21"/>
      <c r="C246" s="20"/>
      <c r="D246" s="22" t="str">
        <f>'дод 5'!C213</f>
        <v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v>
      </c>
      <c r="E246" s="97">
        <f t="shared" si="232"/>
        <v>0</v>
      </c>
      <c r="F246" s="97"/>
      <c r="G246" s="97"/>
      <c r="H246" s="97"/>
      <c r="I246" s="97"/>
      <c r="J246" s="97"/>
      <c r="K246" s="97"/>
      <c r="L246" s="97"/>
      <c r="M246" s="151" t="e">
        <f t="shared" si="203"/>
        <v>#DIV/0!</v>
      </c>
      <c r="N246" s="97">
        <f t="shared" si="240"/>
        <v>6564069.9000000004</v>
      </c>
      <c r="O246" s="97"/>
      <c r="P246" s="97"/>
      <c r="Q246" s="97"/>
      <c r="R246" s="97"/>
      <c r="S246" s="97">
        <v>6564069.9000000004</v>
      </c>
      <c r="T246" s="97">
        <f t="shared" si="204"/>
        <v>0</v>
      </c>
      <c r="U246" s="97"/>
      <c r="V246" s="97"/>
      <c r="W246" s="97"/>
      <c r="X246" s="97"/>
      <c r="Y246" s="97"/>
      <c r="Z246" s="151">
        <f t="shared" si="205"/>
        <v>0</v>
      </c>
      <c r="AA246" s="97">
        <f t="shared" si="206"/>
        <v>0</v>
      </c>
      <c r="AB246" s="97">
        <f t="shared" si="224"/>
        <v>6564069.9000000004</v>
      </c>
      <c r="AC246" s="237"/>
      <c r="AD246" s="114"/>
      <c r="AE246" s="132"/>
      <c r="AF246" s="125"/>
    </row>
    <row r="247" spans="1:32" s="23" customFormat="1" ht="31.5" x14ac:dyDescent="0.25">
      <c r="A247" s="12" t="s">
        <v>374</v>
      </c>
      <c r="B247" s="13" t="str">
        <f>'дод 5'!A215</f>
        <v>7412</v>
      </c>
      <c r="C247" s="12" t="str">
        <f>'дод 5'!B215</f>
        <v>0451</v>
      </c>
      <c r="D247" s="16" t="str">
        <f>'дод 5'!C215</f>
        <v>Регулювання цін на послуги місцевого автотранспорту</v>
      </c>
      <c r="E247" s="96">
        <f t="shared" ref="E247:E249" si="241">F247+I247</f>
        <v>23880493</v>
      </c>
      <c r="F247" s="96"/>
      <c r="G247" s="96"/>
      <c r="H247" s="96"/>
      <c r="I247" s="96">
        <f>29059700+273147+71699-5524053</f>
        <v>23880493</v>
      </c>
      <c r="J247" s="96">
        <v>23880493</v>
      </c>
      <c r="K247" s="96"/>
      <c r="L247" s="96"/>
      <c r="M247" s="150">
        <f t="shared" si="203"/>
        <v>100</v>
      </c>
      <c r="N247" s="96">
        <f t="shared" ref="N247:N249" si="242">P247+S247</f>
        <v>0</v>
      </c>
      <c r="O247" s="96"/>
      <c r="P247" s="96"/>
      <c r="Q247" s="96"/>
      <c r="R247" s="96"/>
      <c r="S247" s="96"/>
      <c r="T247" s="96">
        <f t="shared" si="204"/>
        <v>0</v>
      </c>
      <c r="U247" s="96"/>
      <c r="V247" s="96"/>
      <c r="W247" s="96"/>
      <c r="X247" s="96"/>
      <c r="Y247" s="96"/>
      <c r="Z247" s="150" t="e">
        <f t="shared" si="205"/>
        <v>#DIV/0!</v>
      </c>
      <c r="AA247" s="96">
        <f t="shared" si="206"/>
        <v>23880493</v>
      </c>
      <c r="AB247" s="96">
        <f t="shared" ref="AB247:AB249" si="243">E247+N247</f>
        <v>23880493</v>
      </c>
      <c r="AC247" s="237"/>
      <c r="AD247" s="113"/>
      <c r="AE247" s="132"/>
      <c r="AF247" s="125"/>
    </row>
    <row r="248" spans="1:32" s="23" customFormat="1" ht="27.75" customHeight="1" x14ac:dyDescent="0.25">
      <c r="A248" s="12" t="s">
        <v>550</v>
      </c>
      <c r="B248" s="13">
        <f>'дод 5'!A216</f>
        <v>7413</v>
      </c>
      <c r="C248" s="13" t="str">
        <f>'дод 5'!B216</f>
        <v>0451</v>
      </c>
      <c r="D248" s="16" t="str">
        <f>'дод 5'!C216</f>
        <v>Інші заходи у сфері автотранспорту</v>
      </c>
      <c r="E248" s="96">
        <f t="shared" ref="E248" si="244">F248+I248</f>
        <v>1556397</v>
      </c>
      <c r="F248" s="96"/>
      <c r="G248" s="96"/>
      <c r="H248" s="96"/>
      <c r="I248" s="96">
        <f>1556710+435000-435313</f>
        <v>1556397</v>
      </c>
      <c r="J248" s="96">
        <v>1556396.9</v>
      </c>
      <c r="K248" s="96"/>
      <c r="L248" s="96"/>
      <c r="M248" s="150">
        <f t="shared" si="203"/>
        <v>99.999993574904082</v>
      </c>
      <c r="N248" s="96">
        <f t="shared" ref="N248" si="245">P248+S248</f>
        <v>0</v>
      </c>
      <c r="O248" s="96"/>
      <c r="P248" s="96"/>
      <c r="Q248" s="96"/>
      <c r="R248" s="96"/>
      <c r="S248" s="96"/>
      <c r="T248" s="96">
        <f t="shared" si="204"/>
        <v>0</v>
      </c>
      <c r="U248" s="96"/>
      <c r="V248" s="96"/>
      <c r="W248" s="96"/>
      <c r="X248" s="96"/>
      <c r="Y248" s="96"/>
      <c r="Z248" s="150" t="e">
        <f t="shared" si="205"/>
        <v>#DIV/0!</v>
      </c>
      <c r="AA248" s="96">
        <f t="shared" si="206"/>
        <v>1556396.9</v>
      </c>
      <c r="AB248" s="96">
        <f t="shared" ref="AB248" si="246">E248+N248</f>
        <v>1556397</v>
      </c>
      <c r="AC248" s="237"/>
      <c r="AD248" s="113"/>
      <c r="AE248" s="132"/>
      <c r="AF248" s="125"/>
    </row>
    <row r="249" spans="1:32" s="23" customFormat="1" ht="30.95" customHeight="1" x14ac:dyDescent="0.25">
      <c r="A249" s="12" t="s">
        <v>448</v>
      </c>
      <c r="B249" s="13">
        <f>'дод 5'!A217</f>
        <v>7422</v>
      </c>
      <c r="C249" s="12" t="str">
        <f>'дод 5'!B217</f>
        <v>0453</v>
      </c>
      <c r="D249" s="16" t="str">
        <f>'дод 5'!C217</f>
        <v>Регулювання цін на послуги місцевого наземного електротранспорту</v>
      </c>
      <c r="E249" s="96">
        <f t="shared" si="241"/>
        <v>50647977</v>
      </c>
      <c r="F249" s="96"/>
      <c r="G249" s="96"/>
      <c r="H249" s="96"/>
      <c r="I249" s="96">
        <f>65000000+1000000+2005592-17357615</f>
        <v>50647977</v>
      </c>
      <c r="J249" s="96">
        <v>50647976.560000002</v>
      </c>
      <c r="K249" s="96"/>
      <c r="L249" s="96"/>
      <c r="M249" s="150">
        <f t="shared" si="203"/>
        <v>99.999999131258505</v>
      </c>
      <c r="N249" s="96">
        <f t="shared" si="242"/>
        <v>0</v>
      </c>
      <c r="O249" s="96"/>
      <c r="P249" s="96"/>
      <c r="Q249" s="96"/>
      <c r="R249" s="96"/>
      <c r="S249" s="96"/>
      <c r="T249" s="96">
        <f t="shared" si="204"/>
        <v>0</v>
      </c>
      <c r="U249" s="96"/>
      <c r="V249" s="96"/>
      <c r="W249" s="96"/>
      <c r="X249" s="96"/>
      <c r="Y249" s="96"/>
      <c r="Z249" s="150" t="e">
        <f t="shared" si="205"/>
        <v>#DIV/0!</v>
      </c>
      <c r="AA249" s="96">
        <f t="shared" si="206"/>
        <v>50647976.560000002</v>
      </c>
      <c r="AB249" s="96">
        <f t="shared" si="243"/>
        <v>50647977</v>
      </c>
      <c r="AC249" s="237"/>
      <c r="AD249" s="113"/>
      <c r="AE249" s="132"/>
      <c r="AF249" s="125"/>
    </row>
    <row r="250" spans="1:32" s="23" customFormat="1" ht="25.5" customHeight="1" x14ac:dyDescent="0.25">
      <c r="A250" s="12" t="s">
        <v>378</v>
      </c>
      <c r="B250" s="13">
        <f>'дод 5'!A218</f>
        <v>7426</v>
      </c>
      <c r="C250" s="12" t="str">
        <f>'дод 5'!B218</f>
        <v>0455</v>
      </c>
      <c r="D250" s="16" t="str">
        <f>'дод 5'!C218</f>
        <v>Інші заходи у сфері електротранспорту</v>
      </c>
      <c r="E250" s="96">
        <f t="shared" ref="E250:E251" si="247">F250+I250</f>
        <v>698708</v>
      </c>
      <c r="F250" s="96">
        <f>65000000-65000000</f>
        <v>0</v>
      </c>
      <c r="G250" s="96"/>
      <c r="H250" s="96"/>
      <c r="I250" s="96">
        <f>700000-1292</f>
        <v>698708</v>
      </c>
      <c r="J250" s="96">
        <v>698707.75</v>
      </c>
      <c r="K250" s="96"/>
      <c r="L250" s="96"/>
      <c r="M250" s="150">
        <f t="shared" si="203"/>
        <v>99.999964219674027</v>
      </c>
      <c r="N250" s="96">
        <f t="shared" ref="N250:N251" si="248">P250+S250</f>
        <v>0</v>
      </c>
      <c r="O250" s="96"/>
      <c r="P250" s="96"/>
      <c r="Q250" s="96"/>
      <c r="R250" s="96"/>
      <c r="S250" s="96"/>
      <c r="T250" s="96">
        <f t="shared" si="204"/>
        <v>0</v>
      </c>
      <c r="U250" s="96"/>
      <c r="V250" s="96"/>
      <c r="W250" s="96"/>
      <c r="X250" s="96"/>
      <c r="Y250" s="96"/>
      <c r="Z250" s="150" t="e">
        <f t="shared" si="205"/>
        <v>#DIV/0!</v>
      </c>
      <c r="AA250" s="96">
        <f t="shared" si="206"/>
        <v>698707.75</v>
      </c>
      <c r="AB250" s="96">
        <f t="shared" ref="AB250:AB251" si="249">E250+N250</f>
        <v>698708</v>
      </c>
      <c r="AC250" s="237"/>
      <c r="AD250" s="113"/>
      <c r="AE250" s="132"/>
      <c r="AF250" s="125"/>
    </row>
    <row r="251" spans="1:32" s="23" customFormat="1" ht="15.4" hidden="1" customHeight="1" x14ac:dyDescent="0.25">
      <c r="A251" s="12" t="s">
        <v>375</v>
      </c>
      <c r="B251" s="13">
        <f>'дод 5'!A219</f>
        <v>7450</v>
      </c>
      <c r="C251" s="12" t="str">
        <f>'дод 5'!B219</f>
        <v>0456</v>
      </c>
      <c r="D251" s="16" t="str">
        <f>'дод 5'!C219</f>
        <v>Інша діяльність у сфері транспорту</v>
      </c>
      <c r="E251" s="96">
        <f t="shared" si="247"/>
        <v>0</v>
      </c>
      <c r="F251" s="96">
        <f>984000-984000</f>
        <v>0</v>
      </c>
      <c r="G251" s="96"/>
      <c r="H251" s="96"/>
      <c r="I251" s="96"/>
      <c r="J251" s="96"/>
      <c r="K251" s="96"/>
      <c r="L251" s="96"/>
      <c r="M251" s="150" t="e">
        <f t="shared" si="203"/>
        <v>#DIV/0!</v>
      </c>
      <c r="N251" s="96">
        <f t="shared" si="248"/>
        <v>0</v>
      </c>
      <c r="O251" s="96"/>
      <c r="P251" s="96"/>
      <c r="Q251" s="96"/>
      <c r="R251" s="96"/>
      <c r="S251" s="96"/>
      <c r="T251" s="96">
        <f t="shared" si="204"/>
        <v>0</v>
      </c>
      <c r="U251" s="96"/>
      <c r="V251" s="96"/>
      <c r="W251" s="96"/>
      <c r="X251" s="96"/>
      <c r="Y251" s="96"/>
      <c r="Z251" s="150" t="e">
        <f t="shared" si="205"/>
        <v>#DIV/0!</v>
      </c>
      <c r="AA251" s="96">
        <f t="shared" si="206"/>
        <v>0</v>
      </c>
      <c r="AB251" s="96">
        <f t="shared" si="249"/>
        <v>0</v>
      </c>
      <c r="AC251" s="237"/>
      <c r="AD251" s="113"/>
      <c r="AE251" s="132"/>
      <c r="AF251" s="125"/>
    </row>
    <row r="252" spans="1:32" s="15" customFormat="1" ht="15.75" x14ac:dyDescent="0.25">
      <c r="A252" s="12" t="s">
        <v>165</v>
      </c>
      <c r="B252" s="13" t="str">
        <f>'дод 5'!A227</f>
        <v>7640</v>
      </c>
      <c r="C252" s="12" t="str">
        <f>'дод 5'!B227</f>
        <v>0470</v>
      </c>
      <c r="D252" s="14" t="s">
        <v>288</v>
      </c>
      <c r="E252" s="96">
        <f t="shared" si="223"/>
        <v>835000</v>
      </c>
      <c r="F252" s="96">
        <v>5000</v>
      </c>
      <c r="G252" s="96"/>
      <c r="H252" s="96"/>
      <c r="I252" s="96">
        <v>830000</v>
      </c>
      <c r="J252" s="96">
        <v>280282.45</v>
      </c>
      <c r="K252" s="96"/>
      <c r="L252" s="96"/>
      <c r="M252" s="150">
        <f t="shared" si="203"/>
        <v>33.566760479041918</v>
      </c>
      <c r="N252" s="96">
        <f t="shared" si="225"/>
        <v>0</v>
      </c>
      <c r="O252" s="96"/>
      <c r="P252" s="96"/>
      <c r="Q252" s="96"/>
      <c r="R252" s="96"/>
      <c r="S252" s="96"/>
      <c r="T252" s="96">
        <f t="shared" si="204"/>
        <v>0</v>
      </c>
      <c r="U252" s="96"/>
      <c r="V252" s="96"/>
      <c r="W252" s="96"/>
      <c r="X252" s="96"/>
      <c r="Y252" s="96"/>
      <c r="Z252" s="150" t="e">
        <f t="shared" si="205"/>
        <v>#DIV/0!</v>
      </c>
      <c r="AA252" s="96">
        <f t="shared" si="206"/>
        <v>280282.45</v>
      </c>
      <c r="AB252" s="96">
        <f t="shared" si="224"/>
        <v>835000</v>
      </c>
      <c r="AC252" s="237"/>
      <c r="AD252" s="113"/>
      <c r="AE252" s="132"/>
      <c r="AF252" s="125"/>
    </row>
    <row r="253" spans="1:32" s="15" customFormat="1" ht="42.75" customHeight="1" x14ac:dyDescent="0.25">
      <c r="A253" s="12" t="s">
        <v>254</v>
      </c>
      <c r="B253" s="13" t="str">
        <f>'дод 5'!A232</f>
        <v>7670</v>
      </c>
      <c r="C253" s="12" t="str">
        <f>'дод 5'!B232</f>
        <v>0490</v>
      </c>
      <c r="D253" s="14" t="s">
        <v>523</v>
      </c>
      <c r="E253" s="96">
        <f>F253+I253</f>
        <v>0</v>
      </c>
      <c r="F253" s="96"/>
      <c r="G253" s="96"/>
      <c r="H253" s="96"/>
      <c r="I253" s="96"/>
      <c r="J253" s="96"/>
      <c r="K253" s="96"/>
      <c r="L253" s="96"/>
      <c r="M253" s="150" t="e">
        <f t="shared" si="203"/>
        <v>#DIV/0!</v>
      </c>
      <c r="N253" s="96">
        <f>P253+S253</f>
        <v>16980827</v>
      </c>
      <c r="O253" s="96">
        <f>4930625+2773202+3015602+2333330+2333330+3500000+1532800+889137-1397848-1453867-644882-830602</f>
        <v>16980827</v>
      </c>
      <c r="P253" s="96"/>
      <c r="Q253" s="96"/>
      <c r="R253" s="96"/>
      <c r="S253" s="96">
        <f>4930625+2773202+3015602+2333330+2333330+3500000+1532800+889137-1397848-1453867-644882-830602</f>
        <v>16980827</v>
      </c>
      <c r="T253" s="96">
        <f t="shared" si="204"/>
        <v>15536113.039999999</v>
      </c>
      <c r="U253" s="96">
        <v>15536113.039999999</v>
      </c>
      <c r="V253" s="96"/>
      <c r="W253" s="96"/>
      <c r="X253" s="96"/>
      <c r="Y253" s="96">
        <v>15536113.039999999</v>
      </c>
      <c r="Z253" s="150">
        <f t="shared" si="205"/>
        <v>91.492087163952604</v>
      </c>
      <c r="AA253" s="96">
        <f t="shared" si="206"/>
        <v>15536113.039999999</v>
      </c>
      <c r="AB253" s="96">
        <f>E253+N253</f>
        <v>16980827</v>
      </c>
      <c r="AC253" s="237"/>
      <c r="AD253" s="113"/>
      <c r="AE253" s="132"/>
      <c r="AF253" s="125"/>
    </row>
    <row r="254" spans="1:32" s="23" customFormat="1" ht="96.75" customHeight="1" x14ac:dyDescent="0.25">
      <c r="A254" s="20"/>
      <c r="B254" s="21"/>
      <c r="C254" s="20"/>
      <c r="D254" s="22" t="s">
        <v>385</v>
      </c>
      <c r="E254" s="97">
        <f>F254+I254</f>
        <v>0</v>
      </c>
      <c r="F254" s="97"/>
      <c r="G254" s="97"/>
      <c r="H254" s="97"/>
      <c r="I254" s="97"/>
      <c r="J254" s="97"/>
      <c r="K254" s="97"/>
      <c r="L254" s="97"/>
      <c r="M254" s="151" t="e">
        <f t="shared" si="203"/>
        <v>#DIV/0!</v>
      </c>
      <c r="N254" s="97">
        <f>P254+S254</f>
        <v>5032800</v>
      </c>
      <c r="O254" s="97">
        <f>3500000+1532800</f>
        <v>5032800</v>
      </c>
      <c r="P254" s="97"/>
      <c r="Q254" s="97"/>
      <c r="R254" s="97"/>
      <c r="S254" s="97">
        <f>3500000+1532800</f>
        <v>5032800</v>
      </c>
      <c r="T254" s="97">
        <f t="shared" si="204"/>
        <v>5032800</v>
      </c>
      <c r="U254" s="97">
        <v>5032800</v>
      </c>
      <c r="V254" s="97"/>
      <c r="W254" s="97"/>
      <c r="X254" s="97"/>
      <c r="Y254" s="97">
        <v>5032800</v>
      </c>
      <c r="Z254" s="151">
        <f t="shared" si="205"/>
        <v>100</v>
      </c>
      <c r="AA254" s="97">
        <f t="shared" si="206"/>
        <v>5032800</v>
      </c>
      <c r="AB254" s="97">
        <f>E254+N254</f>
        <v>5032800</v>
      </c>
      <c r="AC254" s="237"/>
      <c r="AD254" s="114"/>
      <c r="AE254" s="132"/>
      <c r="AF254" s="125"/>
    </row>
    <row r="255" spans="1:32" s="15" customFormat="1" ht="118.5" customHeight="1" x14ac:dyDescent="0.25">
      <c r="A255" s="12" t="s">
        <v>232</v>
      </c>
      <c r="B255" s="13" t="str">
        <f>'дод 5'!A235</f>
        <v>7691</v>
      </c>
      <c r="C255" s="12" t="str">
        <f>'дод 5'!B235</f>
        <v>0490</v>
      </c>
      <c r="D255" s="16" t="s">
        <v>242</v>
      </c>
      <c r="E255" s="96">
        <f t="shared" si="223"/>
        <v>0</v>
      </c>
      <c r="F255" s="96"/>
      <c r="G255" s="96"/>
      <c r="H255" s="96"/>
      <c r="I255" s="96"/>
      <c r="J255" s="96"/>
      <c r="K255" s="96"/>
      <c r="L255" s="96"/>
      <c r="M255" s="150" t="e">
        <f t="shared" si="203"/>
        <v>#DIV/0!</v>
      </c>
      <c r="N255" s="96">
        <f t="shared" si="225"/>
        <v>65000</v>
      </c>
      <c r="O255" s="96"/>
      <c r="P255" s="96">
        <v>65000</v>
      </c>
      <c r="Q255" s="96"/>
      <c r="R255" s="96"/>
      <c r="S255" s="96"/>
      <c r="T255" s="96">
        <f t="shared" si="204"/>
        <v>0</v>
      </c>
      <c r="U255" s="96"/>
      <c r="V255" s="96"/>
      <c r="W255" s="96"/>
      <c r="X255" s="96"/>
      <c r="Y255" s="96"/>
      <c r="Z255" s="150">
        <f t="shared" si="205"/>
        <v>0</v>
      </c>
      <c r="AA255" s="96">
        <f t="shared" si="206"/>
        <v>0</v>
      </c>
      <c r="AB255" s="96">
        <f t="shared" si="224"/>
        <v>65000</v>
      </c>
      <c r="AC255" s="237"/>
      <c r="AD255" s="113"/>
      <c r="AE255" s="132"/>
      <c r="AF255" s="125"/>
    </row>
    <row r="256" spans="1:32" s="15" customFormat="1" ht="39" customHeight="1" x14ac:dyDescent="0.25">
      <c r="A256" s="12" t="s">
        <v>279</v>
      </c>
      <c r="B256" s="13" t="str">
        <f>'дод 5'!A241</f>
        <v>8110</v>
      </c>
      <c r="C256" s="12" t="str">
        <f>'дод 5'!B241</f>
        <v>0320</v>
      </c>
      <c r="D256" s="16" t="str">
        <f>'дод 5'!C241</f>
        <v>Заходи із запобігання та ліквідації надзвичайних ситуацій та наслідків стихійного лиха</v>
      </c>
      <c r="E256" s="96">
        <f t="shared" ref="E256:E258" si="250">F256+I256</f>
        <v>37649162</v>
      </c>
      <c r="F256" s="96">
        <f>14494000+719250+1000000+170000+1141512+1000000+165400+11979000+2150000+4100000+80000+1000000-350000</f>
        <v>37649162</v>
      </c>
      <c r="G256" s="96"/>
      <c r="H256" s="96"/>
      <c r="I256" s="96"/>
      <c r="J256" s="96">
        <v>31272608.07</v>
      </c>
      <c r="K256" s="96"/>
      <c r="L256" s="96"/>
      <c r="M256" s="150">
        <f t="shared" si="203"/>
        <v>83.063224806969146</v>
      </c>
      <c r="N256" s="96">
        <f>P256+S256</f>
        <v>225072892</v>
      </c>
      <c r="O256" s="96">
        <f>948152+150000+223974740</f>
        <v>225072892</v>
      </c>
      <c r="P256" s="96"/>
      <c r="Q256" s="96"/>
      <c r="R256" s="96"/>
      <c r="S256" s="96">
        <f>948152+150000+223974740</f>
        <v>225072892</v>
      </c>
      <c r="T256" s="96">
        <f t="shared" si="204"/>
        <v>600000</v>
      </c>
      <c r="U256" s="96"/>
      <c r="V256" s="96"/>
      <c r="W256" s="96"/>
      <c r="X256" s="96"/>
      <c r="Y256" s="96">
        <v>600000</v>
      </c>
      <c r="Z256" s="150">
        <f t="shared" si="205"/>
        <v>0.26658030412654049</v>
      </c>
      <c r="AA256" s="96">
        <f t="shared" si="206"/>
        <v>31872608.07</v>
      </c>
      <c r="AB256" s="96">
        <f t="shared" ref="AB256:AB257" si="251">E256+N256</f>
        <v>262722054</v>
      </c>
      <c r="AC256" s="237"/>
      <c r="AD256" s="113"/>
      <c r="AE256" s="132"/>
      <c r="AF256" s="125"/>
    </row>
    <row r="257" spans="1:32" s="15" customFormat="1" ht="21.75" customHeight="1" x14ac:dyDescent="0.25">
      <c r="A257" s="12" t="s">
        <v>349</v>
      </c>
      <c r="B257" s="13">
        <f>'дод 5'!A246</f>
        <v>8240</v>
      </c>
      <c r="C257" s="12" t="str">
        <f>'дод 5'!B246</f>
        <v>0380</v>
      </c>
      <c r="D257" s="16" t="str">
        <f>'дод 5'!C246</f>
        <v>Заходи та роботи з територіальної оборони</v>
      </c>
      <c r="E257" s="96">
        <f>F257+I257</f>
        <v>16850000</v>
      </c>
      <c r="F257" s="96">
        <f>3000000+3000000+3000000+3000000+3000000+1500000+350000</f>
        <v>16850000</v>
      </c>
      <c r="G257" s="96"/>
      <c r="H257" s="96"/>
      <c r="I257" s="96"/>
      <c r="J257" s="96">
        <v>16649215.51</v>
      </c>
      <c r="K257" s="96"/>
      <c r="L257" s="96"/>
      <c r="M257" s="150">
        <f t="shared" si="203"/>
        <v>98.808400652818989</v>
      </c>
      <c r="N257" s="96">
        <f>P257+S257</f>
        <v>0</v>
      </c>
      <c r="O257" s="96"/>
      <c r="P257" s="96"/>
      <c r="Q257" s="96"/>
      <c r="R257" s="96"/>
      <c r="S257" s="96"/>
      <c r="T257" s="96">
        <f t="shared" si="204"/>
        <v>0</v>
      </c>
      <c r="U257" s="96"/>
      <c r="V257" s="96"/>
      <c r="W257" s="96"/>
      <c r="X257" s="96"/>
      <c r="Y257" s="96"/>
      <c r="Z257" s="150" t="e">
        <f t="shared" si="205"/>
        <v>#DIV/0!</v>
      </c>
      <c r="AA257" s="96">
        <f t="shared" si="206"/>
        <v>16649215.51</v>
      </c>
      <c r="AB257" s="96">
        <f t="shared" si="251"/>
        <v>16850000</v>
      </c>
      <c r="AC257" s="237"/>
      <c r="AD257" s="113"/>
      <c r="AE257" s="132"/>
      <c r="AF257" s="125"/>
    </row>
    <row r="258" spans="1:32" s="15" customFormat="1" ht="24" customHeight="1" x14ac:dyDescent="0.25">
      <c r="A258" s="12" t="s">
        <v>166</v>
      </c>
      <c r="B258" s="13" t="str">
        <f>'дод 5'!A249</f>
        <v>8340</v>
      </c>
      <c r="C258" s="12" t="str">
        <f>'дод 5'!B249</f>
        <v>0540</v>
      </c>
      <c r="D258" s="14" t="str">
        <f>'дод 5'!C249</f>
        <v>Природоохоронні заходи за рахунок цільових фондів</v>
      </c>
      <c r="E258" s="96">
        <f t="shared" si="250"/>
        <v>0</v>
      </c>
      <c r="F258" s="96"/>
      <c r="G258" s="96"/>
      <c r="H258" s="96"/>
      <c r="I258" s="96"/>
      <c r="J258" s="96"/>
      <c r="K258" s="96"/>
      <c r="L258" s="96"/>
      <c r="M258" s="150" t="e">
        <f t="shared" si="203"/>
        <v>#DIV/0!</v>
      </c>
      <c r="N258" s="96">
        <f t="shared" ref="N258" si="252">P258+S258</f>
        <v>1557600</v>
      </c>
      <c r="O258" s="96"/>
      <c r="P258" s="96">
        <f>1557600-10400</f>
        <v>1547200</v>
      </c>
      <c r="Q258" s="96"/>
      <c r="R258" s="96"/>
      <c r="S258" s="96">
        <v>10400</v>
      </c>
      <c r="T258" s="96">
        <f t="shared" si="204"/>
        <v>1444275.45</v>
      </c>
      <c r="U258" s="96"/>
      <c r="V258" s="96">
        <v>1444275.45</v>
      </c>
      <c r="W258" s="96"/>
      <c r="X258" s="96"/>
      <c r="Y258" s="96"/>
      <c r="Z258" s="150">
        <f t="shared" si="205"/>
        <v>92.724412557781193</v>
      </c>
      <c r="AA258" s="96">
        <f t="shared" si="206"/>
        <v>1444275.45</v>
      </c>
      <c r="AB258" s="96">
        <f t="shared" si="224"/>
        <v>1557600</v>
      </c>
      <c r="AC258" s="237"/>
      <c r="AD258" s="113"/>
      <c r="AE258" s="132"/>
      <c r="AF258" s="125"/>
    </row>
    <row r="259" spans="1:32" s="15" customFormat="1" ht="21.75" customHeight="1" x14ac:dyDescent="0.25">
      <c r="A259" s="12" t="s">
        <v>167</v>
      </c>
      <c r="B259" s="13" t="str">
        <f>'дод 5'!A260</f>
        <v>9770</v>
      </c>
      <c r="C259" s="12" t="str">
        <f>'дод 5'!B260</f>
        <v>0180</v>
      </c>
      <c r="D259" s="14" t="str">
        <f>'дод 5'!C260</f>
        <v>Інші субвенції з місцевого бюджету</v>
      </c>
      <c r="E259" s="96">
        <f t="shared" si="223"/>
        <v>13400000</v>
      </c>
      <c r="F259" s="96">
        <f>14000000-600000</f>
        <v>13400000</v>
      </c>
      <c r="G259" s="96"/>
      <c r="H259" s="96"/>
      <c r="I259" s="96"/>
      <c r="J259" s="96"/>
      <c r="K259" s="96"/>
      <c r="L259" s="96"/>
      <c r="M259" s="150">
        <f t="shared" si="203"/>
        <v>0</v>
      </c>
      <c r="N259" s="96">
        <f t="shared" si="225"/>
        <v>600000</v>
      </c>
      <c r="O259" s="96">
        <v>600000</v>
      </c>
      <c r="P259" s="96"/>
      <c r="Q259" s="96"/>
      <c r="R259" s="96"/>
      <c r="S259" s="96">
        <v>600000</v>
      </c>
      <c r="T259" s="96">
        <f t="shared" si="204"/>
        <v>0</v>
      </c>
      <c r="U259" s="96"/>
      <c r="V259" s="96"/>
      <c r="W259" s="96"/>
      <c r="X259" s="96"/>
      <c r="Y259" s="96"/>
      <c r="Z259" s="150">
        <f t="shared" si="205"/>
        <v>0</v>
      </c>
      <c r="AA259" s="96">
        <f t="shared" si="206"/>
        <v>0</v>
      </c>
      <c r="AB259" s="96">
        <f t="shared" si="224"/>
        <v>14000000</v>
      </c>
      <c r="AC259" s="237"/>
      <c r="AD259" s="113"/>
      <c r="AE259" s="132"/>
      <c r="AF259" s="125"/>
    </row>
    <row r="260" spans="1:32" s="15" customFormat="1" ht="47.25" x14ac:dyDescent="0.25">
      <c r="A260" s="12" t="s">
        <v>565</v>
      </c>
      <c r="B260" s="13">
        <f>'дод 5'!A261</f>
        <v>9800</v>
      </c>
      <c r="C260" s="13" t="str">
        <f>'дод 5'!B261</f>
        <v>0180</v>
      </c>
      <c r="D260" s="16" t="str">
        <f>'дод 5'!C261</f>
        <v>Субвенція з місцевого бюджету державному бюджету на виконання програм соціально-економічного розвитку регіонів</v>
      </c>
      <c r="E260" s="96">
        <f t="shared" si="223"/>
        <v>295800</v>
      </c>
      <c r="F260" s="96">
        <v>295800</v>
      </c>
      <c r="G260" s="96"/>
      <c r="H260" s="96"/>
      <c r="I260" s="96"/>
      <c r="J260" s="96">
        <v>295800</v>
      </c>
      <c r="K260" s="96"/>
      <c r="L260" s="96"/>
      <c r="M260" s="150">
        <f t="shared" si="203"/>
        <v>100</v>
      </c>
      <c r="N260" s="96">
        <f t="shared" si="225"/>
        <v>0</v>
      </c>
      <c r="O260" s="96"/>
      <c r="P260" s="96"/>
      <c r="Q260" s="96"/>
      <c r="R260" s="96"/>
      <c r="S260" s="96"/>
      <c r="T260" s="96">
        <f t="shared" si="204"/>
        <v>0</v>
      </c>
      <c r="U260" s="96"/>
      <c r="V260" s="96"/>
      <c r="W260" s="96"/>
      <c r="X260" s="96"/>
      <c r="Y260" s="96"/>
      <c r="Z260" s="150" t="e">
        <f t="shared" si="205"/>
        <v>#DIV/0!</v>
      </c>
      <c r="AA260" s="96">
        <f t="shared" si="206"/>
        <v>295800</v>
      </c>
      <c r="AB260" s="96">
        <f t="shared" si="224"/>
        <v>295800</v>
      </c>
      <c r="AC260" s="237"/>
      <c r="AD260" s="113"/>
      <c r="AE260" s="132"/>
      <c r="AF260" s="125"/>
    </row>
    <row r="261" spans="1:32" s="132" customFormat="1" ht="47.25" customHeight="1" x14ac:dyDescent="0.25">
      <c r="A261" s="8" t="s">
        <v>22</v>
      </c>
      <c r="B261" s="17"/>
      <c r="C261" s="8"/>
      <c r="D261" s="130" t="s">
        <v>27</v>
      </c>
      <c r="E261" s="120">
        <f>E262</f>
        <v>6633361</v>
      </c>
      <c r="F261" s="120">
        <f t="shared" ref="F261:AA261" si="253">F262</f>
        <v>6633361</v>
      </c>
      <c r="G261" s="120">
        <f t="shared" si="253"/>
        <v>5328900</v>
      </c>
      <c r="H261" s="120">
        <f t="shared" si="253"/>
        <v>0</v>
      </c>
      <c r="I261" s="120">
        <f t="shared" si="253"/>
        <v>0</v>
      </c>
      <c r="J261" s="120">
        <f t="shared" si="253"/>
        <v>6397394.8200000003</v>
      </c>
      <c r="K261" s="120">
        <f t="shared" si="253"/>
        <v>5324020.47</v>
      </c>
      <c r="L261" s="120">
        <f t="shared" si="253"/>
        <v>0</v>
      </c>
      <c r="M261" s="146">
        <f t="shared" si="203"/>
        <v>96.442735741353445</v>
      </c>
      <c r="N261" s="120">
        <f t="shared" si="253"/>
        <v>697493166.5</v>
      </c>
      <c r="O261" s="120">
        <f t="shared" si="253"/>
        <v>696738392.94999993</v>
      </c>
      <c r="P261" s="120">
        <f t="shared" si="253"/>
        <v>400000</v>
      </c>
      <c r="Q261" s="120">
        <f t="shared" si="253"/>
        <v>0</v>
      </c>
      <c r="R261" s="120">
        <f t="shared" si="253"/>
        <v>228200</v>
      </c>
      <c r="S261" s="120">
        <f t="shared" si="253"/>
        <v>697093166.5</v>
      </c>
      <c r="T261" s="120">
        <f t="shared" si="253"/>
        <v>465124521.44999999</v>
      </c>
      <c r="U261" s="120">
        <f t="shared" si="253"/>
        <v>462491487.00999999</v>
      </c>
      <c r="V261" s="120">
        <f t="shared" si="253"/>
        <v>2286790.2400000002</v>
      </c>
      <c r="W261" s="120">
        <f t="shared" si="253"/>
        <v>1561157.16</v>
      </c>
      <c r="X261" s="120">
        <f t="shared" si="253"/>
        <v>147815.35</v>
      </c>
      <c r="Y261" s="120">
        <f t="shared" si="253"/>
        <v>462837731.20999998</v>
      </c>
      <c r="Z261" s="146">
        <f t="shared" si="205"/>
        <v>66.685172527779883</v>
      </c>
      <c r="AA261" s="120">
        <f t="shared" si="253"/>
        <v>471521916.26999998</v>
      </c>
      <c r="AB261" s="120">
        <f t="shared" ref="AB261" si="254">AB262</f>
        <v>704126527.5</v>
      </c>
      <c r="AC261" s="237"/>
      <c r="AD261" s="112"/>
      <c r="AF261" s="125"/>
    </row>
    <row r="262" spans="1:32" s="11" customFormat="1" ht="47.25" x14ac:dyDescent="0.25">
      <c r="A262" s="9" t="s">
        <v>23</v>
      </c>
      <c r="B262" s="18"/>
      <c r="C262" s="9"/>
      <c r="D262" s="131" t="s">
        <v>286</v>
      </c>
      <c r="E262" s="121">
        <f>E268+E282+E288+E275+E280+E283+E286+E272+E273+E279+E281+E269+E270+E271+E287+E276+E284</f>
        <v>6633361</v>
      </c>
      <c r="F262" s="121">
        <f t="shared" ref="F262:AA262" si="255">F268+F282+F288+F275+F280+F283+F286+F272+F273+F279+F281+F269+F270+F271+F287+F276+F284</f>
        <v>6633361</v>
      </c>
      <c r="G262" s="121">
        <f t="shared" si="255"/>
        <v>5328900</v>
      </c>
      <c r="H262" s="121">
        <f t="shared" si="255"/>
        <v>0</v>
      </c>
      <c r="I262" s="121">
        <f t="shared" si="255"/>
        <v>0</v>
      </c>
      <c r="J262" s="121">
        <f t="shared" si="255"/>
        <v>6397394.8200000003</v>
      </c>
      <c r="K262" s="121">
        <f t="shared" si="255"/>
        <v>5324020.47</v>
      </c>
      <c r="L262" s="121">
        <f t="shared" si="255"/>
        <v>0</v>
      </c>
      <c r="M262" s="149">
        <f t="shared" si="203"/>
        <v>96.442735741353445</v>
      </c>
      <c r="N262" s="121">
        <f t="shared" si="255"/>
        <v>697493166.5</v>
      </c>
      <c r="O262" s="121">
        <f t="shared" si="255"/>
        <v>696738392.94999993</v>
      </c>
      <c r="P262" s="121">
        <f t="shared" si="255"/>
        <v>400000</v>
      </c>
      <c r="Q262" s="121">
        <f t="shared" si="255"/>
        <v>0</v>
      </c>
      <c r="R262" s="121">
        <f t="shared" si="255"/>
        <v>228200</v>
      </c>
      <c r="S262" s="121">
        <f t="shared" si="255"/>
        <v>697093166.5</v>
      </c>
      <c r="T262" s="121">
        <f t="shared" si="255"/>
        <v>465124521.44999999</v>
      </c>
      <c r="U262" s="121">
        <f t="shared" si="255"/>
        <v>462491487.00999999</v>
      </c>
      <c r="V262" s="121">
        <f t="shared" si="255"/>
        <v>2286790.2400000002</v>
      </c>
      <c r="W262" s="121">
        <f t="shared" si="255"/>
        <v>1561157.16</v>
      </c>
      <c r="X262" s="121">
        <f t="shared" si="255"/>
        <v>147815.35</v>
      </c>
      <c r="Y262" s="121">
        <f t="shared" si="255"/>
        <v>462837731.20999998</v>
      </c>
      <c r="Z262" s="149">
        <f t="shared" si="205"/>
        <v>66.685172527779883</v>
      </c>
      <c r="AA262" s="121">
        <f t="shared" si="255"/>
        <v>471521916.26999998</v>
      </c>
      <c r="AB262" s="121">
        <f t="shared" ref="AB262" si="256">AB268+AB282+AB288+AB275+AB280+AB283+AB286+AB272+AB273+AB279+AB281+AB269+AB270+AB271+AB287+AB276+AB284</f>
        <v>704126527.5</v>
      </c>
      <c r="AC262" s="237"/>
      <c r="AD262" s="98"/>
      <c r="AE262" s="132"/>
      <c r="AF262" s="125"/>
    </row>
    <row r="263" spans="1:32" s="11" customFormat="1" ht="126.4" customHeight="1" x14ac:dyDescent="0.25">
      <c r="A263" s="9"/>
      <c r="B263" s="18"/>
      <c r="C263" s="9"/>
      <c r="D263" s="131" t="str">
        <f>D274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63" s="121">
        <f>E274</f>
        <v>0</v>
      </c>
      <c r="F263" s="121">
        <f t="shared" ref="F263:AA263" si="257">F274</f>
        <v>0</v>
      </c>
      <c r="G263" s="121">
        <f t="shared" si="257"/>
        <v>0</v>
      </c>
      <c r="H263" s="121">
        <f t="shared" si="257"/>
        <v>0</v>
      </c>
      <c r="I263" s="121">
        <f t="shared" si="257"/>
        <v>0</v>
      </c>
      <c r="J263" s="121">
        <f t="shared" si="257"/>
        <v>0</v>
      </c>
      <c r="K263" s="121">
        <f t="shared" si="257"/>
        <v>0</v>
      </c>
      <c r="L263" s="121">
        <f t="shared" si="257"/>
        <v>0</v>
      </c>
      <c r="M263" s="149" t="e">
        <f t="shared" si="203"/>
        <v>#DIV/0!</v>
      </c>
      <c r="N263" s="121">
        <f t="shared" si="257"/>
        <v>213902286</v>
      </c>
      <c r="O263" s="121">
        <f t="shared" si="257"/>
        <v>213902286</v>
      </c>
      <c r="P263" s="121">
        <f t="shared" si="257"/>
        <v>0</v>
      </c>
      <c r="Q263" s="121">
        <f t="shared" si="257"/>
        <v>0</v>
      </c>
      <c r="R263" s="121">
        <f t="shared" si="257"/>
        <v>0</v>
      </c>
      <c r="S263" s="121">
        <f t="shared" si="257"/>
        <v>213902286</v>
      </c>
      <c r="T263" s="121">
        <f t="shared" si="257"/>
        <v>186829884</v>
      </c>
      <c r="U263" s="121">
        <f t="shared" si="257"/>
        <v>186829884</v>
      </c>
      <c r="V263" s="121">
        <f t="shared" si="257"/>
        <v>0</v>
      </c>
      <c r="W263" s="121">
        <f t="shared" si="257"/>
        <v>0</v>
      </c>
      <c r="X263" s="121">
        <f t="shared" si="257"/>
        <v>0</v>
      </c>
      <c r="Y263" s="121">
        <f t="shared" si="257"/>
        <v>186829884</v>
      </c>
      <c r="Z263" s="149">
        <f t="shared" si="205"/>
        <v>87.343565837346873</v>
      </c>
      <c r="AA263" s="121">
        <f t="shared" si="257"/>
        <v>186829884</v>
      </c>
      <c r="AB263" s="121">
        <f t="shared" ref="AB263" si="258">AB274</f>
        <v>213902286</v>
      </c>
      <c r="AC263" s="237"/>
      <c r="AD263" s="98"/>
      <c r="AE263" s="132"/>
      <c r="AF263" s="125"/>
    </row>
    <row r="264" spans="1:32" s="11" customFormat="1" ht="77.849999999999994" customHeight="1" x14ac:dyDescent="0.25">
      <c r="A264" s="9"/>
      <c r="B264" s="18"/>
      <c r="C264" s="9"/>
      <c r="D264" s="131" t="str">
        <f>D277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64" s="121">
        <f>E277+E285</f>
        <v>0</v>
      </c>
      <c r="F264" s="121">
        <f t="shared" ref="F264:AA264" si="259">F277+F285</f>
        <v>0</v>
      </c>
      <c r="G264" s="121">
        <f t="shared" si="259"/>
        <v>0</v>
      </c>
      <c r="H264" s="121">
        <f t="shared" si="259"/>
        <v>0</v>
      </c>
      <c r="I264" s="121">
        <f t="shared" si="259"/>
        <v>0</v>
      </c>
      <c r="J264" s="121">
        <f t="shared" si="259"/>
        <v>0</v>
      </c>
      <c r="K264" s="121">
        <f t="shared" si="259"/>
        <v>0</v>
      </c>
      <c r="L264" s="121">
        <f t="shared" si="259"/>
        <v>0</v>
      </c>
      <c r="M264" s="149" t="e">
        <f t="shared" si="203"/>
        <v>#DIV/0!</v>
      </c>
      <c r="N264" s="121">
        <f t="shared" si="259"/>
        <v>40600000</v>
      </c>
      <c r="O264" s="121">
        <f t="shared" si="259"/>
        <v>40600000</v>
      </c>
      <c r="P264" s="121">
        <f t="shared" si="259"/>
        <v>0</v>
      </c>
      <c r="Q264" s="121">
        <f t="shared" si="259"/>
        <v>0</v>
      </c>
      <c r="R264" s="121">
        <f t="shared" si="259"/>
        <v>0</v>
      </c>
      <c r="S264" s="121">
        <f t="shared" si="259"/>
        <v>40600000</v>
      </c>
      <c r="T264" s="121">
        <f t="shared" si="259"/>
        <v>38323196.439999998</v>
      </c>
      <c r="U264" s="121">
        <f t="shared" si="259"/>
        <v>38323196.439999998</v>
      </c>
      <c r="V264" s="121">
        <f t="shared" si="259"/>
        <v>0</v>
      </c>
      <c r="W264" s="121">
        <f t="shared" si="259"/>
        <v>0</v>
      </c>
      <c r="X264" s="121">
        <f t="shared" si="259"/>
        <v>0</v>
      </c>
      <c r="Y264" s="121">
        <f t="shared" si="259"/>
        <v>38323196.439999998</v>
      </c>
      <c r="Z264" s="149">
        <f t="shared" si="205"/>
        <v>94.392109458128076</v>
      </c>
      <c r="AA264" s="121">
        <f t="shared" si="259"/>
        <v>38323196.439999998</v>
      </c>
      <c r="AB264" s="121">
        <f t="shared" ref="AB264" si="260">AB277+AB285</f>
        <v>40600000</v>
      </c>
      <c r="AC264" s="237"/>
      <c r="AD264" s="98"/>
      <c r="AE264" s="132"/>
      <c r="AF264" s="125"/>
    </row>
    <row r="265" spans="1:32" s="11" customFormat="1" ht="26.65" customHeight="1" x14ac:dyDescent="0.25">
      <c r="A265" s="9"/>
      <c r="B265" s="18"/>
      <c r="C265" s="9"/>
      <c r="D265" s="131" t="str">
        <f>D278</f>
        <v>іншої субвенції з місцевого бюджету</v>
      </c>
      <c r="E265" s="121">
        <f>E278</f>
        <v>0</v>
      </c>
      <c r="F265" s="121">
        <f t="shared" ref="F265:AA265" si="261">F278</f>
        <v>0</v>
      </c>
      <c r="G265" s="121">
        <f t="shared" si="261"/>
        <v>0</v>
      </c>
      <c r="H265" s="121">
        <f t="shared" si="261"/>
        <v>0</v>
      </c>
      <c r="I265" s="121">
        <f t="shared" si="261"/>
        <v>0</v>
      </c>
      <c r="J265" s="121">
        <f t="shared" si="261"/>
        <v>0</v>
      </c>
      <c r="K265" s="121">
        <f t="shared" si="261"/>
        <v>0</v>
      </c>
      <c r="L265" s="121">
        <f t="shared" si="261"/>
        <v>0</v>
      </c>
      <c r="M265" s="149" t="e">
        <f t="shared" si="203"/>
        <v>#DIV/0!</v>
      </c>
      <c r="N265" s="121">
        <f t="shared" si="261"/>
        <v>533722.56000000006</v>
      </c>
      <c r="O265" s="121">
        <f t="shared" si="261"/>
        <v>533722.56000000006</v>
      </c>
      <c r="P265" s="121">
        <f t="shared" si="261"/>
        <v>0</v>
      </c>
      <c r="Q265" s="121">
        <f t="shared" si="261"/>
        <v>0</v>
      </c>
      <c r="R265" s="121">
        <f t="shared" si="261"/>
        <v>0</v>
      </c>
      <c r="S265" s="121">
        <f t="shared" si="261"/>
        <v>533722.56000000006</v>
      </c>
      <c r="T265" s="121">
        <f t="shared" si="261"/>
        <v>533722.56000000006</v>
      </c>
      <c r="U265" s="121">
        <f t="shared" si="261"/>
        <v>533722.56000000006</v>
      </c>
      <c r="V265" s="121">
        <f t="shared" si="261"/>
        <v>0</v>
      </c>
      <c r="W265" s="121">
        <f t="shared" si="261"/>
        <v>0</v>
      </c>
      <c r="X265" s="121">
        <f t="shared" si="261"/>
        <v>0</v>
      </c>
      <c r="Y265" s="121">
        <f t="shared" si="261"/>
        <v>533722.56000000006</v>
      </c>
      <c r="Z265" s="149">
        <f t="shared" si="205"/>
        <v>100</v>
      </c>
      <c r="AA265" s="121">
        <f t="shared" si="261"/>
        <v>533722.56000000006</v>
      </c>
      <c r="AB265" s="121">
        <f t="shared" ref="AB265" si="262">AB278</f>
        <v>533722.56000000006</v>
      </c>
      <c r="AC265" s="237"/>
      <c r="AD265" s="98"/>
      <c r="AE265" s="132"/>
      <c r="AF265" s="125"/>
    </row>
    <row r="266" spans="1:32" s="11" customFormat="1" ht="15.75" customHeight="1" x14ac:dyDescent="0.25">
      <c r="A266" s="9"/>
      <c r="B266" s="18"/>
      <c r="C266" s="9"/>
      <c r="D266" s="131" t="s">
        <v>285</v>
      </c>
      <c r="E266" s="121">
        <f>E289</f>
        <v>0</v>
      </c>
      <c r="F266" s="121">
        <f t="shared" ref="F266:AA266" si="263">F289</f>
        <v>0</v>
      </c>
      <c r="G266" s="121">
        <f t="shared" si="263"/>
        <v>0</v>
      </c>
      <c r="H266" s="121">
        <f t="shared" si="263"/>
        <v>0</v>
      </c>
      <c r="I266" s="121">
        <f t="shared" si="263"/>
        <v>0</v>
      </c>
      <c r="J266" s="121">
        <f t="shared" si="263"/>
        <v>0</v>
      </c>
      <c r="K266" s="121">
        <f t="shared" si="263"/>
        <v>0</v>
      </c>
      <c r="L266" s="121">
        <f t="shared" si="263"/>
        <v>0</v>
      </c>
      <c r="M266" s="149" t="e">
        <f t="shared" si="203"/>
        <v>#DIV/0!</v>
      </c>
      <c r="N266" s="121">
        <f t="shared" si="263"/>
        <v>209249640</v>
      </c>
      <c r="O266" s="121">
        <f t="shared" si="263"/>
        <v>209249640</v>
      </c>
      <c r="P266" s="121">
        <f t="shared" si="263"/>
        <v>0</v>
      </c>
      <c r="Q266" s="121">
        <f t="shared" si="263"/>
        <v>0</v>
      </c>
      <c r="R266" s="121">
        <f t="shared" si="263"/>
        <v>0</v>
      </c>
      <c r="S266" s="121">
        <f t="shared" si="263"/>
        <v>209249640</v>
      </c>
      <c r="T266" s="121">
        <f t="shared" si="263"/>
        <v>38915335.850000001</v>
      </c>
      <c r="U266" s="121">
        <f t="shared" si="263"/>
        <v>38915335.850000001</v>
      </c>
      <c r="V266" s="121">
        <f t="shared" si="263"/>
        <v>0</v>
      </c>
      <c r="W266" s="121">
        <f t="shared" si="263"/>
        <v>0</v>
      </c>
      <c r="X266" s="121">
        <f t="shared" si="263"/>
        <v>0</v>
      </c>
      <c r="Y266" s="121">
        <f t="shared" si="263"/>
        <v>38915335.850000001</v>
      </c>
      <c r="Z266" s="149">
        <f t="shared" si="205"/>
        <v>18.597564062714756</v>
      </c>
      <c r="AA266" s="121">
        <f t="shared" si="263"/>
        <v>38915335.850000001</v>
      </c>
      <c r="AB266" s="121">
        <f t="shared" ref="AB266" si="264">AB289</f>
        <v>209249640</v>
      </c>
      <c r="AC266" s="237"/>
      <c r="AD266" s="98"/>
      <c r="AE266" s="132"/>
      <c r="AF266" s="125"/>
    </row>
    <row r="267" spans="1:32" s="11" customFormat="1" ht="65.25" customHeight="1" x14ac:dyDescent="0.25">
      <c r="A267" s="9"/>
      <c r="B267" s="18"/>
      <c r="C267" s="9"/>
      <c r="D267" s="131" t="str">
        <f>D290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E267" s="121">
        <f>E290</f>
        <v>0</v>
      </c>
      <c r="F267" s="121">
        <f t="shared" ref="F267:AA267" si="265">F290</f>
        <v>0</v>
      </c>
      <c r="G267" s="121">
        <f t="shared" si="265"/>
        <v>0</v>
      </c>
      <c r="H267" s="121">
        <f t="shared" si="265"/>
        <v>0</v>
      </c>
      <c r="I267" s="121">
        <f t="shared" si="265"/>
        <v>0</v>
      </c>
      <c r="J267" s="121">
        <f t="shared" si="265"/>
        <v>0</v>
      </c>
      <c r="K267" s="121">
        <f t="shared" si="265"/>
        <v>0</v>
      </c>
      <c r="L267" s="121">
        <f t="shared" si="265"/>
        <v>0</v>
      </c>
      <c r="M267" s="149" t="e">
        <f t="shared" si="203"/>
        <v>#DIV/0!</v>
      </c>
      <c r="N267" s="121">
        <f t="shared" si="265"/>
        <v>42813357.390000001</v>
      </c>
      <c r="O267" s="121">
        <f t="shared" si="265"/>
        <v>42813357.390000001</v>
      </c>
      <c r="P267" s="121">
        <f t="shared" si="265"/>
        <v>0</v>
      </c>
      <c r="Q267" s="121">
        <f t="shared" si="265"/>
        <v>0</v>
      </c>
      <c r="R267" s="121">
        <f t="shared" si="265"/>
        <v>0</v>
      </c>
      <c r="S267" s="121">
        <f t="shared" si="265"/>
        <v>42813357.390000001</v>
      </c>
      <c r="T267" s="121">
        <f t="shared" si="265"/>
        <v>42813356.659999996</v>
      </c>
      <c r="U267" s="121">
        <f t="shared" si="265"/>
        <v>42813356.659999996</v>
      </c>
      <c r="V267" s="121">
        <f t="shared" si="265"/>
        <v>0</v>
      </c>
      <c r="W267" s="121">
        <f t="shared" si="265"/>
        <v>0</v>
      </c>
      <c r="X267" s="121">
        <f t="shared" si="265"/>
        <v>0</v>
      </c>
      <c r="Y267" s="121">
        <f t="shared" si="265"/>
        <v>42813356.659999996</v>
      </c>
      <c r="Z267" s="149">
        <f t="shared" si="205"/>
        <v>99.999998294924652</v>
      </c>
      <c r="AA267" s="121">
        <f t="shared" si="265"/>
        <v>42813356.659999996</v>
      </c>
      <c r="AB267" s="121">
        <f t="shared" ref="AB267" si="266">AB290</f>
        <v>42813357.390000001</v>
      </c>
      <c r="AC267" s="237"/>
      <c r="AD267" s="98"/>
      <c r="AE267" s="132"/>
      <c r="AF267" s="125"/>
    </row>
    <row r="268" spans="1:32" s="15" customFormat="1" ht="46.5" customHeight="1" x14ac:dyDescent="0.25">
      <c r="A268" s="12" t="s">
        <v>113</v>
      </c>
      <c r="B268" s="13" t="str">
        <f>'дод 5'!A19</f>
        <v>0160</v>
      </c>
      <c r="C268" s="12" t="str">
        <f>'дод 5'!B19</f>
        <v>0111</v>
      </c>
      <c r="D268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268" s="96">
        <f t="shared" ref="E268:E289" si="267">F268+I268</f>
        <v>6501200</v>
      </c>
      <c r="F268" s="96">
        <f>6477800+23400</f>
        <v>6501200</v>
      </c>
      <c r="G268" s="96">
        <f>5309700+19200</f>
        <v>5328900</v>
      </c>
      <c r="H268" s="96"/>
      <c r="I268" s="96"/>
      <c r="J268" s="96">
        <v>6397394.8200000003</v>
      </c>
      <c r="K268" s="96">
        <v>5324020.47</v>
      </c>
      <c r="L268" s="96"/>
      <c r="M268" s="150">
        <f t="shared" si="203"/>
        <v>98.403292007629361</v>
      </c>
      <c r="N268" s="96">
        <f>P268+S268</f>
        <v>400000</v>
      </c>
      <c r="O268" s="96"/>
      <c r="P268" s="96">
        <v>400000</v>
      </c>
      <c r="Q268" s="96"/>
      <c r="R268" s="96">
        <v>228200</v>
      </c>
      <c r="S268" s="96"/>
      <c r="T268" s="96">
        <f t="shared" si="204"/>
        <v>2286790.2400000002</v>
      </c>
      <c r="U268" s="96"/>
      <c r="V268" s="96">
        <v>2286790.2400000002</v>
      </c>
      <c r="W268" s="96">
        <v>1561157.16</v>
      </c>
      <c r="X268" s="96">
        <v>147815.35</v>
      </c>
      <c r="Y268" s="96"/>
      <c r="Z268" s="150">
        <f t="shared" si="205"/>
        <v>571.69756000000007</v>
      </c>
      <c r="AA268" s="96">
        <f t="shared" si="206"/>
        <v>8684185.0600000005</v>
      </c>
      <c r="AB268" s="96">
        <f t="shared" ref="AB268:AB290" si="268">E268+N268</f>
        <v>6901200</v>
      </c>
      <c r="AC268" s="237"/>
      <c r="AD268" s="113"/>
      <c r="AE268" s="132"/>
      <c r="AF268" s="125"/>
    </row>
    <row r="269" spans="1:32" s="15" customFormat="1" ht="32.25" hidden="1" customHeight="1" x14ac:dyDescent="0.25">
      <c r="A269" s="12" t="s">
        <v>487</v>
      </c>
      <c r="B269" s="13" t="str">
        <f>'дод 5'!A39</f>
        <v>1010</v>
      </c>
      <c r="C269" s="12" t="str">
        <f>'дод 5'!B39</f>
        <v>0910</v>
      </c>
      <c r="D269" s="16" t="str">
        <f>'дод 5'!C39</f>
        <v>Надання дошкільної освіти</v>
      </c>
      <c r="E269" s="96">
        <f t="shared" si="267"/>
        <v>0</v>
      </c>
      <c r="F269" s="96"/>
      <c r="G269" s="96"/>
      <c r="H269" s="96"/>
      <c r="I269" s="96"/>
      <c r="J269" s="96"/>
      <c r="K269" s="96"/>
      <c r="L269" s="96"/>
      <c r="M269" s="150" t="e">
        <f t="shared" si="203"/>
        <v>#DIV/0!</v>
      </c>
      <c r="N269" s="96">
        <f t="shared" ref="N269:N271" si="269">P269+S269</f>
        <v>0</v>
      </c>
      <c r="O269" s="96">
        <f>120000-120000</f>
        <v>0</v>
      </c>
      <c r="P269" s="96"/>
      <c r="Q269" s="96"/>
      <c r="R269" s="96"/>
      <c r="S269" s="96">
        <f>120000-120000</f>
        <v>0</v>
      </c>
      <c r="T269" s="96">
        <f t="shared" si="204"/>
        <v>0</v>
      </c>
      <c r="U269" s="96"/>
      <c r="V269" s="96"/>
      <c r="W269" s="96"/>
      <c r="X269" s="96"/>
      <c r="Y269" s="96"/>
      <c r="Z269" s="150" t="e">
        <f t="shared" si="205"/>
        <v>#DIV/0!</v>
      </c>
      <c r="AA269" s="96">
        <f t="shared" si="206"/>
        <v>0</v>
      </c>
      <c r="AB269" s="96">
        <f t="shared" si="268"/>
        <v>0</v>
      </c>
      <c r="AC269" s="215"/>
      <c r="AD269" s="113"/>
      <c r="AE269" s="132"/>
      <c r="AF269" s="125"/>
    </row>
    <row r="270" spans="1:32" s="15" customFormat="1" ht="46.5" customHeight="1" x14ac:dyDescent="0.25">
      <c r="A270" s="12" t="s">
        <v>488</v>
      </c>
      <c r="B270" s="13">
        <f>'дод 5'!A40</f>
        <v>1021</v>
      </c>
      <c r="C270" s="12" t="str">
        <f>'дод 5'!B40</f>
        <v>0921</v>
      </c>
      <c r="D270" s="16" t="s">
        <v>364</v>
      </c>
      <c r="E270" s="96">
        <f t="shared" si="267"/>
        <v>0</v>
      </c>
      <c r="F270" s="96"/>
      <c r="G270" s="96"/>
      <c r="H270" s="96"/>
      <c r="I270" s="96"/>
      <c r="J270" s="96"/>
      <c r="K270" s="96"/>
      <c r="L270" s="96"/>
      <c r="M270" s="150" t="e">
        <f t="shared" si="203"/>
        <v>#DIV/0!</v>
      </c>
      <c r="N270" s="96">
        <f t="shared" si="269"/>
        <v>5268509</v>
      </c>
      <c r="O270" s="96">
        <f>200000+200000+4500000+1240200+1240200+1240200-100000-1031970-994353-1225768</f>
        <v>5268509</v>
      </c>
      <c r="P270" s="96"/>
      <c r="Q270" s="96"/>
      <c r="R270" s="96"/>
      <c r="S270" s="96">
        <f>200000+200000+4500000+1240200+1240200+1240200-100000-1031970-994353-1225768</f>
        <v>5268509</v>
      </c>
      <c r="T270" s="96">
        <f t="shared" si="204"/>
        <v>4800685</v>
      </c>
      <c r="U270" s="96">
        <v>4800685</v>
      </c>
      <c r="V270" s="96"/>
      <c r="W270" s="96"/>
      <c r="X270" s="96"/>
      <c r="Y270" s="96">
        <v>4800685</v>
      </c>
      <c r="Z270" s="150">
        <f t="shared" si="205"/>
        <v>91.120372006577185</v>
      </c>
      <c r="AA270" s="96">
        <f t="shared" si="206"/>
        <v>4800685</v>
      </c>
      <c r="AB270" s="96">
        <f t="shared" si="268"/>
        <v>5268509</v>
      </c>
      <c r="AC270" s="237">
        <v>21</v>
      </c>
      <c r="AD270" s="113"/>
      <c r="AE270" s="132"/>
      <c r="AF270" s="125"/>
    </row>
    <row r="271" spans="1:32" s="15" customFormat="1" ht="46.5" hidden="1" customHeight="1" x14ac:dyDescent="0.25">
      <c r="A271" s="12" t="s">
        <v>489</v>
      </c>
      <c r="B271" s="13" t="str">
        <f>'дод 5'!A60</f>
        <v>1141</v>
      </c>
      <c r="C271" s="12" t="str">
        <f>'дод 5'!B60</f>
        <v>0990</v>
      </c>
      <c r="D271" s="16" t="str">
        <f>'дод 5'!C60</f>
        <v>Забезпечення діяльності інших закладів у сфері освіти</v>
      </c>
      <c r="E271" s="96">
        <f t="shared" si="267"/>
        <v>0</v>
      </c>
      <c r="F271" s="96"/>
      <c r="G271" s="96"/>
      <c r="H271" s="96"/>
      <c r="I271" s="96"/>
      <c r="J271" s="96"/>
      <c r="K271" s="96"/>
      <c r="L271" s="96"/>
      <c r="M271" s="150" t="e">
        <f t="shared" si="203"/>
        <v>#DIV/0!</v>
      </c>
      <c r="N271" s="96">
        <f t="shared" si="269"/>
        <v>0</v>
      </c>
      <c r="O271" s="96">
        <f>120000-120000</f>
        <v>0</v>
      </c>
      <c r="P271" s="96"/>
      <c r="Q271" s="96"/>
      <c r="R271" s="96"/>
      <c r="S271" s="96">
        <f>120000-120000</f>
        <v>0</v>
      </c>
      <c r="T271" s="96">
        <f t="shared" si="204"/>
        <v>0</v>
      </c>
      <c r="U271" s="96"/>
      <c r="V271" s="96"/>
      <c r="W271" s="96"/>
      <c r="X271" s="96"/>
      <c r="Y271" s="96"/>
      <c r="Z271" s="150" t="e">
        <f t="shared" si="205"/>
        <v>#DIV/0!</v>
      </c>
      <c r="AA271" s="96">
        <f t="shared" si="206"/>
        <v>0</v>
      </c>
      <c r="AB271" s="96">
        <f t="shared" si="268"/>
        <v>0</v>
      </c>
      <c r="AC271" s="237"/>
      <c r="AD271" s="113"/>
      <c r="AE271" s="132"/>
      <c r="AF271" s="125"/>
    </row>
    <row r="272" spans="1:32" s="15" customFormat="1" ht="133.5" customHeight="1" x14ac:dyDescent="0.25">
      <c r="A272" s="12" t="s">
        <v>468</v>
      </c>
      <c r="B272" s="13" t="str">
        <f>'дод 5'!A77</f>
        <v>1261</v>
      </c>
      <c r="C272" s="12" t="str">
        <f>'дод 5'!B77</f>
        <v>0990</v>
      </c>
      <c r="D272" s="16" t="str">
        <f>'дод 5'!C77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72" s="96">
        <f t="shared" si="267"/>
        <v>0</v>
      </c>
      <c r="F272" s="96"/>
      <c r="G272" s="96"/>
      <c r="H272" s="96"/>
      <c r="I272" s="96"/>
      <c r="J272" s="96"/>
      <c r="K272" s="96"/>
      <c r="L272" s="96"/>
      <c r="M272" s="150" t="e">
        <f t="shared" si="203"/>
        <v>#DIV/0!</v>
      </c>
      <c r="N272" s="96">
        <f>P272+S272</f>
        <v>115916363</v>
      </c>
      <c r="O272" s="96">
        <f>13800000+5000+5000+5000+130000+34890978+21854049+18172002+21922837+1500000+4500000-284253-584250</f>
        <v>115916363</v>
      </c>
      <c r="P272" s="96"/>
      <c r="Q272" s="96"/>
      <c r="R272" s="96"/>
      <c r="S272" s="96">
        <f>13800000+5000+5000+5000+130000+34890978+21854049+18172002+21922837+1500000+4500000-284253-584250</f>
        <v>115916363</v>
      </c>
      <c r="T272" s="96">
        <f t="shared" si="204"/>
        <v>104350629.59999999</v>
      </c>
      <c r="U272" s="96">
        <v>104350629.59999999</v>
      </c>
      <c r="V272" s="96"/>
      <c r="W272" s="96"/>
      <c r="X272" s="96"/>
      <c r="Y272" s="96">
        <v>104350629.59999999</v>
      </c>
      <c r="Z272" s="150">
        <f t="shared" si="205"/>
        <v>90.022346198008293</v>
      </c>
      <c r="AA272" s="96">
        <f t="shared" si="206"/>
        <v>104350629.59999999</v>
      </c>
      <c r="AB272" s="96">
        <f t="shared" si="268"/>
        <v>115916363</v>
      </c>
      <c r="AC272" s="237"/>
      <c r="AD272" s="113"/>
      <c r="AE272" s="132"/>
      <c r="AF272" s="125"/>
    </row>
    <row r="273" spans="1:32" s="15" customFormat="1" ht="125.25" customHeight="1" x14ac:dyDescent="0.25">
      <c r="A273" s="12" t="s">
        <v>469</v>
      </c>
      <c r="B273" s="13" t="str">
        <f>'дод 5'!A78</f>
        <v>1262</v>
      </c>
      <c r="C273" s="12" t="str">
        <f>'дод 5'!B78</f>
        <v>0990</v>
      </c>
      <c r="D273" s="16" t="str">
        <f>'дод 5'!C78</f>
        <v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v>
      </c>
      <c r="E273" s="96">
        <f t="shared" si="267"/>
        <v>0</v>
      </c>
      <c r="F273" s="96"/>
      <c r="G273" s="96"/>
      <c r="H273" s="96"/>
      <c r="I273" s="96"/>
      <c r="J273" s="96"/>
      <c r="K273" s="96"/>
      <c r="L273" s="96"/>
      <c r="M273" s="150" t="e">
        <f t="shared" ref="M273:M332" si="270">J273/E273*100</f>
        <v>#DIV/0!</v>
      </c>
      <c r="N273" s="96">
        <f t="shared" ref="N273:N274" si="271">P273+S273</f>
        <v>213902286</v>
      </c>
      <c r="O273" s="96">
        <f>7809449+206092837</f>
        <v>213902286</v>
      </c>
      <c r="P273" s="96"/>
      <c r="Q273" s="96"/>
      <c r="R273" s="96"/>
      <c r="S273" s="96">
        <f>7809449+206092837</f>
        <v>213902286</v>
      </c>
      <c r="T273" s="96">
        <f t="shared" ref="T273:T326" si="272">V273+Y273</f>
        <v>186829884</v>
      </c>
      <c r="U273" s="96">
        <v>186829884</v>
      </c>
      <c r="V273" s="96"/>
      <c r="W273" s="96"/>
      <c r="X273" s="96"/>
      <c r="Y273" s="96">
        <v>186829884</v>
      </c>
      <c r="Z273" s="150">
        <f t="shared" ref="Z273:Z332" si="273">T273/N273*100</f>
        <v>87.343565837346873</v>
      </c>
      <c r="AA273" s="96">
        <f t="shared" ref="AA273:AA326" si="274">T273+J273</f>
        <v>186829884</v>
      </c>
      <c r="AB273" s="96">
        <f t="shared" si="268"/>
        <v>213902286</v>
      </c>
      <c r="AC273" s="237"/>
      <c r="AD273" s="113"/>
      <c r="AE273" s="132"/>
      <c r="AF273" s="125"/>
    </row>
    <row r="274" spans="1:32" s="23" customFormat="1" ht="126" x14ac:dyDescent="0.25">
      <c r="A274" s="20"/>
      <c r="B274" s="21"/>
      <c r="C274" s="20"/>
      <c r="D274" s="22" t="str">
        <f>'дод 5'!C79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74" s="97">
        <f t="shared" si="267"/>
        <v>0</v>
      </c>
      <c r="F274" s="97"/>
      <c r="G274" s="97"/>
      <c r="H274" s="97"/>
      <c r="I274" s="97"/>
      <c r="J274" s="97"/>
      <c r="K274" s="97"/>
      <c r="L274" s="97"/>
      <c r="M274" s="151" t="e">
        <f t="shared" si="270"/>
        <v>#DIV/0!</v>
      </c>
      <c r="N274" s="97">
        <f t="shared" si="271"/>
        <v>213902286</v>
      </c>
      <c r="O274" s="97">
        <f>7809449+206092837</f>
        <v>213902286</v>
      </c>
      <c r="P274" s="97"/>
      <c r="Q274" s="97"/>
      <c r="R274" s="97"/>
      <c r="S274" s="97">
        <f>7809449+206092837</f>
        <v>213902286</v>
      </c>
      <c r="T274" s="97">
        <f t="shared" si="272"/>
        <v>186829884</v>
      </c>
      <c r="U274" s="97">
        <v>186829884</v>
      </c>
      <c r="V274" s="97"/>
      <c r="W274" s="97"/>
      <c r="X274" s="97"/>
      <c r="Y274" s="97">
        <v>186829884</v>
      </c>
      <c r="Z274" s="151">
        <f t="shared" si="273"/>
        <v>87.343565837346873</v>
      </c>
      <c r="AA274" s="97">
        <f t="shared" si="274"/>
        <v>186829884</v>
      </c>
      <c r="AB274" s="97">
        <f t="shared" si="268"/>
        <v>213902286</v>
      </c>
      <c r="AC274" s="237"/>
      <c r="AD274" s="114"/>
      <c r="AE274" s="132"/>
      <c r="AF274" s="125"/>
    </row>
    <row r="275" spans="1:32" s="15" customFormat="1" ht="22.5" customHeight="1" x14ac:dyDescent="0.25">
      <c r="A275" s="12" t="s">
        <v>442</v>
      </c>
      <c r="B275" s="13" t="str">
        <f>'дод 5'!A91</f>
        <v>1300</v>
      </c>
      <c r="C275" s="12" t="str">
        <f>'дод 5'!B91</f>
        <v>0990</v>
      </c>
      <c r="D275" s="16" t="s">
        <v>519</v>
      </c>
      <c r="E275" s="96">
        <f t="shared" si="267"/>
        <v>0</v>
      </c>
      <c r="F275" s="96"/>
      <c r="G275" s="96"/>
      <c r="H275" s="96"/>
      <c r="I275" s="96"/>
      <c r="J275" s="96"/>
      <c r="K275" s="96"/>
      <c r="L275" s="96"/>
      <c r="M275" s="150" t="e">
        <f t="shared" si="270"/>
        <v>#DIV/0!</v>
      </c>
      <c r="N275" s="96">
        <f>P275+S275</f>
        <v>6284610</v>
      </c>
      <c r="O275" s="96">
        <f>1050000+500000+50000+130000+5000+5000+5000+5000+30000-5000-5000-5000-130000+5621+400000+400000+400000+500000+500000+500000+80000+83000+76000+73000+82000+202000+152000+203000+203000+233000+210000+230000+230000+230000-4288-271162-19988-529573-130000+612000</f>
        <v>6284610</v>
      </c>
      <c r="P275" s="96"/>
      <c r="Q275" s="96"/>
      <c r="R275" s="96"/>
      <c r="S275" s="96">
        <f>1050000+500000+50000+130000+5000+5000+5000+5000+30000-5000-5000-5000-130000+5621+2700000+80000+83000+76000+73000+82000+202000+152000+203000+203000+233000+210000+230000+230000+230000-19988-271162-4288-108387-35786-167700-217700-130000+118000+124000+185000+185000</f>
        <v>6284610</v>
      </c>
      <c r="T275" s="96">
        <f t="shared" si="272"/>
        <v>6186604</v>
      </c>
      <c r="U275" s="96">
        <v>6186604</v>
      </c>
      <c r="V275" s="96"/>
      <c r="W275" s="96"/>
      <c r="X275" s="96"/>
      <c r="Y275" s="96">
        <v>6186604</v>
      </c>
      <c r="Z275" s="150">
        <f t="shared" si="273"/>
        <v>98.440539667537038</v>
      </c>
      <c r="AA275" s="96">
        <f t="shared" si="274"/>
        <v>6186604</v>
      </c>
      <c r="AB275" s="96">
        <f t="shared" si="268"/>
        <v>6284610</v>
      </c>
      <c r="AC275" s="237"/>
      <c r="AD275" s="113"/>
      <c r="AE275" s="132"/>
      <c r="AF275" s="125"/>
    </row>
    <row r="276" spans="1:32" s="15" customFormat="1" ht="80.25" customHeight="1" x14ac:dyDescent="0.25">
      <c r="A276" s="12" t="s">
        <v>508</v>
      </c>
      <c r="B276" s="13" t="str">
        <f>'дод 5'!A93</f>
        <v>1310</v>
      </c>
      <c r="C276" s="12" t="str">
        <f>'дод 5'!B93</f>
        <v>0990</v>
      </c>
      <c r="D276" s="16" t="str">
        <f>'дод 5'!C93</f>
        <v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бюджетів, у т.ч. за рахунок:</v>
      </c>
      <c r="E276" s="96">
        <f t="shared" si="267"/>
        <v>0</v>
      </c>
      <c r="F276" s="96"/>
      <c r="G276" s="96"/>
      <c r="H276" s="96"/>
      <c r="I276" s="96"/>
      <c r="J276" s="96"/>
      <c r="K276" s="96"/>
      <c r="L276" s="96"/>
      <c r="M276" s="150" t="e">
        <f t="shared" si="270"/>
        <v>#DIV/0!</v>
      </c>
      <c r="N276" s="96">
        <f>P276+S276</f>
        <v>29042124.559999999</v>
      </c>
      <c r="O276" s="96">
        <f>120000+120000+120000+220000+8750000+7200000+3750000+2750000+533722.56+753668+3750000-625266+1600000</f>
        <v>29042124.559999999</v>
      </c>
      <c r="P276" s="96"/>
      <c r="Q276" s="96"/>
      <c r="R276" s="96"/>
      <c r="S276" s="96">
        <f>120000+120000+120000+220000+8750000+7200000+3750000+2750000+533722.56+753668+3750000-34800-305000-285466+1600000</f>
        <v>29042124.559999999</v>
      </c>
      <c r="T276" s="96">
        <f t="shared" si="272"/>
        <v>28724541</v>
      </c>
      <c r="U276" s="96">
        <v>28724541</v>
      </c>
      <c r="V276" s="96"/>
      <c r="W276" s="96"/>
      <c r="X276" s="96"/>
      <c r="Y276" s="96">
        <v>28724541</v>
      </c>
      <c r="Z276" s="150">
        <f t="shared" si="273"/>
        <v>98.906472701940658</v>
      </c>
      <c r="AA276" s="96">
        <f t="shared" si="274"/>
        <v>28724541</v>
      </c>
      <c r="AB276" s="96">
        <f t="shared" si="268"/>
        <v>29042124.559999999</v>
      </c>
      <c r="AC276" s="237"/>
      <c r="AD276" s="113"/>
      <c r="AE276" s="132"/>
      <c r="AF276" s="125"/>
    </row>
    <row r="277" spans="1:32" s="23" customFormat="1" ht="90.75" customHeight="1" x14ac:dyDescent="0.25">
      <c r="A277" s="20"/>
      <c r="B277" s="21"/>
      <c r="C277" s="20"/>
      <c r="D277" s="22" t="s">
        <v>385</v>
      </c>
      <c r="E277" s="97">
        <f t="shared" si="267"/>
        <v>0</v>
      </c>
      <c r="F277" s="97"/>
      <c r="G277" s="97"/>
      <c r="H277" s="97"/>
      <c r="I277" s="97"/>
      <c r="J277" s="97"/>
      <c r="K277" s="97"/>
      <c r="L277" s="97"/>
      <c r="M277" s="151" t="e">
        <f t="shared" si="270"/>
        <v>#DIV/0!</v>
      </c>
      <c r="N277" s="97">
        <f>P277+S277</f>
        <v>22450000</v>
      </c>
      <c r="O277" s="97">
        <f>8750000+7200000+3750000+2750000</f>
        <v>22450000</v>
      </c>
      <c r="P277" s="97"/>
      <c r="Q277" s="97"/>
      <c r="R277" s="97"/>
      <c r="S277" s="97">
        <f>8750000+7200000+3750000+2750000</f>
        <v>22450000</v>
      </c>
      <c r="T277" s="97">
        <f t="shared" si="272"/>
        <v>22449971.440000001</v>
      </c>
      <c r="U277" s="97">
        <v>22449971.440000001</v>
      </c>
      <c r="V277" s="97"/>
      <c r="W277" s="97"/>
      <c r="X277" s="97"/>
      <c r="Y277" s="97">
        <v>22449971.440000001</v>
      </c>
      <c r="Z277" s="151">
        <f t="shared" si="273"/>
        <v>99.999872783964378</v>
      </c>
      <c r="AA277" s="97">
        <f t="shared" si="274"/>
        <v>22449971.440000001</v>
      </c>
      <c r="AB277" s="97">
        <f t="shared" si="268"/>
        <v>22450000</v>
      </c>
      <c r="AC277" s="237"/>
      <c r="AD277" s="114"/>
      <c r="AE277" s="132"/>
      <c r="AF277" s="125"/>
    </row>
    <row r="278" spans="1:32" s="23" customFormat="1" ht="30" customHeight="1" x14ac:dyDescent="0.25">
      <c r="A278" s="20"/>
      <c r="B278" s="21"/>
      <c r="C278" s="20"/>
      <c r="D278" s="22" t="s">
        <v>281</v>
      </c>
      <c r="E278" s="97"/>
      <c r="F278" s="97"/>
      <c r="G278" s="97"/>
      <c r="H278" s="97"/>
      <c r="I278" s="97"/>
      <c r="J278" s="97"/>
      <c r="K278" s="97"/>
      <c r="L278" s="97"/>
      <c r="M278" s="151" t="e">
        <f t="shared" si="270"/>
        <v>#DIV/0!</v>
      </c>
      <c r="N278" s="97">
        <f>P278+S278</f>
        <v>533722.56000000006</v>
      </c>
      <c r="O278" s="97">
        <v>533722.56000000006</v>
      </c>
      <c r="P278" s="97"/>
      <c r="Q278" s="97"/>
      <c r="R278" s="97"/>
      <c r="S278" s="97">
        <v>533722.56000000006</v>
      </c>
      <c r="T278" s="97">
        <f t="shared" si="272"/>
        <v>533722.56000000006</v>
      </c>
      <c r="U278" s="97">
        <v>533722.56000000006</v>
      </c>
      <c r="V278" s="97"/>
      <c r="W278" s="97"/>
      <c r="X278" s="97"/>
      <c r="Y278" s="97">
        <v>533722.56000000006</v>
      </c>
      <c r="Z278" s="151">
        <f t="shared" si="273"/>
        <v>100</v>
      </c>
      <c r="AA278" s="97">
        <f t="shared" si="274"/>
        <v>533722.56000000006</v>
      </c>
      <c r="AB278" s="97">
        <f t="shared" ref="AB278" si="275">E278+N278</f>
        <v>533722.56000000006</v>
      </c>
      <c r="AC278" s="237"/>
      <c r="AD278" s="114"/>
      <c r="AE278" s="132"/>
      <c r="AF278" s="125"/>
    </row>
    <row r="279" spans="1:32" s="15" customFormat="1" ht="27.75" customHeight="1" x14ac:dyDescent="0.25">
      <c r="A279" s="12" t="s">
        <v>482</v>
      </c>
      <c r="B279" s="13" t="str">
        <f>'дод 5'!A108</f>
        <v>2010</v>
      </c>
      <c r="C279" s="12" t="str">
        <f>'дод 5'!B108</f>
        <v>0731</v>
      </c>
      <c r="D279" s="16" t="str">
        <f>'дод 5'!C108</f>
        <v>Багатопрофільна стаціонарна медична допомога населенню</v>
      </c>
      <c r="E279" s="96">
        <f t="shared" si="267"/>
        <v>0</v>
      </c>
      <c r="F279" s="96"/>
      <c r="G279" s="96"/>
      <c r="H279" s="96"/>
      <c r="I279" s="96"/>
      <c r="J279" s="96"/>
      <c r="K279" s="96"/>
      <c r="L279" s="96"/>
      <c r="M279" s="150" t="e">
        <f t="shared" si="270"/>
        <v>#DIV/0!</v>
      </c>
      <c r="N279" s="96">
        <f>P279+S279</f>
        <v>3234832</v>
      </c>
      <c r="O279" s="96">
        <f>299000+1500000+70000+1365832</f>
        <v>3234832</v>
      </c>
      <c r="P279" s="96"/>
      <c r="Q279" s="96"/>
      <c r="R279" s="96"/>
      <c r="S279" s="96">
        <f>299000+1500000+70000+1365832</f>
        <v>3234832</v>
      </c>
      <c r="T279" s="96">
        <f t="shared" si="272"/>
        <v>2429830</v>
      </c>
      <c r="U279" s="96">
        <v>2429830</v>
      </c>
      <c r="V279" s="96"/>
      <c r="W279" s="96"/>
      <c r="X279" s="96"/>
      <c r="Y279" s="96">
        <v>2429830</v>
      </c>
      <c r="Z279" s="150">
        <f t="shared" si="273"/>
        <v>75.114565455022088</v>
      </c>
      <c r="AA279" s="96">
        <f t="shared" si="274"/>
        <v>2429830</v>
      </c>
      <c r="AB279" s="96">
        <f t="shared" si="268"/>
        <v>3234832</v>
      </c>
      <c r="AC279" s="237"/>
      <c r="AD279" s="113"/>
      <c r="AE279" s="132"/>
      <c r="AF279" s="125"/>
    </row>
    <row r="280" spans="1:32" s="15" customFormat="1" ht="24" customHeight="1" x14ac:dyDescent="0.25">
      <c r="A280" s="12" t="s">
        <v>443</v>
      </c>
      <c r="B280" s="13">
        <f>'дод 5'!A114</f>
        <v>2170</v>
      </c>
      <c r="C280" s="12" t="str">
        <f>'дод 5'!B114</f>
        <v>0763</v>
      </c>
      <c r="D280" s="16" t="str">
        <f>'дод 5'!C114</f>
        <v>Будівництво1 закладів охорони здоров'я</v>
      </c>
      <c r="E280" s="96">
        <f t="shared" ref="E280:E281" si="276">F280+I280</f>
        <v>0</v>
      </c>
      <c r="F280" s="96"/>
      <c r="G280" s="96"/>
      <c r="H280" s="96"/>
      <c r="I280" s="96"/>
      <c r="J280" s="96"/>
      <c r="K280" s="96"/>
      <c r="L280" s="96"/>
      <c r="M280" s="150" t="e">
        <f t="shared" si="270"/>
        <v>#DIV/0!</v>
      </c>
      <c r="N280" s="96">
        <f t="shared" ref="N280:N281" si="277">P280+S280</f>
        <v>3100000</v>
      </c>
      <c r="O280" s="96">
        <f>900000+1500000-1500000+100000+2100000</f>
        <v>3100000</v>
      </c>
      <c r="P280" s="96"/>
      <c r="Q280" s="96"/>
      <c r="R280" s="96"/>
      <c r="S280" s="96">
        <f>900000+1500000-1500000+100000+2100000</f>
        <v>3100000</v>
      </c>
      <c r="T280" s="96">
        <f t="shared" si="272"/>
        <v>3098574.6</v>
      </c>
      <c r="U280" s="96">
        <v>3098574.6</v>
      </c>
      <c r="V280" s="96"/>
      <c r="W280" s="96"/>
      <c r="X280" s="96"/>
      <c r="Y280" s="96">
        <v>3098574.6</v>
      </c>
      <c r="Z280" s="150">
        <f t="shared" si="273"/>
        <v>99.954019354838707</v>
      </c>
      <c r="AA280" s="96">
        <f t="shared" si="274"/>
        <v>3098574.6</v>
      </c>
      <c r="AB280" s="96">
        <f t="shared" ref="AB280:AB281" si="278">E280+N280</f>
        <v>3100000</v>
      </c>
      <c r="AC280" s="237"/>
      <c r="AD280" s="113"/>
      <c r="AE280" s="132"/>
      <c r="AF280" s="125"/>
    </row>
    <row r="281" spans="1:32" s="15" customFormat="1" ht="24" customHeight="1" x14ac:dyDescent="0.25">
      <c r="A281" s="12" t="s">
        <v>485</v>
      </c>
      <c r="B281" s="13" t="str">
        <f>'дод 5'!A184</f>
        <v>6030</v>
      </c>
      <c r="C281" s="12" t="str">
        <f>'дод 5'!B184</f>
        <v>0620</v>
      </c>
      <c r="D281" s="16" t="str">
        <f>'дод 5'!C184</f>
        <v>Організація благоустрою населених пунктів</v>
      </c>
      <c r="E281" s="96">
        <f t="shared" si="276"/>
        <v>0</v>
      </c>
      <c r="F281" s="96"/>
      <c r="G281" s="96"/>
      <c r="H281" s="96"/>
      <c r="I281" s="96"/>
      <c r="J281" s="96"/>
      <c r="K281" s="96"/>
      <c r="L281" s="96"/>
      <c r="M281" s="150" t="e">
        <f t="shared" si="270"/>
        <v>#DIV/0!</v>
      </c>
      <c r="N281" s="96">
        <f t="shared" si="277"/>
        <v>51729</v>
      </c>
      <c r="O281" s="96">
        <f>80000-28271</f>
        <v>51729</v>
      </c>
      <c r="P281" s="96"/>
      <c r="Q281" s="96"/>
      <c r="R281" s="96"/>
      <c r="S281" s="96">
        <f>80000-28271</f>
        <v>51729</v>
      </c>
      <c r="T281" s="96">
        <f t="shared" si="272"/>
        <v>42139</v>
      </c>
      <c r="U281" s="96">
        <v>42139</v>
      </c>
      <c r="V281" s="96"/>
      <c r="W281" s="96"/>
      <c r="X281" s="96"/>
      <c r="Y281" s="96">
        <v>42139</v>
      </c>
      <c r="Z281" s="150">
        <f t="shared" si="273"/>
        <v>81.461075992190075</v>
      </c>
      <c r="AA281" s="96">
        <f t="shared" si="274"/>
        <v>42139</v>
      </c>
      <c r="AB281" s="96">
        <f t="shared" si="278"/>
        <v>51729</v>
      </c>
      <c r="AC281" s="237"/>
      <c r="AD281" s="113"/>
      <c r="AE281" s="132"/>
      <c r="AF281" s="125"/>
    </row>
    <row r="282" spans="1:32" s="15" customFormat="1" ht="72.75" customHeight="1" x14ac:dyDescent="0.25">
      <c r="A282" s="12" t="s">
        <v>168</v>
      </c>
      <c r="B282" s="13">
        <f>'дод 5'!A185</f>
        <v>6084</v>
      </c>
      <c r="C282" s="12" t="str">
        <f>'дод 5'!B185</f>
        <v>0610</v>
      </c>
      <c r="D282" s="16" t="str">
        <f>'дод 5'!C185</f>
        <v>Витрати, пов'язані з наданням та обслуговуванням пільгових довгострокових кредитів, наданих громадянам на будівництво/реконструкцію/придбання житла</v>
      </c>
      <c r="E282" s="96">
        <f t="shared" si="267"/>
        <v>0</v>
      </c>
      <c r="F282" s="96"/>
      <c r="G282" s="96"/>
      <c r="H282" s="96"/>
      <c r="I282" s="96"/>
      <c r="J282" s="96"/>
      <c r="K282" s="96"/>
      <c r="L282" s="96"/>
      <c r="M282" s="150" t="e">
        <f t="shared" si="270"/>
        <v>#DIV/0!</v>
      </c>
      <c r="N282" s="96">
        <f t="shared" ref="N282:N290" si="279">P282+S282</f>
        <v>354773.55</v>
      </c>
      <c r="O282" s="96"/>
      <c r="P282" s="96"/>
      <c r="Q282" s="96"/>
      <c r="R282" s="96"/>
      <c r="S282" s="96">
        <f>342000+12773.55</f>
        <v>354773.55</v>
      </c>
      <c r="T282" s="96">
        <f t="shared" si="272"/>
        <v>346244.2</v>
      </c>
      <c r="U282" s="96"/>
      <c r="V282" s="96"/>
      <c r="W282" s="96"/>
      <c r="X282" s="96"/>
      <c r="Y282" s="96">
        <v>346244.2</v>
      </c>
      <c r="Z282" s="150">
        <f t="shared" si="273"/>
        <v>97.595832609279938</v>
      </c>
      <c r="AA282" s="96">
        <f t="shared" si="274"/>
        <v>346244.2</v>
      </c>
      <c r="AB282" s="96">
        <f t="shared" si="268"/>
        <v>354773.55</v>
      </c>
      <c r="AC282" s="237"/>
      <c r="AD282" s="113"/>
      <c r="AE282" s="132"/>
      <c r="AF282" s="125"/>
    </row>
    <row r="283" spans="1:32" s="15" customFormat="1" ht="39" customHeight="1" x14ac:dyDescent="0.25">
      <c r="A283" s="12" t="s">
        <v>444</v>
      </c>
      <c r="B283" s="13">
        <f>'дод 5'!A187</f>
        <v>6091</v>
      </c>
      <c r="C283" s="12" t="str">
        <f>'дод 5'!B187</f>
        <v>0640</v>
      </c>
      <c r="D283" s="16" t="str">
        <f>'дод 5'!C187</f>
        <v>Будівництво1 об'єктів житлово-комунального господарства</v>
      </c>
      <c r="E283" s="96">
        <f t="shared" ref="E283:E287" si="280">F283+I283</f>
        <v>0</v>
      </c>
      <c r="F283" s="96"/>
      <c r="G283" s="96"/>
      <c r="H283" s="96"/>
      <c r="I283" s="96"/>
      <c r="J283" s="96"/>
      <c r="K283" s="96"/>
      <c r="L283" s="96"/>
      <c r="M283" s="150" t="e">
        <f t="shared" si="270"/>
        <v>#DIV/0!</v>
      </c>
      <c r="N283" s="96">
        <f t="shared" ref="N283:N287" si="281">P283+S283</f>
        <v>6278459</v>
      </c>
      <c r="O283" s="96">
        <f>2500000+5621-227162+4000000</f>
        <v>6278459</v>
      </c>
      <c r="P283" s="96"/>
      <c r="Q283" s="96"/>
      <c r="R283" s="96"/>
      <c r="S283" s="96">
        <f>2500000+5621-227162+4000000</f>
        <v>6278459</v>
      </c>
      <c r="T283" s="96">
        <f t="shared" si="272"/>
        <v>2278458.7999999998</v>
      </c>
      <c r="U283" s="96">
        <v>2278458.7999999998</v>
      </c>
      <c r="V283" s="96"/>
      <c r="W283" s="96"/>
      <c r="X283" s="96"/>
      <c r="Y283" s="96">
        <v>2278458.7999999998</v>
      </c>
      <c r="Z283" s="150">
        <f t="shared" si="273"/>
        <v>36.290096025155215</v>
      </c>
      <c r="AA283" s="96">
        <f t="shared" si="274"/>
        <v>2278458.7999999998</v>
      </c>
      <c r="AB283" s="96">
        <f t="shared" ref="AB283:AB287" si="282">E283+N283</f>
        <v>6278459</v>
      </c>
      <c r="AC283" s="237"/>
      <c r="AD283" s="113"/>
      <c r="AE283" s="132"/>
      <c r="AF283" s="125"/>
    </row>
    <row r="284" spans="1:32" s="15" customFormat="1" ht="63.4" customHeight="1" x14ac:dyDescent="0.25">
      <c r="A284" s="12" t="s">
        <v>513</v>
      </c>
      <c r="B284" s="13">
        <f>'дод 5'!A188</f>
        <v>6092</v>
      </c>
      <c r="C284" s="12" t="str">
        <f>'дод 5'!B188</f>
        <v>0610</v>
      </c>
      <c r="D284" s="16" t="str">
        <f>'дод 5'!C188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v>
      </c>
      <c r="E284" s="96">
        <f t="shared" si="280"/>
        <v>0</v>
      </c>
      <c r="F284" s="96"/>
      <c r="G284" s="96"/>
      <c r="H284" s="96"/>
      <c r="I284" s="96"/>
      <c r="J284" s="96"/>
      <c r="K284" s="96"/>
      <c r="L284" s="96"/>
      <c r="M284" s="150" t="e">
        <f t="shared" si="270"/>
        <v>#DIV/0!</v>
      </c>
      <c r="N284" s="96">
        <f t="shared" si="281"/>
        <v>21310000</v>
      </c>
      <c r="O284" s="96">
        <f>6000000+4500000+4500000+3150000+600000+980000+980000+600000-190000+190000</f>
        <v>21310000</v>
      </c>
      <c r="P284" s="96"/>
      <c r="Q284" s="96"/>
      <c r="R284" s="96"/>
      <c r="S284" s="96">
        <f>6000000+4500000+4500000+3150000+600000+980000+980000+600000-190000+190000</f>
        <v>21310000</v>
      </c>
      <c r="T284" s="96">
        <f t="shared" si="272"/>
        <v>18885445</v>
      </c>
      <c r="U284" s="96">
        <v>18885445</v>
      </c>
      <c r="V284" s="96"/>
      <c r="W284" s="96"/>
      <c r="X284" s="96"/>
      <c r="Y284" s="96">
        <v>18885445</v>
      </c>
      <c r="Z284" s="150">
        <f t="shared" si="273"/>
        <v>88.622454246832476</v>
      </c>
      <c r="AA284" s="96">
        <f t="shared" si="274"/>
        <v>18885445</v>
      </c>
      <c r="AB284" s="96">
        <f t="shared" si="282"/>
        <v>21310000</v>
      </c>
      <c r="AC284" s="237"/>
      <c r="AD284" s="113"/>
      <c r="AE284" s="132"/>
      <c r="AF284" s="125"/>
    </row>
    <row r="285" spans="1:32" s="23" customFormat="1" ht="85.5" customHeight="1" x14ac:dyDescent="0.25">
      <c r="A285" s="20"/>
      <c r="B285" s="21"/>
      <c r="C285" s="20"/>
      <c r="D285" s="77" t="s">
        <v>385</v>
      </c>
      <c r="E285" s="97">
        <f t="shared" si="280"/>
        <v>0</v>
      </c>
      <c r="F285" s="97"/>
      <c r="G285" s="97"/>
      <c r="H285" s="97"/>
      <c r="I285" s="97"/>
      <c r="J285" s="97"/>
      <c r="K285" s="97"/>
      <c r="L285" s="97"/>
      <c r="M285" s="151" t="e">
        <f t="shared" si="270"/>
        <v>#DIV/0!</v>
      </c>
      <c r="N285" s="97">
        <f t="shared" si="281"/>
        <v>18150000</v>
      </c>
      <c r="O285" s="97">
        <f>6000000+4500000+4500000+3150000</f>
        <v>18150000</v>
      </c>
      <c r="P285" s="97"/>
      <c r="Q285" s="97"/>
      <c r="R285" s="97"/>
      <c r="S285" s="97">
        <f>6000000+4500000+4500000+3150000</f>
        <v>18150000</v>
      </c>
      <c r="T285" s="97">
        <f t="shared" si="272"/>
        <v>15873225</v>
      </c>
      <c r="U285" s="97">
        <v>15873225</v>
      </c>
      <c r="V285" s="97"/>
      <c r="W285" s="97"/>
      <c r="X285" s="97"/>
      <c r="Y285" s="97">
        <v>15873225</v>
      </c>
      <c r="Z285" s="151">
        <f t="shared" si="273"/>
        <v>87.455785123966947</v>
      </c>
      <c r="AA285" s="97">
        <f t="shared" si="274"/>
        <v>15873225</v>
      </c>
      <c r="AB285" s="97">
        <f t="shared" si="282"/>
        <v>18150000</v>
      </c>
      <c r="AC285" s="237"/>
      <c r="AD285" s="114"/>
      <c r="AE285" s="132"/>
      <c r="AF285" s="125"/>
    </row>
    <row r="286" spans="1:32" s="15" customFormat="1" ht="24.75" customHeight="1" x14ac:dyDescent="0.25">
      <c r="A286" s="12" t="s">
        <v>445</v>
      </c>
      <c r="B286" s="13" t="str">
        <f>'дод 5'!A207</f>
        <v>7330</v>
      </c>
      <c r="C286" s="12" t="str">
        <f>'дод 5'!B207</f>
        <v>0443</v>
      </c>
      <c r="D286" s="16" t="s">
        <v>450</v>
      </c>
      <c r="E286" s="96">
        <f t="shared" si="280"/>
        <v>0</v>
      </c>
      <c r="F286" s="96"/>
      <c r="G286" s="96"/>
      <c r="H286" s="96"/>
      <c r="I286" s="96"/>
      <c r="J286" s="96"/>
      <c r="K286" s="96"/>
      <c r="L286" s="96"/>
      <c r="M286" s="150" t="e">
        <f t="shared" si="270"/>
        <v>#DIV/0!</v>
      </c>
      <c r="N286" s="96">
        <f t="shared" si="281"/>
        <v>996384</v>
      </c>
      <c r="O286" s="96">
        <f>1040000+140000-183616</f>
        <v>996384</v>
      </c>
      <c r="P286" s="96"/>
      <c r="Q286" s="96"/>
      <c r="R286" s="96"/>
      <c r="S286" s="96">
        <f>1040000+140000-183616</f>
        <v>996384</v>
      </c>
      <c r="T286" s="96">
        <f t="shared" si="272"/>
        <v>996384</v>
      </c>
      <c r="U286" s="96">
        <v>996384</v>
      </c>
      <c r="V286" s="96"/>
      <c r="W286" s="96"/>
      <c r="X286" s="96"/>
      <c r="Y286" s="96">
        <v>996384</v>
      </c>
      <c r="Z286" s="150">
        <f t="shared" si="273"/>
        <v>100</v>
      </c>
      <c r="AA286" s="96">
        <f t="shared" si="274"/>
        <v>996384</v>
      </c>
      <c r="AB286" s="96">
        <f t="shared" si="282"/>
        <v>996384</v>
      </c>
      <c r="AC286" s="237"/>
      <c r="AD286" s="113"/>
      <c r="AE286" s="132"/>
      <c r="AF286" s="125"/>
    </row>
    <row r="287" spans="1:32" s="15" customFormat="1" ht="31.5" x14ac:dyDescent="0.25">
      <c r="A287" s="12" t="s">
        <v>494</v>
      </c>
      <c r="B287" s="13">
        <f>'дод 5'!A210</f>
        <v>7370</v>
      </c>
      <c r="C287" s="12" t="str">
        <f>'дод 5'!B210</f>
        <v>0490</v>
      </c>
      <c r="D287" s="16" t="str">
        <f>'дод 5'!C210</f>
        <v>Реалізація інших заходів щодо соціально-економічного розвитку територій</v>
      </c>
      <c r="E287" s="96">
        <f t="shared" si="280"/>
        <v>0</v>
      </c>
      <c r="F287" s="96"/>
      <c r="G287" s="96"/>
      <c r="H287" s="96"/>
      <c r="I287" s="96"/>
      <c r="J287" s="96"/>
      <c r="K287" s="96"/>
      <c r="L287" s="96"/>
      <c r="M287" s="150" t="e">
        <f t="shared" si="270"/>
        <v>#DIV/0!</v>
      </c>
      <c r="N287" s="96">
        <f t="shared" si="281"/>
        <v>5480056</v>
      </c>
      <c r="O287" s="96">
        <f>1500000+1500000+1550000+620000-6944+317000</f>
        <v>5480056</v>
      </c>
      <c r="P287" s="96"/>
      <c r="Q287" s="96"/>
      <c r="R287" s="96"/>
      <c r="S287" s="96">
        <f>1500000+1500000+1550000+620000-6944+317000</f>
        <v>5480056</v>
      </c>
      <c r="T287" s="96">
        <f t="shared" si="272"/>
        <v>5417223</v>
      </c>
      <c r="U287" s="96">
        <v>5417223</v>
      </c>
      <c r="V287" s="96"/>
      <c r="W287" s="96"/>
      <c r="X287" s="96"/>
      <c r="Y287" s="96">
        <v>5417223</v>
      </c>
      <c r="Z287" s="150">
        <f t="shared" si="273"/>
        <v>98.853424125592881</v>
      </c>
      <c r="AA287" s="96">
        <f t="shared" si="274"/>
        <v>5417223</v>
      </c>
      <c r="AB287" s="96">
        <f t="shared" si="282"/>
        <v>5480056</v>
      </c>
      <c r="AC287" s="237"/>
      <c r="AD287" s="113"/>
      <c r="AE287" s="132"/>
      <c r="AF287" s="125"/>
    </row>
    <row r="288" spans="1:32" s="15" customFormat="1" ht="29.25" customHeight="1" x14ac:dyDescent="0.25">
      <c r="A288" s="12" t="s">
        <v>118</v>
      </c>
      <c r="B288" s="13" t="str">
        <f>'дод 5'!A227</f>
        <v>7640</v>
      </c>
      <c r="C288" s="12" t="str">
        <f>'дод 5'!B227</f>
        <v>0470</v>
      </c>
      <c r="D288" s="14" t="str">
        <f>'дод 5'!C227</f>
        <v>Заходи з енергозбереження, у т. ч. за рахунок:</v>
      </c>
      <c r="E288" s="96">
        <f t="shared" si="267"/>
        <v>132161</v>
      </c>
      <c r="F288" s="96">
        <f>515734-383573</f>
        <v>132161</v>
      </c>
      <c r="G288" s="96"/>
      <c r="H288" s="96"/>
      <c r="I288" s="96"/>
      <c r="J288" s="96"/>
      <c r="K288" s="96"/>
      <c r="L288" s="96"/>
      <c r="M288" s="150">
        <f t="shared" si="270"/>
        <v>0</v>
      </c>
      <c r="N288" s="96">
        <f t="shared" si="279"/>
        <v>285873040.38999999</v>
      </c>
      <c r="O288" s="96">
        <f>251099640+42813357.39+150000+300000+150000+105150+86605+8000000-10672900-2380581-115048-145098-150000-360000-2632427-375658</f>
        <v>285873040.38999999</v>
      </c>
      <c r="P288" s="96"/>
      <c r="Q288" s="96"/>
      <c r="R288" s="96"/>
      <c r="S288" s="96">
        <f>251099640+42813357.39+150000+300000+150000+105150+86605+8000000-10672900-2380581-115048-145098-150000-360000-2632427-375658</f>
        <v>285873040.38999999</v>
      </c>
      <c r="T288" s="96">
        <f t="shared" si="272"/>
        <v>98451089.010000005</v>
      </c>
      <c r="U288" s="96">
        <v>98451089.010000005</v>
      </c>
      <c r="V288" s="96"/>
      <c r="W288" s="96"/>
      <c r="X288" s="96"/>
      <c r="Y288" s="96">
        <v>98451089.010000005</v>
      </c>
      <c r="Z288" s="150">
        <f t="shared" si="273"/>
        <v>34.438745561907098</v>
      </c>
      <c r="AA288" s="96">
        <f t="shared" si="274"/>
        <v>98451089.010000005</v>
      </c>
      <c r="AB288" s="96">
        <f t="shared" si="268"/>
        <v>286005201.38999999</v>
      </c>
      <c r="AC288" s="237"/>
      <c r="AD288" s="113"/>
      <c r="AE288" s="132"/>
      <c r="AF288" s="125"/>
    </row>
    <row r="289" spans="1:32" s="23" customFormat="1" ht="25.5" customHeight="1" x14ac:dyDescent="0.25">
      <c r="A289" s="20"/>
      <c r="B289" s="21"/>
      <c r="C289" s="20"/>
      <c r="D289" s="24" t="s">
        <v>285</v>
      </c>
      <c r="E289" s="97">
        <f t="shared" si="267"/>
        <v>0</v>
      </c>
      <c r="F289" s="97"/>
      <c r="G289" s="97"/>
      <c r="H289" s="97"/>
      <c r="I289" s="97"/>
      <c r="J289" s="97"/>
      <c r="K289" s="97"/>
      <c r="L289" s="97"/>
      <c r="M289" s="151" t="e">
        <f t="shared" si="270"/>
        <v>#DIV/0!</v>
      </c>
      <c r="N289" s="97">
        <f t="shared" si="279"/>
        <v>209249640</v>
      </c>
      <c r="O289" s="97">
        <v>209249640</v>
      </c>
      <c r="P289" s="97"/>
      <c r="Q289" s="97"/>
      <c r="R289" s="97"/>
      <c r="S289" s="97">
        <v>209249640</v>
      </c>
      <c r="T289" s="97">
        <f t="shared" si="272"/>
        <v>38915335.850000001</v>
      </c>
      <c r="U289" s="97">
        <v>38915335.850000001</v>
      </c>
      <c r="V289" s="97"/>
      <c r="W289" s="97"/>
      <c r="X289" s="97"/>
      <c r="Y289" s="97">
        <v>38915335.850000001</v>
      </c>
      <c r="Z289" s="151">
        <f t="shared" si="273"/>
        <v>18.597564062714756</v>
      </c>
      <c r="AA289" s="97">
        <f t="shared" si="274"/>
        <v>38915335.850000001</v>
      </c>
      <c r="AB289" s="97">
        <f t="shared" si="268"/>
        <v>209249640</v>
      </c>
      <c r="AC289" s="237"/>
      <c r="AD289" s="114"/>
      <c r="AE289" s="132"/>
      <c r="AF289" s="125"/>
    </row>
    <row r="290" spans="1:32" s="23" customFormat="1" ht="63" x14ac:dyDescent="0.25">
      <c r="A290" s="20"/>
      <c r="B290" s="21"/>
      <c r="C290" s="20"/>
      <c r="D290" s="24" t="str">
        <f>'дод 5'!C229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E290" s="97"/>
      <c r="F290" s="97"/>
      <c r="G290" s="97"/>
      <c r="H290" s="97"/>
      <c r="I290" s="97"/>
      <c r="J290" s="97"/>
      <c r="K290" s="97"/>
      <c r="L290" s="97"/>
      <c r="M290" s="151" t="e">
        <f t="shared" si="270"/>
        <v>#DIV/0!</v>
      </c>
      <c r="N290" s="97">
        <f t="shared" si="279"/>
        <v>42813357.390000001</v>
      </c>
      <c r="O290" s="97">
        <v>42813357.390000001</v>
      </c>
      <c r="P290" s="97"/>
      <c r="Q290" s="97"/>
      <c r="R290" s="97"/>
      <c r="S290" s="97">
        <v>42813357.390000001</v>
      </c>
      <c r="T290" s="97">
        <f t="shared" si="272"/>
        <v>42813356.659999996</v>
      </c>
      <c r="U290" s="97">
        <v>42813356.659999996</v>
      </c>
      <c r="V290" s="97"/>
      <c r="W290" s="97"/>
      <c r="X290" s="97"/>
      <c r="Y290" s="97">
        <v>42813356.659999996</v>
      </c>
      <c r="Z290" s="151">
        <f t="shared" si="273"/>
        <v>99.999998294924652</v>
      </c>
      <c r="AA290" s="97">
        <f t="shared" si="274"/>
        <v>42813356.659999996</v>
      </c>
      <c r="AB290" s="97">
        <f t="shared" si="268"/>
        <v>42813357.390000001</v>
      </c>
      <c r="AC290" s="237"/>
      <c r="AD290" s="114"/>
      <c r="AE290" s="132"/>
      <c r="AF290" s="125"/>
    </row>
    <row r="291" spans="1:32" s="23" customFormat="1" ht="47.25" x14ac:dyDescent="0.25">
      <c r="A291" s="8" t="s">
        <v>578</v>
      </c>
      <c r="B291" s="17"/>
      <c r="C291" s="8"/>
      <c r="D291" s="130" t="s">
        <v>580</v>
      </c>
      <c r="E291" s="120">
        <f>E292</f>
        <v>1817600</v>
      </c>
      <c r="F291" s="120">
        <f t="shared" ref="F291:AB291" si="283">F292</f>
        <v>1817600</v>
      </c>
      <c r="G291" s="120">
        <f t="shared" si="283"/>
        <v>1349200</v>
      </c>
      <c r="H291" s="120">
        <f t="shared" si="283"/>
        <v>61600</v>
      </c>
      <c r="I291" s="120">
        <f t="shared" si="283"/>
        <v>0</v>
      </c>
      <c r="J291" s="120">
        <f t="shared" si="283"/>
        <v>1810286.15</v>
      </c>
      <c r="K291" s="120">
        <f t="shared" si="283"/>
        <v>1349199.82</v>
      </c>
      <c r="L291" s="120">
        <f t="shared" si="283"/>
        <v>61357.55</v>
      </c>
      <c r="M291" s="146">
        <f t="shared" si="270"/>
        <v>99.597609485035207</v>
      </c>
      <c r="N291" s="120">
        <f t="shared" si="283"/>
        <v>997554.47</v>
      </c>
      <c r="O291" s="120">
        <f t="shared" si="283"/>
        <v>0</v>
      </c>
      <c r="P291" s="120">
        <f t="shared" si="283"/>
        <v>771000</v>
      </c>
      <c r="Q291" s="120">
        <f t="shared" si="283"/>
        <v>0</v>
      </c>
      <c r="R291" s="120">
        <f t="shared" si="283"/>
        <v>0</v>
      </c>
      <c r="S291" s="120">
        <f t="shared" si="283"/>
        <v>226554.47</v>
      </c>
      <c r="T291" s="120">
        <f t="shared" si="283"/>
        <v>0</v>
      </c>
      <c r="U291" s="120">
        <f t="shared" si="283"/>
        <v>0</v>
      </c>
      <c r="V291" s="120">
        <f t="shared" si="283"/>
        <v>0</v>
      </c>
      <c r="W291" s="120">
        <f t="shared" si="283"/>
        <v>0</v>
      </c>
      <c r="X291" s="120">
        <f t="shared" si="283"/>
        <v>0</v>
      </c>
      <c r="Y291" s="120">
        <f t="shared" si="283"/>
        <v>0</v>
      </c>
      <c r="Z291" s="146">
        <f t="shared" si="273"/>
        <v>0</v>
      </c>
      <c r="AA291" s="120">
        <f t="shared" si="283"/>
        <v>1810286.15</v>
      </c>
      <c r="AB291" s="120">
        <f t="shared" si="283"/>
        <v>2815154.4699999997</v>
      </c>
      <c r="AC291" s="237"/>
      <c r="AD291" s="112"/>
      <c r="AE291" s="132"/>
      <c r="AF291" s="125"/>
    </row>
    <row r="292" spans="1:32" s="23" customFormat="1" ht="47.25" x14ac:dyDescent="0.25">
      <c r="A292" s="9" t="s">
        <v>579</v>
      </c>
      <c r="B292" s="18"/>
      <c r="C292" s="9"/>
      <c r="D292" s="131" t="s">
        <v>580</v>
      </c>
      <c r="E292" s="121">
        <f>E293+E294</f>
        <v>1817600</v>
      </c>
      <c r="F292" s="121">
        <f t="shared" ref="F292:AB292" si="284">F293+F294</f>
        <v>1817600</v>
      </c>
      <c r="G292" s="121">
        <f t="shared" si="284"/>
        <v>1349200</v>
      </c>
      <c r="H292" s="121">
        <f t="shared" si="284"/>
        <v>61600</v>
      </c>
      <c r="I292" s="121">
        <f t="shared" si="284"/>
        <v>0</v>
      </c>
      <c r="J292" s="121">
        <f t="shared" si="284"/>
        <v>1810286.15</v>
      </c>
      <c r="K292" s="121">
        <f t="shared" si="284"/>
        <v>1349199.82</v>
      </c>
      <c r="L292" s="121">
        <f t="shared" si="284"/>
        <v>61357.55</v>
      </c>
      <c r="M292" s="149">
        <f t="shared" si="270"/>
        <v>99.597609485035207</v>
      </c>
      <c r="N292" s="121">
        <f t="shared" si="284"/>
        <v>997554.47</v>
      </c>
      <c r="O292" s="121">
        <f t="shared" si="284"/>
        <v>0</v>
      </c>
      <c r="P292" s="121">
        <f t="shared" si="284"/>
        <v>771000</v>
      </c>
      <c r="Q292" s="121">
        <f t="shared" si="284"/>
        <v>0</v>
      </c>
      <c r="R292" s="121">
        <f t="shared" si="284"/>
        <v>0</v>
      </c>
      <c r="S292" s="121">
        <f t="shared" si="284"/>
        <v>226554.47</v>
      </c>
      <c r="T292" s="121">
        <f t="shared" si="284"/>
        <v>0</v>
      </c>
      <c r="U292" s="121">
        <f t="shared" si="284"/>
        <v>0</v>
      </c>
      <c r="V292" s="121">
        <f t="shared" si="284"/>
        <v>0</v>
      </c>
      <c r="W292" s="121">
        <f t="shared" si="284"/>
        <v>0</v>
      </c>
      <c r="X292" s="121">
        <f t="shared" si="284"/>
        <v>0</v>
      </c>
      <c r="Y292" s="121">
        <f t="shared" si="284"/>
        <v>0</v>
      </c>
      <c r="Z292" s="149">
        <f t="shared" si="273"/>
        <v>0</v>
      </c>
      <c r="AA292" s="121">
        <f t="shared" si="284"/>
        <v>1810286.15</v>
      </c>
      <c r="AB292" s="121">
        <f t="shared" si="284"/>
        <v>2815154.4699999997</v>
      </c>
      <c r="AC292" s="237"/>
      <c r="AD292" s="98"/>
      <c r="AE292" s="132"/>
      <c r="AF292" s="125"/>
    </row>
    <row r="293" spans="1:32" s="23" customFormat="1" ht="49.9" customHeight="1" x14ac:dyDescent="0.25">
      <c r="A293" s="12" t="s">
        <v>581</v>
      </c>
      <c r="B293" s="13" t="str">
        <f>'дод 5'!A19</f>
        <v>0160</v>
      </c>
      <c r="C293" s="13" t="str">
        <f>'дод 5'!B19</f>
        <v>0111</v>
      </c>
      <c r="D293" s="16" t="str">
        <f>'дод 5'!C19</f>
        <v>Керівництво і управління у відповідній сфері у містах (місті Києві), селищах, селах, територіальних громадах</v>
      </c>
      <c r="E293" s="96">
        <f>F293+I293</f>
        <v>1817600</v>
      </c>
      <c r="F293" s="96">
        <f>1756000+61600</f>
        <v>1817600</v>
      </c>
      <c r="G293" s="96">
        <v>1349200</v>
      </c>
      <c r="H293" s="96">
        <v>61600</v>
      </c>
      <c r="I293" s="96"/>
      <c r="J293" s="96">
        <v>1810286.15</v>
      </c>
      <c r="K293" s="96">
        <v>1349199.82</v>
      </c>
      <c r="L293" s="96">
        <v>61357.55</v>
      </c>
      <c r="M293" s="150">
        <f t="shared" si="270"/>
        <v>99.597609485035207</v>
      </c>
      <c r="N293" s="96">
        <f>P293+S293</f>
        <v>0</v>
      </c>
      <c r="O293" s="96"/>
      <c r="P293" s="96"/>
      <c r="Q293" s="96"/>
      <c r="R293" s="96"/>
      <c r="S293" s="96"/>
      <c r="T293" s="96">
        <f t="shared" si="272"/>
        <v>0</v>
      </c>
      <c r="U293" s="96"/>
      <c r="V293" s="96"/>
      <c r="W293" s="96"/>
      <c r="X293" s="96"/>
      <c r="Y293" s="96"/>
      <c r="Z293" s="150" t="e">
        <f t="shared" si="273"/>
        <v>#DIV/0!</v>
      </c>
      <c r="AA293" s="96">
        <f t="shared" si="274"/>
        <v>1810286.15</v>
      </c>
      <c r="AB293" s="96">
        <f>E293+N293</f>
        <v>1817600</v>
      </c>
      <c r="AC293" s="237"/>
      <c r="AD293" s="113"/>
      <c r="AE293" s="132"/>
      <c r="AF293" s="125"/>
    </row>
    <row r="294" spans="1:32" s="15" customFormat="1" ht="126" x14ac:dyDescent="0.25">
      <c r="A294" s="12" t="s">
        <v>582</v>
      </c>
      <c r="B294" s="13" t="str">
        <f>'дод 5'!A235</f>
        <v>7691</v>
      </c>
      <c r="C294" s="13" t="str">
        <f>'дод 5'!B235</f>
        <v>0490</v>
      </c>
      <c r="D294" s="16" t="str">
        <f>'дод 5'!C235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294" s="96">
        <f>F294+I294</f>
        <v>0</v>
      </c>
      <c r="F294" s="96"/>
      <c r="G294" s="96"/>
      <c r="H294" s="96"/>
      <c r="I294" s="96"/>
      <c r="J294" s="96"/>
      <c r="K294" s="96"/>
      <c r="L294" s="96"/>
      <c r="M294" s="150" t="e">
        <f t="shared" si="270"/>
        <v>#DIV/0!</v>
      </c>
      <c r="N294" s="96">
        <f>P294+S294</f>
        <v>997554.47</v>
      </c>
      <c r="O294" s="96"/>
      <c r="P294" s="96">
        <v>771000</v>
      </c>
      <c r="Q294" s="96"/>
      <c r="R294" s="96"/>
      <c r="S294" s="96">
        <v>226554.47</v>
      </c>
      <c r="T294" s="96">
        <f t="shared" si="272"/>
        <v>0</v>
      </c>
      <c r="U294" s="96"/>
      <c r="V294" s="96"/>
      <c r="W294" s="96"/>
      <c r="X294" s="96"/>
      <c r="Y294" s="96"/>
      <c r="Z294" s="150">
        <f t="shared" si="273"/>
        <v>0</v>
      </c>
      <c r="AA294" s="96">
        <f t="shared" si="274"/>
        <v>0</v>
      </c>
      <c r="AB294" s="96">
        <f>E294+N294</f>
        <v>997554.47</v>
      </c>
      <c r="AC294" s="237"/>
      <c r="AD294" s="113"/>
      <c r="AE294" s="132"/>
      <c r="AF294" s="125"/>
    </row>
    <row r="295" spans="1:32" s="132" customFormat="1" ht="35.25" customHeight="1" x14ac:dyDescent="0.25">
      <c r="A295" s="8" t="s">
        <v>171</v>
      </c>
      <c r="B295" s="17"/>
      <c r="C295" s="8"/>
      <c r="D295" s="130" t="s">
        <v>33</v>
      </c>
      <c r="E295" s="120">
        <f>E296</f>
        <v>6916100</v>
      </c>
      <c r="F295" s="120">
        <f t="shared" ref="F295:AA296" si="285">F296</f>
        <v>6916100</v>
      </c>
      <c r="G295" s="120">
        <f t="shared" si="285"/>
        <v>5427000</v>
      </c>
      <c r="H295" s="120">
        <f t="shared" si="285"/>
        <v>119400</v>
      </c>
      <c r="I295" s="120">
        <f t="shared" si="285"/>
        <v>0</v>
      </c>
      <c r="J295" s="120">
        <f t="shared" si="285"/>
        <v>6888321.21</v>
      </c>
      <c r="K295" s="120">
        <f t="shared" si="285"/>
        <v>5426992.2800000003</v>
      </c>
      <c r="L295" s="120">
        <f t="shared" si="285"/>
        <v>110970.24000000001</v>
      </c>
      <c r="M295" s="146">
        <f t="shared" si="270"/>
        <v>99.59834603316898</v>
      </c>
      <c r="N295" s="120">
        <f t="shared" si="285"/>
        <v>0</v>
      </c>
      <c r="O295" s="120">
        <f t="shared" si="285"/>
        <v>0</v>
      </c>
      <c r="P295" s="120">
        <f t="shared" si="285"/>
        <v>0</v>
      </c>
      <c r="Q295" s="120">
        <f t="shared" si="285"/>
        <v>0</v>
      </c>
      <c r="R295" s="120">
        <f t="shared" si="285"/>
        <v>0</v>
      </c>
      <c r="S295" s="120">
        <f t="shared" si="285"/>
        <v>0</v>
      </c>
      <c r="T295" s="120">
        <f t="shared" si="285"/>
        <v>0</v>
      </c>
      <c r="U295" s="120">
        <f t="shared" si="285"/>
        <v>0</v>
      </c>
      <c r="V295" s="120">
        <f t="shared" si="285"/>
        <v>0</v>
      </c>
      <c r="W295" s="120">
        <f t="shared" si="285"/>
        <v>0</v>
      </c>
      <c r="X295" s="120">
        <f t="shared" si="285"/>
        <v>0</v>
      </c>
      <c r="Y295" s="120">
        <f t="shared" si="285"/>
        <v>0</v>
      </c>
      <c r="Z295" s="146" t="e">
        <f t="shared" si="273"/>
        <v>#DIV/0!</v>
      </c>
      <c r="AA295" s="120">
        <f t="shared" si="285"/>
        <v>6888321.21</v>
      </c>
      <c r="AB295" s="120">
        <f t="shared" ref="AB295" si="286">AB296</f>
        <v>6916100</v>
      </c>
      <c r="AC295" s="237"/>
      <c r="AD295" s="112"/>
      <c r="AF295" s="125"/>
    </row>
    <row r="296" spans="1:32" s="11" customFormat="1" ht="31.5" x14ac:dyDescent="0.25">
      <c r="A296" s="9" t="s">
        <v>169</v>
      </c>
      <c r="B296" s="18"/>
      <c r="C296" s="9"/>
      <c r="D296" s="131" t="s">
        <v>33</v>
      </c>
      <c r="E296" s="121">
        <f>E297</f>
        <v>6916100</v>
      </c>
      <c r="F296" s="121">
        <f t="shared" si="285"/>
        <v>6916100</v>
      </c>
      <c r="G296" s="121">
        <f t="shared" si="285"/>
        <v>5427000</v>
      </c>
      <c r="H296" s="121">
        <f t="shared" si="285"/>
        <v>119400</v>
      </c>
      <c r="I296" s="121">
        <f t="shared" si="285"/>
        <v>0</v>
      </c>
      <c r="J296" s="121">
        <f t="shared" si="285"/>
        <v>6888321.21</v>
      </c>
      <c r="K296" s="121">
        <f t="shared" si="285"/>
        <v>5426992.2800000003</v>
      </c>
      <c r="L296" s="121">
        <f t="shared" si="285"/>
        <v>110970.24000000001</v>
      </c>
      <c r="M296" s="149">
        <f t="shared" si="270"/>
        <v>99.59834603316898</v>
      </c>
      <c r="N296" s="121">
        <f t="shared" si="285"/>
        <v>0</v>
      </c>
      <c r="O296" s="121">
        <f t="shared" si="285"/>
        <v>0</v>
      </c>
      <c r="P296" s="121">
        <f t="shared" si="285"/>
        <v>0</v>
      </c>
      <c r="Q296" s="121">
        <f t="shared" si="285"/>
        <v>0</v>
      </c>
      <c r="R296" s="121">
        <f t="shared" si="285"/>
        <v>0</v>
      </c>
      <c r="S296" s="121">
        <f t="shared" si="285"/>
        <v>0</v>
      </c>
      <c r="T296" s="121">
        <f t="shared" si="285"/>
        <v>0</v>
      </c>
      <c r="U296" s="121">
        <f t="shared" si="285"/>
        <v>0</v>
      </c>
      <c r="V296" s="121">
        <f t="shared" si="285"/>
        <v>0</v>
      </c>
      <c r="W296" s="121">
        <f t="shared" si="285"/>
        <v>0</v>
      </c>
      <c r="X296" s="121">
        <f t="shared" si="285"/>
        <v>0</v>
      </c>
      <c r="Y296" s="121">
        <f t="shared" si="285"/>
        <v>0</v>
      </c>
      <c r="Z296" s="149" t="e">
        <f t="shared" si="273"/>
        <v>#DIV/0!</v>
      </c>
      <c r="AA296" s="121">
        <f t="shared" si="285"/>
        <v>6888321.21</v>
      </c>
      <c r="AB296" s="121">
        <f t="shared" ref="AB296" si="287">AB297</f>
        <v>6916100</v>
      </c>
      <c r="AC296" s="237"/>
      <c r="AD296" s="98"/>
      <c r="AE296" s="132"/>
      <c r="AF296" s="125"/>
    </row>
    <row r="297" spans="1:32" s="15" customFormat="1" ht="49.5" customHeight="1" x14ac:dyDescent="0.25">
      <c r="A297" s="12" t="s">
        <v>170</v>
      </c>
      <c r="B297" s="13" t="str">
        <f>'дод 5'!A19</f>
        <v>0160</v>
      </c>
      <c r="C297" s="12" t="str">
        <f>'дод 5'!B19</f>
        <v>0111</v>
      </c>
      <c r="D297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297" s="96">
        <f>F297+I297</f>
        <v>6916100</v>
      </c>
      <c r="F297" s="96">
        <f>6573400+149700+16700+176300</f>
        <v>6916100</v>
      </c>
      <c r="G297" s="96">
        <f>5146100+122700+13700+144500</f>
        <v>5427000</v>
      </c>
      <c r="H297" s="96">
        <f>113900+5500</f>
        <v>119400</v>
      </c>
      <c r="I297" s="96"/>
      <c r="J297" s="96">
        <v>6888321.21</v>
      </c>
      <c r="K297" s="96">
        <v>5426992.2800000003</v>
      </c>
      <c r="L297" s="96">
        <v>110970.24000000001</v>
      </c>
      <c r="M297" s="150">
        <f t="shared" si="270"/>
        <v>99.59834603316898</v>
      </c>
      <c r="N297" s="96">
        <f>P297+S297</f>
        <v>0</v>
      </c>
      <c r="O297" s="96"/>
      <c r="P297" s="96"/>
      <c r="Q297" s="96"/>
      <c r="R297" s="96"/>
      <c r="S297" s="96"/>
      <c r="T297" s="96">
        <f t="shared" si="272"/>
        <v>0</v>
      </c>
      <c r="U297" s="96"/>
      <c r="V297" s="96"/>
      <c r="W297" s="96"/>
      <c r="X297" s="96"/>
      <c r="Y297" s="96"/>
      <c r="Z297" s="150" t="e">
        <f t="shared" si="273"/>
        <v>#DIV/0!</v>
      </c>
      <c r="AA297" s="96">
        <f t="shared" si="274"/>
        <v>6888321.21</v>
      </c>
      <c r="AB297" s="96">
        <f>E297+N297</f>
        <v>6916100</v>
      </c>
      <c r="AC297" s="237"/>
      <c r="AD297" s="113"/>
      <c r="AE297" s="132"/>
      <c r="AF297" s="125"/>
    </row>
    <row r="298" spans="1:32" s="132" customFormat="1" ht="36.75" customHeight="1" x14ac:dyDescent="0.25">
      <c r="A298" s="8" t="s">
        <v>345</v>
      </c>
      <c r="B298" s="17"/>
      <c r="C298" s="8"/>
      <c r="D298" s="130" t="s">
        <v>332</v>
      </c>
      <c r="E298" s="120">
        <f>E299</f>
        <v>19845600</v>
      </c>
      <c r="F298" s="120">
        <f t="shared" ref="F298:AA298" si="288">F299</f>
        <v>19245600</v>
      </c>
      <c r="G298" s="120">
        <f t="shared" si="288"/>
        <v>15113700</v>
      </c>
      <c r="H298" s="120">
        <f t="shared" si="288"/>
        <v>236900</v>
      </c>
      <c r="I298" s="120">
        <f t="shared" si="288"/>
        <v>600000</v>
      </c>
      <c r="J298" s="120">
        <f t="shared" si="288"/>
        <v>19561300.59</v>
      </c>
      <c r="K298" s="120">
        <f t="shared" si="288"/>
        <v>15081802.130000001</v>
      </c>
      <c r="L298" s="120">
        <f t="shared" si="288"/>
        <v>196111.79</v>
      </c>
      <c r="M298" s="146">
        <f t="shared" si="270"/>
        <v>98.567443614705525</v>
      </c>
      <c r="N298" s="120">
        <f t="shared" si="288"/>
        <v>0</v>
      </c>
      <c r="O298" s="120">
        <f t="shared" si="288"/>
        <v>0</v>
      </c>
      <c r="P298" s="120">
        <f t="shared" si="288"/>
        <v>0</v>
      </c>
      <c r="Q298" s="120">
        <f t="shared" si="288"/>
        <v>0</v>
      </c>
      <c r="R298" s="120">
        <f t="shared" si="288"/>
        <v>0</v>
      </c>
      <c r="S298" s="120">
        <f t="shared" si="288"/>
        <v>0</v>
      </c>
      <c r="T298" s="120">
        <f t="shared" si="288"/>
        <v>0</v>
      </c>
      <c r="U298" s="120">
        <f t="shared" si="288"/>
        <v>0</v>
      </c>
      <c r="V298" s="120">
        <f t="shared" si="288"/>
        <v>0</v>
      </c>
      <c r="W298" s="120">
        <f t="shared" si="288"/>
        <v>0</v>
      </c>
      <c r="X298" s="120">
        <f t="shared" si="288"/>
        <v>0</v>
      </c>
      <c r="Y298" s="120">
        <f t="shared" si="288"/>
        <v>0</v>
      </c>
      <c r="Z298" s="146" t="e">
        <f t="shared" si="273"/>
        <v>#DIV/0!</v>
      </c>
      <c r="AA298" s="120">
        <f t="shared" si="288"/>
        <v>19561300.59</v>
      </c>
      <c r="AB298" s="120">
        <f t="shared" ref="AB298" si="289">AB299</f>
        <v>19845600</v>
      </c>
      <c r="AC298" s="237"/>
      <c r="AD298" s="112"/>
      <c r="AF298" s="125"/>
    </row>
    <row r="299" spans="1:32" s="11" customFormat="1" ht="31.5" x14ac:dyDescent="0.25">
      <c r="A299" s="9" t="s">
        <v>347</v>
      </c>
      <c r="B299" s="18"/>
      <c r="C299" s="9"/>
      <c r="D299" s="131" t="s">
        <v>332</v>
      </c>
      <c r="E299" s="121">
        <f>E300+E301</f>
        <v>19845600</v>
      </c>
      <c r="F299" s="121">
        <f t="shared" ref="F299:AA299" si="290">F300+F301</f>
        <v>19245600</v>
      </c>
      <c r="G299" s="121">
        <f t="shared" si="290"/>
        <v>15113700</v>
      </c>
      <c r="H299" s="121">
        <f t="shared" si="290"/>
        <v>236900</v>
      </c>
      <c r="I299" s="121">
        <f t="shared" si="290"/>
        <v>600000</v>
      </c>
      <c r="J299" s="121">
        <f t="shared" si="290"/>
        <v>19561300.59</v>
      </c>
      <c r="K299" s="121">
        <f t="shared" si="290"/>
        <v>15081802.130000001</v>
      </c>
      <c r="L299" s="121">
        <f t="shared" si="290"/>
        <v>196111.79</v>
      </c>
      <c r="M299" s="149">
        <f t="shared" si="270"/>
        <v>98.567443614705525</v>
      </c>
      <c r="N299" s="121">
        <f t="shared" si="290"/>
        <v>0</v>
      </c>
      <c r="O299" s="121">
        <f t="shared" si="290"/>
        <v>0</v>
      </c>
      <c r="P299" s="121">
        <f t="shared" si="290"/>
        <v>0</v>
      </c>
      <c r="Q299" s="121">
        <f t="shared" si="290"/>
        <v>0</v>
      </c>
      <c r="R299" s="121">
        <f t="shared" si="290"/>
        <v>0</v>
      </c>
      <c r="S299" s="121">
        <f t="shared" si="290"/>
        <v>0</v>
      </c>
      <c r="T299" s="121">
        <f t="shared" si="290"/>
        <v>0</v>
      </c>
      <c r="U299" s="121">
        <f t="shared" si="290"/>
        <v>0</v>
      </c>
      <c r="V299" s="121">
        <f t="shared" si="290"/>
        <v>0</v>
      </c>
      <c r="W299" s="121">
        <f t="shared" si="290"/>
        <v>0</v>
      </c>
      <c r="X299" s="121">
        <f t="shared" si="290"/>
        <v>0</v>
      </c>
      <c r="Y299" s="121">
        <f t="shared" si="290"/>
        <v>0</v>
      </c>
      <c r="Z299" s="149" t="e">
        <f t="shared" si="273"/>
        <v>#DIV/0!</v>
      </c>
      <c r="AA299" s="121">
        <f t="shared" si="290"/>
        <v>19561300.59</v>
      </c>
      <c r="AB299" s="121">
        <f t="shared" ref="AB299" si="291">AB300+AB301</f>
        <v>19845600</v>
      </c>
      <c r="AC299" s="237"/>
      <c r="AD299" s="98"/>
      <c r="AE299" s="132"/>
      <c r="AF299" s="125"/>
    </row>
    <row r="300" spans="1:32" s="15" customFormat="1" ht="45" customHeight="1" x14ac:dyDescent="0.25">
      <c r="A300" s="12" t="s">
        <v>346</v>
      </c>
      <c r="B300" s="13" t="str">
        <f>'дод 5'!A19</f>
        <v>0160</v>
      </c>
      <c r="C300" s="12" t="str">
        <f>'дод 5'!B19</f>
        <v>0111</v>
      </c>
      <c r="D300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300" s="96">
        <f>F300+I300</f>
        <v>19185600</v>
      </c>
      <c r="F300" s="96">
        <f>18841400+188000+47000+109200</f>
        <v>19185600</v>
      </c>
      <c r="G300" s="96">
        <f>15010700+38500-25000+89500</f>
        <v>15113700</v>
      </c>
      <c r="H300" s="96">
        <v>236900</v>
      </c>
      <c r="I300" s="96"/>
      <c r="J300" s="96">
        <v>18924900.649999999</v>
      </c>
      <c r="K300" s="96">
        <v>15081802.130000001</v>
      </c>
      <c r="L300" s="96">
        <v>196111.79</v>
      </c>
      <c r="M300" s="150">
        <f t="shared" si="270"/>
        <v>98.641171764239843</v>
      </c>
      <c r="N300" s="96">
        <f>P300+S300</f>
        <v>0</v>
      </c>
      <c r="O300" s="96">
        <f>8000-8000</f>
        <v>0</v>
      </c>
      <c r="P300" s="96"/>
      <c r="Q300" s="96"/>
      <c r="R300" s="96"/>
      <c r="S300" s="96">
        <f>8000-8000</f>
        <v>0</v>
      </c>
      <c r="T300" s="96">
        <f t="shared" si="272"/>
        <v>0</v>
      </c>
      <c r="U300" s="96"/>
      <c r="V300" s="96"/>
      <c r="W300" s="96"/>
      <c r="X300" s="96"/>
      <c r="Y300" s="96"/>
      <c r="Z300" s="150" t="e">
        <f t="shared" si="273"/>
        <v>#DIV/0!</v>
      </c>
      <c r="AA300" s="96">
        <f t="shared" si="274"/>
        <v>18924900.649999999</v>
      </c>
      <c r="AB300" s="96">
        <f>E300+N300</f>
        <v>19185600</v>
      </c>
      <c r="AC300" s="236">
        <v>22</v>
      </c>
      <c r="AD300" s="113"/>
      <c r="AE300" s="132"/>
      <c r="AF300" s="125"/>
    </row>
    <row r="301" spans="1:32" s="15" customFormat="1" ht="31.5" customHeight="1" x14ac:dyDescent="0.25">
      <c r="A301" s="12" t="s">
        <v>348</v>
      </c>
      <c r="B301" s="13" t="str">
        <f>'дод 5'!A226</f>
        <v>7610</v>
      </c>
      <c r="C301" s="12" t="str">
        <f>'дод 5'!B226</f>
        <v>0411</v>
      </c>
      <c r="D301" s="16" t="str">
        <f>'дод 5'!C226</f>
        <v>Сприяння розвитку малого та середнього підприємництва</v>
      </c>
      <c r="E301" s="96">
        <f>F301+I301</f>
        <v>660000</v>
      </c>
      <c r="F301" s="96">
        <v>60000</v>
      </c>
      <c r="G301" s="96"/>
      <c r="H301" s="96"/>
      <c r="I301" s="96">
        <v>600000</v>
      </c>
      <c r="J301" s="96">
        <v>636399.93999999994</v>
      </c>
      <c r="K301" s="96"/>
      <c r="L301" s="96"/>
      <c r="M301" s="150">
        <f t="shared" si="270"/>
        <v>96.424233333333319</v>
      </c>
      <c r="N301" s="96">
        <f>P301+S301</f>
        <v>0</v>
      </c>
      <c r="O301" s="96">
        <f>8000-8000</f>
        <v>0</v>
      </c>
      <c r="P301" s="96"/>
      <c r="Q301" s="96"/>
      <c r="R301" s="96"/>
      <c r="S301" s="96">
        <f>8000-8000</f>
        <v>0</v>
      </c>
      <c r="T301" s="96">
        <f t="shared" si="272"/>
        <v>0</v>
      </c>
      <c r="U301" s="96"/>
      <c r="V301" s="96"/>
      <c r="W301" s="96"/>
      <c r="X301" s="96"/>
      <c r="Y301" s="96"/>
      <c r="Z301" s="150" t="e">
        <f t="shared" si="273"/>
        <v>#DIV/0!</v>
      </c>
      <c r="AA301" s="96">
        <f t="shared" si="274"/>
        <v>636399.93999999994</v>
      </c>
      <c r="AB301" s="96">
        <f>E301+N301</f>
        <v>660000</v>
      </c>
      <c r="AC301" s="236"/>
      <c r="AD301" s="113"/>
      <c r="AE301" s="132"/>
      <c r="AF301" s="125"/>
    </row>
    <row r="302" spans="1:32" s="132" customFormat="1" ht="42.75" customHeight="1" x14ac:dyDescent="0.25">
      <c r="A302" s="8" t="s">
        <v>172</v>
      </c>
      <c r="B302" s="17"/>
      <c r="C302" s="8"/>
      <c r="D302" s="130" t="s">
        <v>336</v>
      </c>
      <c r="E302" s="120">
        <f>E303</f>
        <v>16407675</v>
      </c>
      <c r="F302" s="120">
        <f t="shared" ref="F302:AA302" si="292">F303</f>
        <v>16407675</v>
      </c>
      <c r="G302" s="120">
        <f t="shared" si="292"/>
        <v>12345700</v>
      </c>
      <c r="H302" s="120">
        <f t="shared" si="292"/>
        <v>235100</v>
      </c>
      <c r="I302" s="120">
        <f t="shared" si="292"/>
        <v>0</v>
      </c>
      <c r="J302" s="120">
        <f t="shared" si="292"/>
        <v>16229637.73</v>
      </c>
      <c r="K302" s="120">
        <f t="shared" si="292"/>
        <v>12297338.140000001</v>
      </c>
      <c r="L302" s="120">
        <f t="shared" si="292"/>
        <v>219479.47</v>
      </c>
      <c r="M302" s="146">
        <f t="shared" si="270"/>
        <v>98.914914696932996</v>
      </c>
      <c r="N302" s="120">
        <f t="shared" si="292"/>
        <v>78300</v>
      </c>
      <c r="O302" s="120">
        <f t="shared" si="292"/>
        <v>78300</v>
      </c>
      <c r="P302" s="120">
        <f t="shared" si="292"/>
        <v>0</v>
      </c>
      <c r="Q302" s="120">
        <f t="shared" si="292"/>
        <v>0</v>
      </c>
      <c r="R302" s="120">
        <f t="shared" si="292"/>
        <v>0</v>
      </c>
      <c r="S302" s="120">
        <f t="shared" si="292"/>
        <v>78300</v>
      </c>
      <c r="T302" s="120">
        <f t="shared" si="292"/>
        <v>77987.45</v>
      </c>
      <c r="U302" s="120">
        <f t="shared" si="292"/>
        <v>77987.45</v>
      </c>
      <c r="V302" s="120">
        <f t="shared" si="292"/>
        <v>0</v>
      </c>
      <c r="W302" s="120">
        <f t="shared" si="292"/>
        <v>0</v>
      </c>
      <c r="X302" s="120">
        <f t="shared" si="292"/>
        <v>0</v>
      </c>
      <c r="Y302" s="120">
        <f t="shared" si="292"/>
        <v>77987.45</v>
      </c>
      <c r="Z302" s="146">
        <f t="shared" si="273"/>
        <v>99.600830140485314</v>
      </c>
      <c r="AA302" s="120">
        <f t="shared" si="292"/>
        <v>16307625.18</v>
      </c>
      <c r="AB302" s="120">
        <f>AB303</f>
        <v>16485975</v>
      </c>
      <c r="AC302" s="236"/>
      <c r="AD302" s="112"/>
      <c r="AF302" s="125"/>
    </row>
    <row r="303" spans="1:32" s="11" customFormat="1" ht="33.75" customHeight="1" x14ac:dyDescent="0.25">
      <c r="A303" s="9" t="s">
        <v>173</v>
      </c>
      <c r="B303" s="18"/>
      <c r="C303" s="9"/>
      <c r="D303" s="131" t="s">
        <v>336</v>
      </c>
      <c r="E303" s="121">
        <f>E304+E305</f>
        <v>16407675</v>
      </c>
      <c r="F303" s="121">
        <f t="shared" ref="F303:AA303" si="293">F304+F305</f>
        <v>16407675</v>
      </c>
      <c r="G303" s="121">
        <f t="shared" si="293"/>
        <v>12345700</v>
      </c>
      <c r="H303" s="121">
        <f t="shared" si="293"/>
        <v>235100</v>
      </c>
      <c r="I303" s="121">
        <f t="shared" si="293"/>
        <v>0</v>
      </c>
      <c r="J303" s="121">
        <f t="shared" si="293"/>
        <v>16229637.73</v>
      </c>
      <c r="K303" s="121">
        <f t="shared" si="293"/>
        <v>12297338.140000001</v>
      </c>
      <c r="L303" s="121">
        <f t="shared" si="293"/>
        <v>219479.47</v>
      </c>
      <c r="M303" s="149">
        <f t="shared" si="270"/>
        <v>98.914914696932996</v>
      </c>
      <c r="N303" s="121">
        <f t="shared" si="293"/>
        <v>78300</v>
      </c>
      <c r="O303" s="121">
        <f t="shared" si="293"/>
        <v>78300</v>
      </c>
      <c r="P303" s="121">
        <f t="shared" si="293"/>
        <v>0</v>
      </c>
      <c r="Q303" s="121">
        <f t="shared" si="293"/>
        <v>0</v>
      </c>
      <c r="R303" s="121">
        <f t="shared" si="293"/>
        <v>0</v>
      </c>
      <c r="S303" s="121">
        <f t="shared" si="293"/>
        <v>78300</v>
      </c>
      <c r="T303" s="121">
        <f t="shared" si="293"/>
        <v>77987.45</v>
      </c>
      <c r="U303" s="121">
        <f t="shared" si="293"/>
        <v>77987.45</v>
      </c>
      <c r="V303" s="121">
        <f t="shared" si="293"/>
        <v>0</v>
      </c>
      <c r="W303" s="121">
        <f t="shared" si="293"/>
        <v>0</v>
      </c>
      <c r="X303" s="121">
        <f t="shared" si="293"/>
        <v>0</v>
      </c>
      <c r="Y303" s="121">
        <f t="shared" si="293"/>
        <v>77987.45</v>
      </c>
      <c r="Z303" s="149">
        <f t="shared" si="273"/>
        <v>99.600830140485314</v>
      </c>
      <c r="AA303" s="121">
        <f t="shared" si="293"/>
        <v>16307625.18</v>
      </c>
      <c r="AB303" s="121">
        <f t="shared" ref="AB303" si="294">AB304+AB305</f>
        <v>16485975</v>
      </c>
      <c r="AC303" s="236"/>
      <c r="AD303" s="98"/>
      <c r="AE303" s="132"/>
      <c r="AF303" s="125"/>
    </row>
    <row r="304" spans="1:32" s="15" customFormat="1" ht="57" customHeight="1" x14ac:dyDescent="0.25">
      <c r="A304" s="12" t="s">
        <v>174</v>
      </c>
      <c r="B304" s="13" t="str">
        <f>'дод 5'!A19</f>
        <v>0160</v>
      </c>
      <c r="C304" s="12" t="str">
        <f>'дод 5'!B19</f>
        <v>0111</v>
      </c>
      <c r="D304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304" s="96">
        <f t="shared" ref="E304:E305" si="295">F304+I304</f>
        <v>15807400</v>
      </c>
      <c r="F304" s="96">
        <f>15692100+3500+42200+34200+39500-33300+29200</f>
        <v>15807400</v>
      </c>
      <c r="G304" s="96">
        <f>12289400+32400+23900</f>
        <v>12345700</v>
      </c>
      <c r="H304" s="96">
        <f>226900+8200</f>
        <v>235100</v>
      </c>
      <c r="I304" s="96"/>
      <c r="J304" s="96">
        <v>15740260.08</v>
      </c>
      <c r="K304" s="96">
        <v>12297338.140000001</v>
      </c>
      <c r="L304" s="96">
        <v>219479.47</v>
      </c>
      <c r="M304" s="150">
        <f t="shared" si="270"/>
        <v>99.575262725052823</v>
      </c>
      <c r="N304" s="96">
        <f>P304+S304</f>
        <v>78300</v>
      </c>
      <c r="O304" s="96">
        <f>300000+45000-300000+33300</f>
        <v>78300</v>
      </c>
      <c r="P304" s="96"/>
      <c r="Q304" s="96"/>
      <c r="R304" s="96"/>
      <c r="S304" s="96">
        <f>300000+45000-300000+33300</f>
        <v>78300</v>
      </c>
      <c r="T304" s="96">
        <f t="shared" si="272"/>
        <v>77987.45</v>
      </c>
      <c r="U304" s="96">
        <v>77987.45</v>
      </c>
      <c r="V304" s="96"/>
      <c r="W304" s="96"/>
      <c r="X304" s="96"/>
      <c r="Y304" s="96">
        <v>77987.45</v>
      </c>
      <c r="Z304" s="150">
        <f t="shared" si="273"/>
        <v>99.600830140485314</v>
      </c>
      <c r="AA304" s="96">
        <f t="shared" si="274"/>
        <v>15818247.529999999</v>
      </c>
      <c r="AB304" s="96">
        <f t="shared" ref="AB304:AB305" si="296">E304+N304</f>
        <v>15885700</v>
      </c>
      <c r="AC304" s="236"/>
      <c r="AD304" s="113"/>
      <c r="AE304" s="132"/>
      <c r="AF304" s="125"/>
    </row>
    <row r="305" spans="1:32" s="15" customFormat="1" ht="22.5" customHeight="1" x14ac:dyDescent="0.25">
      <c r="A305" s="12" t="s">
        <v>213</v>
      </c>
      <c r="B305" s="13" t="str">
        <f>'дод 5'!A236</f>
        <v>7693</v>
      </c>
      <c r="C305" s="12" t="str">
        <f>'дод 5'!B236</f>
        <v>0490</v>
      </c>
      <c r="D305" s="14" t="str">
        <f>'дод 5'!C236</f>
        <v>Інші заходи, пов'язані з економічною діяльністю</v>
      </c>
      <c r="E305" s="96">
        <f t="shared" si="295"/>
        <v>600275</v>
      </c>
      <c r="F305" s="96">
        <f>485000+115275</f>
        <v>600275</v>
      </c>
      <c r="G305" s="96"/>
      <c r="H305" s="96"/>
      <c r="I305" s="96"/>
      <c r="J305" s="96">
        <v>489377.65</v>
      </c>
      <c r="K305" s="96"/>
      <c r="L305" s="96"/>
      <c r="M305" s="150">
        <f t="shared" si="270"/>
        <v>81.525575777768523</v>
      </c>
      <c r="N305" s="96">
        <f t="shared" ref="N305" si="297">P305+S305</f>
        <v>0</v>
      </c>
      <c r="O305" s="96"/>
      <c r="P305" s="96"/>
      <c r="Q305" s="96"/>
      <c r="R305" s="96"/>
      <c r="S305" s="96"/>
      <c r="T305" s="96">
        <f t="shared" si="272"/>
        <v>0</v>
      </c>
      <c r="U305" s="96"/>
      <c r="V305" s="96"/>
      <c r="W305" s="96"/>
      <c r="X305" s="96"/>
      <c r="Y305" s="96"/>
      <c r="Z305" s="150" t="e">
        <f t="shared" si="273"/>
        <v>#DIV/0!</v>
      </c>
      <c r="AA305" s="96">
        <f t="shared" si="274"/>
        <v>489377.65</v>
      </c>
      <c r="AB305" s="96">
        <f t="shared" si="296"/>
        <v>600275</v>
      </c>
      <c r="AC305" s="236"/>
      <c r="AD305" s="113"/>
      <c r="AE305" s="132"/>
      <c r="AF305" s="125"/>
    </row>
    <row r="306" spans="1:32" s="132" customFormat="1" ht="42.75" customHeight="1" x14ac:dyDescent="0.25">
      <c r="A306" s="8" t="s">
        <v>333</v>
      </c>
      <c r="B306" s="17"/>
      <c r="C306" s="8"/>
      <c r="D306" s="130" t="s">
        <v>32</v>
      </c>
      <c r="E306" s="120">
        <f>E307</f>
        <v>30655600</v>
      </c>
      <c r="F306" s="120">
        <f t="shared" ref="F306:AA306" si="298">F307</f>
        <v>30655600</v>
      </c>
      <c r="G306" s="120">
        <f t="shared" si="298"/>
        <v>22119100</v>
      </c>
      <c r="H306" s="120">
        <f t="shared" si="298"/>
        <v>777600</v>
      </c>
      <c r="I306" s="120">
        <f t="shared" si="298"/>
        <v>0</v>
      </c>
      <c r="J306" s="120">
        <f t="shared" si="298"/>
        <v>30141737.039999999</v>
      </c>
      <c r="K306" s="120">
        <f t="shared" si="298"/>
        <v>22118813.27</v>
      </c>
      <c r="L306" s="120">
        <f t="shared" si="298"/>
        <v>707871.98</v>
      </c>
      <c r="M306" s="146">
        <f t="shared" si="270"/>
        <v>98.323755007241743</v>
      </c>
      <c r="N306" s="120">
        <f t="shared" si="298"/>
        <v>535185.53</v>
      </c>
      <c r="O306" s="120">
        <f t="shared" si="298"/>
        <v>180000</v>
      </c>
      <c r="P306" s="120">
        <f t="shared" si="298"/>
        <v>294040</v>
      </c>
      <c r="Q306" s="120">
        <f t="shared" si="298"/>
        <v>0</v>
      </c>
      <c r="R306" s="120">
        <f t="shared" si="298"/>
        <v>0</v>
      </c>
      <c r="S306" s="120">
        <f t="shared" si="298"/>
        <v>241145.53</v>
      </c>
      <c r="T306" s="120">
        <f t="shared" si="298"/>
        <v>538603.53</v>
      </c>
      <c r="U306" s="120">
        <f t="shared" si="298"/>
        <v>163000</v>
      </c>
      <c r="V306" s="120">
        <f t="shared" si="298"/>
        <v>314458</v>
      </c>
      <c r="W306" s="120">
        <f t="shared" si="298"/>
        <v>0</v>
      </c>
      <c r="X306" s="120">
        <f t="shared" si="298"/>
        <v>0</v>
      </c>
      <c r="Y306" s="120">
        <f t="shared" si="298"/>
        <v>224145.53</v>
      </c>
      <c r="Z306" s="146">
        <f t="shared" si="273"/>
        <v>100.63865702796562</v>
      </c>
      <c r="AA306" s="120">
        <f t="shared" si="298"/>
        <v>30680340.57</v>
      </c>
      <c r="AB306" s="120">
        <f t="shared" ref="AB306" si="299">AB307</f>
        <v>31190785.530000001</v>
      </c>
      <c r="AC306" s="236"/>
      <c r="AD306" s="112"/>
      <c r="AF306" s="125"/>
    </row>
    <row r="307" spans="1:32" s="11" customFormat="1" ht="31.5" customHeight="1" x14ac:dyDescent="0.25">
      <c r="A307" s="9" t="s">
        <v>334</v>
      </c>
      <c r="B307" s="18"/>
      <c r="C307" s="9"/>
      <c r="D307" s="131" t="s">
        <v>491</v>
      </c>
      <c r="E307" s="121">
        <f t="shared" ref="E307:AB307" si="300">E308+E309+E310+E311+E312+E314+E313</f>
        <v>30655600</v>
      </c>
      <c r="F307" s="121">
        <f t="shared" ref="F307:AA307" si="301">F308+F309+F310+F311+F312+F314+F313</f>
        <v>30655600</v>
      </c>
      <c r="G307" s="121">
        <f t="shared" si="301"/>
        <v>22119100</v>
      </c>
      <c r="H307" s="121">
        <f t="shared" si="301"/>
        <v>777600</v>
      </c>
      <c r="I307" s="121">
        <f t="shared" si="301"/>
        <v>0</v>
      </c>
      <c r="J307" s="121">
        <f t="shared" si="301"/>
        <v>30141737.039999999</v>
      </c>
      <c r="K307" s="121">
        <f t="shared" si="301"/>
        <v>22118813.27</v>
      </c>
      <c r="L307" s="121">
        <f t="shared" si="301"/>
        <v>707871.98</v>
      </c>
      <c r="M307" s="149">
        <f t="shared" si="270"/>
        <v>98.323755007241743</v>
      </c>
      <c r="N307" s="121">
        <f t="shared" si="301"/>
        <v>535185.53</v>
      </c>
      <c r="O307" s="121">
        <f t="shared" si="301"/>
        <v>180000</v>
      </c>
      <c r="P307" s="121">
        <f t="shared" si="301"/>
        <v>294040</v>
      </c>
      <c r="Q307" s="121">
        <f t="shared" si="301"/>
        <v>0</v>
      </c>
      <c r="R307" s="121">
        <f t="shared" si="301"/>
        <v>0</v>
      </c>
      <c r="S307" s="121">
        <f t="shared" si="301"/>
        <v>241145.53</v>
      </c>
      <c r="T307" s="121">
        <f t="shared" si="301"/>
        <v>538603.53</v>
      </c>
      <c r="U307" s="121">
        <f t="shared" si="301"/>
        <v>163000</v>
      </c>
      <c r="V307" s="121">
        <f t="shared" si="301"/>
        <v>314458</v>
      </c>
      <c r="W307" s="121">
        <f t="shared" si="301"/>
        <v>0</v>
      </c>
      <c r="X307" s="121">
        <f t="shared" si="301"/>
        <v>0</v>
      </c>
      <c r="Y307" s="121">
        <f t="shared" si="301"/>
        <v>224145.53</v>
      </c>
      <c r="Z307" s="149">
        <f t="shared" si="273"/>
        <v>100.63865702796562</v>
      </c>
      <c r="AA307" s="121">
        <f t="shared" si="301"/>
        <v>30680340.57</v>
      </c>
      <c r="AB307" s="121">
        <f t="shared" si="300"/>
        <v>31190785.530000001</v>
      </c>
      <c r="AC307" s="236"/>
      <c r="AD307" s="98"/>
      <c r="AE307" s="132"/>
      <c r="AF307" s="125"/>
    </row>
    <row r="308" spans="1:32" s="15" customFormat="1" ht="47.25" x14ac:dyDescent="0.25">
      <c r="A308" s="12" t="s">
        <v>335</v>
      </c>
      <c r="B308" s="13" t="str">
        <f>'дод 5'!A19</f>
        <v>0160</v>
      </c>
      <c r="C308" s="12" t="str">
        <f>'дод 5'!B19</f>
        <v>0111</v>
      </c>
      <c r="D308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308" s="96">
        <f>F308+I308</f>
        <v>28609600</v>
      </c>
      <c r="F308" s="96">
        <f>29873500-393000+71400-1078700-61600+198000</f>
        <v>28609600</v>
      </c>
      <c r="G308" s="96">
        <f>23000100-322100+58500-764700+162300-15000</f>
        <v>22119100</v>
      </c>
      <c r="H308" s="96">
        <f>839200-61600</f>
        <v>777600</v>
      </c>
      <c r="I308" s="96"/>
      <c r="J308" s="96">
        <v>28456097.149999999</v>
      </c>
      <c r="K308" s="96">
        <v>22118813.27</v>
      </c>
      <c r="L308" s="96">
        <v>707871.98</v>
      </c>
      <c r="M308" s="150">
        <f t="shared" si="270"/>
        <v>99.463456846652861</v>
      </c>
      <c r="N308" s="96">
        <f>P308+S308</f>
        <v>0</v>
      </c>
      <c r="O308" s="96"/>
      <c r="P308" s="96"/>
      <c r="Q308" s="96"/>
      <c r="R308" s="96"/>
      <c r="S308" s="96"/>
      <c r="T308" s="96">
        <f t="shared" si="272"/>
        <v>20418</v>
      </c>
      <c r="U308" s="96"/>
      <c r="V308" s="96">
        <v>20418</v>
      </c>
      <c r="W308" s="96"/>
      <c r="X308" s="96"/>
      <c r="Y308" s="96"/>
      <c r="Z308" s="150" t="e">
        <f t="shared" si="273"/>
        <v>#DIV/0!</v>
      </c>
      <c r="AA308" s="96">
        <f t="shared" si="274"/>
        <v>28476515.149999999</v>
      </c>
      <c r="AB308" s="96">
        <f>E308+N308</f>
        <v>28609600</v>
      </c>
      <c r="AC308" s="236"/>
      <c r="AD308" s="113"/>
      <c r="AE308" s="132"/>
      <c r="AF308" s="125"/>
    </row>
    <row r="309" spans="1:32" s="15" customFormat="1" ht="28.5" customHeight="1" x14ac:dyDescent="0.25">
      <c r="A309" s="12" t="s">
        <v>338</v>
      </c>
      <c r="B309" s="13" t="str">
        <f>'дод 5'!A203</f>
        <v>7130</v>
      </c>
      <c r="C309" s="12" t="str">
        <f>'дод 5'!B203</f>
        <v>0421</v>
      </c>
      <c r="D309" s="16" t="str">
        <f>'дод 5'!C203</f>
        <v>Здійснення заходів із землеустрою</v>
      </c>
      <c r="E309" s="96">
        <f t="shared" ref="E309:E314" si="302">F309+I309</f>
        <v>1400000</v>
      </c>
      <c r="F309" s="96">
        <v>1400000</v>
      </c>
      <c r="G309" s="96"/>
      <c r="H309" s="96"/>
      <c r="I309" s="96"/>
      <c r="J309" s="96">
        <v>1045341.47</v>
      </c>
      <c r="K309" s="96"/>
      <c r="L309" s="96"/>
      <c r="M309" s="150">
        <f t="shared" si="270"/>
        <v>74.667247857142854</v>
      </c>
      <c r="N309" s="96">
        <f t="shared" ref="N309:N314" si="303">P309+S309</f>
        <v>0</v>
      </c>
      <c r="O309" s="96"/>
      <c r="P309" s="96"/>
      <c r="Q309" s="96"/>
      <c r="R309" s="96"/>
      <c r="S309" s="96"/>
      <c r="T309" s="96">
        <f t="shared" si="272"/>
        <v>0</v>
      </c>
      <c r="U309" s="96"/>
      <c r="V309" s="96"/>
      <c r="W309" s="96"/>
      <c r="X309" s="96"/>
      <c r="Y309" s="96"/>
      <c r="Z309" s="150" t="e">
        <f t="shared" si="273"/>
        <v>#DIV/0!</v>
      </c>
      <c r="AA309" s="96">
        <f t="shared" si="274"/>
        <v>1045341.47</v>
      </c>
      <c r="AB309" s="96">
        <f t="shared" ref="AB309:AB314" si="304">E309+N309</f>
        <v>1400000</v>
      </c>
      <c r="AC309" s="236"/>
      <c r="AD309" s="113"/>
      <c r="AE309" s="132"/>
      <c r="AF309" s="125"/>
    </row>
    <row r="310" spans="1:32" s="15" customFormat="1" ht="31.5" x14ac:dyDescent="0.25">
      <c r="A310" s="12" t="s">
        <v>337</v>
      </c>
      <c r="B310" s="13">
        <f>'дод 5'!A210</f>
        <v>7370</v>
      </c>
      <c r="C310" s="12" t="str">
        <f>'дод 5'!B210</f>
        <v>0490</v>
      </c>
      <c r="D310" s="16" t="str">
        <f>'дод 5'!C210</f>
        <v>Реалізація інших заходів щодо соціально-економічного розвитку територій</v>
      </c>
      <c r="E310" s="96">
        <f t="shared" si="302"/>
        <v>46000</v>
      </c>
      <c r="F310" s="96">
        <v>46000</v>
      </c>
      <c r="G310" s="96"/>
      <c r="H310" s="96"/>
      <c r="I310" s="96"/>
      <c r="J310" s="96">
        <v>46000</v>
      </c>
      <c r="K310" s="96"/>
      <c r="L310" s="96"/>
      <c r="M310" s="150">
        <f t="shared" si="270"/>
        <v>100</v>
      </c>
      <c r="N310" s="96">
        <f t="shared" si="303"/>
        <v>100000</v>
      </c>
      <c r="O310" s="96">
        <v>100000</v>
      </c>
      <c r="P310" s="96"/>
      <c r="Q310" s="96"/>
      <c r="R310" s="96"/>
      <c r="S310" s="96">
        <v>100000</v>
      </c>
      <c r="T310" s="96">
        <f t="shared" si="272"/>
        <v>100000</v>
      </c>
      <c r="U310" s="96">
        <v>100000</v>
      </c>
      <c r="V310" s="96"/>
      <c r="W310" s="96"/>
      <c r="X310" s="96"/>
      <c r="Y310" s="96">
        <v>100000</v>
      </c>
      <c r="Z310" s="150">
        <f t="shared" si="273"/>
        <v>100</v>
      </c>
      <c r="AA310" s="96">
        <f t="shared" si="274"/>
        <v>146000</v>
      </c>
      <c r="AB310" s="96">
        <f t="shared" si="304"/>
        <v>146000</v>
      </c>
      <c r="AC310" s="236"/>
      <c r="AD310" s="113"/>
      <c r="AE310" s="132"/>
      <c r="AF310" s="125"/>
    </row>
    <row r="311" spans="1:32" s="15" customFormat="1" ht="31.5" x14ac:dyDescent="0.25">
      <c r="A311" s="12" t="s">
        <v>339</v>
      </c>
      <c r="B311" s="13" t="str">
        <f>'дод 5'!A230</f>
        <v>7650</v>
      </c>
      <c r="C311" s="12" t="str">
        <f>'дод 5'!B230</f>
        <v>0490</v>
      </c>
      <c r="D311" s="16" t="str">
        <f>'дод 5'!C230</f>
        <v>Проведення експертної грошової оцінки земельної ділянки чи права на неї</v>
      </c>
      <c r="E311" s="96">
        <f t="shared" si="302"/>
        <v>0</v>
      </c>
      <c r="F311" s="96"/>
      <c r="G311" s="96"/>
      <c r="H311" s="96"/>
      <c r="I311" s="96"/>
      <c r="J311" s="96"/>
      <c r="K311" s="96"/>
      <c r="L311" s="96"/>
      <c r="M311" s="150" t="e">
        <f t="shared" si="270"/>
        <v>#DIV/0!</v>
      </c>
      <c r="N311" s="96">
        <f t="shared" si="303"/>
        <v>30000</v>
      </c>
      <c r="O311" s="96">
        <v>30000</v>
      </c>
      <c r="P311" s="96"/>
      <c r="Q311" s="96"/>
      <c r="R311" s="96"/>
      <c r="S311" s="96">
        <v>30000</v>
      </c>
      <c r="T311" s="96">
        <f t="shared" si="272"/>
        <v>20000</v>
      </c>
      <c r="U311" s="96">
        <v>20000</v>
      </c>
      <c r="V311" s="96"/>
      <c r="W311" s="96"/>
      <c r="X311" s="96"/>
      <c r="Y311" s="96">
        <v>20000</v>
      </c>
      <c r="Z311" s="150">
        <f t="shared" si="273"/>
        <v>66.666666666666657</v>
      </c>
      <c r="AA311" s="96">
        <f t="shared" si="274"/>
        <v>20000</v>
      </c>
      <c r="AB311" s="96">
        <f t="shared" si="304"/>
        <v>30000</v>
      </c>
      <c r="AC311" s="236"/>
      <c r="AD311" s="113"/>
      <c r="AE311" s="132"/>
      <c r="AF311" s="125"/>
    </row>
    <row r="312" spans="1:32" s="15" customFormat="1" ht="72.75" customHeight="1" x14ac:dyDescent="0.25">
      <c r="A312" s="12" t="s">
        <v>340</v>
      </c>
      <c r="B312" s="13" t="str">
        <f>'дод 5'!A231</f>
        <v>7660</v>
      </c>
      <c r="C312" s="12" t="str">
        <f>'дод 5'!B231</f>
        <v>0490</v>
      </c>
      <c r="D312" s="16" t="str">
        <f>'дод 5'!C231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312" s="96">
        <f t="shared" si="302"/>
        <v>0</v>
      </c>
      <c r="F312" s="96"/>
      <c r="G312" s="96"/>
      <c r="H312" s="96"/>
      <c r="I312" s="96"/>
      <c r="J312" s="96"/>
      <c r="K312" s="96"/>
      <c r="L312" s="96"/>
      <c r="M312" s="150" t="e">
        <f t="shared" si="270"/>
        <v>#DIV/0!</v>
      </c>
      <c r="N312" s="96">
        <f t="shared" si="303"/>
        <v>50000</v>
      </c>
      <c r="O312" s="96">
        <v>50000</v>
      </c>
      <c r="P312" s="96"/>
      <c r="Q312" s="96"/>
      <c r="R312" s="96"/>
      <c r="S312" s="96">
        <v>50000</v>
      </c>
      <c r="T312" s="96">
        <f t="shared" si="272"/>
        <v>43000</v>
      </c>
      <c r="U312" s="96">
        <v>43000</v>
      </c>
      <c r="V312" s="96"/>
      <c r="W312" s="96"/>
      <c r="X312" s="96"/>
      <c r="Y312" s="96">
        <v>43000</v>
      </c>
      <c r="Z312" s="150">
        <f t="shared" si="273"/>
        <v>86</v>
      </c>
      <c r="AA312" s="96">
        <f t="shared" si="274"/>
        <v>43000</v>
      </c>
      <c r="AB312" s="96">
        <f t="shared" si="304"/>
        <v>50000</v>
      </c>
      <c r="AC312" s="236"/>
      <c r="AD312" s="113"/>
      <c r="AE312" s="132"/>
      <c r="AF312" s="125"/>
    </row>
    <row r="313" spans="1:32" s="15" customFormat="1" ht="126" x14ac:dyDescent="0.25">
      <c r="A313" s="12" t="s">
        <v>384</v>
      </c>
      <c r="B313" s="13" t="str">
        <f>'дод 5'!A235</f>
        <v>7691</v>
      </c>
      <c r="C313" s="12" t="str">
        <f>'дод 5'!B235</f>
        <v>0490</v>
      </c>
      <c r="D313" s="16" t="str">
        <f>'дод 5'!C235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313" s="96">
        <f t="shared" ref="E313" si="305">F313+I313</f>
        <v>0</v>
      </c>
      <c r="F313" s="96"/>
      <c r="G313" s="96"/>
      <c r="H313" s="96"/>
      <c r="I313" s="96"/>
      <c r="J313" s="96"/>
      <c r="K313" s="96"/>
      <c r="L313" s="96"/>
      <c r="M313" s="150" t="e">
        <f t="shared" si="270"/>
        <v>#DIV/0!</v>
      </c>
      <c r="N313" s="96">
        <f t="shared" ref="N313" si="306">P313+S313</f>
        <v>355185.53</v>
      </c>
      <c r="O313" s="96"/>
      <c r="P313" s="96">
        <f>971000+72587+21453-771000</f>
        <v>294040</v>
      </c>
      <c r="Q313" s="96"/>
      <c r="R313" s="96"/>
      <c r="S313" s="96">
        <f>129000+158700-226554.47</f>
        <v>61145.53</v>
      </c>
      <c r="T313" s="96">
        <f t="shared" si="272"/>
        <v>355185.53</v>
      </c>
      <c r="U313" s="96"/>
      <c r="V313" s="96">
        <v>294040</v>
      </c>
      <c r="W313" s="96"/>
      <c r="X313" s="96"/>
      <c r="Y313" s="96">
        <v>61145.53</v>
      </c>
      <c r="Z313" s="150">
        <f t="shared" si="273"/>
        <v>100</v>
      </c>
      <c r="AA313" s="96">
        <f t="shared" si="274"/>
        <v>355185.53</v>
      </c>
      <c r="AB313" s="96">
        <f t="shared" ref="AB313" si="307">E313+N313</f>
        <v>355185.53</v>
      </c>
      <c r="AC313" s="236"/>
      <c r="AD313" s="113"/>
      <c r="AE313" s="132"/>
      <c r="AF313" s="125"/>
    </row>
    <row r="314" spans="1:32" s="15" customFormat="1" ht="21" customHeight="1" x14ac:dyDescent="0.25">
      <c r="A314" s="12" t="s">
        <v>341</v>
      </c>
      <c r="B314" s="13" t="str">
        <f>'дод 5'!A236</f>
        <v>7693</v>
      </c>
      <c r="C314" s="12" t="str">
        <f>'дод 5'!B236</f>
        <v>0490</v>
      </c>
      <c r="D314" s="16" t="str">
        <f>'дод 5'!C236</f>
        <v>Інші заходи, пов'язані з економічною діяльністю</v>
      </c>
      <c r="E314" s="96">
        <f t="shared" si="302"/>
        <v>600000</v>
      </c>
      <c r="F314" s="96">
        <v>600000</v>
      </c>
      <c r="G314" s="96"/>
      <c r="H314" s="96"/>
      <c r="I314" s="96"/>
      <c r="J314" s="96">
        <v>594298.42000000004</v>
      </c>
      <c r="K314" s="96"/>
      <c r="L314" s="96"/>
      <c r="M314" s="150">
        <f t="shared" si="270"/>
        <v>99.049736666666675</v>
      </c>
      <c r="N314" s="96">
        <f t="shared" si="303"/>
        <v>0</v>
      </c>
      <c r="O314" s="96"/>
      <c r="P314" s="96"/>
      <c r="Q314" s="96"/>
      <c r="R314" s="96"/>
      <c r="S314" s="96"/>
      <c r="T314" s="96">
        <f t="shared" si="272"/>
        <v>0</v>
      </c>
      <c r="U314" s="96"/>
      <c r="V314" s="96"/>
      <c r="W314" s="96"/>
      <c r="X314" s="96"/>
      <c r="Y314" s="96"/>
      <c r="Z314" s="150" t="e">
        <f t="shared" si="273"/>
        <v>#DIV/0!</v>
      </c>
      <c r="AA314" s="96">
        <f t="shared" si="274"/>
        <v>594298.42000000004</v>
      </c>
      <c r="AB314" s="96">
        <f t="shared" si="304"/>
        <v>600000</v>
      </c>
      <c r="AC314" s="236"/>
      <c r="AD314" s="113"/>
      <c r="AE314" s="132"/>
      <c r="AF314" s="125"/>
    </row>
    <row r="315" spans="1:32" s="132" customFormat="1" ht="30.95" customHeight="1" x14ac:dyDescent="0.25">
      <c r="A315" s="8" t="s">
        <v>175</v>
      </c>
      <c r="B315" s="17"/>
      <c r="C315" s="8"/>
      <c r="D315" s="130" t="s">
        <v>583</v>
      </c>
      <c r="E315" s="120">
        <f>E316</f>
        <v>69104403.230000004</v>
      </c>
      <c r="F315" s="120">
        <f t="shared" ref="F315:AA315" si="308">F316</f>
        <v>32214100</v>
      </c>
      <c r="G315" s="120">
        <f t="shared" si="308"/>
        <v>23865700</v>
      </c>
      <c r="H315" s="120">
        <f t="shared" si="308"/>
        <v>467000</v>
      </c>
      <c r="I315" s="120">
        <f t="shared" si="308"/>
        <v>0</v>
      </c>
      <c r="J315" s="120">
        <f t="shared" si="308"/>
        <v>32175755.580000002</v>
      </c>
      <c r="K315" s="120">
        <f t="shared" si="308"/>
        <v>23865700</v>
      </c>
      <c r="L315" s="120">
        <f t="shared" si="308"/>
        <v>444419.3</v>
      </c>
      <c r="M315" s="146">
        <f t="shared" si="270"/>
        <v>46.561078710005674</v>
      </c>
      <c r="N315" s="120">
        <f t="shared" si="308"/>
        <v>214375</v>
      </c>
      <c r="O315" s="120">
        <f t="shared" si="308"/>
        <v>169000</v>
      </c>
      <c r="P315" s="120">
        <f t="shared" si="308"/>
        <v>45375</v>
      </c>
      <c r="Q315" s="120">
        <f t="shared" si="308"/>
        <v>0</v>
      </c>
      <c r="R315" s="120">
        <f t="shared" si="308"/>
        <v>0</v>
      </c>
      <c r="S315" s="120">
        <f t="shared" si="308"/>
        <v>169000</v>
      </c>
      <c r="T315" s="120">
        <f t="shared" si="308"/>
        <v>214372</v>
      </c>
      <c r="U315" s="120">
        <f t="shared" si="308"/>
        <v>168997</v>
      </c>
      <c r="V315" s="120">
        <f t="shared" si="308"/>
        <v>45375</v>
      </c>
      <c r="W315" s="120">
        <f t="shared" si="308"/>
        <v>0</v>
      </c>
      <c r="X315" s="120">
        <f t="shared" si="308"/>
        <v>0</v>
      </c>
      <c r="Y315" s="120">
        <f t="shared" si="308"/>
        <v>168997</v>
      </c>
      <c r="Z315" s="146">
        <f t="shared" si="273"/>
        <v>99.998600583090379</v>
      </c>
      <c r="AA315" s="120">
        <f t="shared" si="308"/>
        <v>32390127.580000002</v>
      </c>
      <c r="AB315" s="120">
        <f t="shared" ref="AB315" si="309">AB316</f>
        <v>69318778.230000004</v>
      </c>
      <c r="AC315" s="236"/>
      <c r="AD315" s="112"/>
      <c r="AF315" s="125"/>
    </row>
    <row r="316" spans="1:32" s="11" customFormat="1" ht="30.95" customHeight="1" x14ac:dyDescent="0.25">
      <c r="A316" s="9" t="s">
        <v>176</v>
      </c>
      <c r="B316" s="18"/>
      <c r="C316" s="9"/>
      <c r="D316" s="131" t="s">
        <v>583</v>
      </c>
      <c r="E316" s="121">
        <f>E317+E318+E319+E320+E321+E322+E323</f>
        <v>69104403.230000004</v>
      </c>
      <c r="F316" s="121">
        <f t="shared" ref="F316:AA316" si="310">F317+F318+F319+F320+F321+F322+F323</f>
        <v>32214100</v>
      </c>
      <c r="G316" s="121">
        <f t="shared" si="310"/>
        <v>23865700</v>
      </c>
      <c r="H316" s="121">
        <f t="shared" si="310"/>
        <v>467000</v>
      </c>
      <c r="I316" s="121">
        <f t="shared" si="310"/>
        <v>0</v>
      </c>
      <c r="J316" s="121">
        <f t="shared" si="310"/>
        <v>32175755.580000002</v>
      </c>
      <c r="K316" s="121">
        <f t="shared" si="310"/>
        <v>23865700</v>
      </c>
      <c r="L316" s="121">
        <f t="shared" si="310"/>
        <v>444419.3</v>
      </c>
      <c r="M316" s="149">
        <f t="shared" si="270"/>
        <v>46.561078710005674</v>
      </c>
      <c r="N316" s="121">
        <f t="shared" si="310"/>
        <v>214375</v>
      </c>
      <c r="O316" s="121">
        <f t="shared" si="310"/>
        <v>169000</v>
      </c>
      <c r="P316" s="121">
        <f t="shared" si="310"/>
        <v>45375</v>
      </c>
      <c r="Q316" s="121">
        <f t="shared" si="310"/>
        <v>0</v>
      </c>
      <c r="R316" s="121">
        <f t="shared" si="310"/>
        <v>0</v>
      </c>
      <c r="S316" s="121">
        <f t="shared" si="310"/>
        <v>169000</v>
      </c>
      <c r="T316" s="121">
        <f t="shared" si="310"/>
        <v>214372</v>
      </c>
      <c r="U316" s="121">
        <f t="shared" si="310"/>
        <v>168997</v>
      </c>
      <c r="V316" s="121">
        <f t="shared" si="310"/>
        <v>45375</v>
      </c>
      <c r="W316" s="121">
        <f t="shared" si="310"/>
        <v>0</v>
      </c>
      <c r="X316" s="121">
        <f t="shared" si="310"/>
        <v>0</v>
      </c>
      <c r="Y316" s="121">
        <f t="shared" si="310"/>
        <v>168997</v>
      </c>
      <c r="Z316" s="149">
        <f t="shared" si="273"/>
        <v>99.998600583090379</v>
      </c>
      <c r="AA316" s="121">
        <f t="shared" si="310"/>
        <v>32390127.580000002</v>
      </c>
      <c r="AB316" s="121">
        <f t="shared" ref="AB316" si="311">AB317+AB318+AB319+AB320+AB321+AB322+AB323</f>
        <v>69318778.230000004</v>
      </c>
      <c r="AC316" s="236"/>
      <c r="AD316" s="98"/>
      <c r="AE316" s="132"/>
      <c r="AF316" s="125"/>
    </row>
    <row r="317" spans="1:32" s="15" customFormat="1" ht="58.5" customHeight="1" x14ac:dyDescent="0.25">
      <c r="A317" s="12" t="s">
        <v>177</v>
      </c>
      <c r="B317" s="13" t="str">
        <f>'дод 5'!A19</f>
        <v>0160</v>
      </c>
      <c r="C317" s="12" t="str">
        <f>'дод 5'!B19</f>
        <v>0111</v>
      </c>
      <c r="D317" s="14" t="str">
        <f>'дод 5'!C19</f>
        <v>Керівництво і управління у відповідній сфері у містах (місті Києві), селищах, селах, територіальних громадах</v>
      </c>
      <c r="E317" s="96">
        <f t="shared" ref="E317:E322" si="312">F317+I317</f>
        <v>30154300</v>
      </c>
      <c r="F317" s="96">
        <f>30552200-439900+83600+443000+69300+188000-79000-959200-40000+336300</f>
        <v>30154300</v>
      </c>
      <c r="G317" s="96">
        <f>23737000-360500+68500+363000+56800-414800+275700+55000+85000</f>
        <v>23865700</v>
      </c>
      <c r="H317" s="96">
        <f>593000-23000-103000</f>
        <v>467000</v>
      </c>
      <c r="I317" s="96"/>
      <c r="J317" s="96">
        <v>30130776.73</v>
      </c>
      <c r="K317" s="96">
        <v>23865700</v>
      </c>
      <c r="L317" s="96">
        <v>444419.3</v>
      </c>
      <c r="M317" s="150">
        <f t="shared" si="270"/>
        <v>99.921990329737383</v>
      </c>
      <c r="N317" s="96">
        <f>P317+S317</f>
        <v>169000</v>
      </c>
      <c r="O317" s="96">
        <f>79000+90000</f>
        <v>169000</v>
      </c>
      <c r="P317" s="96"/>
      <c r="Q317" s="96"/>
      <c r="R317" s="96"/>
      <c r="S317" s="96">
        <f>79000+90000</f>
        <v>169000</v>
      </c>
      <c r="T317" s="96">
        <f t="shared" si="272"/>
        <v>168997</v>
      </c>
      <c r="U317" s="96">
        <v>168997</v>
      </c>
      <c r="V317" s="96"/>
      <c r="W317" s="96"/>
      <c r="X317" s="96"/>
      <c r="Y317" s="96">
        <v>168997</v>
      </c>
      <c r="Z317" s="150">
        <f t="shared" si="273"/>
        <v>99.998224852071004</v>
      </c>
      <c r="AA317" s="96">
        <f t="shared" si="274"/>
        <v>30299773.73</v>
      </c>
      <c r="AB317" s="96">
        <f t="shared" ref="AB317:AB323" si="313">E317+N317</f>
        <v>30323300</v>
      </c>
      <c r="AC317" s="236"/>
      <c r="AD317" s="113"/>
      <c r="AE317" s="132"/>
      <c r="AF317" s="125"/>
    </row>
    <row r="318" spans="1:32" s="15" customFormat="1" ht="23.25" customHeight="1" x14ac:dyDescent="0.25">
      <c r="A318" s="12" t="s">
        <v>210</v>
      </c>
      <c r="B318" s="13" t="str">
        <f>'дод 5'!A227</f>
        <v>7640</v>
      </c>
      <c r="C318" s="12" t="str">
        <f>'дод 5'!B227</f>
        <v>0470</v>
      </c>
      <c r="D318" s="14" t="s">
        <v>288</v>
      </c>
      <c r="E318" s="96">
        <f t="shared" si="312"/>
        <v>205000</v>
      </c>
      <c r="F318" s="96">
        <f>755000-550000</f>
        <v>205000</v>
      </c>
      <c r="G318" s="96"/>
      <c r="H318" s="96"/>
      <c r="I318" s="96"/>
      <c r="J318" s="96">
        <v>204795.66</v>
      </c>
      <c r="K318" s="96"/>
      <c r="L318" s="96"/>
      <c r="M318" s="150">
        <f t="shared" si="270"/>
        <v>99.900321951219524</v>
      </c>
      <c r="N318" s="96">
        <f t="shared" ref="N318:N323" si="314">P318+S318</f>
        <v>0</v>
      </c>
      <c r="O318" s="96"/>
      <c r="P318" s="96"/>
      <c r="Q318" s="96"/>
      <c r="R318" s="96"/>
      <c r="S318" s="96"/>
      <c r="T318" s="96">
        <f t="shared" si="272"/>
        <v>0</v>
      </c>
      <c r="U318" s="96"/>
      <c r="V318" s="96"/>
      <c r="W318" s="96"/>
      <c r="X318" s="96"/>
      <c r="Y318" s="96"/>
      <c r="Z318" s="150" t="e">
        <f t="shared" si="273"/>
        <v>#DIV/0!</v>
      </c>
      <c r="AA318" s="96">
        <f t="shared" si="274"/>
        <v>204795.66</v>
      </c>
      <c r="AB318" s="96">
        <f t="shared" si="313"/>
        <v>205000</v>
      </c>
      <c r="AC318" s="236"/>
      <c r="AD318" s="113"/>
      <c r="AE318" s="132"/>
      <c r="AF318" s="125"/>
    </row>
    <row r="319" spans="1:32" s="15" customFormat="1" ht="23.25" hidden="1" customHeight="1" x14ac:dyDescent="0.25">
      <c r="A319" s="12" t="s">
        <v>253</v>
      </c>
      <c r="B319" s="13" t="str">
        <f>'дод 5'!A236</f>
        <v>7693</v>
      </c>
      <c r="C319" s="12" t="str">
        <f>'дод 5'!B236</f>
        <v>0490</v>
      </c>
      <c r="D319" s="14" t="str">
        <f>'дод 5'!C236</f>
        <v>Інші заходи, пов'язані з економічною діяльністю</v>
      </c>
      <c r="E319" s="96">
        <f>F319+I319</f>
        <v>0</v>
      </c>
      <c r="F319" s="96">
        <f>154630-154630</f>
        <v>0</v>
      </c>
      <c r="G319" s="96"/>
      <c r="H319" s="96"/>
      <c r="I319" s="96"/>
      <c r="J319" s="96"/>
      <c r="K319" s="96"/>
      <c r="L319" s="96"/>
      <c r="M319" s="150" t="e">
        <f t="shared" si="270"/>
        <v>#DIV/0!</v>
      </c>
      <c r="N319" s="96">
        <f t="shared" si="314"/>
        <v>0</v>
      </c>
      <c r="O319" s="96"/>
      <c r="P319" s="96"/>
      <c r="Q319" s="96"/>
      <c r="R319" s="96"/>
      <c r="S319" s="96"/>
      <c r="T319" s="96">
        <f t="shared" si="272"/>
        <v>0</v>
      </c>
      <c r="U319" s="96"/>
      <c r="V319" s="96"/>
      <c r="W319" s="96"/>
      <c r="X319" s="96"/>
      <c r="Y319" s="96"/>
      <c r="Z319" s="150" t="e">
        <f t="shared" si="273"/>
        <v>#DIV/0!</v>
      </c>
      <c r="AA319" s="96">
        <f t="shared" si="274"/>
        <v>0</v>
      </c>
      <c r="AB319" s="96">
        <f t="shared" si="313"/>
        <v>0</v>
      </c>
      <c r="AC319" s="236"/>
      <c r="AD319" s="113"/>
      <c r="AE319" s="132"/>
      <c r="AF319" s="125"/>
    </row>
    <row r="320" spans="1:32" s="15" customFormat="1" ht="40.5" hidden="1" customHeight="1" x14ac:dyDescent="0.25">
      <c r="A320" s="12">
        <v>3718330</v>
      </c>
      <c r="B320" s="13">
        <f>'дод 5'!A248</f>
        <v>8330</v>
      </c>
      <c r="C320" s="12" t="str">
        <f>'дод 5'!B248</f>
        <v>0540</v>
      </c>
      <c r="D320" s="14" t="str">
        <f>'дод 5'!C248</f>
        <v xml:space="preserve">Інша діяльність у сфері екології та охорони природних ресурсів </v>
      </c>
      <c r="E320" s="96">
        <f t="shared" si="312"/>
        <v>0</v>
      </c>
      <c r="F320" s="96">
        <f>75000-75000</f>
        <v>0</v>
      </c>
      <c r="G320" s="96"/>
      <c r="H320" s="96"/>
      <c r="I320" s="96"/>
      <c r="J320" s="96"/>
      <c r="K320" s="96"/>
      <c r="L320" s="96"/>
      <c r="M320" s="150" t="e">
        <f t="shared" si="270"/>
        <v>#DIV/0!</v>
      </c>
      <c r="N320" s="96">
        <f t="shared" si="314"/>
        <v>0</v>
      </c>
      <c r="O320" s="96"/>
      <c r="P320" s="96"/>
      <c r="Q320" s="96"/>
      <c r="R320" s="96"/>
      <c r="S320" s="96"/>
      <c r="T320" s="96">
        <f t="shared" si="272"/>
        <v>0</v>
      </c>
      <c r="U320" s="96"/>
      <c r="V320" s="96"/>
      <c r="W320" s="96"/>
      <c r="X320" s="96"/>
      <c r="Y320" s="96"/>
      <c r="Z320" s="150" t="e">
        <f t="shared" si="273"/>
        <v>#DIV/0!</v>
      </c>
      <c r="AA320" s="96">
        <f t="shared" si="274"/>
        <v>0</v>
      </c>
      <c r="AB320" s="96">
        <f t="shared" si="313"/>
        <v>0</v>
      </c>
      <c r="AC320" s="236"/>
      <c r="AD320" s="113"/>
      <c r="AE320" s="132"/>
      <c r="AF320" s="125"/>
    </row>
    <row r="321" spans="1:32" s="15" customFormat="1" ht="31.5" x14ac:dyDescent="0.25">
      <c r="A321" s="12" t="s">
        <v>178</v>
      </c>
      <c r="B321" s="13" t="str">
        <f>'дод 5'!A249</f>
        <v>8340</v>
      </c>
      <c r="C321" s="12" t="str">
        <f>'дод 5'!B249</f>
        <v>0540</v>
      </c>
      <c r="D321" s="14" t="str">
        <f>'дод 5'!C249</f>
        <v>Природоохоронні заходи за рахунок цільових фондів</v>
      </c>
      <c r="E321" s="96">
        <f t="shared" si="312"/>
        <v>0</v>
      </c>
      <c r="F321" s="96"/>
      <c r="G321" s="96"/>
      <c r="H321" s="96"/>
      <c r="I321" s="96"/>
      <c r="J321" s="96"/>
      <c r="K321" s="96"/>
      <c r="L321" s="96"/>
      <c r="M321" s="150" t="e">
        <f t="shared" si="270"/>
        <v>#DIV/0!</v>
      </c>
      <c r="N321" s="96">
        <f t="shared" si="314"/>
        <v>45375</v>
      </c>
      <c r="O321" s="96"/>
      <c r="P321" s="96">
        <f>190000+20000+50000+97000-311625</f>
        <v>45375</v>
      </c>
      <c r="Q321" s="96"/>
      <c r="R321" s="96"/>
      <c r="S321" s="96"/>
      <c r="T321" s="96">
        <f t="shared" si="272"/>
        <v>45375</v>
      </c>
      <c r="U321" s="96"/>
      <c r="V321" s="96">
        <v>45375</v>
      </c>
      <c r="W321" s="96"/>
      <c r="X321" s="96"/>
      <c r="Y321" s="96"/>
      <c r="Z321" s="150">
        <f t="shared" si="273"/>
        <v>100</v>
      </c>
      <c r="AA321" s="96">
        <f t="shared" si="274"/>
        <v>45375</v>
      </c>
      <c r="AB321" s="96">
        <f t="shared" si="313"/>
        <v>45375</v>
      </c>
      <c r="AC321" s="236"/>
      <c r="AD321" s="113"/>
      <c r="AE321" s="132"/>
      <c r="AF321" s="125"/>
    </row>
    <row r="322" spans="1:32" s="15" customFormat="1" ht="21" customHeight="1" x14ac:dyDescent="0.25">
      <c r="A322" s="12" t="s">
        <v>179</v>
      </c>
      <c r="B322" s="13" t="str">
        <f>'дод 5'!A250</f>
        <v>8600</v>
      </c>
      <c r="C322" s="12" t="str">
        <f>'дод 5'!B250</f>
        <v>0170</v>
      </c>
      <c r="D322" s="14" t="str">
        <f>'дод 5'!C250</f>
        <v>Обслуговування місцевого боргу</v>
      </c>
      <c r="E322" s="96">
        <f t="shared" si="312"/>
        <v>1854800</v>
      </c>
      <c r="F322" s="96">
        <f>6792629-4937829</f>
        <v>1854800</v>
      </c>
      <c r="G322" s="96"/>
      <c r="H322" s="96"/>
      <c r="I322" s="96"/>
      <c r="J322" s="96">
        <v>1840183.19</v>
      </c>
      <c r="K322" s="96"/>
      <c r="L322" s="96"/>
      <c r="M322" s="150">
        <f t="shared" si="270"/>
        <v>99.211946840629722</v>
      </c>
      <c r="N322" s="96">
        <f t="shared" si="314"/>
        <v>0</v>
      </c>
      <c r="O322" s="96"/>
      <c r="P322" s="96"/>
      <c r="Q322" s="96"/>
      <c r="R322" s="96"/>
      <c r="S322" s="96"/>
      <c r="T322" s="96">
        <f t="shared" si="272"/>
        <v>0</v>
      </c>
      <c r="U322" s="96"/>
      <c r="V322" s="96"/>
      <c r="W322" s="96"/>
      <c r="X322" s="96"/>
      <c r="Y322" s="96"/>
      <c r="Z322" s="150" t="e">
        <f t="shared" si="273"/>
        <v>#DIV/0!</v>
      </c>
      <c r="AA322" s="96">
        <f t="shared" si="274"/>
        <v>1840183.19</v>
      </c>
      <c r="AB322" s="96">
        <f t="shared" si="313"/>
        <v>1854800</v>
      </c>
      <c r="AC322" s="236"/>
      <c r="AD322" s="113"/>
      <c r="AE322" s="132"/>
      <c r="AF322" s="125"/>
    </row>
    <row r="323" spans="1:32" s="15" customFormat="1" ht="23.25" customHeight="1" x14ac:dyDescent="0.25">
      <c r="A323" s="12" t="s">
        <v>315</v>
      </c>
      <c r="B323" s="13">
        <f>'дод 5'!A252</f>
        <v>8710</v>
      </c>
      <c r="C323" s="12" t="str">
        <f>'дод 5'!B252</f>
        <v>0133</v>
      </c>
      <c r="D323" s="16" t="str">
        <f>'дод 5'!C252</f>
        <v>Резервний фонд місцевого бюджету</v>
      </c>
      <c r="E323" s="96">
        <f>456176551+2000000+11496964-149700-1000000-100000-21599237+380000-750000+514900-2280181-10748623-1173416+1000000-3000000-2500000-584359-36288-1472048-1700000-841000-31849456+5000000-1300000-27760954+5050179-28064597-27842757+1176850+28000-34613106-3000000-1424000-195000+50000-2000000-1434993+100000-550000-700000-260000-697500-37837892-99000-64148543-79350+18021300-500000-49000-1700000-1141512-1000000-250000-555000-300000-145000-1740000-1000000-1500000-18349379-86442857.77+198221+19360700-95025-31027250+1156966-150000-23849145-2010195-6248432+1066800-28715799-50000+491710-145833+152000+32225590</f>
        <v>36890303.230000004</v>
      </c>
      <c r="F323" s="96"/>
      <c r="G323" s="96"/>
      <c r="H323" s="96"/>
      <c r="I323" s="96"/>
      <c r="J323" s="96"/>
      <c r="K323" s="96"/>
      <c r="L323" s="96"/>
      <c r="M323" s="150">
        <f t="shared" si="270"/>
        <v>0</v>
      </c>
      <c r="N323" s="96">
        <f t="shared" si="314"/>
        <v>0</v>
      </c>
      <c r="O323" s="96"/>
      <c r="P323" s="96"/>
      <c r="Q323" s="96"/>
      <c r="R323" s="96"/>
      <c r="S323" s="96"/>
      <c r="T323" s="96">
        <f t="shared" si="272"/>
        <v>0</v>
      </c>
      <c r="U323" s="96"/>
      <c r="V323" s="96"/>
      <c r="W323" s="96"/>
      <c r="X323" s="96"/>
      <c r="Y323" s="96"/>
      <c r="Z323" s="150" t="e">
        <f t="shared" si="273"/>
        <v>#DIV/0!</v>
      </c>
      <c r="AA323" s="96">
        <f t="shared" si="274"/>
        <v>0</v>
      </c>
      <c r="AB323" s="96">
        <f t="shared" si="313"/>
        <v>36890303.230000004</v>
      </c>
      <c r="AC323" s="236"/>
      <c r="AD323" s="113"/>
      <c r="AE323" s="132"/>
      <c r="AF323" s="125"/>
    </row>
    <row r="324" spans="1:32" s="15" customFormat="1" ht="39.75" customHeight="1" x14ac:dyDescent="0.25">
      <c r="A324" s="8" t="s">
        <v>596</v>
      </c>
      <c r="B324" s="13"/>
      <c r="C324" s="12"/>
      <c r="D324" s="130" t="s">
        <v>356</v>
      </c>
      <c r="E324" s="120">
        <f>E325</f>
        <v>26286263</v>
      </c>
      <c r="F324" s="120">
        <f t="shared" ref="F324:AA324" si="315">F325</f>
        <v>26286263</v>
      </c>
      <c r="G324" s="120">
        <f t="shared" si="315"/>
        <v>19513600</v>
      </c>
      <c r="H324" s="120">
        <f t="shared" si="315"/>
        <v>187600</v>
      </c>
      <c r="I324" s="120">
        <f t="shared" si="315"/>
        <v>0</v>
      </c>
      <c r="J324" s="120">
        <f t="shared" si="315"/>
        <v>25969780.640000001</v>
      </c>
      <c r="K324" s="120">
        <f t="shared" si="315"/>
        <v>19509027.030000001</v>
      </c>
      <c r="L324" s="120">
        <f t="shared" si="315"/>
        <v>173341.55</v>
      </c>
      <c r="M324" s="146">
        <f t="shared" si="270"/>
        <v>98.796016154901906</v>
      </c>
      <c r="N324" s="120">
        <f t="shared" si="315"/>
        <v>625330</v>
      </c>
      <c r="O324" s="120">
        <f t="shared" si="315"/>
        <v>625330</v>
      </c>
      <c r="P324" s="120">
        <f t="shared" si="315"/>
        <v>0</v>
      </c>
      <c r="Q324" s="120">
        <f t="shared" si="315"/>
        <v>0</v>
      </c>
      <c r="R324" s="120">
        <f t="shared" si="315"/>
        <v>0</v>
      </c>
      <c r="S324" s="120">
        <f t="shared" si="315"/>
        <v>625330</v>
      </c>
      <c r="T324" s="120">
        <f t="shared" si="315"/>
        <v>724633.28</v>
      </c>
      <c r="U324" s="120">
        <f t="shared" si="315"/>
        <v>625330</v>
      </c>
      <c r="V324" s="120">
        <f t="shared" si="315"/>
        <v>0</v>
      </c>
      <c r="W324" s="120">
        <f t="shared" si="315"/>
        <v>0</v>
      </c>
      <c r="X324" s="120">
        <f t="shared" si="315"/>
        <v>0</v>
      </c>
      <c r="Y324" s="120">
        <f t="shared" si="315"/>
        <v>724633.28</v>
      </c>
      <c r="Z324" s="146">
        <f t="shared" si="273"/>
        <v>115.88014008603457</v>
      </c>
      <c r="AA324" s="120">
        <f t="shared" si="315"/>
        <v>26694413.920000002</v>
      </c>
      <c r="AB324" s="120">
        <f t="shared" ref="AB324:AB326" si="316">E324+N324</f>
        <v>26911593</v>
      </c>
      <c r="AC324" s="236"/>
      <c r="AD324" s="112"/>
      <c r="AE324" s="132"/>
      <c r="AF324" s="125"/>
    </row>
    <row r="325" spans="1:32" s="15" customFormat="1" ht="36.75" customHeight="1" x14ac:dyDescent="0.25">
      <c r="A325" s="9" t="s">
        <v>352</v>
      </c>
      <c r="B325" s="13"/>
      <c r="C325" s="12"/>
      <c r="D325" s="131" t="s">
        <v>356</v>
      </c>
      <c r="E325" s="121">
        <f t="shared" ref="E325:AA325" si="317">E326</f>
        <v>26286263</v>
      </c>
      <c r="F325" s="121">
        <f t="shared" si="317"/>
        <v>26286263</v>
      </c>
      <c r="G325" s="121">
        <f t="shared" si="317"/>
        <v>19513600</v>
      </c>
      <c r="H325" s="121">
        <f t="shared" si="317"/>
        <v>187600</v>
      </c>
      <c r="I325" s="121">
        <f t="shared" si="317"/>
        <v>0</v>
      </c>
      <c r="J325" s="121">
        <f t="shared" si="317"/>
        <v>25969780.640000001</v>
      </c>
      <c r="K325" s="121">
        <f t="shared" si="317"/>
        <v>19509027.030000001</v>
      </c>
      <c r="L325" s="121">
        <f t="shared" si="317"/>
        <v>173341.55</v>
      </c>
      <c r="M325" s="149">
        <f t="shared" si="270"/>
        <v>98.796016154901906</v>
      </c>
      <c r="N325" s="121">
        <f t="shared" si="317"/>
        <v>625330</v>
      </c>
      <c r="O325" s="121">
        <f t="shared" si="317"/>
        <v>625330</v>
      </c>
      <c r="P325" s="121">
        <f t="shared" si="317"/>
        <v>0</v>
      </c>
      <c r="Q325" s="121">
        <f t="shared" si="317"/>
        <v>0</v>
      </c>
      <c r="R325" s="121">
        <f t="shared" si="317"/>
        <v>0</v>
      </c>
      <c r="S325" s="121">
        <f t="shared" si="317"/>
        <v>625330</v>
      </c>
      <c r="T325" s="121">
        <f t="shared" si="317"/>
        <v>724633.28</v>
      </c>
      <c r="U325" s="121">
        <f t="shared" si="317"/>
        <v>625330</v>
      </c>
      <c r="V325" s="121">
        <f t="shared" si="317"/>
        <v>0</v>
      </c>
      <c r="W325" s="121">
        <f t="shared" si="317"/>
        <v>0</v>
      </c>
      <c r="X325" s="121">
        <f t="shared" si="317"/>
        <v>0</v>
      </c>
      <c r="Y325" s="121">
        <f t="shared" si="317"/>
        <v>724633.28</v>
      </c>
      <c r="Z325" s="149">
        <f t="shared" si="273"/>
        <v>115.88014008603457</v>
      </c>
      <c r="AA325" s="121">
        <f t="shared" si="317"/>
        <v>26694413.920000002</v>
      </c>
      <c r="AB325" s="121">
        <f t="shared" si="316"/>
        <v>26911593</v>
      </c>
      <c r="AC325" s="236"/>
      <c r="AD325" s="98"/>
      <c r="AE325" s="132"/>
      <c r="AF325" s="125"/>
    </row>
    <row r="326" spans="1:32" s="15" customFormat="1" ht="47.25" x14ac:dyDescent="0.25">
      <c r="A326" s="12" t="s">
        <v>353</v>
      </c>
      <c r="B326" s="13" t="str">
        <f>'дод 5'!A19</f>
        <v>0160</v>
      </c>
      <c r="C326" s="12" t="str">
        <f>'дод 5'!B19</f>
        <v>0111</v>
      </c>
      <c r="D326" s="16" t="str">
        <f>'дод 5'!C19</f>
        <v>Керівництво і управління у відповідній сфері у містах (місті Києві), селищах, селах, територіальних громадах</v>
      </c>
      <c r="E326" s="96">
        <f t="shared" ref="E326" si="318">F326+I326</f>
        <v>26286263</v>
      </c>
      <c r="F326" s="96">
        <f>21483700+98000+19200+36288+1901600+486000+84400+30000+59300+148500+400000+1000000+22300+7800+41675+3000+264500+200000</f>
        <v>26286263</v>
      </c>
      <c r="G326" s="96">
        <f>16869800+1558700+48600+819700+216800</f>
        <v>19513600</v>
      </c>
      <c r="H326" s="96">
        <f>167500+20100</f>
        <v>187600</v>
      </c>
      <c r="I326" s="96"/>
      <c r="J326" s="96">
        <v>25969780.640000001</v>
      </c>
      <c r="K326" s="96">
        <v>19509027.030000001</v>
      </c>
      <c r="L326" s="96">
        <v>173341.55</v>
      </c>
      <c r="M326" s="150">
        <f t="shared" si="270"/>
        <v>98.796016154901906</v>
      </c>
      <c r="N326" s="96">
        <f t="shared" ref="N326" si="319">P326+S326</f>
        <v>625330</v>
      </c>
      <c r="O326" s="96">
        <f>333000-19200+98800+78000+24000+18900+61220+30610</f>
        <v>625330</v>
      </c>
      <c r="P326" s="96"/>
      <c r="Q326" s="96"/>
      <c r="R326" s="96"/>
      <c r="S326" s="96">
        <f>333000-19200+98800+78000+24000+18900+61220+30610</f>
        <v>625330</v>
      </c>
      <c r="T326" s="96">
        <f t="shared" si="272"/>
        <v>724633.28</v>
      </c>
      <c r="U326" s="96">
        <v>625330</v>
      </c>
      <c r="V326" s="96"/>
      <c r="W326" s="96"/>
      <c r="X326" s="96"/>
      <c r="Y326" s="96">
        <v>724633.28</v>
      </c>
      <c r="Z326" s="150">
        <f t="shared" si="273"/>
        <v>115.88014008603457</v>
      </c>
      <c r="AA326" s="96">
        <f t="shared" si="274"/>
        <v>26694413.920000002</v>
      </c>
      <c r="AB326" s="96">
        <f t="shared" si="316"/>
        <v>26911593</v>
      </c>
      <c r="AC326" s="236"/>
      <c r="AD326" s="113"/>
      <c r="AE326" s="132"/>
      <c r="AF326" s="125"/>
    </row>
    <row r="327" spans="1:32" s="132" customFormat="1" ht="22.5" customHeight="1" x14ac:dyDescent="0.25">
      <c r="A327" s="8"/>
      <c r="B327" s="17"/>
      <c r="C327" s="8"/>
      <c r="D327" s="130" t="s">
        <v>483</v>
      </c>
      <c r="E327" s="120">
        <f>E16+E53+E140+E156+E196+E202+E212+E261+E295+E315+E306+E302+E298+E324+E291</f>
        <v>3532214112.7800002</v>
      </c>
      <c r="F327" s="120">
        <f t="shared" ref="F327:AA327" si="320">F16+F53+F140+F156+F196+F202+F212+F261+F295+F315+F306+F302+F298+F324+F291</f>
        <v>3288938465.5500002</v>
      </c>
      <c r="G327" s="120">
        <f t="shared" si="320"/>
        <v>1551777295.5699999</v>
      </c>
      <c r="H327" s="120">
        <f t="shared" si="320"/>
        <v>218344540.59999999</v>
      </c>
      <c r="I327" s="120">
        <f t="shared" si="320"/>
        <v>206385344</v>
      </c>
      <c r="J327" s="120">
        <f t="shared" si="320"/>
        <v>3379605665.9500008</v>
      </c>
      <c r="K327" s="120">
        <f t="shared" si="320"/>
        <v>1542985054.1700003</v>
      </c>
      <c r="L327" s="120">
        <f t="shared" si="320"/>
        <v>189591822.46000001</v>
      </c>
      <c r="M327" s="146">
        <f t="shared" si="270"/>
        <v>95.679524458105675</v>
      </c>
      <c r="N327" s="120">
        <f t="shared" si="320"/>
        <v>1476608703.46</v>
      </c>
      <c r="O327" s="120">
        <f t="shared" si="320"/>
        <v>1240599350.1299999</v>
      </c>
      <c r="P327" s="120">
        <f t="shared" si="320"/>
        <v>107580509.13</v>
      </c>
      <c r="Q327" s="120">
        <f t="shared" si="320"/>
        <v>14557560</v>
      </c>
      <c r="R327" s="120">
        <f t="shared" si="320"/>
        <v>7188778</v>
      </c>
      <c r="S327" s="120">
        <f t="shared" si="320"/>
        <v>1369028194.3299999</v>
      </c>
      <c r="T327" s="120">
        <f t="shared" si="320"/>
        <v>1048636470.05</v>
      </c>
      <c r="U327" s="120">
        <f>U16+U53+U140+U156+U196+U202+U212+U261+U295+U315+U306+U302+U298+U324+U291</f>
        <v>706081674.71000004</v>
      </c>
      <c r="V327" s="120">
        <f t="shared" si="320"/>
        <v>165987064.98000002</v>
      </c>
      <c r="W327" s="120">
        <f t="shared" si="320"/>
        <v>17913417.549999997</v>
      </c>
      <c r="X327" s="120">
        <f t="shared" si="320"/>
        <v>3517027.3800000004</v>
      </c>
      <c r="Y327" s="120">
        <f t="shared" si="320"/>
        <v>882649405.06999993</v>
      </c>
      <c r="Z327" s="146">
        <f t="shared" si="273"/>
        <v>71.016544030441338</v>
      </c>
      <c r="AA327" s="120">
        <f t="shared" si="320"/>
        <v>4428242136</v>
      </c>
      <c r="AB327" s="120">
        <f t="shared" ref="AB327" si="321">AB16+AB53+AB140+AB156+AB196+AB202+AB212+AB261+AB295+AB315+AB306+AB302+AB298+AB324+AB291</f>
        <v>5008822816.2399998</v>
      </c>
      <c r="AC327" s="236"/>
      <c r="AD327" s="112"/>
      <c r="AF327" s="125"/>
    </row>
    <row r="328" spans="1:32" s="11" customFormat="1" ht="20.25" customHeight="1" x14ac:dyDescent="0.25">
      <c r="A328" s="9"/>
      <c r="B328" s="18"/>
      <c r="C328" s="9"/>
      <c r="D328" s="131" t="s">
        <v>381</v>
      </c>
      <c r="E328" s="121">
        <f>E159+E55+E56+E57+E58+E59+E62+E65+E160+E263+E64+E214+E61+E216+E264+E215+E60</f>
        <v>742480958.83000004</v>
      </c>
      <c r="F328" s="121">
        <f t="shared" ref="F328:AA328" si="322">F159+F55+F56+F57+F58+F59+F62+F65+F160+F263+F64+F214+F61+F216+F264+F215+F60</f>
        <v>742480958.83000004</v>
      </c>
      <c r="G328" s="121">
        <f t="shared" si="322"/>
        <v>515350600</v>
      </c>
      <c r="H328" s="121">
        <f t="shared" si="322"/>
        <v>0</v>
      </c>
      <c r="I328" s="121">
        <f t="shared" si="322"/>
        <v>0</v>
      </c>
      <c r="J328" s="121">
        <f t="shared" si="322"/>
        <v>721728133.68000007</v>
      </c>
      <c r="K328" s="121">
        <f t="shared" si="322"/>
        <v>508602173.44999999</v>
      </c>
      <c r="L328" s="121">
        <f t="shared" si="322"/>
        <v>0</v>
      </c>
      <c r="M328" s="149">
        <f t="shared" si="270"/>
        <v>97.204935035276563</v>
      </c>
      <c r="N328" s="121">
        <f t="shared" si="322"/>
        <v>472377533.67000002</v>
      </c>
      <c r="O328" s="121">
        <f t="shared" si="322"/>
        <v>312590333.67000002</v>
      </c>
      <c r="P328" s="121">
        <f t="shared" si="322"/>
        <v>39930500</v>
      </c>
      <c r="Q328" s="121">
        <f t="shared" si="322"/>
        <v>1239180</v>
      </c>
      <c r="R328" s="121">
        <f t="shared" si="322"/>
        <v>0</v>
      </c>
      <c r="S328" s="121">
        <f t="shared" si="322"/>
        <v>432447033.67000002</v>
      </c>
      <c r="T328" s="121">
        <f t="shared" si="322"/>
        <v>388169751.80999994</v>
      </c>
      <c r="U328" s="121">
        <f t="shared" si="322"/>
        <v>267896970.84999999</v>
      </c>
      <c r="V328" s="121">
        <f t="shared" si="322"/>
        <v>23450100.27</v>
      </c>
      <c r="W328" s="121">
        <f t="shared" si="322"/>
        <v>1239180</v>
      </c>
      <c r="X328" s="121">
        <f t="shared" si="322"/>
        <v>0</v>
      </c>
      <c r="Y328" s="121">
        <f t="shared" si="322"/>
        <v>364719651.53999996</v>
      </c>
      <c r="Z328" s="149">
        <f t="shared" si="273"/>
        <v>82.173626843391091</v>
      </c>
      <c r="AA328" s="121">
        <f t="shared" si="322"/>
        <v>1109897885.49</v>
      </c>
      <c r="AB328" s="121">
        <f t="shared" ref="AB328" si="323">AB159+AB55+AB56+AB57+AB58+AB59+AB62+AB65+AB160+AB263+AB64+AB214+AB61+AB216+AB264+AB215+AB60</f>
        <v>1214858492.5</v>
      </c>
      <c r="AC328" s="236"/>
      <c r="AD328" s="98"/>
      <c r="AE328" s="132"/>
      <c r="AF328" s="124"/>
    </row>
    <row r="329" spans="1:32" s="11" customFormat="1" ht="94.5" x14ac:dyDescent="0.25">
      <c r="A329" s="9"/>
      <c r="B329" s="18"/>
      <c r="C329" s="9"/>
      <c r="D329" s="131" t="s">
        <v>385</v>
      </c>
      <c r="E329" s="121">
        <f t="shared" ref="E329:AB329" si="324">E159+E216+E264</f>
        <v>89637660</v>
      </c>
      <c r="F329" s="121">
        <f t="shared" ref="F329:AA329" si="325">F159+F216+F264</f>
        <v>89637660</v>
      </c>
      <c r="G329" s="121">
        <f t="shared" si="325"/>
        <v>0</v>
      </c>
      <c r="H329" s="121">
        <f t="shared" si="325"/>
        <v>0</v>
      </c>
      <c r="I329" s="121">
        <f t="shared" si="325"/>
        <v>0</v>
      </c>
      <c r="J329" s="121">
        <f>J159+J216+J264</f>
        <v>89412877.980000004</v>
      </c>
      <c r="K329" s="121">
        <f t="shared" si="325"/>
        <v>0</v>
      </c>
      <c r="L329" s="121">
        <f t="shared" si="325"/>
        <v>0</v>
      </c>
      <c r="M329" s="149">
        <f t="shared" si="270"/>
        <v>99.749232610489841</v>
      </c>
      <c r="N329" s="121">
        <f t="shared" si="325"/>
        <v>47551240</v>
      </c>
      <c r="O329" s="121">
        <f t="shared" si="325"/>
        <v>47551240</v>
      </c>
      <c r="P329" s="121">
        <f t="shared" si="325"/>
        <v>0</v>
      </c>
      <c r="Q329" s="121">
        <f t="shared" si="325"/>
        <v>0</v>
      </c>
      <c r="R329" s="121">
        <f t="shared" si="325"/>
        <v>0</v>
      </c>
      <c r="S329" s="121">
        <f t="shared" si="325"/>
        <v>47551240</v>
      </c>
      <c r="T329" s="121">
        <f t="shared" si="325"/>
        <v>44465465.719999999</v>
      </c>
      <c r="U329" s="121">
        <f t="shared" si="325"/>
        <v>44465465.719999999</v>
      </c>
      <c r="V329" s="121">
        <f t="shared" si="325"/>
        <v>0</v>
      </c>
      <c r="W329" s="121">
        <f t="shared" si="325"/>
        <v>0</v>
      </c>
      <c r="X329" s="121">
        <f t="shared" si="325"/>
        <v>0</v>
      </c>
      <c r="Y329" s="121">
        <f t="shared" si="325"/>
        <v>44465465.719999999</v>
      </c>
      <c r="Z329" s="149">
        <f t="shared" si="273"/>
        <v>93.510633413555567</v>
      </c>
      <c r="AA329" s="121">
        <f t="shared" si="325"/>
        <v>133878343.7</v>
      </c>
      <c r="AB329" s="121">
        <f t="shared" si="324"/>
        <v>137188900</v>
      </c>
      <c r="AC329" s="236"/>
      <c r="AD329" s="98"/>
      <c r="AE329" s="132"/>
      <c r="AF329" s="124"/>
    </row>
    <row r="330" spans="1:32" s="11" customFormat="1" ht="47.25" x14ac:dyDescent="0.25">
      <c r="A330" s="9"/>
      <c r="B330" s="18"/>
      <c r="C330" s="9"/>
      <c r="D330" s="131" t="s">
        <v>357</v>
      </c>
      <c r="E330" s="121">
        <f t="shared" ref="E330:AB330" si="326">E67+E217+E161+E142+E66+E162+E68</f>
        <v>7784564.3700000001</v>
      </c>
      <c r="F330" s="121">
        <f t="shared" ref="F330:AA330" si="327">F67+F217+F161+F142+F66+F162+F68</f>
        <v>7784564.3700000001</v>
      </c>
      <c r="G330" s="121">
        <f t="shared" si="327"/>
        <v>3254311.5700000003</v>
      </c>
      <c r="H330" s="121">
        <f t="shared" si="327"/>
        <v>0</v>
      </c>
      <c r="I330" s="121">
        <f t="shared" si="327"/>
        <v>0</v>
      </c>
      <c r="J330" s="121">
        <f t="shared" si="327"/>
        <v>7084936.29</v>
      </c>
      <c r="K330" s="121">
        <f t="shared" si="327"/>
        <v>3010922.2</v>
      </c>
      <c r="L330" s="121">
        <f t="shared" si="327"/>
        <v>0</v>
      </c>
      <c r="M330" s="149">
        <f t="shared" si="270"/>
        <v>91.012623870178118</v>
      </c>
      <c r="N330" s="121">
        <f t="shared" si="327"/>
        <v>32511480.969999999</v>
      </c>
      <c r="O330" s="121">
        <f t="shared" si="327"/>
        <v>24578417.789999999</v>
      </c>
      <c r="P330" s="121">
        <f t="shared" si="327"/>
        <v>547169.13</v>
      </c>
      <c r="Q330" s="121">
        <f t="shared" si="327"/>
        <v>0</v>
      </c>
      <c r="R330" s="121">
        <f t="shared" si="327"/>
        <v>0</v>
      </c>
      <c r="S330" s="121">
        <f t="shared" si="327"/>
        <v>31964311.84</v>
      </c>
      <c r="T330" s="121">
        <f t="shared" si="327"/>
        <v>25940012.949999999</v>
      </c>
      <c r="U330" s="121">
        <f t="shared" si="327"/>
        <v>24578417.789999999</v>
      </c>
      <c r="V330" s="121">
        <f t="shared" si="327"/>
        <v>547150.76</v>
      </c>
      <c r="W330" s="121">
        <f t="shared" si="327"/>
        <v>0</v>
      </c>
      <c r="X330" s="121">
        <f t="shared" si="327"/>
        <v>0</v>
      </c>
      <c r="Y330" s="121">
        <f t="shared" si="327"/>
        <v>25392862.189999998</v>
      </c>
      <c r="Z330" s="149">
        <f t="shared" si="273"/>
        <v>79.787238772469863</v>
      </c>
      <c r="AA330" s="121">
        <f t="shared" si="327"/>
        <v>33024949.239999998</v>
      </c>
      <c r="AB330" s="121">
        <f t="shared" si="326"/>
        <v>40296045.339999996</v>
      </c>
      <c r="AC330" s="236"/>
      <c r="AD330" s="98"/>
      <c r="AE330" s="132"/>
      <c r="AF330" s="124"/>
    </row>
    <row r="331" spans="1:32" s="11" customFormat="1" ht="24" customHeight="1" x14ac:dyDescent="0.25">
      <c r="A331" s="9"/>
      <c r="B331" s="18"/>
      <c r="C331" s="9"/>
      <c r="D331" s="131" t="s">
        <v>358</v>
      </c>
      <c r="E331" s="121">
        <f>E158+E69+E18+E218+E219+E63+E265</f>
        <v>2511560.9900000002</v>
      </c>
      <c r="F331" s="121">
        <f t="shared" ref="F331:AA331" si="328">F158+F69+F18+F218+F219+F63+F265</f>
        <v>2511560.9900000002</v>
      </c>
      <c r="G331" s="121">
        <f t="shared" si="328"/>
        <v>592189</v>
      </c>
      <c r="H331" s="121">
        <f t="shared" si="328"/>
        <v>0</v>
      </c>
      <c r="I331" s="121">
        <f t="shared" si="328"/>
        <v>0</v>
      </c>
      <c r="J331" s="121">
        <f t="shared" si="328"/>
        <v>2352965.21</v>
      </c>
      <c r="K331" s="121">
        <f t="shared" si="328"/>
        <v>592189</v>
      </c>
      <c r="L331" s="121">
        <f t="shared" si="328"/>
        <v>0</v>
      </c>
      <c r="M331" s="149">
        <f t="shared" si="270"/>
        <v>93.685370149024322</v>
      </c>
      <c r="N331" s="121">
        <f t="shared" si="328"/>
        <v>17118000</v>
      </c>
      <c r="O331" s="121">
        <f t="shared" si="328"/>
        <v>17118000</v>
      </c>
      <c r="P331" s="121">
        <f t="shared" si="328"/>
        <v>0</v>
      </c>
      <c r="Q331" s="121">
        <f t="shared" si="328"/>
        <v>0</v>
      </c>
      <c r="R331" s="121">
        <f t="shared" si="328"/>
        <v>0</v>
      </c>
      <c r="S331" s="121">
        <f t="shared" si="328"/>
        <v>17118000</v>
      </c>
      <c r="T331" s="121">
        <f t="shared" si="328"/>
        <v>16048581.500000002</v>
      </c>
      <c r="U331" s="121">
        <f t="shared" si="328"/>
        <v>16048581.500000002</v>
      </c>
      <c r="V331" s="121">
        <f t="shared" si="328"/>
        <v>0</v>
      </c>
      <c r="W331" s="121">
        <f t="shared" si="328"/>
        <v>0</v>
      </c>
      <c r="X331" s="121">
        <f t="shared" si="328"/>
        <v>0</v>
      </c>
      <c r="Y331" s="121">
        <f t="shared" si="328"/>
        <v>16048581.500000002</v>
      </c>
      <c r="Z331" s="149">
        <f t="shared" si="273"/>
        <v>93.752666783502761</v>
      </c>
      <c r="AA331" s="121">
        <f t="shared" si="328"/>
        <v>18401546.710000001</v>
      </c>
      <c r="AB331" s="121">
        <f t="shared" ref="AB331" si="329">AB158+AB69+AB18+AB218+AB219+AB63+AB265</f>
        <v>19629560.989999998</v>
      </c>
      <c r="AC331" s="236"/>
      <c r="AD331" s="98"/>
      <c r="AE331" s="132"/>
      <c r="AF331" s="124"/>
    </row>
    <row r="332" spans="1:32" s="11" customFormat="1" ht="20.25" customHeight="1" x14ac:dyDescent="0.25">
      <c r="A332" s="9"/>
      <c r="B332" s="18"/>
      <c r="C332" s="9"/>
      <c r="D332" s="131" t="s">
        <v>285</v>
      </c>
      <c r="E332" s="121">
        <f>E266+E267</f>
        <v>0</v>
      </c>
      <c r="F332" s="121">
        <f t="shared" ref="F332:AA332" si="330">F266+F267</f>
        <v>0</v>
      </c>
      <c r="G332" s="121">
        <f t="shared" si="330"/>
        <v>0</v>
      </c>
      <c r="H332" s="121">
        <f t="shared" si="330"/>
        <v>0</v>
      </c>
      <c r="I332" s="121">
        <f t="shared" si="330"/>
        <v>0</v>
      </c>
      <c r="J332" s="121">
        <f t="shared" si="330"/>
        <v>0</v>
      </c>
      <c r="K332" s="121">
        <f t="shared" si="330"/>
        <v>0</v>
      </c>
      <c r="L332" s="121">
        <f t="shared" si="330"/>
        <v>0</v>
      </c>
      <c r="M332" s="149" t="e">
        <f t="shared" si="270"/>
        <v>#DIV/0!</v>
      </c>
      <c r="N332" s="121">
        <f t="shared" si="330"/>
        <v>252062997.38999999</v>
      </c>
      <c r="O332" s="121">
        <f t="shared" si="330"/>
        <v>252062997.38999999</v>
      </c>
      <c r="P332" s="121">
        <f t="shared" si="330"/>
        <v>0</v>
      </c>
      <c r="Q332" s="121">
        <f t="shared" si="330"/>
        <v>0</v>
      </c>
      <c r="R332" s="121">
        <f t="shared" si="330"/>
        <v>0</v>
      </c>
      <c r="S332" s="121">
        <f t="shared" si="330"/>
        <v>252062997.38999999</v>
      </c>
      <c r="T332" s="121">
        <f t="shared" si="330"/>
        <v>81728692.50999999</v>
      </c>
      <c r="U332" s="121">
        <f t="shared" si="330"/>
        <v>81728692.50999999</v>
      </c>
      <c r="V332" s="121">
        <f t="shared" si="330"/>
        <v>0</v>
      </c>
      <c r="W332" s="121">
        <f t="shared" si="330"/>
        <v>0</v>
      </c>
      <c r="X332" s="121">
        <f t="shared" si="330"/>
        <v>0</v>
      </c>
      <c r="Y332" s="121">
        <f t="shared" si="330"/>
        <v>81728692.50999999</v>
      </c>
      <c r="Z332" s="149">
        <f t="shared" si="273"/>
        <v>32.423915194322127</v>
      </c>
      <c r="AA332" s="121">
        <f t="shared" si="330"/>
        <v>81728692.50999999</v>
      </c>
      <c r="AB332" s="121">
        <f t="shared" ref="AB332" si="331">AB266+AB267</f>
        <v>252062997.38999999</v>
      </c>
      <c r="AC332" s="236"/>
      <c r="AD332" s="98"/>
      <c r="AE332" s="132"/>
      <c r="AF332" s="124"/>
    </row>
    <row r="333" spans="1:32" s="11" customFormat="1" ht="7.5" customHeight="1" x14ac:dyDescent="0.25">
      <c r="A333" s="27"/>
      <c r="B333" s="28"/>
      <c r="C333" s="27"/>
      <c r="D333" s="29"/>
      <c r="E333" s="98"/>
      <c r="F333" s="98"/>
      <c r="G333" s="98"/>
      <c r="H333" s="98"/>
      <c r="I333" s="98"/>
      <c r="J333" s="98"/>
      <c r="K333" s="98"/>
      <c r="L333" s="98"/>
      <c r="M333" s="155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155"/>
      <c r="AA333" s="98"/>
      <c r="AB333" s="98"/>
      <c r="AC333" s="236"/>
      <c r="AD333" s="98"/>
      <c r="AE333" s="132"/>
      <c r="AF333" s="124"/>
    </row>
    <row r="334" spans="1:32" s="11" customFormat="1" ht="20.25" hidden="1" customHeight="1" x14ac:dyDescent="0.25">
      <c r="A334" s="27"/>
      <c r="B334" s="28"/>
      <c r="C334" s="27"/>
      <c r="D334" s="29"/>
      <c r="E334" s="98"/>
      <c r="F334" s="98"/>
      <c r="G334" s="98"/>
      <c r="H334" s="98"/>
      <c r="I334" s="98"/>
      <c r="J334" s="98"/>
      <c r="K334" s="98"/>
      <c r="L334" s="98"/>
      <c r="M334" s="155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155"/>
      <c r="AA334" s="98"/>
      <c r="AB334" s="98"/>
      <c r="AC334" s="236"/>
      <c r="AD334" s="98"/>
      <c r="AE334" s="132"/>
      <c r="AF334" s="124"/>
    </row>
    <row r="335" spans="1:32" s="11" customFormat="1" ht="9.75" hidden="1" customHeight="1" x14ac:dyDescent="0.25">
      <c r="A335" s="27"/>
      <c r="B335" s="28"/>
      <c r="C335" s="27"/>
      <c r="D335" s="29"/>
      <c r="E335" s="98"/>
      <c r="F335" s="98"/>
      <c r="G335" s="98"/>
      <c r="H335" s="98"/>
      <c r="I335" s="98"/>
      <c r="J335" s="98"/>
      <c r="K335" s="98"/>
      <c r="L335" s="98"/>
      <c r="M335" s="155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155"/>
      <c r="AA335" s="98"/>
      <c r="AB335" s="98"/>
      <c r="AC335" s="236"/>
      <c r="AD335" s="98"/>
      <c r="AE335" s="132"/>
      <c r="AF335" s="124"/>
    </row>
    <row r="336" spans="1:32" s="85" customFormat="1" ht="181.5" customHeight="1" x14ac:dyDescent="0.4">
      <c r="A336" s="163"/>
      <c r="B336" s="163"/>
      <c r="C336" s="163"/>
      <c r="D336" s="163"/>
      <c r="E336" s="163"/>
      <c r="F336" s="84"/>
      <c r="G336" s="99"/>
      <c r="H336" s="99"/>
      <c r="I336" s="99"/>
      <c r="J336" s="99"/>
      <c r="K336" s="99"/>
      <c r="L336" s="99"/>
      <c r="M336" s="156"/>
      <c r="N336" s="99"/>
      <c r="O336" s="99"/>
      <c r="P336" s="163"/>
      <c r="Q336" s="163"/>
      <c r="R336" s="163"/>
      <c r="S336" s="163"/>
      <c r="T336" s="163"/>
      <c r="U336" s="163"/>
      <c r="V336" s="163"/>
      <c r="W336" s="163"/>
      <c r="X336" s="163"/>
      <c r="Y336" s="163"/>
      <c r="Z336" s="163"/>
      <c r="AA336" s="163"/>
      <c r="AB336" s="163"/>
      <c r="AC336" s="236"/>
      <c r="AD336" s="116"/>
      <c r="AE336" s="132"/>
      <c r="AF336" s="123"/>
    </row>
    <row r="337" spans="1:32" s="85" customFormat="1" ht="45" customHeight="1" x14ac:dyDescent="0.55000000000000004">
      <c r="A337" s="227" t="s">
        <v>606</v>
      </c>
      <c r="B337" s="227"/>
      <c r="C337" s="227"/>
      <c r="D337" s="227"/>
      <c r="E337" s="227"/>
      <c r="F337" s="227"/>
      <c r="G337" s="227"/>
      <c r="H337" s="227"/>
      <c r="I337" s="227"/>
      <c r="J337" s="227"/>
      <c r="K337" s="227"/>
      <c r="L337" s="227"/>
      <c r="M337" s="227"/>
      <c r="N337" s="227"/>
      <c r="O337" s="217"/>
      <c r="P337" s="217"/>
      <c r="Q337" s="217"/>
      <c r="R337" s="217"/>
      <c r="S337" s="217"/>
      <c r="T337" s="218"/>
      <c r="U337" s="219"/>
      <c r="V337" s="219"/>
      <c r="W337" s="219"/>
      <c r="X337" s="227" t="s">
        <v>607</v>
      </c>
      <c r="Y337" s="227"/>
      <c r="Z337" s="227"/>
      <c r="AA337" s="227"/>
      <c r="AB337" s="163"/>
      <c r="AC337" s="236"/>
      <c r="AD337" s="116"/>
      <c r="AE337" s="132"/>
      <c r="AF337" s="123"/>
    </row>
    <row r="338" spans="1:32" s="85" customFormat="1" ht="45" customHeight="1" x14ac:dyDescent="0.4">
      <c r="A338" s="168"/>
      <c r="B338" s="168"/>
      <c r="C338" s="168"/>
      <c r="D338" s="168"/>
      <c r="E338" s="168"/>
      <c r="F338" s="168"/>
      <c r="G338" s="164"/>
      <c r="H338" s="164"/>
      <c r="I338" s="164"/>
      <c r="J338" s="201"/>
      <c r="K338" s="164"/>
      <c r="L338" s="165"/>
      <c r="M338" s="166"/>
      <c r="N338" s="164"/>
      <c r="O338" s="164"/>
      <c r="P338" s="164"/>
      <c r="Q338" s="164"/>
      <c r="R338" s="164"/>
      <c r="S338" s="164"/>
      <c r="T338" s="60"/>
      <c r="U338" s="167"/>
      <c r="V338" s="167"/>
      <c r="W338" s="167"/>
      <c r="X338" s="169"/>
      <c r="Y338" s="170"/>
      <c r="Z338" s="171"/>
      <c r="AA338" s="172"/>
      <c r="AB338" s="163"/>
      <c r="AC338" s="236"/>
      <c r="AD338" s="116"/>
      <c r="AE338" s="132"/>
      <c r="AF338" s="123"/>
    </row>
    <row r="339" spans="1:32" s="85" customFormat="1" ht="45" customHeight="1" x14ac:dyDescent="0.4">
      <c r="A339" s="173"/>
      <c r="B339" s="174"/>
      <c r="C339" s="174"/>
      <c r="D339" s="175"/>
      <c r="E339" s="164"/>
      <c r="F339" s="164"/>
      <c r="G339" s="164"/>
      <c r="H339" s="164"/>
      <c r="I339" s="164"/>
      <c r="J339" s="201"/>
      <c r="K339" s="164"/>
      <c r="L339" s="164"/>
      <c r="M339" s="166"/>
      <c r="N339" s="164"/>
      <c r="O339" s="176"/>
      <c r="P339" s="164"/>
      <c r="Q339" s="164"/>
      <c r="R339" s="164"/>
      <c r="S339" s="164"/>
      <c r="T339" s="60"/>
      <c r="U339" s="167"/>
      <c r="V339" s="167"/>
      <c r="W339" s="167"/>
      <c r="X339" s="167"/>
      <c r="Y339" s="177"/>
      <c r="Z339" s="178"/>
      <c r="AA339" s="179"/>
      <c r="AB339" s="163"/>
      <c r="AC339" s="236"/>
      <c r="AD339" s="116"/>
      <c r="AE339" s="132"/>
      <c r="AF339" s="123"/>
    </row>
    <row r="340" spans="1:32" s="85" customFormat="1" ht="45" customHeight="1" x14ac:dyDescent="0.4">
      <c r="A340" s="180"/>
      <c r="B340" s="181"/>
      <c r="C340" s="181"/>
      <c r="D340" s="182"/>
      <c r="E340" s="183"/>
      <c r="F340" s="183"/>
      <c r="G340" s="184"/>
      <c r="H340" s="184"/>
      <c r="I340" s="184"/>
      <c r="J340" s="184"/>
      <c r="K340" s="184"/>
      <c r="L340" s="184"/>
      <c r="M340" s="185"/>
      <c r="N340" s="184"/>
      <c r="O340" s="184"/>
      <c r="P340" s="184"/>
      <c r="Q340" s="184"/>
      <c r="R340" s="184"/>
      <c r="S340" s="184"/>
      <c r="T340" s="184"/>
      <c r="U340" s="184"/>
      <c r="V340" s="184"/>
      <c r="W340" s="184"/>
      <c r="X340" s="184"/>
      <c r="Y340" s="184"/>
      <c r="Z340" s="186"/>
      <c r="AA340" s="184"/>
      <c r="AB340" s="163"/>
      <c r="AC340" s="236"/>
      <c r="AD340" s="116"/>
      <c r="AE340" s="132"/>
      <c r="AF340" s="123"/>
    </row>
    <row r="341" spans="1:32" s="30" customFormat="1" ht="26.25" customHeight="1" x14ac:dyDescent="0.45">
      <c r="A341" s="163"/>
      <c r="B341" s="163"/>
      <c r="C341" s="163"/>
      <c r="D341" s="163"/>
      <c r="E341" s="163"/>
      <c r="F341" s="99"/>
      <c r="G341" s="99"/>
      <c r="H341" s="99"/>
      <c r="I341" s="99"/>
      <c r="J341" s="99"/>
      <c r="K341" s="99"/>
      <c r="L341" s="99"/>
      <c r="M341" s="156"/>
      <c r="N341" s="99"/>
      <c r="O341" s="99"/>
      <c r="P341" s="99"/>
      <c r="Q341" s="99"/>
      <c r="R341" s="99"/>
      <c r="S341" s="99"/>
      <c r="T341" s="199"/>
      <c r="U341" s="199"/>
      <c r="V341" s="199"/>
      <c r="W341" s="199"/>
      <c r="X341" s="199"/>
      <c r="Y341" s="199"/>
      <c r="Z341" s="156"/>
      <c r="AA341" s="99"/>
      <c r="AB341" s="99"/>
      <c r="AC341" s="236"/>
      <c r="AD341" s="117"/>
      <c r="AF341" s="122"/>
    </row>
    <row r="342" spans="1:32" ht="15.75" x14ac:dyDescent="0.25">
      <c r="D342" s="130" t="s">
        <v>481</v>
      </c>
      <c r="E342" s="120">
        <f>E327-'дод 5'!D262</f>
        <v>0</v>
      </c>
      <c r="F342" s="120">
        <f>F327-'дод 5'!E262</f>
        <v>0</v>
      </c>
      <c r="G342" s="120">
        <f>G327-'дод 5'!F262</f>
        <v>0</v>
      </c>
      <c r="H342" s="120">
        <f>H327-'дод 5'!G262</f>
        <v>0</v>
      </c>
      <c r="I342" s="120">
        <f>I327-'дод 5'!H262</f>
        <v>0</v>
      </c>
      <c r="J342" s="120"/>
      <c r="K342" s="120"/>
      <c r="L342" s="120"/>
      <c r="M342" s="146"/>
      <c r="N342" s="120">
        <f>N327-'дод 5'!M262</f>
        <v>0</v>
      </c>
      <c r="O342" s="120">
        <f>O327-'дод 5'!N262</f>
        <v>0</v>
      </c>
      <c r="P342" s="120">
        <f>P327-'дод 5'!O262</f>
        <v>0</v>
      </c>
      <c r="Q342" s="120">
        <f>Q327-'дод 5'!P262</f>
        <v>0</v>
      </c>
      <c r="R342" s="120">
        <f>R327-'дод 5'!Q262</f>
        <v>0</v>
      </c>
      <c r="S342" s="120">
        <f>S327-'дод 5'!R262</f>
        <v>0</v>
      </c>
      <c r="T342" s="120"/>
      <c r="U342" s="120"/>
      <c r="V342" s="120"/>
      <c r="W342" s="120"/>
      <c r="X342" s="120"/>
      <c r="Y342" s="120"/>
      <c r="Z342" s="146"/>
      <c r="AA342" s="120"/>
      <c r="AB342" s="120">
        <f>AB327-'дод 5'!AA262</f>
        <v>0</v>
      </c>
      <c r="AC342" s="203"/>
      <c r="AD342" s="112"/>
    </row>
    <row r="343" spans="1:32" ht="15.75" x14ac:dyDescent="0.25">
      <c r="D343" s="131" t="s">
        <v>381</v>
      </c>
      <c r="E343" s="120">
        <f>E328-'дод 5'!D263</f>
        <v>0</v>
      </c>
      <c r="F343" s="120">
        <f>F328-'дод 5'!E263</f>
        <v>0</v>
      </c>
      <c r="G343" s="120">
        <f>G328-'дод 5'!F263</f>
        <v>0</v>
      </c>
      <c r="H343" s="120">
        <f>H328-'дод 5'!G263</f>
        <v>0</v>
      </c>
      <c r="I343" s="120">
        <f>I328-'дод 5'!H263</f>
        <v>0</v>
      </c>
      <c r="J343" s="120"/>
      <c r="K343" s="120"/>
      <c r="L343" s="120"/>
      <c r="M343" s="146"/>
      <c r="N343" s="120">
        <f>N328-'дод 5'!M263</f>
        <v>0</v>
      </c>
      <c r="O343" s="120">
        <f>O328-'дод 5'!N263</f>
        <v>0</v>
      </c>
      <c r="P343" s="120">
        <f>P328-'дод 5'!O263</f>
        <v>0</v>
      </c>
      <c r="Q343" s="120">
        <f>Q328-'дод 5'!P263</f>
        <v>0</v>
      </c>
      <c r="R343" s="120">
        <f>R328-'дод 5'!Q263</f>
        <v>0</v>
      </c>
      <c r="S343" s="120">
        <f>S328-'дод 5'!R263</f>
        <v>0</v>
      </c>
      <c r="T343" s="120"/>
      <c r="U343" s="120"/>
      <c r="V343" s="120"/>
      <c r="W343" s="120"/>
      <c r="X343" s="120"/>
      <c r="Y343" s="120"/>
      <c r="Z343" s="146"/>
      <c r="AA343" s="120"/>
      <c r="AB343" s="120">
        <f>AB328-'дод 5'!AA263</f>
        <v>0</v>
      </c>
      <c r="AC343" s="203"/>
      <c r="AD343" s="112"/>
    </row>
    <row r="344" spans="1:32" ht="110.25" customHeight="1" x14ac:dyDescent="0.25">
      <c r="D344" s="131" t="s">
        <v>385</v>
      </c>
      <c r="E344" s="120">
        <f>E329-'дод 5'!D264</f>
        <v>0</v>
      </c>
      <c r="F344" s="120">
        <f>F329-'дод 5'!E264</f>
        <v>0</v>
      </c>
      <c r="G344" s="120">
        <f>G329-'дод 5'!F264</f>
        <v>0</v>
      </c>
      <c r="H344" s="120">
        <f>H329-'дод 5'!G264</f>
        <v>0</v>
      </c>
      <c r="I344" s="120">
        <f>I329-'дод 5'!H264</f>
        <v>0</v>
      </c>
      <c r="J344" s="120"/>
      <c r="K344" s="120"/>
      <c r="L344" s="120"/>
      <c r="M344" s="146"/>
      <c r="N344" s="120">
        <f>N329-'дод 5'!M264</f>
        <v>0</v>
      </c>
      <c r="O344" s="120">
        <f>O329-'дод 5'!N264</f>
        <v>0</v>
      </c>
      <c r="P344" s="120">
        <f>P329-'дод 5'!O264</f>
        <v>0</v>
      </c>
      <c r="Q344" s="120">
        <f>Q329-'дод 5'!P264</f>
        <v>0</v>
      </c>
      <c r="R344" s="120">
        <f>R329-'дод 5'!Q264</f>
        <v>0</v>
      </c>
      <c r="S344" s="120">
        <f>S329-'дод 5'!R264</f>
        <v>0</v>
      </c>
      <c r="T344" s="120"/>
      <c r="U344" s="120"/>
      <c r="W344" s="120"/>
      <c r="X344" s="120"/>
      <c r="Y344" s="120"/>
      <c r="Z344" s="146"/>
      <c r="AA344" s="120"/>
      <c r="AB344" s="120">
        <f>AB329-'дод 5'!AA264</f>
        <v>0</v>
      </c>
      <c r="AC344" s="203"/>
      <c r="AD344" s="112"/>
    </row>
    <row r="345" spans="1:32" ht="47.25" x14ac:dyDescent="0.25">
      <c r="D345" s="131" t="s">
        <v>357</v>
      </c>
      <c r="E345" s="120">
        <f>E330-'дод 5'!D265</f>
        <v>0</v>
      </c>
      <c r="F345" s="120">
        <f>F330-'дод 5'!E265</f>
        <v>0</v>
      </c>
      <c r="G345" s="120">
        <f>G330-'дод 5'!F265</f>
        <v>0</v>
      </c>
      <c r="H345" s="120">
        <f>H330-'дод 5'!G265</f>
        <v>0</v>
      </c>
      <c r="I345" s="120">
        <f>I330-'дод 5'!H265</f>
        <v>0</v>
      </c>
      <c r="J345" s="120"/>
      <c r="K345" s="120"/>
      <c r="L345" s="120"/>
      <c r="M345" s="146"/>
      <c r="N345" s="120">
        <f>N330-'дод 5'!M265</f>
        <v>0</v>
      </c>
      <c r="O345" s="120">
        <f>O330-'дод 5'!N265</f>
        <v>0</v>
      </c>
      <c r="P345" s="120">
        <f>P330-'дод 5'!O265</f>
        <v>0</v>
      </c>
      <c r="Q345" s="120">
        <f>Q330-'дод 5'!P265</f>
        <v>0</v>
      </c>
      <c r="R345" s="120">
        <f>R330-'дод 5'!Q265</f>
        <v>0</v>
      </c>
      <c r="S345" s="120">
        <f>S330-'дод 5'!R265</f>
        <v>0</v>
      </c>
      <c r="T345" s="120"/>
      <c r="U345" s="120"/>
      <c r="V345" s="120"/>
      <c r="W345" s="120"/>
      <c r="X345" s="120"/>
      <c r="Y345" s="120"/>
      <c r="Z345" s="146"/>
      <c r="AA345" s="120"/>
      <c r="AB345" s="120">
        <f>AB330-'дод 5'!AA265</f>
        <v>0</v>
      </c>
      <c r="AD345" s="112"/>
    </row>
    <row r="346" spans="1:32" ht="15.75" x14ac:dyDescent="0.25">
      <c r="D346" s="131" t="s">
        <v>358</v>
      </c>
      <c r="E346" s="120">
        <f>E331-'дод 5'!D266</f>
        <v>0</v>
      </c>
      <c r="F346" s="120">
        <f>F331-'дод 5'!E266</f>
        <v>0</v>
      </c>
      <c r="G346" s="120">
        <f>G331-'дод 5'!F266</f>
        <v>0</v>
      </c>
      <c r="H346" s="120">
        <f>H331-'дод 5'!G266</f>
        <v>0</v>
      </c>
      <c r="I346" s="120">
        <f>I331-'дод 5'!H266</f>
        <v>0</v>
      </c>
      <c r="J346" s="120"/>
      <c r="K346" s="120"/>
      <c r="L346" s="120"/>
      <c r="M346" s="146"/>
      <c r="N346" s="120">
        <f>N331-'дод 5'!M266</f>
        <v>0</v>
      </c>
      <c r="O346" s="120">
        <f>O331-'дод 5'!N266</f>
        <v>0</v>
      </c>
      <c r="P346" s="120">
        <f>P331-'дод 5'!O266</f>
        <v>0</v>
      </c>
      <c r="Q346" s="120">
        <f>Q331-'дод 5'!P266</f>
        <v>0</v>
      </c>
      <c r="R346" s="120">
        <f>R331-'дод 5'!Q266</f>
        <v>0</v>
      </c>
      <c r="S346" s="120">
        <f>S331-'дод 5'!R266</f>
        <v>0</v>
      </c>
      <c r="T346" s="120"/>
      <c r="U346" s="120"/>
      <c r="V346" s="120"/>
      <c r="W346" s="120"/>
      <c r="X346" s="120"/>
      <c r="Y346" s="120"/>
      <c r="Z346" s="146"/>
      <c r="AA346" s="120"/>
      <c r="AB346" s="120">
        <f>AB331-'дод 5'!AA266</f>
        <v>0</v>
      </c>
      <c r="AD346" s="112"/>
    </row>
    <row r="347" spans="1:32" ht="15.75" x14ac:dyDescent="0.25">
      <c r="D347" s="131" t="s">
        <v>285</v>
      </c>
      <c r="E347" s="120">
        <f>E332-'дод 5'!D267</f>
        <v>0</v>
      </c>
      <c r="F347" s="120">
        <f>F332-'дод 5'!E267</f>
        <v>0</v>
      </c>
      <c r="G347" s="120">
        <f>G332-'дод 5'!F267</f>
        <v>0</v>
      </c>
      <c r="H347" s="120">
        <f>H332-'дод 5'!G267</f>
        <v>0</v>
      </c>
      <c r="I347" s="120">
        <f>I332-'дод 5'!H267</f>
        <v>0</v>
      </c>
      <c r="J347" s="120"/>
      <c r="K347" s="120"/>
      <c r="L347" s="120"/>
      <c r="M347" s="146"/>
      <c r="N347" s="120">
        <f>N332-'дод 5'!M267</f>
        <v>0</v>
      </c>
      <c r="O347" s="120">
        <f>O332-'дод 5'!N267</f>
        <v>0</v>
      </c>
      <c r="P347" s="120">
        <f>P332-'дод 5'!O267</f>
        <v>0</v>
      </c>
      <c r="Q347" s="120">
        <f>Q332-'дод 5'!P267</f>
        <v>0</v>
      </c>
      <c r="R347" s="120">
        <f>R332-'дод 5'!Q267</f>
        <v>0</v>
      </c>
      <c r="S347" s="120">
        <f>S332-'дод 5'!R267</f>
        <v>0</v>
      </c>
      <c r="T347" s="120"/>
      <c r="U347" s="120"/>
      <c r="V347" s="120"/>
      <c r="W347" s="120"/>
      <c r="X347" s="120"/>
      <c r="Y347" s="120"/>
      <c r="Z347" s="146"/>
      <c r="AA347" s="120"/>
      <c r="AB347" s="120">
        <f>AB332-'дод 5'!AA267</f>
        <v>0</v>
      </c>
      <c r="AD347" s="112"/>
    </row>
    <row r="348" spans="1:32" x14ac:dyDescent="0.25">
      <c r="AB348" s="91"/>
      <c r="AD348" s="118"/>
    </row>
    <row r="349" spans="1:32" x14ac:dyDescent="0.25">
      <c r="AB349" s="91"/>
      <c r="AD349" s="118"/>
    </row>
    <row r="350" spans="1:32" x14ac:dyDescent="0.25">
      <c r="AB350" s="91"/>
      <c r="AD350" s="118"/>
    </row>
    <row r="351" spans="1:32" x14ac:dyDescent="0.25">
      <c r="N351" s="91" t="s">
        <v>595</v>
      </c>
      <c r="AB351" s="91"/>
      <c r="AD351" s="118"/>
    </row>
    <row r="352" spans="1:32" x14ac:dyDescent="0.25">
      <c r="AB352" s="91"/>
      <c r="AD352" s="118"/>
    </row>
    <row r="353" spans="28:30" x14ac:dyDescent="0.25">
      <c r="AB353" s="91"/>
      <c r="AD353" s="118"/>
    </row>
    <row r="354" spans="28:30" x14ac:dyDescent="0.25">
      <c r="AB354" s="91"/>
      <c r="AD354" s="118"/>
    </row>
    <row r="355" spans="28:30" x14ac:dyDescent="0.25">
      <c r="AB355" s="91"/>
      <c r="AD355" s="118"/>
    </row>
    <row r="356" spans="28:30" x14ac:dyDescent="0.25">
      <c r="AB356" s="91"/>
      <c r="AD356" s="118"/>
    </row>
    <row r="357" spans="28:30" x14ac:dyDescent="0.25">
      <c r="AB357" s="91"/>
      <c r="AD357" s="118"/>
    </row>
    <row r="358" spans="28:30" x14ac:dyDescent="0.25">
      <c r="AB358" s="91"/>
      <c r="AD358" s="118"/>
    </row>
    <row r="359" spans="28:30" x14ac:dyDescent="0.25">
      <c r="AB359" s="91"/>
      <c r="AD359" s="118"/>
    </row>
    <row r="360" spans="28:30" x14ac:dyDescent="0.25">
      <c r="AB360" s="91"/>
      <c r="AD360" s="118"/>
    </row>
    <row r="361" spans="28:30" x14ac:dyDescent="0.25">
      <c r="AB361" s="91"/>
      <c r="AD361" s="118"/>
    </row>
    <row r="362" spans="28:30" x14ac:dyDescent="0.25">
      <c r="AB362" s="91"/>
      <c r="AD362" s="118"/>
    </row>
    <row r="363" spans="28:30" x14ac:dyDescent="0.25">
      <c r="AB363" s="91"/>
      <c r="AD363" s="118"/>
    </row>
    <row r="364" spans="28:30" x14ac:dyDescent="0.25">
      <c r="AB364" s="91"/>
      <c r="AD364" s="118"/>
    </row>
    <row r="365" spans="28:30" x14ac:dyDescent="0.25">
      <c r="AB365" s="91"/>
      <c r="AD365" s="118"/>
    </row>
    <row r="366" spans="28:30" x14ac:dyDescent="0.25">
      <c r="AB366" s="91"/>
      <c r="AD366" s="118"/>
    </row>
    <row r="367" spans="28:30" x14ac:dyDescent="0.25">
      <c r="AB367" s="91"/>
      <c r="AD367" s="118"/>
    </row>
    <row r="368" spans="28:30" x14ac:dyDescent="0.25">
      <c r="AB368" s="91"/>
      <c r="AD368" s="118"/>
    </row>
    <row r="369" spans="28:30" x14ac:dyDescent="0.25">
      <c r="AB369" s="91"/>
      <c r="AD369" s="118"/>
    </row>
    <row r="370" spans="28:30" x14ac:dyDescent="0.25">
      <c r="AB370" s="91"/>
      <c r="AD370" s="118"/>
    </row>
    <row r="371" spans="28:30" x14ac:dyDescent="0.25">
      <c r="AB371" s="91"/>
      <c r="AD371" s="118"/>
    </row>
    <row r="372" spans="28:30" x14ac:dyDescent="0.25">
      <c r="AB372" s="91"/>
      <c r="AD372" s="118"/>
    </row>
    <row r="373" spans="28:30" x14ac:dyDescent="0.25">
      <c r="AB373" s="91"/>
      <c r="AD373" s="118"/>
    </row>
    <row r="374" spans="28:30" x14ac:dyDescent="0.25">
      <c r="AB374" s="91"/>
      <c r="AD374" s="118"/>
    </row>
    <row r="375" spans="28:30" x14ac:dyDescent="0.25">
      <c r="AB375" s="91"/>
      <c r="AD375" s="118"/>
    </row>
    <row r="376" spans="28:30" x14ac:dyDescent="0.25">
      <c r="AB376" s="91"/>
      <c r="AD376" s="118"/>
    </row>
    <row r="377" spans="28:30" x14ac:dyDescent="0.25">
      <c r="AB377" s="91"/>
      <c r="AD377" s="118"/>
    </row>
    <row r="378" spans="28:30" x14ac:dyDescent="0.25">
      <c r="AB378" s="91"/>
      <c r="AD378" s="118"/>
    </row>
    <row r="379" spans="28:30" x14ac:dyDescent="0.25">
      <c r="AB379" s="91"/>
      <c r="AD379" s="118"/>
    </row>
    <row r="380" spans="28:30" x14ac:dyDescent="0.25">
      <c r="AB380" s="91"/>
      <c r="AD380" s="118"/>
    </row>
    <row r="381" spans="28:30" x14ac:dyDescent="0.25">
      <c r="AB381" s="91"/>
      <c r="AD381" s="118"/>
    </row>
    <row r="382" spans="28:30" x14ac:dyDescent="0.25">
      <c r="AB382" s="91"/>
      <c r="AD382" s="118"/>
    </row>
    <row r="383" spans="28:30" x14ac:dyDescent="0.25">
      <c r="AB383" s="91"/>
      <c r="AD383" s="118"/>
    </row>
    <row r="384" spans="28:30" x14ac:dyDescent="0.25">
      <c r="AB384" s="91"/>
      <c r="AD384" s="118"/>
    </row>
    <row r="385" spans="28:30" x14ac:dyDescent="0.25">
      <c r="AB385" s="91"/>
      <c r="AD385" s="118"/>
    </row>
    <row r="386" spans="28:30" x14ac:dyDescent="0.25">
      <c r="AB386" s="91"/>
      <c r="AD386" s="118"/>
    </row>
    <row r="387" spans="28:30" x14ac:dyDescent="0.25">
      <c r="AB387" s="91"/>
      <c r="AD387" s="118"/>
    </row>
    <row r="388" spans="28:30" x14ac:dyDescent="0.25">
      <c r="AB388" s="91"/>
      <c r="AD388" s="118"/>
    </row>
    <row r="389" spans="28:30" x14ac:dyDescent="0.25">
      <c r="AB389" s="91"/>
      <c r="AD389" s="118"/>
    </row>
    <row r="390" spans="28:30" x14ac:dyDescent="0.25">
      <c r="AB390" s="91"/>
      <c r="AD390" s="118"/>
    </row>
    <row r="391" spans="28:30" x14ac:dyDescent="0.25">
      <c r="AB391" s="91"/>
      <c r="AD391" s="118"/>
    </row>
    <row r="392" spans="28:30" x14ac:dyDescent="0.25">
      <c r="AB392" s="91"/>
      <c r="AD392" s="118"/>
    </row>
    <row r="393" spans="28:30" x14ac:dyDescent="0.25">
      <c r="AB393" s="91"/>
      <c r="AD393" s="118"/>
    </row>
    <row r="394" spans="28:30" x14ac:dyDescent="0.25">
      <c r="AB394" s="91"/>
      <c r="AD394" s="118"/>
    </row>
    <row r="395" spans="28:30" x14ac:dyDescent="0.25">
      <c r="AB395" s="91"/>
      <c r="AD395" s="118"/>
    </row>
    <row r="396" spans="28:30" x14ac:dyDescent="0.25">
      <c r="AB396" s="91"/>
      <c r="AD396" s="118"/>
    </row>
    <row r="397" spans="28:30" x14ac:dyDescent="0.25">
      <c r="AB397" s="91"/>
      <c r="AD397" s="118"/>
    </row>
    <row r="398" spans="28:30" x14ac:dyDescent="0.25">
      <c r="AB398" s="91"/>
      <c r="AD398" s="118"/>
    </row>
    <row r="399" spans="28:30" x14ac:dyDescent="0.25">
      <c r="AB399" s="91"/>
      <c r="AD399" s="118"/>
    </row>
    <row r="400" spans="28:30" x14ac:dyDescent="0.25">
      <c r="AB400" s="91"/>
      <c r="AD400" s="118"/>
    </row>
    <row r="401" spans="28:30" x14ac:dyDescent="0.25">
      <c r="AB401" s="91"/>
      <c r="AD401" s="118"/>
    </row>
    <row r="402" spans="28:30" x14ac:dyDescent="0.25">
      <c r="AB402" s="91"/>
      <c r="AD402" s="118"/>
    </row>
    <row r="403" spans="28:30" x14ac:dyDescent="0.25">
      <c r="AB403" s="91"/>
      <c r="AD403" s="118"/>
    </row>
    <row r="404" spans="28:30" x14ac:dyDescent="0.25">
      <c r="AB404" s="91"/>
      <c r="AD404" s="118"/>
    </row>
    <row r="405" spans="28:30" x14ac:dyDescent="0.25">
      <c r="AB405" s="91"/>
      <c r="AD405" s="118"/>
    </row>
    <row r="406" spans="28:30" x14ac:dyDescent="0.25">
      <c r="AB406" s="91"/>
      <c r="AD406" s="118"/>
    </row>
    <row r="407" spans="28:30" x14ac:dyDescent="0.25">
      <c r="AB407" s="91"/>
      <c r="AD407" s="118"/>
    </row>
    <row r="408" spans="28:30" x14ac:dyDescent="0.25">
      <c r="AB408" s="91"/>
      <c r="AD408" s="118"/>
    </row>
    <row r="409" spans="28:30" x14ac:dyDescent="0.25">
      <c r="AB409" s="91"/>
      <c r="AD409" s="118"/>
    </row>
    <row r="410" spans="28:30" x14ac:dyDescent="0.25">
      <c r="AB410" s="91"/>
      <c r="AD410" s="118"/>
    </row>
    <row r="411" spans="28:30" x14ac:dyDescent="0.25">
      <c r="AB411" s="91"/>
      <c r="AD411" s="118"/>
    </row>
    <row r="412" spans="28:30" x14ac:dyDescent="0.25">
      <c r="AB412" s="91"/>
      <c r="AD412" s="118"/>
    </row>
    <row r="413" spans="28:30" x14ac:dyDescent="0.25">
      <c r="AB413" s="91"/>
      <c r="AD413" s="118"/>
    </row>
    <row r="414" spans="28:30" x14ac:dyDescent="0.25">
      <c r="AB414" s="91"/>
      <c r="AD414" s="118"/>
    </row>
    <row r="415" spans="28:30" x14ac:dyDescent="0.25">
      <c r="AB415" s="91"/>
      <c r="AD415" s="118"/>
    </row>
    <row r="416" spans="28:30" x14ac:dyDescent="0.25">
      <c r="AB416" s="91"/>
      <c r="AD416" s="118"/>
    </row>
    <row r="417" spans="28:30" x14ac:dyDescent="0.25">
      <c r="AB417" s="91"/>
      <c r="AD417" s="118"/>
    </row>
    <row r="418" spans="28:30" x14ac:dyDescent="0.25">
      <c r="AB418" s="91"/>
      <c r="AD418" s="118"/>
    </row>
    <row r="419" spans="28:30" x14ac:dyDescent="0.25">
      <c r="AB419" s="91"/>
      <c r="AD419" s="118"/>
    </row>
    <row r="420" spans="28:30" x14ac:dyDescent="0.25">
      <c r="AB420" s="91"/>
      <c r="AD420" s="118"/>
    </row>
    <row r="421" spans="28:30" x14ac:dyDescent="0.25">
      <c r="AB421" s="91"/>
      <c r="AD421" s="118"/>
    </row>
    <row r="422" spans="28:30" x14ac:dyDescent="0.25">
      <c r="AB422" s="91"/>
      <c r="AD422" s="118"/>
    </row>
    <row r="423" spans="28:30" x14ac:dyDescent="0.25">
      <c r="AB423" s="91"/>
      <c r="AD423" s="118"/>
    </row>
    <row r="424" spans="28:30" x14ac:dyDescent="0.25">
      <c r="AB424" s="91"/>
      <c r="AD424" s="118"/>
    </row>
    <row r="425" spans="28:30" x14ac:dyDescent="0.25">
      <c r="AB425" s="91"/>
      <c r="AD425" s="118"/>
    </row>
    <row r="426" spans="28:30" x14ac:dyDescent="0.25">
      <c r="AB426" s="91"/>
      <c r="AD426" s="118"/>
    </row>
    <row r="427" spans="28:30" x14ac:dyDescent="0.25">
      <c r="AB427" s="91"/>
      <c r="AD427" s="118"/>
    </row>
    <row r="428" spans="28:30" x14ac:dyDescent="0.25">
      <c r="AB428" s="91"/>
      <c r="AD428" s="118"/>
    </row>
    <row r="429" spans="28:30" x14ac:dyDescent="0.25">
      <c r="AB429" s="91"/>
      <c r="AD429" s="118"/>
    </row>
    <row r="430" spans="28:30" x14ac:dyDescent="0.25">
      <c r="AB430" s="91"/>
      <c r="AD430" s="118"/>
    </row>
    <row r="431" spans="28:30" x14ac:dyDescent="0.25">
      <c r="AB431" s="91"/>
      <c r="AD431" s="118"/>
    </row>
    <row r="432" spans="28:30" x14ac:dyDescent="0.25">
      <c r="AB432" s="91"/>
      <c r="AD432" s="118"/>
    </row>
    <row r="433" spans="28:30" x14ac:dyDescent="0.25">
      <c r="AB433" s="91"/>
      <c r="AD433" s="118"/>
    </row>
    <row r="434" spans="28:30" x14ac:dyDescent="0.25">
      <c r="AB434" s="91"/>
      <c r="AD434" s="118"/>
    </row>
    <row r="435" spans="28:30" x14ac:dyDescent="0.25">
      <c r="AB435" s="91"/>
      <c r="AD435" s="118"/>
    </row>
    <row r="436" spans="28:30" x14ac:dyDescent="0.25">
      <c r="AB436" s="91"/>
      <c r="AD436" s="118"/>
    </row>
    <row r="437" spans="28:30" x14ac:dyDescent="0.25">
      <c r="AB437" s="91"/>
      <c r="AD437" s="118"/>
    </row>
    <row r="438" spans="28:30" x14ac:dyDescent="0.25">
      <c r="AB438" s="91"/>
      <c r="AD438" s="118"/>
    </row>
    <row r="439" spans="28:30" x14ac:dyDescent="0.25">
      <c r="AB439" s="91"/>
      <c r="AD439" s="118"/>
    </row>
    <row r="440" spans="28:30" x14ac:dyDescent="0.25">
      <c r="AB440" s="91"/>
      <c r="AD440" s="118"/>
    </row>
    <row r="441" spans="28:30" x14ac:dyDescent="0.25">
      <c r="AB441" s="91"/>
      <c r="AD441" s="118"/>
    </row>
    <row r="442" spans="28:30" x14ac:dyDescent="0.25">
      <c r="AB442" s="91"/>
      <c r="AD442" s="118"/>
    </row>
    <row r="443" spans="28:30" x14ac:dyDescent="0.25">
      <c r="AB443" s="91"/>
      <c r="AD443" s="118"/>
    </row>
    <row r="444" spans="28:30" x14ac:dyDescent="0.25">
      <c r="AB444" s="91"/>
      <c r="AD444" s="118"/>
    </row>
    <row r="445" spans="28:30" x14ac:dyDescent="0.25">
      <c r="AB445" s="91"/>
      <c r="AD445" s="118"/>
    </row>
    <row r="446" spans="28:30" x14ac:dyDescent="0.25">
      <c r="AB446" s="91"/>
      <c r="AD446" s="118"/>
    </row>
    <row r="447" spans="28:30" x14ac:dyDescent="0.25">
      <c r="AB447" s="91"/>
      <c r="AD447" s="118"/>
    </row>
    <row r="448" spans="28:30" x14ac:dyDescent="0.25">
      <c r="AB448" s="91"/>
      <c r="AD448" s="118"/>
    </row>
    <row r="449" spans="28:30" x14ac:dyDescent="0.25">
      <c r="AB449" s="91"/>
      <c r="AD449" s="118"/>
    </row>
    <row r="450" spans="28:30" x14ac:dyDescent="0.25">
      <c r="AB450" s="91"/>
      <c r="AD450" s="118"/>
    </row>
    <row r="451" spans="28:30" x14ac:dyDescent="0.25">
      <c r="AB451" s="91"/>
      <c r="AD451" s="118"/>
    </row>
    <row r="452" spans="28:30" x14ac:dyDescent="0.25">
      <c r="AB452" s="91"/>
      <c r="AD452" s="118"/>
    </row>
    <row r="453" spans="28:30" x14ac:dyDescent="0.25">
      <c r="AB453" s="91"/>
      <c r="AD453" s="118"/>
    </row>
    <row r="454" spans="28:30" x14ac:dyDescent="0.25">
      <c r="AB454" s="91"/>
      <c r="AD454" s="118"/>
    </row>
    <row r="455" spans="28:30" x14ac:dyDescent="0.25">
      <c r="AB455" s="91"/>
      <c r="AD455" s="118"/>
    </row>
    <row r="456" spans="28:30" x14ac:dyDescent="0.25">
      <c r="AB456" s="91"/>
      <c r="AD456" s="118"/>
    </row>
    <row r="457" spans="28:30" x14ac:dyDescent="0.25">
      <c r="AB457" s="91"/>
      <c r="AD457" s="118"/>
    </row>
    <row r="458" spans="28:30" x14ac:dyDescent="0.25">
      <c r="AB458" s="91"/>
      <c r="AD458" s="118"/>
    </row>
    <row r="459" spans="28:30" x14ac:dyDescent="0.25">
      <c r="AB459" s="91"/>
      <c r="AD459" s="118"/>
    </row>
    <row r="460" spans="28:30" x14ac:dyDescent="0.25">
      <c r="AB460" s="91"/>
      <c r="AD460" s="118"/>
    </row>
    <row r="461" spans="28:30" x14ac:dyDescent="0.25">
      <c r="AB461" s="91"/>
      <c r="AD461" s="118"/>
    </row>
    <row r="462" spans="28:30" x14ac:dyDescent="0.25">
      <c r="AB462" s="91"/>
      <c r="AD462" s="118"/>
    </row>
    <row r="463" spans="28:30" x14ac:dyDescent="0.25">
      <c r="AB463" s="91"/>
      <c r="AD463" s="118"/>
    </row>
    <row r="464" spans="28:30" x14ac:dyDescent="0.25">
      <c r="AB464" s="91"/>
      <c r="AD464" s="118"/>
    </row>
    <row r="465" spans="28:30" x14ac:dyDescent="0.25">
      <c r="AB465" s="91"/>
      <c r="AD465" s="118"/>
    </row>
    <row r="466" spans="28:30" x14ac:dyDescent="0.25">
      <c r="AB466" s="91"/>
      <c r="AD466" s="118"/>
    </row>
    <row r="467" spans="28:30" x14ac:dyDescent="0.25">
      <c r="AB467" s="91"/>
      <c r="AD467" s="118"/>
    </row>
    <row r="468" spans="28:30" x14ac:dyDescent="0.25">
      <c r="AB468" s="91"/>
      <c r="AD468" s="118"/>
    </row>
    <row r="469" spans="28:30" x14ac:dyDescent="0.25">
      <c r="AB469" s="91"/>
      <c r="AD469" s="118"/>
    </row>
    <row r="470" spans="28:30" x14ac:dyDescent="0.25">
      <c r="AB470" s="91"/>
      <c r="AD470" s="118"/>
    </row>
    <row r="471" spans="28:30" x14ac:dyDescent="0.25">
      <c r="AB471" s="91"/>
      <c r="AD471" s="118"/>
    </row>
    <row r="472" spans="28:30" x14ac:dyDescent="0.25">
      <c r="AB472" s="91"/>
      <c r="AD472" s="118"/>
    </row>
    <row r="473" spans="28:30" x14ac:dyDescent="0.25">
      <c r="AB473" s="91"/>
      <c r="AD473" s="118"/>
    </row>
    <row r="474" spans="28:30" x14ac:dyDescent="0.25">
      <c r="AB474" s="91"/>
      <c r="AD474" s="118"/>
    </row>
    <row r="475" spans="28:30" x14ac:dyDescent="0.25">
      <c r="AB475" s="91"/>
      <c r="AD475" s="118"/>
    </row>
    <row r="476" spans="28:30" x14ac:dyDescent="0.25">
      <c r="AB476" s="91"/>
      <c r="AD476" s="118"/>
    </row>
    <row r="477" spans="28:30" x14ac:dyDescent="0.25">
      <c r="AB477" s="91"/>
      <c r="AD477" s="118"/>
    </row>
    <row r="478" spans="28:30" x14ac:dyDescent="0.25">
      <c r="AB478" s="91"/>
      <c r="AD478" s="118"/>
    </row>
    <row r="479" spans="28:30" x14ac:dyDescent="0.25">
      <c r="AB479" s="91"/>
      <c r="AD479" s="118"/>
    </row>
    <row r="480" spans="28:30" x14ac:dyDescent="0.25">
      <c r="AB480" s="91"/>
      <c r="AD480" s="118"/>
    </row>
    <row r="481" spans="28:30" x14ac:dyDescent="0.25">
      <c r="AB481" s="91"/>
      <c r="AD481" s="118"/>
    </row>
    <row r="482" spans="28:30" x14ac:dyDescent="0.25">
      <c r="AB482" s="91"/>
      <c r="AD482" s="118"/>
    </row>
    <row r="483" spans="28:30" x14ac:dyDescent="0.25">
      <c r="AB483" s="91"/>
      <c r="AD483" s="118"/>
    </row>
    <row r="484" spans="28:30" x14ac:dyDescent="0.25">
      <c r="AB484" s="91"/>
      <c r="AD484" s="118"/>
    </row>
    <row r="485" spans="28:30" x14ac:dyDescent="0.25">
      <c r="AB485" s="91"/>
      <c r="AD485" s="118"/>
    </row>
    <row r="486" spans="28:30" x14ac:dyDescent="0.25">
      <c r="AB486" s="91"/>
      <c r="AD486" s="118"/>
    </row>
    <row r="487" spans="28:30" x14ac:dyDescent="0.25">
      <c r="AB487" s="91"/>
      <c r="AD487" s="118"/>
    </row>
    <row r="488" spans="28:30" x14ac:dyDescent="0.25">
      <c r="AB488" s="91"/>
      <c r="AD488" s="118"/>
    </row>
    <row r="489" spans="28:30" x14ac:dyDescent="0.25">
      <c r="AB489" s="91"/>
      <c r="AD489" s="118"/>
    </row>
    <row r="490" spans="28:30" x14ac:dyDescent="0.25">
      <c r="AB490" s="91"/>
      <c r="AD490" s="118"/>
    </row>
    <row r="491" spans="28:30" x14ac:dyDescent="0.25">
      <c r="AB491" s="91"/>
      <c r="AD491" s="118"/>
    </row>
    <row r="492" spans="28:30" x14ac:dyDescent="0.25">
      <c r="AB492" s="91"/>
      <c r="AD492" s="118"/>
    </row>
    <row r="493" spans="28:30" x14ac:dyDescent="0.25">
      <c r="AB493" s="91"/>
      <c r="AD493" s="118"/>
    </row>
    <row r="494" spans="28:30" x14ac:dyDescent="0.25">
      <c r="AB494" s="91"/>
      <c r="AD494" s="118"/>
    </row>
    <row r="495" spans="28:30" x14ac:dyDescent="0.25">
      <c r="AB495" s="91"/>
      <c r="AD495" s="118"/>
    </row>
    <row r="496" spans="28:30" x14ac:dyDescent="0.25">
      <c r="AB496" s="91"/>
      <c r="AD496" s="118"/>
    </row>
    <row r="497" spans="28:30" x14ac:dyDescent="0.25">
      <c r="AB497" s="91"/>
      <c r="AD497" s="118"/>
    </row>
    <row r="498" spans="28:30" x14ac:dyDescent="0.25">
      <c r="AB498" s="91"/>
      <c r="AD498" s="118"/>
    </row>
    <row r="499" spans="28:30" x14ac:dyDescent="0.25">
      <c r="AB499" s="91"/>
      <c r="AD499" s="118"/>
    </row>
    <row r="500" spans="28:30" x14ac:dyDescent="0.25">
      <c r="AB500" s="91"/>
      <c r="AD500" s="118"/>
    </row>
    <row r="501" spans="28:30" x14ac:dyDescent="0.25">
      <c r="AB501" s="91"/>
      <c r="AD501" s="118"/>
    </row>
    <row r="502" spans="28:30" x14ac:dyDescent="0.25">
      <c r="AB502" s="91"/>
      <c r="AD502" s="118"/>
    </row>
    <row r="503" spans="28:30" x14ac:dyDescent="0.25">
      <c r="AB503" s="91"/>
      <c r="AD503" s="118"/>
    </row>
    <row r="504" spans="28:30" x14ac:dyDescent="0.25">
      <c r="AB504" s="91"/>
      <c r="AD504" s="118"/>
    </row>
    <row r="505" spans="28:30" x14ac:dyDescent="0.25">
      <c r="AB505" s="91"/>
      <c r="AD505" s="118"/>
    </row>
    <row r="506" spans="28:30" x14ac:dyDescent="0.25">
      <c r="AB506" s="91"/>
      <c r="AD506" s="118"/>
    </row>
    <row r="507" spans="28:30" x14ac:dyDescent="0.25">
      <c r="AB507" s="91"/>
      <c r="AD507" s="118"/>
    </row>
    <row r="508" spans="28:30" x14ac:dyDescent="0.25">
      <c r="AB508" s="91"/>
      <c r="AD508" s="118"/>
    </row>
    <row r="509" spans="28:30" x14ac:dyDescent="0.25">
      <c r="AB509" s="91"/>
      <c r="AD509" s="118"/>
    </row>
    <row r="510" spans="28:30" x14ac:dyDescent="0.25">
      <c r="AB510" s="91"/>
      <c r="AD510" s="118"/>
    </row>
    <row r="511" spans="28:30" x14ac:dyDescent="0.25">
      <c r="AB511" s="91"/>
      <c r="AD511" s="118"/>
    </row>
    <row r="512" spans="28:30" x14ac:dyDescent="0.25">
      <c r="AB512" s="91"/>
      <c r="AD512" s="118"/>
    </row>
    <row r="513" spans="28:30" x14ac:dyDescent="0.25">
      <c r="AB513" s="91"/>
      <c r="AD513" s="118"/>
    </row>
    <row r="514" spans="28:30" x14ac:dyDescent="0.25">
      <c r="AB514" s="91"/>
      <c r="AD514" s="118"/>
    </row>
    <row r="515" spans="28:30" x14ac:dyDescent="0.25">
      <c r="AB515" s="91"/>
      <c r="AD515" s="118"/>
    </row>
    <row r="516" spans="28:30" x14ac:dyDescent="0.25">
      <c r="AB516" s="91"/>
      <c r="AD516" s="118"/>
    </row>
    <row r="517" spans="28:30" x14ac:dyDescent="0.25">
      <c r="AB517" s="91"/>
      <c r="AD517" s="118"/>
    </row>
    <row r="518" spans="28:30" x14ac:dyDescent="0.25">
      <c r="AB518" s="91"/>
      <c r="AD518" s="118"/>
    </row>
    <row r="519" spans="28:30" x14ac:dyDescent="0.25">
      <c r="AB519" s="91"/>
      <c r="AD519" s="118"/>
    </row>
    <row r="520" spans="28:30" x14ac:dyDescent="0.25">
      <c r="AB520" s="91"/>
      <c r="AD520" s="118"/>
    </row>
    <row r="521" spans="28:30" x14ac:dyDescent="0.25">
      <c r="AB521" s="91"/>
      <c r="AD521" s="118"/>
    </row>
    <row r="522" spans="28:30" x14ac:dyDescent="0.25">
      <c r="AB522" s="91"/>
      <c r="AD522" s="118"/>
    </row>
    <row r="523" spans="28:30" x14ac:dyDescent="0.25">
      <c r="AB523" s="91"/>
      <c r="AD523" s="118"/>
    </row>
    <row r="524" spans="28:30" x14ac:dyDescent="0.25">
      <c r="AB524" s="91"/>
      <c r="AD524" s="118"/>
    </row>
    <row r="525" spans="28:30" x14ac:dyDescent="0.25">
      <c r="AB525" s="91"/>
      <c r="AD525" s="118"/>
    </row>
    <row r="526" spans="28:30" x14ac:dyDescent="0.25">
      <c r="AB526" s="91"/>
      <c r="AD526" s="118"/>
    </row>
    <row r="527" spans="28:30" x14ac:dyDescent="0.25">
      <c r="AB527" s="91"/>
      <c r="AD527" s="118"/>
    </row>
    <row r="528" spans="28:30" x14ac:dyDescent="0.25">
      <c r="AB528" s="91"/>
      <c r="AD528" s="118"/>
    </row>
    <row r="529" spans="28:30" x14ac:dyDescent="0.25">
      <c r="AB529" s="91"/>
      <c r="AD529" s="118"/>
    </row>
    <row r="530" spans="28:30" x14ac:dyDescent="0.25">
      <c r="AB530" s="91"/>
      <c r="AD530" s="118"/>
    </row>
    <row r="531" spans="28:30" x14ac:dyDescent="0.25">
      <c r="AB531" s="91"/>
      <c r="AD531" s="118"/>
    </row>
    <row r="532" spans="28:30" x14ac:dyDescent="0.25">
      <c r="AB532" s="91"/>
      <c r="AD532" s="118"/>
    </row>
    <row r="533" spans="28:30" x14ac:dyDescent="0.25">
      <c r="AB533" s="91"/>
      <c r="AD533" s="118"/>
    </row>
    <row r="534" spans="28:30" x14ac:dyDescent="0.25">
      <c r="AB534" s="91"/>
      <c r="AD534" s="118"/>
    </row>
    <row r="535" spans="28:30" x14ac:dyDescent="0.25">
      <c r="AB535" s="91"/>
      <c r="AD535" s="118"/>
    </row>
    <row r="536" spans="28:30" x14ac:dyDescent="0.25">
      <c r="AB536" s="91"/>
      <c r="AD536" s="118"/>
    </row>
    <row r="537" spans="28:30" x14ac:dyDescent="0.25">
      <c r="AB537" s="91"/>
      <c r="AD537" s="118"/>
    </row>
    <row r="538" spans="28:30" x14ac:dyDescent="0.25">
      <c r="AB538" s="91"/>
      <c r="AD538" s="118"/>
    </row>
    <row r="539" spans="28:30" x14ac:dyDescent="0.25">
      <c r="AB539" s="91"/>
      <c r="AD539" s="118"/>
    </row>
    <row r="540" spans="28:30" x14ac:dyDescent="0.25">
      <c r="AB540" s="91"/>
      <c r="AD540" s="118"/>
    </row>
    <row r="541" spans="28:30" x14ac:dyDescent="0.25">
      <c r="AB541" s="91"/>
      <c r="AD541" s="118"/>
    </row>
    <row r="542" spans="28:30" x14ac:dyDescent="0.25">
      <c r="AB542" s="91"/>
      <c r="AD542" s="118"/>
    </row>
    <row r="543" spans="28:30" x14ac:dyDescent="0.25">
      <c r="AB543" s="91"/>
      <c r="AD543" s="118"/>
    </row>
    <row r="544" spans="28:30" x14ac:dyDescent="0.25">
      <c r="AB544" s="91"/>
      <c r="AD544" s="118"/>
    </row>
    <row r="545" spans="28:30" x14ac:dyDescent="0.25">
      <c r="AB545" s="91"/>
      <c r="AD545" s="118"/>
    </row>
    <row r="546" spans="28:30" x14ac:dyDescent="0.25">
      <c r="AB546" s="91"/>
      <c r="AD546" s="118"/>
    </row>
    <row r="547" spans="28:30" x14ac:dyDescent="0.25">
      <c r="AB547" s="91"/>
      <c r="AD547" s="118"/>
    </row>
    <row r="548" spans="28:30" x14ac:dyDescent="0.25">
      <c r="AB548" s="91"/>
      <c r="AD548" s="118"/>
    </row>
    <row r="549" spans="28:30" x14ac:dyDescent="0.25">
      <c r="AB549" s="91"/>
      <c r="AD549" s="118"/>
    </row>
    <row r="550" spans="28:30" x14ac:dyDescent="0.25">
      <c r="AB550" s="91"/>
      <c r="AD550" s="118"/>
    </row>
    <row r="551" spans="28:30" x14ac:dyDescent="0.25">
      <c r="AB551" s="91"/>
      <c r="AD551" s="118"/>
    </row>
    <row r="552" spans="28:30" x14ac:dyDescent="0.25">
      <c r="AB552" s="91"/>
      <c r="AD552" s="118"/>
    </row>
    <row r="553" spans="28:30" x14ac:dyDescent="0.25">
      <c r="AB553" s="91"/>
      <c r="AD553" s="118"/>
    </row>
    <row r="554" spans="28:30" x14ac:dyDescent="0.25">
      <c r="AB554" s="91"/>
      <c r="AD554" s="118"/>
    </row>
    <row r="555" spans="28:30" x14ac:dyDescent="0.25">
      <c r="AB555" s="91"/>
      <c r="AD555" s="118"/>
    </row>
    <row r="556" spans="28:30" x14ac:dyDescent="0.25">
      <c r="AB556" s="91"/>
      <c r="AD556" s="118"/>
    </row>
    <row r="557" spans="28:30" x14ac:dyDescent="0.25">
      <c r="AB557" s="91"/>
      <c r="AD557" s="118"/>
    </row>
    <row r="558" spans="28:30" x14ac:dyDescent="0.25">
      <c r="AB558" s="91"/>
      <c r="AD558" s="118"/>
    </row>
    <row r="559" spans="28:30" x14ac:dyDescent="0.25">
      <c r="AB559" s="91"/>
      <c r="AD559" s="118"/>
    </row>
    <row r="560" spans="28:30" x14ac:dyDescent="0.25">
      <c r="AB560" s="91"/>
      <c r="AD560" s="118"/>
    </row>
    <row r="561" spans="28:30" x14ac:dyDescent="0.25">
      <c r="AB561" s="91"/>
      <c r="AD561" s="118"/>
    </row>
    <row r="562" spans="28:30" x14ac:dyDescent="0.25">
      <c r="AB562" s="91"/>
      <c r="AD562" s="118"/>
    </row>
    <row r="563" spans="28:30" x14ac:dyDescent="0.25">
      <c r="AB563" s="91"/>
      <c r="AD563" s="118"/>
    </row>
    <row r="564" spans="28:30" x14ac:dyDescent="0.25">
      <c r="AB564" s="91"/>
      <c r="AD564" s="118"/>
    </row>
    <row r="565" spans="28:30" x14ac:dyDescent="0.25">
      <c r="AB565" s="91"/>
      <c r="AD565" s="118"/>
    </row>
    <row r="566" spans="28:30" x14ac:dyDescent="0.25">
      <c r="AB566" s="91"/>
      <c r="AD566" s="118"/>
    </row>
    <row r="567" spans="28:30" x14ac:dyDescent="0.25">
      <c r="AB567" s="91"/>
      <c r="AD567" s="118"/>
    </row>
    <row r="568" spans="28:30" x14ac:dyDescent="0.25">
      <c r="AB568" s="91"/>
      <c r="AD568" s="118"/>
    </row>
    <row r="569" spans="28:30" x14ac:dyDescent="0.25">
      <c r="AB569" s="91"/>
      <c r="AD569" s="118"/>
    </row>
    <row r="570" spans="28:30" x14ac:dyDescent="0.25">
      <c r="AB570" s="91"/>
      <c r="AD570" s="118"/>
    </row>
    <row r="571" spans="28:30" x14ac:dyDescent="0.25">
      <c r="AB571" s="91"/>
      <c r="AD571" s="118"/>
    </row>
    <row r="572" spans="28:30" x14ac:dyDescent="0.25">
      <c r="AB572" s="91"/>
      <c r="AD572" s="118"/>
    </row>
    <row r="573" spans="28:30" x14ac:dyDescent="0.25">
      <c r="AB573" s="91"/>
      <c r="AD573" s="118"/>
    </row>
    <row r="574" spans="28:30" x14ac:dyDescent="0.25">
      <c r="AB574" s="91"/>
      <c r="AD574" s="118"/>
    </row>
    <row r="575" spans="28:30" x14ac:dyDescent="0.25">
      <c r="AB575" s="91"/>
      <c r="AD575" s="118"/>
    </row>
    <row r="576" spans="28:30" x14ac:dyDescent="0.25">
      <c r="AB576" s="91"/>
      <c r="AD576" s="118"/>
    </row>
    <row r="577" spans="28:30" x14ac:dyDescent="0.25">
      <c r="AB577" s="91"/>
      <c r="AD577" s="118"/>
    </row>
    <row r="578" spans="28:30" x14ac:dyDescent="0.25">
      <c r="AB578" s="91"/>
      <c r="AD578" s="118"/>
    </row>
    <row r="579" spans="28:30" x14ac:dyDescent="0.25">
      <c r="AB579" s="91"/>
      <c r="AD579" s="118"/>
    </row>
    <row r="580" spans="28:30" x14ac:dyDescent="0.25">
      <c r="AB580" s="91"/>
      <c r="AD580" s="118"/>
    </row>
    <row r="581" spans="28:30" x14ac:dyDescent="0.25">
      <c r="AB581" s="91"/>
      <c r="AD581" s="118"/>
    </row>
    <row r="582" spans="28:30" x14ac:dyDescent="0.25">
      <c r="AB582" s="91"/>
      <c r="AD582" s="118"/>
    </row>
    <row r="583" spans="28:30" x14ac:dyDescent="0.25">
      <c r="AB583" s="91"/>
      <c r="AD583" s="118"/>
    </row>
    <row r="584" spans="28:30" x14ac:dyDescent="0.25">
      <c r="AB584" s="91"/>
      <c r="AD584" s="118"/>
    </row>
    <row r="585" spans="28:30" x14ac:dyDescent="0.25">
      <c r="AB585" s="91"/>
      <c r="AD585" s="118"/>
    </row>
    <row r="586" spans="28:30" x14ac:dyDescent="0.25">
      <c r="AB586" s="91"/>
      <c r="AD586" s="118"/>
    </row>
    <row r="587" spans="28:30" x14ac:dyDescent="0.25">
      <c r="AB587" s="91"/>
      <c r="AD587" s="118"/>
    </row>
    <row r="588" spans="28:30" x14ac:dyDescent="0.25">
      <c r="AB588" s="91"/>
      <c r="AD588" s="118"/>
    </row>
    <row r="589" spans="28:30" x14ac:dyDescent="0.25">
      <c r="AB589" s="91"/>
      <c r="AD589" s="118"/>
    </row>
    <row r="590" spans="28:30" x14ac:dyDescent="0.25">
      <c r="AB590" s="91"/>
      <c r="AD590" s="118"/>
    </row>
    <row r="591" spans="28:30" x14ac:dyDescent="0.25">
      <c r="AB591" s="91"/>
      <c r="AD591" s="118"/>
    </row>
    <row r="592" spans="28:30" x14ac:dyDescent="0.25">
      <c r="AB592" s="91"/>
      <c r="AD592" s="118"/>
    </row>
    <row r="593" spans="28:30" x14ac:dyDescent="0.25">
      <c r="AB593" s="91"/>
      <c r="AD593" s="118"/>
    </row>
    <row r="594" spans="28:30" x14ac:dyDescent="0.25">
      <c r="AB594" s="91"/>
      <c r="AD594" s="118"/>
    </row>
    <row r="595" spans="28:30" x14ac:dyDescent="0.25">
      <c r="AB595" s="91"/>
      <c r="AD595" s="118"/>
    </row>
    <row r="596" spans="28:30" x14ac:dyDescent="0.25">
      <c r="AB596" s="91"/>
      <c r="AD596" s="118"/>
    </row>
    <row r="597" spans="28:30" x14ac:dyDescent="0.25">
      <c r="AB597" s="91"/>
      <c r="AD597" s="118"/>
    </row>
    <row r="598" spans="28:30" x14ac:dyDescent="0.25">
      <c r="AB598" s="91"/>
      <c r="AD598" s="118"/>
    </row>
    <row r="599" spans="28:30" x14ac:dyDescent="0.25">
      <c r="AB599" s="91"/>
      <c r="AD599" s="118"/>
    </row>
    <row r="600" spans="28:30" x14ac:dyDescent="0.25">
      <c r="AB600" s="91"/>
      <c r="AD600" s="118"/>
    </row>
    <row r="601" spans="28:30" x14ac:dyDescent="0.25">
      <c r="AB601" s="91"/>
      <c r="AD601" s="118"/>
    </row>
    <row r="602" spans="28:30" x14ac:dyDescent="0.25">
      <c r="AB602" s="91"/>
      <c r="AD602" s="118"/>
    </row>
    <row r="603" spans="28:30" x14ac:dyDescent="0.25">
      <c r="AB603" s="91"/>
      <c r="AD603" s="118"/>
    </row>
    <row r="604" spans="28:30" x14ac:dyDescent="0.25">
      <c r="AB604" s="91"/>
      <c r="AD604" s="118"/>
    </row>
    <row r="605" spans="28:30" x14ac:dyDescent="0.25">
      <c r="AB605" s="91"/>
      <c r="AD605" s="118"/>
    </row>
    <row r="606" spans="28:30" x14ac:dyDescent="0.25">
      <c r="AB606" s="91"/>
      <c r="AD606" s="118"/>
    </row>
    <row r="607" spans="28:30" x14ac:dyDescent="0.25">
      <c r="AB607" s="91"/>
      <c r="AD607" s="118"/>
    </row>
    <row r="608" spans="28:30" x14ac:dyDescent="0.25">
      <c r="AB608" s="91"/>
      <c r="AD608" s="118"/>
    </row>
    <row r="609" spans="28:30" x14ac:dyDescent="0.25">
      <c r="AB609" s="91"/>
      <c r="AD609" s="118"/>
    </row>
    <row r="610" spans="28:30" x14ac:dyDescent="0.25">
      <c r="AB610" s="91"/>
      <c r="AD610" s="118"/>
    </row>
    <row r="611" spans="28:30" x14ac:dyDescent="0.25">
      <c r="AB611" s="91"/>
      <c r="AD611" s="118"/>
    </row>
    <row r="612" spans="28:30" x14ac:dyDescent="0.25">
      <c r="AB612" s="91"/>
      <c r="AD612" s="118"/>
    </row>
    <row r="613" spans="28:30" x14ac:dyDescent="0.25">
      <c r="AB613" s="91"/>
      <c r="AD613" s="118"/>
    </row>
    <row r="614" spans="28:30" x14ac:dyDescent="0.25">
      <c r="AB614" s="91"/>
      <c r="AD614" s="118"/>
    </row>
    <row r="615" spans="28:30" x14ac:dyDescent="0.25">
      <c r="AB615" s="91"/>
      <c r="AD615" s="118"/>
    </row>
    <row r="616" spans="28:30" x14ac:dyDescent="0.25">
      <c r="AB616" s="91"/>
      <c r="AD616" s="118"/>
    </row>
    <row r="617" spans="28:30" x14ac:dyDescent="0.25">
      <c r="AB617" s="91"/>
      <c r="AD617" s="118"/>
    </row>
    <row r="618" spans="28:30" x14ac:dyDescent="0.25">
      <c r="AB618" s="91"/>
      <c r="AD618" s="118"/>
    </row>
    <row r="619" spans="28:30" x14ac:dyDescent="0.25">
      <c r="AB619" s="91"/>
      <c r="AD619" s="118"/>
    </row>
    <row r="620" spans="28:30" x14ac:dyDescent="0.25">
      <c r="AB620" s="91"/>
      <c r="AD620" s="118"/>
    </row>
    <row r="621" spans="28:30" x14ac:dyDescent="0.25">
      <c r="AB621" s="91"/>
      <c r="AD621" s="118"/>
    </row>
    <row r="622" spans="28:30" x14ac:dyDescent="0.25">
      <c r="AB622" s="91"/>
      <c r="AD622" s="118"/>
    </row>
    <row r="623" spans="28:30" x14ac:dyDescent="0.25">
      <c r="AB623" s="91"/>
      <c r="AD623" s="118"/>
    </row>
    <row r="624" spans="28:30" x14ac:dyDescent="0.25">
      <c r="AB624" s="91"/>
      <c r="AD624" s="118"/>
    </row>
    <row r="625" spans="28:30" x14ac:dyDescent="0.25">
      <c r="AB625" s="91"/>
      <c r="AD625" s="118"/>
    </row>
    <row r="626" spans="28:30" x14ac:dyDescent="0.25">
      <c r="AB626" s="91"/>
      <c r="AD626" s="118"/>
    </row>
    <row r="627" spans="28:30" x14ac:dyDescent="0.25">
      <c r="AB627" s="91"/>
      <c r="AD627" s="118"/>
    </row>
    <row r="628" spans="28:30" x14ac:dyDescent="0.25">
      <c r="AB628" s="91"/>
      <c r="AD628" s="118"/>
    </row>
    <row r="629" spans="28:30" x14ac:dyDescent="0.25">
      <c r="AB629" s="91"/>
      <c r="AD629" s="118"/>
    </row>
    <row r="630" spans="28:30" x14ac:dyDescent="0.25">
      <c r="AB630" s="91"/>
      <c r="AD630" s="118"/>
    </row>
    <row r="631" spans="28:30" x14ac:dyDescent="0.25">
      <c r="AB631" s="91"/>
      <c r="AD631" s="118"/>
    </row>
    <row r="632" spans="28:30" x14ac:dyDescent="0.25">
      <c r="AB632" s="91"/>
      <c r="AD632" s="118"/>
    </row>
    <row r="633" spans="28:30" x14ac:dyDescent="0.25">
      <c r="AB633" s="91"/>
      <c r="AD633" s="118"/>
    </row>
    <row r="634" spans="28:30" x14ac:dyDescent="0.25">
      <c r="AB634" s="91"/>
      <c r="AD634" s="118"/>
    </row>
    <row r="635" spans="28:30" x14ac:dyDescent="0.25">
      <c r="AB635" s="91"/>
      <c r="AD635" s="118"/>
    </row>
    <row r="636" spans="28:30" x14ac:dyDescent="0.25">
      <c r="AB636" s="91"/>
      <c r="AD636" s="118"/>
    </row>
    <row r="637" spans="28:30" x14ac:dyDescent="0.25">
      <c r="AB637" s="91"/>
      <c r="AD637" s="118"/>
    </row>
    <row r="638" spans="28:30" x14ac:dyDescent="0.25">
      <c r="AB638" s="91"/>
      <c r="AD638" s="118"/>
    </row>
    <row r="639" spans="28:30" x14ac:dyDescent="0.25">
      <c r="AB639" s="91"/>
      <c r="AD639" s="118"/>
    </row>
    <row r="640" spans="28:30" x14ac:dyDescent="0.25">
      <c r="AB640" s="91"/>
      <c r="AD640" s="118"/>
    </row>
    <row r="641" spans="28:30" x14ac:dyDescent="0.25">
      <c r="AB641" s="91"/>
      <c r="AD641" s="118"/>
    </row>
    <row r="642" spans="28:30" x14ac:dyDescent="0.25">
      <c r="AB642" s="91"/>
      <c r="AD642" s="118"/>
    </row>
    <row r="643" spans="28:30" x14ac:dyDescent="0.25">
      <c r="AB643" s="91"/>
      <c r="AD643" s="118"/>
    </row>
    <row r="644" spans="28:30" x14ac:dyDescent="0.25">
      <c r="AB644" s="91"/>
      <c r="AD644" s="118"/>
    </row>
    <row r="645" spans="28:30" x14ac:dyDescent="0.25">
      <c r="AB645" s="91"/>
      <c r="AD645" s="118"/>
    </row>
    <row r="646" spans="28:30" x14ac:dyDescent="0.25">
      <c r="AB646" s="91"/>
      <c r="AD646" s="118"/>
    </row>
    <row r="647" spans="28:30" x14ac:dyDescent="0.25">
      <c r="AB647" s="91"/>
      <c r="AD647" s="118"/>
    </row>
    <row r="648" spans="28:30" x14ac:dyDescent="0.25">
      <c r="AB648" s="91"/>
      <c r="AD648" s="118"/>
    </row>
    <row r="649" spans="28:30" x14ac:dyDescent="0.25">
      <c r="AB649" s="91"/>
      <c r="AD649" s="118"/>
    </row>
    <row r="650" spans="28:30" x14ac:dyDescent="0.25">
      <c r="AB650" s="91"/>
      <c r="AD650" s="118"/>
    </row>
    <row r="651" spans="28:30" x14ac:dyDescent="0.25">
      <c r="AB651" s="91"/>
      <c r="AD651" s="118"/>
    </row>
    <row r="652" spans="28:30" x14ac:dyDescent="0.25">
      <c r="AB652" s="91"/>
      <c r="AD652" s="118"/>
    </row>
    <row r="653" spans="28:30" x14ac:dyDescent="0.25">
      <c r="AB653" s="91"/>
      <c r="AD653" s="118"/>
    </row>
    <row r="654" spans="28:30" x14ac:dyDescent="0.25">
      <c r="AB654" s="91"/>
      <c r="AD654" s="118"/>
    </row>
    <row r="655" spans="28:30" x14ac:dyDescent="0.25">
      <c r="AB655" s="91"/>
      <c r="AD655" s="118"/>
    </row>
    <row r="656" spans="28:30" x14ac:dyDescent="0.25">
      <c r="AB656" s="91"/>
      <c r="AD656" s="118"/>
    </row>
    <row r="657" spans="28:30" x14ac:dyDescent="0.25">
      <c r="AB657" s="91"/>
      <c r="AD657" s="118"/>
    </row>
    <row r="658" spans="28:30" x14ac:dyDescent="0.25">
      <c r="AB658" s="91"/>
      <c r="AD658" s="118"/>
    </row>
    <row r="659" spans="28:30" x14ac:dyDescent="0.25">
      <c r="AB659" s="91"/>
      <c r="AD659" s="118"/>
    </row>
    <row r="660" spans="28:30" x14ac:dyDescent="0.25">
      <c r="AB660" s="91"/>
      <c r="AD660" s="118"/>
    </row>
    <row r="661" spans="28:30" x14ac:dyDescent="0.25">
      <c r="AB661" s="91"/>
      <c r="AD661" s="118"/>
    </row>
    <row r="662" spans="28:30" x14ac:dyDescent="0.25">
      <c r="AB662" s="91"/>
      <c r="AD662" s="118"/>
    </row>
    <row r="663" spans="28:30" x14ac:dyDescent="0.25">
      <c r="AB663" s="91"/>
      <c r="AD663" s="118"/>
    </row>
    <row r="664" spans="28:30" x14ac:dyDescent="0.25">
      <c r="AB664" s="91"/>
      <c r="AD664" s="118"/>
    </row>
    <row r="665" spans="28:30" x14ac:dyDescent="0.25">
      <c r="AB665" s="91"/>
      <c r="AD665" s="118"/>
    </row>
    <row r="666" spans="28:30" x14ac:dyDescent="0.25">
      <c r="AB666" s="91"/>
      <c r="AD666" s="118"/>
    </row>
    <row r="667" spans="28:30" x14ac:dyDescent="0.25">
      <c r="AB667" s="91"/>
      <c r="AD667" s="118"/>
    </row>
    <row r="668" spans="28:30" x14ac:dyDescent="0.25">
      <c r="AB668" s="91"/>
      <c r="AD668" s="118"/>
    </row>
    <row r="669" spans="28:30" x14ac:dyDescent="0.25">
      <c r="AB669" s="91"/>
      <c r="AD669" s="118"/>
    </row>
    <row r="670" spans="28:30" x14ac:dyDescent="0.25">
      <c r="AB670" s="91"/>
      <c r="AD670" s="118"/>
    </row>
    <row r="671" spans="28:30" x14ac:dyDescent="0.25">
      <c r="AB671" s="91"/>
      <c r="AD671" s="118"/>
    </row>
    <row r="672" spans="28:30" x14ac:dyDescent="0.25">
      <c r="AB672" s="91"/>
      <c r="AD672" s="118"/>
    </row>
    <row r="673" spans="28:30" x14ac:dyDescent="0.25">
      <c r="AB673" s="91"/>
      <c r="AD673" s="118"/>
    </row>
    <row r="674" spans="28:30" x14ac:dyDescent="0.25">
      <c r="AB674" s="91"/>
      <c r="AD674" s="118"/>
    </row>
    <row r="675" spans="28:30" x14ac:dyDescent="0.25">
      <c r="AB675" s="91"/>
      <c r="AD675" s="118"/>
    </row>
    <row r="676" spans="28:30" x14ac:dyDescent="0.25">
      <c r="AB676" s="91"/>
      <c r="AD676" s="118"/>
    </row>
    <row r="677" spans="28:30" x14ac:dyDescent="0.25">
      <c r="AB677" s="91"/>
      <c r="AD677" s="118"/>
    </row>
    <row r="678" spans="28:30" x14ac:dyDescent="0.25">
      <c r="AB678" s="91"/>
      <c r="AD678" s="118"/>
    </row>
    <row r="679" spans="28:30" x14ac:dyDescent="0.25">
      <c r="AB679" s="91"/>
      <c r="AD679" s="118"/>
    </row>
    <row r="680" spans="28:30" x14ac:dyDescent="0.25">
      <c r="AB680" s="91"/>
      <c r="AD680" s="118"/>
    </row>
    <row r="681" spans="28:30" x14ac:dyDescent="0.25">
      <c r="AB681" s="91"/>
      <c r="AD681" s="118"/>
    </row>
    <row r="682" spans="28:30" x14ac:dyDescent="0.25">
      <c r="AB682" s="91"/>
      <c r="AD682" s="118"/>
    </row>
    <row r="683" spans="28:30" x14ac:dyDescent="0.25">
      <c r="AB683" s="91"/>
      <c r="AD683" s="118"/>
    </row>
    <row r="684" spans="28:30" x14ac:dyDescent="0.25">
      <c r="AB684" s="91"/>
      <c r="AD684" s="118"/>
    </row>
    <row r="685" spans="28:30" x14ac:dyDescent="0.25">
      <c r="AB685" s="91"/>
      <c r="AD685" s="118"/>
    </row>
    <row r="686" spans="28:30" x14ac:dyDescent="0.25">
      <c r="AB686" s="91"/>
      <c r="AD686" s="118"/>
    </row>
    <row r="687" spans="28:30" x14ac:dyDescent="0.25">
      <c r="AB687" s="91"/>
      <c r="AD687" s="118"/>
    </row>
    <row r="688" spans="28:30" x14ac:dyDescent="0.25">
      <c r="AB688" s="91"/>
      <c r="AD688" s="118"/>
    </row>
    <row r="689" spans="28:30" x14ac:dyDescent="0.25">
      <c r="AB689" s="91"/>
      <c r="AD689" s="118"/>
    </row>
    <row r="690" spans="28:30" x14ac:dyDescent="0.25">
      <c r="AB690" s="91"/>
      <c r="AD690" s="118"/>
    </row>
    <row r="691" spans="28:30" x14ac:dyDescent="0.25">
      <c r="AB691" s="91"/>
      <c r="AD691" s="118"/>
    </row>
    <row r="692" spans="28:30" x14ac:dyDescent="0.25">
      <c r="AB692" s="91"/>
      <c r="AD692" s="118"/>
    </row>
    <row r="693" spans="28:30" x14ac:dyDescent="0.25">
      <c r="AB693" s="91"/>
      <c r="AD693" s="118"/>
    </row>
    <row r="694" spans="28:30" x14ac:dyDescent="0.25">
      <c r="AB694" s="91"/>
      <c r="AD694" s="118"/>
    </row>
    <row r="695" spans="28:30" x14ac:dyDescent="0.25">
      <c r="AB695" s="91"/>
      <c r="AD695" s="118"/>
    </row>
    <row r="696" spans="28:30" x14ac:dyDescent="0.25">
      <c r="AB696" s="91"/>
      <c r="AD696" s="118"/>
    </row>
    <row r="697" spans="28:30" x14ac:dyDescent="0.25">
      <c r="AB697" s="91"/>
      <c r="AD697" s="118"/>
    </row>
    <row r="698" spans="28:30" x14ac:dyDescent="0.25">
      <c r="AB698" s="91"/>
      <c r="AD698" s="118"/>
    </row>
    <row r="699" spans="28:30" x14ac:dyDescent="0.25">
      <c r="AB699" s="91"/>
      <c r="AD699" s="118"/>
    </row>
    <row r="700" spans="28:30" x14ac:dyDescent="0.25">
      <c r="AB700" s="91"/>
      <c r="AD700" s="118"/>
    </row>
    <row r="701" spans="28:30" x14ac:dyDescent="0.25">
      <c r="AB701" s="91"/>
      <c r="AD701" s="118"/>
    </row>
    <row r="702" spans="28:30" x14ac:dyDescent="0.25">
      <c r="AB702" s="91"/>
      <c r="AD702" s="118"/>
    </row>
    <row r="703" spans="28:30" x14ac:dyDescent="0.25">
      <c r="AB703" s="91"/>
      <c r="AD703" s="118"/>
    </row>
    <row r="704" spans="28:30" x14ac:dyDescent="0.25">
      <c r="AB704" s="91"/>
      <c r="AD704" s="118"/>
    </row>
    <row r="705" spans="28:30" x14ac:dyDescent="0.25">
      <c r="AB705" s="91"/>
      <c r="AD705" s="118"/>
    </row>
    <row r="706" spans="28:30" x14ac:dyDescent="0.25">
      <c r="AB706" s="91"/>
      <c r="AD706" s="118"/>
    </row>
    <row r="707" spans="28:30" x14ac:dyDescent="0.25">
      <c r="AB707" s="91"/>
      <c r="AD707" s="118"/>
    </row>
    <row r="708" spans="28:30" x14ac:dyDescent="0.25">
      <c r="AB708" s="91"/>
      <c r="AD708" s="118"/>
    </row>
    <row r="709" spans="28:30" x14ac:dyDescent="0.25">
      <c r="AB709" s="91"/>
      <c r="AD709" s="118"/>
    </row>
    <row r="710" spans="28:30" x14ac:dyDescent="0.25">
      <c r="AB710" s="91"/>
      <c r="AD710" s="118"/>
    </row>
    <row r="711" spans="28:30" x14ac:dyDescent="0.25">
      <c r="AB711" s="91"/>
      <c r="AD711" s="118"/>
    </row>
    <row r="712" spans="28:30" x14ac:dyDescent="0.25">
      <c r="AB712" s="91"/>
      <c r="AD712" s="118"/>
    </row>
    <row r="713" spans="28:30" x14ac:dyDescent="0.25">
      <c r="AB713" s="91"/>
      <c r="AD713" s="118"/>
    </row>
    <row r="714" spans="28:30" x14ac:dyDescent="0.25">
      <c r="AB714" s="91"/>
      <c r="AD714" s="118"/>
    </row>
    <row r="715" spans="28:30" x14ac:dyDescent="0.25">
      <c r="AB715" s="91"/>
      <c r="AD715" s="118"/>
    </row>
    <row r="716" spans="28:30" x14ac:dyDescent="0.25">
      <c r="AB716" s="91"/>
      <c r="AD716" s="118"/>
    </row>
    <row r="717" spans="28:30" x14ac:dyDescent="0.25">
      <c r="AB717" s="91"/>
      <c r="AD717" s="118"/>
    </row>
    <row r="718" spans="28:30" x14ac:dyDescent="0.25">
      <c r="AB718" s="91"/>
      <c r="AD718" s="118"/>
    </row>
    <row r="719" spans="28:30" x14ac:dyDescent="0.25">
      <c r="AB719" s="91"/>
      <c r="AD719" s="118"/>
    </row>
    <row r="720" spans="28:30" x14ac:dyDescent="0.25">
      <c r="AB720" s="91"/>
      <c r="AD720" s="118"/>
    </row>
    <row r="721" spans="28:30" x14ac:dyDescent="0.25">
      <c r="AB721" s="91"/>
      <c r="AD721" s="118"/>
    </row>
    <row r="722" spans="28:30" x14ac:dyDescent="0.25">
      <c r="AB722" s="91"/>
      <c r="AD722" s="118"/>
    </row>
    <row r="723" spans="28:30" x14ac:dyDescent="0.25">
      <c r="AB723" s="91"/>
      <c r="AD723" s="118"/>
    </row>
    <row r="724" spans="28:30" x14ac:dyDescent="0.25">
      <c r="AB724" s="91"/>
      <c r="AD724" s="118"/>
    </row>
    <row r="725" spans="28:30" x14ac:dyDescent="0.25">
      <c r="AB725" s="91"/>
      <c r="AD725" s="118"/>
    </row>
    <row r="726" spans="28:30" x14ac:dyDescent="0.25">
      <c r="AB726" s="91"/>
      <c r="AD726" s="118"/>
    </row>
    <row r="727" spans="28:30" x14ac:dyDescent="0.25">
      <c r="AB727" s="91"/>
      <c r="AD727" s="118"/>
    </row>
    <row r="728" spans="28:30" x14ac:dyDescent="0.25">
      <c r="AB728" s="91"/>
      <c r="AD728" s="118"/>
    </row>
    <row r="729" spans="28:30" x14ac:dyDescent="0.25">
      <c r="AB729" s="91"/>
      <c r="AD729" s="118"/>
    </row>
    <row r="730" spans="28:30" x14ac:dyDescent="0.25">
      <c r="AB730" s="91"/>
      <c r="AD730" s="118"/>
    </row>
    <row r="731" spans="28:30" x14ac:dyDescent="0.25">
      <c r="AB731" s="91"/>
      <c r="AD731" s="118"/>
    </row>
    <row r="732" spans="28:30" x14ac:dyDescent="0.25">
      <c r="AB732" s="91"/>
      <c r="AD732" s="118"/>
    </row>
    <row r="733" spans="28:30" x14ac:dyDescent="0.25">
      <c r="AB733" s="91"/>
      <c r="AD733" s="118"/>
    </row>
    <row r="734" spans="28:30" x14ac:dyDescent="0.25">
      <c r="AB734" s="91"/>
      <c r="AD734" s="118"/>
    </row>
    <row r="735" spans="28:30" x14ac:dyDescent="0.25">
      <c r="AB735" s="91"/>
      <c r="AD735" s="118"/>
    </row>
    <row r="736" spans="28:30" x14ac:dyDescent="0.25">
      <c r="AB736" s="91"/>
      <c r="AD736" s="118"/>
    </row>
    <row r="737" spans="28:30" x14ac:dyDescent="0.25">
      <c r="AB737" s="91"/>
      <c r="AD737" s="118"/>
    </row>
    <row r="738" spans="28:30" x14ac:dyDescent="0.25">
      <c r="AB738" s="91"/>
      <c r="AD738" s="118"/>
    </row>
    <row r="739" spans="28:30" x14ac:dyDescent="0.25">
      <c r="AB739" s="91"/>
      <c r="AD739" s="118"/>
    </row>
    <row r="740" spans="28:30" x14ac:dyDescent="0.25">
      <c r="AB740" s="91"/>
      <c r="AD740" s="118"/>
    </row>
    <row r="741" spans="28:30" x14ac:dyDescent="0.25">
      <c r="AB741" s="91"/>
      <c r="AD741" s="118"/>
    </row>
    <row r="742" spans="28:30" x14ac:dyDescent="0.25">
      <c r="AB742" s="91"/>
      <c r="AD742" s="118"/>
    </row>
    <row r="743" spans="28:30" x14ac:dyDescent="0.25">
      <c r="AB743" s="91"/>
      <c r="AD743" s="118"/>
    </row>
    <row r="744" spans="28:30" x14ac:dyDescent="0.25">
      <c r="AB744" s="91"/>
      <c r="AD744" s="118"/>
    </row>
    <row r="745" spans="28:30" x14ac:dyDescent="0.25">
      <c r="AB745" s="91"/>
      <c r="AD745" s="118"/>
    </row>
    <row r="746" spans="28:30" x14ac:dyDescent="0.25">
      <c r="AB746" s="91"/>
      <c r="AD746" s="118"/>
    </row>
    <row r="747" spans="28:30" x14ac:dyDescent="0.25">
      <c r="AB747" s="91"/>
      <c r="AD747" s="118"/>
    </row>
    <row r="748" spans="28:30" x14ac:dyDescent="0.25">
      <c r="AB748" s="91"/>
      <c r="AD748" s="118"/>
    </row>
    <row r="749" spans="28:30" x14ac:dyDescent="0.25">
      <c r="AB749" s="91"/>
      <c r="AD749" s="118"/>
    </row>
    <row r="750" spans="28:30" x14ac:dyDescent="0.25">
      <c r="AB750" s="91"/>
      <c r="AD750" s="118"/>
    </row>
    <row r="751" spans="28:30" x14ac:dyDescent="0.25">
      <c r="AB751" s="91"/>
      <c r="AD751" s="118"/>
    </row>
    <row r="752" spans="28:30" x14ac:dyDescent="0.25">
      <c r="AB752" s="91"/>
      <c r="AD752" s="118"/>
    </row>
    <row r="753" spans="28:30" x14ac:dyDescent="0.25">
      <c r="AB753" s="91"/>
      <c r="AD753" s="118"/>
    </row>
    <row r="754" spans="28:30" x14ac:dyDescent="0.25">
      <c r="AB754" s="91"/>
      <c r="AD754" s="118"/>
    </row>
    <row r="755" spans="28:30" x14ac:dyDescent="0.25">
      <c r="AB755" s="91"/>
      <c r="AD755" s="118"/>
    </row>
    <row r="756" spans="28:30" x14ac:dyDescent="0.25">
      <c r="AB756" s="91"/>
      <c r="AD756" s="118"/>
    </row>
    <row r="757" spans="28:30" x14ac:dyDescent="0.25">
      <c r="AB757" s="91"/>
      <c r="AD757" s="118"/>
    </row>
    <row r="758" spans="28:30" x14ac:dyDescent="0.25">
      <c r="AB758" s="91"/>
      <c r="AD758" s="118"/>
    </row>
    <row r="759" spans="28:30" x14ac:dyDescent="0.25">
      <c r="AB759" s="91"/>
      <c r="AD759" s="118"/>
    </row>
    <row r="760" spans="28:30" x14ac:dyDescent="0.25">
      <c r="AB760" s="91"/>
      <c r="AD760" s="118"/>
    </row>
    <row r="761" spans="28:30" x14ac:dyDescent="0.25">
      <c r="AB761" s="91"/>
      <c r="AD761" s="118"/>
    </row>
    <row r="762" spans="28:30" x14ac:dyDescent="0.25">
      <c r="AB762" s="91"/>
      <c r="AD762" s="118"/>
    </row>
    <row r="763" spans="28:30" x14ac:dyDescent="0.25">
      <c r="AB763" s="91"/>
      <c r="AD763" s="118"/>
    </row>
    <row r="764" spans="28:30" x14ac:dyDescent="0.25">
      <c r="AB764" s="91"/>
      <c r="AD764" s="118"/>
    </row>
    <row r="765" spans="28:30" x14ac:dyDescent="0.25">
      <c r="AB765" s="91"/>
      <c r="AD765" s="118"/>
    </row>
    <row r="766" spans="28:30" x14ac:dyDescent="0.25">
      <c r="AB766" s="91"/>
      <c r="AD766" s="118"/>
    </row>
    <row r="767" spans="28:30" x14ac:dyDescent="0.25">
      <c r="AB767" s="91"/>
      <c r="AD767" s="118"/>
    </row>
    <row r="768" spans="28:30" x14ac:dyDescent="0.25">
      <c r="AB768" s="91"/>
      <c r="AD768" s="118"/>
    </row>
    <row r="769" spans="28:30" x14ac:dyDescent="0.25">
      <c r="AB769" s="91"/>
      <c r="AD769" s="118"/>
    </row>
    <row r="770" spans="28:30" x14ac:dyDescent="0.25">
      <c r="AB770" s="91"/>
      <c r="AD770" s="118"/>
    </row>
    <row r="771" spans="28:30" x14ac:dyDescent="0.25">
      <c r="AB771" s="91"/>
      <c r="AD771" s="118"/>
    </row>
    <row r="772" spans="28:30" x14ac:dyDescent="0.25">
      <c r="AB772" s="91"/>
      <c r="AD772" s="118"/>
    </row>
    <row r="773" spans="28:30" x14ac:dyDescent="0.25">
      <c r="AB773" s="91"/>
      <c r="AD773" s="118"/>
    </row>
    <row r="774" spans="28:30" x14ac:dyDescent="0.25">
      <c r="AB774" s="91"/>
      <c r="AD774" s="118"/>
    </row>
    <row r="775" spans="28:30" x14ac:dyDescent="0.25">
      <c r="AB775" s="91"/>
      <c r="AD775" s="118"/>
    </row>
    <row r="776" spans="28:30" x14ac:dyDescent="0.25">
      <c r="AB776" s="91"/>
      <c r="AD776" s="118"/>
    </row>
    <row r="777" spans="28:30" x14ac:dyDescent="0.25">
      <c r="AB777" s="91"/>
      <c r="AD777" s="118"/>
    </row>
    <row r="778" spans="28:30" x14ac:dyDescent="0.25">
      <c r="AB778" s="91"/>
      <c r="AD778" s="118"/>
    </row>
    <row r="779" spans="28:30" x14ac:dyDescent="0.25">
      <c r="AB779" s="91"/>
      <c r="AD779" s="118"/>
    </row>
    <row r="780" spans="28:30" x14ac:dyDescent="0.25">
      <c r="AB780" s="91"/>
      <c r="AD780" s="118"/>
    </row>
    <row r="781" spans="28:30" x14ac:dyDescent="0.25">
      <c r="AB781" s="91"/>
      <c r="AD781" s="118"/>
    </row>
    <row r="782" spans="28:30" x14ac:dyDescent="0.25">
      <c r="AB782" s="91"/>
      <c r="AD782" s="118"/>
    </row>
    <row r="783" spans="28:30" x14ac:dyDescent="0.25">
      <c r="AB783" s="91"/>
      <c r="AD783" s="118"/>
    </row>
    <row r="784" spans="28:30" x14ac:dyDescent="0.25">
      <c r="AB784" s="91"/>
      <c r="AD784" s="118"/>
    </row>
    <row r="785" spans="28:30" x14ac:dyDescent="0.25">
      <c r="AB785" s="91"/>
      <c r="AD785" s="118"/>
    </row>
    <row r="786" spans="28:30" x14ac:dyDescent="0.25">
      <c r="AB786" s="91"/>
      <c r="AD786" s="118"/>
    </row>
    <row r="787" spans="28:30" x14ac:dyDescent="0.25">
      <c r="AB787" s="91"/>
      <c r="AD787" s="118"/>
    </row>
    <row r="788" spans="28:30" x14ac:dyDescent="0.25">
      <c r="AB788" s="91"/>
      <c r="AD788" s="118"/>
    </row>
    <row r="789" spans="28:30" x14ac:dyDescent="0.25">
      <c r="AB789" s="91"/>
      <c r="AD789" s="118"/>
    </row>
    <row r="790" spans="28:30" x14ac:dyDescent="0.25">
      <c r="AB790" s="91"/>
      <c r="AD790" s="118"/>
    </row>
    <row r="791" spans="28:30" x14ac:dyDescent="0.25">
      <c r="AB791" s="91"/>
      <c r="AD791" s="118"/>
    </row>
    <row r="792" spans="28:30" x14ac:dyDescent="0.25">
      <c r="AB792" s="91"/>
      <c r="AD792" s="118"/>
    </row>
    <row r="793" spans="28:30" x14ac:dyDescent="0.25">
      <c r="AB793" s="91"/>
      <c r="AD793" s="118"/>
    </row>
    <row r="794" spans="28:30" x14ac:dyDescent="0.25">
      <c r="AB794" s="91"/>
      <c r="AD794" s="118"/>
    </row>
    <row r="795" spans="28:30" x14ac:dyDescent="0.25">
      <c r="AB795" s="91"/>
      <c r="AD795" s="118"/>
    </row>
    <row r="796" spans="28:30" x14ac:dyDescent="0.25">
      <c r="AB796" s="91"/>
      <c r="AD796" s="118"/>
    </row>
    <row r="797" spans="28:30" x14ac:dyDescent="0.25">
      <c r="AB797" s="91"/>
      <c r="AD797" s="118"/>
    </row>
    <row r="798" spans="28:30" x14ac:dyDescent="0.25">
      <c r="AB798" s="91"/>
      <c r="AD798" s="118"/>
    </row>
    <row r="799" spans="28:30" x14ac:dyDescent="0.25">
      <c r="AB799" s="91"/>
      <c r="AD799" s="118"/>
    </row>
    <row r="800" spans="28:30" x14ac:dyDescent="0.25">
      <c r="AB800" s="91"/>
      <c r="AD800" s="118"/>
    </row>
    <row r="801" spans="28:30" x14ac:dyDescent="0.25">
      <c r="AB801" s="91"/>
      <c r="AD801" s="118"/>
    </row>
    <row r="802" spans="28:30" x14ac:dyDescent="0.25">
      <c r="AB802" s="91"/>
      <c r="AD802" s="118"/>
    </row>
    <row r="803" spans="28:30" x14ac:dyDescent="0.25">
      <c r="AB803" s="91"/>
      <c r="AD803" s="118"/>
    </row>
    <row r="804" spans="28:30" x14ac:dyDescent="0.25">
      <c r="AB804" s="91"/>
      <c r="AD804" s="118"/>
    </row>
    <row r="805" spans="28:30" x14ac:dyDescent="0.25">
      <c r="AB805" s="91"/>
      <c r="AD805" s="118"/>
    </row>
    <row r="806" spans="28:30" x14ac:dyDescent="0.25">
      <c r="AB806" s="91"/>
      <c r="AD806" s="118"/>
    </row>
    <row r="807" spans="28:30" x14ac:dyDescent="0.25">
      <c r="AB807" s="91"/>
      <c r="AD807" s="118"/>
    </row>
    <row r="808" spans="28:30" x14ac:dyDescent="0.25">
      <c r="AB808" s="91"/>
      <c r="AD808" s="118"/>
    </row>
    <row r="809" spans="28:30" x14ac:dyDescent="0.25">
      <c r="AB809" s="91"/>
      <c r="AD809" s="118"/>
    </row>
    <row r="810" spans="28:30" x14ac:dyDescent="0.25">
      <c r="AB810" s="91"/>
      <c r="AD810" s="118"/>
    </row>
    <row r="811" spans="28:30" x14ac:dyDescent="0.25">
      <c r="AB811" s="91"/>
      <c r="AD811" s="118"/>
    </row>
    <row r="812" spans="28:30" x14ac:dyDescent="0.25">
      <c r="AB812" s="91"/>
      <c r="AD812" s="118"/>
    </row>
    <row r="813" spans="28:30" x14ac:dyDescent="0.25">
      <c r="AB813" s="91"/>
      <c r="AD813" s="118"/>
    </row>
    <row r="814" spans="28:30" x14ac:dyDescent="0.25">
      <c r="AB814" s="91"/>
      <c r="AD814" s="118"/>
    </row>
    <row r="815" spans="28:30" x14ac:dyDescent="0.25">
      <c r="AB815" s="91"/>
      <c r="AD815" s="118"/>
    </row>
    <row r="816" spans="28:30" x14ac:dyDescent="0.25">
      <c r="AB816" s="91"/>
      <c r="AD816" s="118"/>
    </row>
    <row r="817" spans="28:30" x14ac:dyDescent="0.25">
      <c r="AB817" s="91"/>
      <c r="AD817" s="118"/>
    </row>
    <row r="818" spans="28:30" x14ac:dyDescent="0.25">
      <c r="AB818" s="91"/>
      <c r="AD818" s="118"/>
    </row>
    <row r="819" spans="28:30" x14ac:dyDescent="0.25">
      <c r="AB819" s="91"/>
      <c r="AD819" s="118"/>
    </row>
    <row r="820" spans="28:30" x14ac:dyDescent="0.25">
      <c r="AB820" s="91"/>
      <c r="AD820" s="118"/>
    </row>
    <row r="821" spans="28:30" x14ac:dyDescent="0.25">
      <c r="AB821" s="91"/>
      <c r="AD821" s="118"/>
    </row>
    <row r="822" spans="28:30" x14ac:dyDescent="0.25">
      <c r="AB822" s="91"/>
      <c r="AD822" s="118"/>
    </row>
    <row r="823" spans="28:30" x14ac:dyDescent="0.25">
      <c r="AB823" s="91"/>
      <c r="AD823" s="118"/>
    </row>
    <row r="824" spans="28:30" x14ac:dyDescent="0.25">
      <c r="AB824" s="91"/>
      <c r="AD824" s="118"/>
    </row>
    <row r="825" spans="28:30" x14ac:dyDescent="0.25">
      <c r="AB825" s="91"/>
      <c r="AD825" s="118"/>
    </row>
    <row r="826" spans="28:30" x14ac:dyDescent="0.25">
      <c r="AB826" s="91"/>
      <c r="AD826" s="118"/>
    </row>
    <row r="827" spans="28:30" x14ac:dyDescent="0.25">
      <c r="AB827" s="91"/>
      <c r="AD827" s="118"/>
    </row>
    <row r="828" spans="28:30" x14ac:dyDescent="0.25">
      <c r="AB828" s="91"/>
      <c r="AD828" s="118"/>
    </row>
    <row r="829" spans="28:30" x14ac:dyDescent="0.25">
      <c r="AB829" s="91"/>
      <c r="AD829" s="118"/>
    </row>
    <row r="830" spans="28:30" x14ac:dyDescent="0.25">
      <c r="AB830" s="91"/>
      <c r="AD830" s="118"/>
    </row>
    <row r="831" spans="28:30" x14ac:dyDescent="0.25">
      <c r="AB831" s="91"/>
      <c r="AD831" s="118"/>
    </row>
    <row r="832" spans="28:30" x14ac:dyDescent="0.25">
      <c r="AB832" s="91"/>
      <c r="AD832" s="118"/>
    </row>
    <row r="833" spans="28:30" x14ac:dyDescent="0.25">
      <c r="AB833" s="91"/>
      <c r="AD833" s="118"/>
    </row>
    <row r="834" spans="28:30" x14ac:dyDescent="0.25">
      <c r="AB834" s="91"/>
      <c r="AD834" s="118"/>
    </row>
    <row r="835" spans="28:30" x14ac:dyDescent="0.25">
      <c r="AB835" s="91"/>
      <c r="AD835" s="118"/>
    </row>
    <row r="836" spans="28:30" x14ac:dyDescent="0.25">
      <c r="AB836" s="91"/>
      <c r="AD836" s="118"/>
    </row>
    <row r="837" spans="28:30" x14ac:dyDescent="0.25">
      <c r="AB837" s="91"/>
      <c r="AD837" s="118"/>
    </row>
    <row r="838" spans="28:30" x14ac:dyDescent="0.25">
      <c r="AB838" s="91"/>
      <c r="AD838" s="118"/>
    </row>
    <row r="839" spans="28:30" x14ac:dyDescent="0.25">
      <c r="AB839" s="91"/>
      <c r="AD839" s="118"/>
    </row>
    <row r="840" spans="28:30" x14ac:dyDescent="0.25">
      <c r="AB840" s="91"/>
      <c r="AD840" s="118"/>
    </row>
    <row r="841" spans="28:30" x14ac:dyDescent="0.25">
      <c r="AB841" s="91"/>
      <c r="AD841" s="118"/>
    </row>
    <row r="842" spans="28:30" x14ac:dyDescent="0.25">
      <c r="AB842" s="91"/>
      <c r="AD842" s="118"/>
    </row>
    <row r="843" spans="28:30" x14ac:dyDescent="0.25">
      <c r="AB843" s="91"/>
      <c r="AD843" s="118"/>
    </row>
    <row r="844" spans="28:30" x14ac:dyDescent="0.25">
      <c r="AB844" s="91"/>
      <c r="AD844" s="118"/>
    </row>
    <row r="845" spans="28:30" x14ac:dyDescent="0.25">
      <c r="AB845" s="91"/>
      <c r="AD845" s="118"/>
    </row>
    <row r="846" spans="28:30" x14ac:dyDescent="0.25">
      <c r="AB846" s="91"/>
      <c r="AD846" s="118"/>
    </row>
    <row r="847" spans="28:30" x14ac:dyDescent="0.25">
      <c r="AB847" s="91"/>
      <c r="AD847" s="118"/>
    </row>
    <row r="848" spans="28:30" x14ac:dyDescent="0.25">
      <c r="AB848" s="91"/>
      <c r="AD848" s="118"/>
    </row>
    <row r="849" spans="28:30" x14ac:dyDescent="0.25">
      <c r="AB849" s="91"/>
      <c r="AD849" s="118"/>
    </row>
    <row r="850" spans="28:30" x14ac:dyDescent="0.25">
      <c r="AB850" s="91"/>
      <c r="AD850" s="118"/>
    </row>
    <row r="851" spans="28:30" x14ac:dyDescent="0.25">
      <c r="AB851" s="91"/>
      <c r="AD851" s="118"/>
    </row>
    <row r="852" spans="28:30" x14ac:dyDescent="0.25">
      <c r="AB852" s="91"/>
      <c r="AD852" s="118"/>
    </row>
    <row r="853" spans="28:30" x14ac:dyDescent="0.25">
      <c r="AB853" s="91"/>
      <c r="AD853" s="118"/>
    </row>
    <row r="854" spans="28:30" x14ac:dyDescent="0.25">
      <c r="AB854" s="91"/>
      <c r="AD854" s="118"/>
    </row>
    <row r="855" spans="28:30" x14ac:dyDescent="0.25">
      <c r="AB855" s="91"/>
      <c r="AD855" s="118"/>
    </row>
    <row r="856" spans="28:30" x14ac:dyDescent="0.25">
      <c r="AB856" s="91"/>
      <c r="AD856" s="118"/>
    </row>
    <row r="857" spans="28:30" x14ac:dyDescent="0.25">
      <c r="AB857" s="91"/>
      <c r="AD857" s="118"/>
    </row>
    <row r="858" spans="28:30" x14ac:dyDescent="0.25">
      <c r="AB858" s="91"/>
      <c r="AD858" s="118"/>
    </row>
    <row r="859" spans="28:30" x14ac:dyDescent="0.25">
      <c r="AB859" s="91"/>
      <c r="AD859" s="118"/>
    </row>
    <row r="860" spans="28:30" x14ac:dyDescent="0.25">
      <c r="AB860" s="91"/>
      <c r="AD860" s="118"/>
    </row>
    <row r="861" spans="28:30" x14ac:dyDescent="0.25">
      <c r="AB861" s="91"/>
      <c r="AD861" s="118"/>
    </row>
    <row r="862" spans="28:30" x14ac:dyDescent="0.25">
      <c r="AB862" s="91"/>
      <c r="AD862" s="118"/>
    </row>
    <row r="863" spans="28:30" x14ac:dyDescent="0.25">
      <c r="AB863" s="91"/>
      <c r="AD863" s="118"/>
    </row>
    <row r="864" spans="28:30" x14ac:dyDescent="0.25">
      <c r="AB864" s="91"/>
      <c r="AD864" s="118"/>
    </row>
    <row r="865" spans="28:30" x14ac:dyDescent="0.25">
      <c r="AB865" s="91"/>
      <c r="AD865" s="118"/>
    </row>
    <row r="866" spans="28:30" x14ac:dyDescent="0.25">
      <c r="AB866" s="91"/>
      <c r="AD866" s="118"/>
    </row>
    <row r="867" spans="28:30" x14ac:dyDescent="0.25">
      <c r="AB867" s="91"/>
      <c r="AD867" s="118"/>
    </row>
    <row r="868" spans="28:30" x14ac:dyDescent="0.25">
      <c r="AB868" s="91"/>
      <c r="AD868" s="118"/>
    </row>
    <row r="869" spans="28:30" x14ac:dyDescent="0.25">
      <c r="AB869" s="91"/>
      <c r="AD869" s="118"/>
    </row>
    <row r="870" spans="28:30" x14ac:dyDescent="0.25">
      <c r="AB870" s="91"/>
      <c r="AD870" s="118"/>
    </row>
    <row r="871" spans="28:30" x14ac:dyDescent="0.25">
      <c r="AB871" s="91"/>
      <c r="AD871" s="118"/>
    </row>
    <row r="872" spans="28:30" x14ac:dyDescent="0.25">
      <c r="AB872" s="91"/>
      <c r="AD872" s="118"/>
    </row>
    <row r="873" spans="28:30" x14ac:dyDescent="0.25">
      <c r="AB873" s="91"/>
      <c r="AD873" s="118"/>
    </row>
    <row r="874" spans="28:30" x14ac:dyDescent="0.25">
      <c r="AB874" s="91"/>
      <c r="AD874" s="118"/>
    </row>
    <row r="875" spans="28:30" x14ac:dyDescent="0.25">
      <c r="AB875" s="91"/>
      <c r="AD875" s="118"/>
    </row>
    <row r="876" spans="28:30" x14ac:dyDescent="0.25">
      <c r="AB876" s="91"/>
      <c r="AD876" s="118"/>
    </row>
    <row r="877" spans="28:30" x14ac:dyDescent="0.25">
      <c r="AB877" s="91"/>
      <c r="AD877" s="118"/>
    </row>
    <row r="878" spans="28:30" x14ac:dyDescent="0.25">
      <c r="AB878" s="91"/>
      <c r="AD878" s="118"/>
    </row>
    <row r="879" spans="28:30" x14ac:dyDescent="0.25">
      <c r="AB879" s="91"/>
      <c r="AD879" s="118"/>
    </row>
    <row r="880" spans="28:30" x14ac:dyDescent="0.25">
      <c r="AB880" s="91"/>
      <c r="AD880" s="118"/>
    </row>
    <row r="881" spans="28:30" x14ac:dyDescent="0.25">
      <c r="AB881" s="91"/>
      <c r="AD881" s="118"/>
    </row>
    <row r="882" spans="28:30" x14ac:dyDescent="0.25">
      <c r="AB882" s="91"/>
      <c r="AD882" s="118"/>
    </row>
    <row r="883" spans="28:30" x14ac:dyDescent="0.25">
      <c r="AB883" s="91"/>
      <c r="AD883" s="118"/>
    </row>
    <row r="884" spans="28:30" x14ac:dyDescent="0.25">
      <c r="AB884" s="91"/>
      <c r="AD884" s="118"/>
    </row>
    <row r="885" spans="28:30" x14ac:dyDescent="0.25">
      <c r="AB885" s="91"/>
      <c r="AD885" s="118"/>
    </row>
    <row r="886" spans="28:30" x14ac:dyDescent="0.25">
      <c r="AB886" s="91"/>
      <c r="AD886" s="118"/>
    </row>
    <row r="887" spans="28:30" x14ac:dyDescent="0.25">
      <c r="AB887" s="91"/>
      <c r="AD887" s="118"/>
    </row>
    <row r="888" spans="28:30" x14ac:dyDescent="0.25">
      <c r="AB888" s="91"/>
      <c r="AD888" s="118"/>
    </row>
    <row r="889" spans="28:30" x14ac:dyDescent="0.25">
      <c r="AB889" s="91"/>
      <c r="AD889" s="118"/>
    </row>
    <row r="890" spans="28:30" x14ac:dyDescent="0.25">
      <c r="AB890" s="91"/>
      <c r="AD890" s="118"/>
    </row>
    <row r="891" spans="28:30" x14ac:dyDescent="0.25">
      <c r="AB891" s="91"/>
      <c r="AD891" s="118"/>
    </row>
    <row r="892" spans="28:30" x14ac:dyDescent="0.25">
      <c r="AB892" s="91"/>
      <c r="AD892" s="118"/>
    </row>
    <row r="893" spans="28:30" x14ac:dyDescent="0.25">
      <c r="AB893" s="91"/>
      <c r="AD893" s="118"/>
    </row>
    <row r="894" spans="28:30" x14ac:dyDescent="0.25">
      <c r="AB894" s="91"/>
      <c r="AD894" s="118"/>
    </row>
    <row r="895" spans="28:30" x14ac:dyDescent="0.25">
      <c r="AB895" s="91"/>
      <c r="AD895" s="118"/>
    </row>
    <row r="896" spans="28:30" x14ac:dyDescent="0.25">
      <c r="AB896" s="91"/>
      <c r="AD896" s="118"/>
    </row>
    <row r="897" spans="28:30" x14ac:dyDescent="0.25">
      <c r="AB897" s="91"/>
      <c r="AD897" s="118"/>
    </row>
    <row r="898" spans="28:30" x14ac:dyDescent="0.25">
      <c r="AB898" s="91"/>
      <c r="AD898" s="118"/>
    </row>
    <row r="899" spans="28:30" x14ac:dyDescent="0.25">
      <c r="AB899" s="91"/>
      <c r="AD899" s="118"/>
    </row>
    <row r="900" spans="28:30" x14ac:dyDescent="0.25">
      <c r="AB900" s="91"/>
      <c r="AD900" s="118"/>
    </row>
    <row r="901" spans="28:30" x14ac:dyDescent="0.25">
      <c r="AB901" s="91"/>
      <c r="AD901" s="118"/>
    </row>
    <row r="902" spans="28:30" x14ac:dyDescent="0.25">
      <c r="AB902" s="91"/>
      <c r="AD902" s="118"/>
    </row>
    <row r="903" spans="28:30" x14ac:dyDescent="0.25">
      <c r="AB903" s="91"/>
      <c r="AD903" s="118"/>
    </row>
    <row r="904" spans="28:30" x14ac:dyDescent="0.25">
      <c r="AB904" s="91"/>
      <c r="AD904" s="118"/>
    </row>
    <row r="905" spans="28:30" x14ac:dyDescent="0.25">
      <c r="AB905" s="91"/>
      <c r="AD905" s="118"/>
    </row>
    <row r="906" spans="28:30" x14ac:dyDescent="0.25">
      <c r="AB906" s="91"/>
      <c r="AD906" s="118"/>
    </row>
    <row r="907" spans="28:30" x14ac:dyDescent="0.25">
      <c r="AB907" s="91"/>
      <c r="AD907" s="118"/>
    </row>
    <row r="908" spans="28:30" x14ac:dyDescent="0.25">
      <c r="AB908" s="91"/>
      <c r="AD908" s="118"/>
    </row>
    <row r="909" spans="28:30" x14ac:dyDescent="0.25">
      <c r="AB909" s="91"/>
      <c r="AD909" s="118"/>
    </row>
    <row r="910" spans="28:30" x14ac:dyDescent="0.25">
      <c r="AB910" s="91"/>
      <c r="AD910" s="118"/>
    </row>
    <row r="911" spans="28:30" x14ac:dyDescent="0.25">
      <c r="AB911" s="91"/>
      <c r="AD911" s="118"/>
    </row>
    <row r="912" spans="28:30" x14ac:dyDescent="0.25">
      <c r="AB912" s="91"/>
      <c r="AD912" s="118"/>
    </row>
    <row r="913" spans="28:30" x14ac:dyDescent="0.25">
      <c r="AB913" s="91"/>
      <c r="AD913" s="118"/>
    </row>
    <row r="914" spans="28:30" x14ac:dyDescent="0.25">
      <c r="AB914" s="91"/>
      <c r="AD914" s="118"/>
    </row>
    <row r="915" spans="28:30" x14ac:dyDescent="0.25">
      <c r="AB915" s="91"/>
      <c r="AD915" s="118"/>
    </row>
    <row r="916" spans="28:30" x14ac:dyDescent="0.25">
      <c r="AB916" s="91"/>
      <c r="AD916" s="118"/>
    </row>
    <row r="917" spans="28:30" x14ac:dyDescent="0.25">
      <c r="AB917" s="91"/>
      <c r="AD917" s="118"/>
    </row>
    <row r="918" spans="28:30" x14ac:dyDescent="0.25">
      <c r="AB918" s="91"/>
      <c r="AD918" s="118"/>
    </row>
    <row r="919" spans="28:30" x14ac:dyDescent="0.25">
      <c r="AB919" s="91"/>
      <c r="AD919" s="118"/>
    </row>
    <row r="920" spans="28:30" x14ac:dyDescent="0.25">
      <c r="AB920" s="91"/>
      <c r="AD920" s="118"/>
    </row>
    <row r="921" spans="28:30" x14ac:dyDescent="0.25">
      <c r="AB921" s="91"/>
      <c r="AD921" s="118"/>
    </row>
    <row r="922" spans="28:30" x14ac:dyDescent="0.25">
      <c r="AB922" s="91"/>
      <c r="AD922" s="118"/>
    </row>
    <row r="923" spans="28:30" x14ac:dyDescent="0.25">
      <c r="AB923" s="91"/>
      <c r="AD923" s="118"/>
    </row>
    <row r="924" spans="28:30" x14ac:dyDescent="0.25">
      <c r="AB924" s="91"/>
      <c r="AD924" s="118"/>
    </row>
    <row r="925" spans="28:30" x14ac:dyDescent="0.25">
      <c r="AB925" s="91"/>
      <c r="AD925" s="118"/>
    </row>
    <row r="926" spans="28:30" x14ac:dyDescent="0.25">
      <c r="AB926" s="91"/>
      <c r="AD926" s="118"/>
    </row>
    <row r="927" spans="28:30" x14ac:dyDescent="0.25">
      <c r="AB927" s="91"/>
      <c r="AD927" s="118"/>
    </row>
    <row r="928" spans="28:30" x14ac:dyDescent="0.25">
      <c r="AB928" s="91"/>
      <c r="AD928" s="118"/>
    </row>
    <row r="929" spans="28:30" x14ac:dyDescent="0.25">
      <c r="AB929" s="91"/>
      <c r="AD929" s="118"/>
    </row>
    <row r="930" spans="28:30" x14ac:dyDescent="0.25">
      <c r="AB930" s="91"/>
      <c r="AD930" s="118"/>
    </row>
    <row r="931" spans="28:30" x14ac:dyDescent="0.25">
      <c r="AB931" s="91"/>
      <c r="AD931" s="118"/>
    </row>
    <row r="932" spans="28:30" x14ac:dyDescent="0.25">
      <c r="AB932" s="91"/>
      <c r="AD932" s="118"/>
    </row>
    <row r="933" spans="28:30" x14ac:dyDescent="0.25">
      <c r="AB933" s="91"/>
      <c r="AD933" s="118"/>
    </row>
    <row r="934" spans="28:30" x14ac:dyDescent="0.25">
      <c r="AB934" s="91"/>
      <c r="AD934" s="118"/>
    </row>
    <row r="935" spans="28:30" x14ac:dyDescent="0.25">
      <c r="AB935" s="91"/>
      <c r="AD935" s="118"/>
    </row>
    <row r="936" spans="28:30" x14ac:dyDescent="0.25">
      <c r="AB936" s="91"/>
      <c r="AD936" s="118"/>
    </row>
    <row r="937" spans="28:30" x14ac:dyDescent="0.25">
      <c r="AB937" s="91"/>
      <c r="AD937" s="118"/>
    </row>
    <row r="938" spans="28:30" x14ac:dyDescent="0.25">
      <c r="AB938" s="91"/>
      <c r="AD938" s="118"/>
    </row>
    <row r="939" spans="28:30" x14ac:dyDescent="0.25">
      <c r="AB939" s="91"/>
      <c r="AD939" s="118"/>
    </row>
    <row r="940" spans="28:30" x14ac:dyDescent="0.25">
      <c r="AB940" s="91"/>
      <c r="AD940" s="118"/>
    </row>
    <row r="941" spans="28:30" x14ac:dyDescent="0.25">
      <c r="AB941" s="91"/>
      <c r="AD941" s="118"/>
    </row>
    <row r="942" spans="28:30" x14ac:dyDescent="0.25">
      <c r="AB942" s="91"/>
      <c r="AD942" s="118"/>
    </row>
    <row r="943" spans="28:30" x14ac:dyDescent="0.25">
      <c r="AB943" s="91"/>
      <c r="AD943" s="118"/>
    </row>
    <row r="944" spans="28:30" x14ac:dyDescent="0.25">
      <c r="AB944" s="91"/>
      <c r="AD944" s="118"/>
    </row>
    <row r="945" spans="28:30" x14ac:dyDescent="0.25">
      <c r="AB945" s="91"/>
      <c r="AD945" s="118"/>
    </row>
    <row r="946" spans="28:30" x14ac:dyDescent="0.25">
      <c r="AB946" s="91"/>
      <c r="AD946" s="118"/>
    </row>
    <row r="947" spans="28:30" x14ac:dyDescent="0.25">
      <c r="AB947" s="91"/>
      <c r="AD947" s="118"/>
    </row>
    <row r="948" spans="28:30" x14ac:dyDescent="0.25">
      <c r="AB948" s="91"/>
      <c r="AD948" s="118"/>
    </row>
    <row r="949" spans="28:30" x14ac:dyDescent="0.25">
      <c r="AB949" s="91"/>
      <c r="AD949" s="118"/>
    </row>
    <row r="950" spans="28:30" x14ac:dyDescent="0.25">
      <c r="AB950" s="91"/>
      <c r="AD950" s="118"/>
    </row>
    <row r="951" spans="28:30" x14ac:dyDescent="0.25">
      <c r="AB951" s="91"/>
      <c r="AD951" s="118"/>
    </row>
    <row r="952" spans="28:30" x14ac:dyDescent="0.25">
      <c r="AB952" s="91"/>
      <c r="AD952" s="118"/>
    </row>
    <row r="953" spans="28:30" x14ac:dyDescent="0.25">
      <c r="AB953" s="91"/>
      <c r="AD953" s="118"/>
    </row>
    <row r="954" spans="28:30" x14ac:dyDescent="0.25">
      <c r="AB954" s="91"/>
      <c r="AD954" s="118"/>
    </row>
    <row r="955" spans="28:30" x14ac:dyDescent="0.25">
      <c r="AB955" s="91"/>
      <c r="AD955" s="118"/>
    </row>
    <row r="956" spans="28:30" x14ac:dyDescent="0.25">
      <c r="AB956" s="91"/>
      <c r="AD956" s="118"/>
    </row>
    <row r="957" spans="28:30" x14ac:dyDescent="0.25">
      <c r="AB957" s="91"/>
      <c r="AD957" s="118"/>
    </row>
    <row r="958" spans="28:30" x14ac:dyDescent="0.25">
      <c r="AB958" s="91"/>
      <c r="AD958" s="118"/>
    </row>
    <row r="959" spans="28:30" x14ac:dyDescent="0.25">
      <c r="AB959" s="91"/>
      <c r="AD959" s="118"/>
    </row>
    <row r="960" spans="28:30" x14ac:dyDescent="0.25">
      <c r="AB960" s="91"/>
      <c r="AD960" s="118"/>
    </row>
    <row r="961" spans="28:30" x14ac:dyDescent="0.25">
      <c r="AB961" s="91"/>
      <c r="AD961" s="118"/>
    </row>
    <row r="962" spans="28:30" x14ac:dyDescent="0.25">
      <c r="AB962" s="91"/>
      <c r="AD962" s="118"/>
    </row>
    <row r="963" spans="28:30" x14ac:dyDescent="0.25">
      <c r="AB963" s="91"/>
      <c r="AD963" s="118"/>
    </row>
    <row r="964" spans="28:30" x14ac:dyDescent="0.25">
      <c r="AB964" s="91"/>
      <c r="AD964" s="118"/>
    </row>
    <row r="965" spans="28:30" x14ac:dyDescent="0.25">
      <c r="AB965" s="91"/>
      <c r="AD965" s="118"/>
    </row>
    <row r="966" spans="28:30" x14ac:dyDescent="0.25">
      <c r="AB966" s="91"/>
      <c r="AD966" s="118"/>
    </row>
    <row r="967" spans="28:30" x14ac:dyDescent="0.25">
      <c r="AB967" s="91"/>
      <c r="AD967" s="118"/>
    </row>
    <row r="968" spans="28:30" x14ac:dyDescent="0.25">
      <c r="AB968" s="91"/>
      <c r="AD968" s="118"/>
    </row>
    <row r="969" spans="28:30" x14ac:dyDescent="0.25">
      <c r="AB969" s="91"/>
      <c r="AD969" s="118"/>
    </row>
    <row r="970" spans="28:30" x14ac:dyDescent="0.25">
      <c r="AB970" s="91"/>
      <c r="AD970" s="118"/>
    </row>
    <row r="971" spans="28:30" x14ac:dyDescent="0.25">
      <c r="AB971" s="91"/>
      <c r="AD971" s="118"/>
    </row>
    <row r="972" spans="28:30" x14ac:dyDescent="0.25">
      <c r="AB972" s="91"/>
      <c r="AD972" s="118"/>
    </row>
    <row r="973" spans="28:30" x14ac:dyDescent="0.25">
      <c r="AB973" s="91"/>
      <c r="AD973" s="118"/>
    </row>
    <row r="974" spans="28:30" x14ac:dyDescent="0.25">
      <c r="AB974" s="91"/>
      <c r="AD974" s="118"/>
    </row>
    <row r="975" spans="28:30" x14ac:dyDescent="0.25">
      <c r="AB975" s="91"/>
      <c r="AD975" s="118"/>
    </row>
    <row r="976" spans="28:30" x14ac:dyDescent="0.25">
      <c r="AB976" s="91"/>
      <c r="AD976" s="118"/>
    </row>
    <row r="977" spans="28:30" x14ac:dyDescent="0.25">
      <c r="AB977" s="91"/>
      <c r="AD977" s="118"/>
    </row>
    <row r="978" spans="28:30" x14ac:dyDescent="0.25">
      <c r="AB978" s="91"/>
      <c r="AD978" s="118"/>
    </row>
    <row r="979" spans="28:30" x14ac:dyDescent="0.25">
      <c r="AB979" s="91"/>
      <c r="AD979" s="118"/>
    </row>
    <row r="980" spans="28:30" x14ac:dyDescent="0.25">
      <c r="AB980" s="91"/>
      <c r="AD980" s="118"/>
    </row>
    <row r="981" spans="28:30" x14ac:dyDescent="0.25">
      <c r="AB981" s="91"/>
      <c r="AD981" s="118"/>
    </row>
    <row r="982" spans="28:30" x14ac:dyDescent="0.25">
      <c r="AB982" s="91"/>
      <c r="AD982" s="118"/>
    </row>
    <row r="983" spans="28:30" x14ac:dyDescent="0.25">
      <c r="AB983" s="91"/>
      <c r="AD983" s="118"/>
    </row>
    <row r="984" spans="28:30" x14ac:dyDescent="0.25">
      <c r="AB984" s="91"/>
      <c r="AD984" s="118"/>
    </row>
    <row r="985" spans="28:30" x14ac:dyDescent="0.25">
      <c r="AB985" s="91"/>
      <c r="AD985" s="118"/>
    </row>
    <row r="986" spans="28:30" x14ac:dyDescent="0.25">
      <c r="AB986" s="91"/>
      <c r="AD986" s="118"/>
    </row>
    <row r="987" spans="28:30" x14ac:dyDescent="0.25">
      <c r="AB987" s="91"/>
      <c r="AD987" s="118"/>
    </row>
    <row r="988" spans="28:30" x14ac:dyDescent="0.25">
      <c r="AB988" s="91"/>
      <c r="AD988" s="118"/>
    </row>
    <row r="989" spans="28:30" x14ac:dyDescent="0.25">
      <c r="AB989" s="91"/>
      <c r="AD989" s="118"/>
    </row>
    <row r="990" spans="28:30" x14ac:dyDescent="0.25">
      <c r="AB990" s="91"/>
      <c r="AD990" s="118"/>
    </row>
    <row r="991" spans="28:30" x14ac:dyDescent="0.25">
      <c r="AB991" s="91"/>
      <c r="AD991" s="118"/>
    </row>
    <row r="992" spans="28:30" x14ac:dyDescent="0.25">
      <c r="AB992" s="91"/>
      <c r="AD992" s="118"/>
    </row>
    <row r="993" spans="28:30" x14ac:dyDescent="0.25">
      <c r="AB993" s="91"/>
      <c r="AD993" s="118"/>
    </row>
    <row r="994" spans="28:30" x14ac:dyDescent="0.25">
      <c r="AB994" s="91"/>
      <c r="AD994" s="118"/>
    </row>
    <row r="995" spans="28:30" x14ac:dyDescent="0.25">
      <c r="AB995" s="91"/>
      <c r="AD995" s="118"/>
    </row>
    <row r="996" spans="28:30" x14ac:dyDescent="0.25">
      <c r="AB996" s="91"/>
      <c r="AD996" s="118"/>
    </row>
    <row r="997" spans="28:30" x14ac:dyDescent="0.25">
      <c r="AB997" s="91"/>
      <c r="AD997" s="118"/>
    </row>
    <row r="998" spans="28:30" x14ac:dyDescent="0.25">
      <c r="AB998" s="91"/>
      <c r="AD998" s="118"/>
    </row>
    <row r="999" spans="28:30" x14ac:dyDescent="0.25">
      <c r="AB999" s="91"/>
      <c r="AD999" s="118"/>
    </row>
    <row r="1000" spans="28:30" x14ac:dyDescent="0.25">
      <c r="AB1000" s="91"/>
      <c r="AD1000" s="118"/>
    </row>
    <row r="1001" spans="28:30" x14ac:dyDescent="0.25">
      <c r="AB1001" s="91"/>
      <c r="AD1001" s="118"/>
    </row>
    <row r="1002" spans="28:30" x14ac:dyDescent="0.25">
      <c r="AB1002" s="91"/>
      <c r="AD1002" s="118"/>
    </row>
    <row r="1003" spans="28:30" x14ac:dyDescent="0.25">
      <c r="AB1003" s="91"/>
      <c r="AD1003" s="118"/>
    </row>
    <row r="1004" spans="28:30" x14ac:dyDescent="0.25">
      <c r="AB1004" s="91"/>
      <c r="AD1004" s="118"/>
    </row>
    <row r="1005" spans="28:30" x14ac:dyDescent="0.25">
      <c r="AB1005" s="91"/>
      <c r="AD1005" s="118"/>
    </row>
    <row r="1006" spans="28:30" x14ac:dyDescent="0.25">
      <c r="AB1006" s="91"/>
      <c r="AD1006" s="118"/>
    </row>
    <row r="1007" spans="28:30" x14ac:dyDescent="0.25">
      <c r="AB1007" s="91"/>
      <c r="AD1007" s="118"/>
    </row>
    <row r="1008" spans="28:30" x14ac:dyDescent="0.25">
      <c r="AB1008" s="91"/>
      <c r="AD1008" s="118"/>
    </row>
    <row r="1009" spans="28:30" x14ac:dyDescent="0.25">
      <c r="AB1009" s="91"/>
      <c r="AD1009" s="118"/>
    </row>
    <row r="1010" spans="28:30" x14ac:dyDescent="0.25">
      <c r="AB1010" s="91"/>
      <c r="AD1010" s="118"/>
    </row>
    <row r="1011" spans="28:30" x14ac:dyDescent="0.25">
      <c r="AB1011" s="91"/>
      <c r="AD1011" s="118"/>
    </row>
    <row r="1012" spans="28:30" x14ac:dyDescent="0.25">
      <c r="AB1012" s="91"/>
      <c r="AD1012" s="118"/>
    </row>
    <row r="1013" spans="28:30" x14ac:dyDescent="0.25">
      <c r="AB1013" s="91"/>
      <c r="AD1013" s="118"/>
    </row>
    <row r="1014" spans="28:30" x14ac:dyDescent="0.25">
      <c r="AB1014" s="91"/>
      <c r="AD1014" s="118"/>
    </row>
    <row r="1015" spans="28:30" x14ac:dyDescent="0.25">
      <c r="AB1015" s="91"/>
      <c r="AD1015" s="118"/>
    </row>
    <row r="1016" spans="28:30" x14ac:dyDescent="0.25">
      <c r="AB1016" s="91"/>
      <c r="AD1016" s="118"/>
    </row>
    <row r="1017" spans="28:30" x14ac:dyDescent="0.25">
      <c r="AB1017" s="91"/>
      <c r="AD1017" s="118"/>
    </row>
    <row r="1018" spans="28:30" x14ac:dyDescent="0.25">
      <c r="AB1018" s="91"/>
      <c r="AD1018" s="118"/>
    </row>
    <row r="1019" spans="28:30" x14ac:dyDescent="0.25">
      <c r="AB1019" s="91"/>
      <c r="AD1019" s="118"/>
    </row>
    <row r="1020" spans="28:30" x14ac:dyDescent="0.25">
      <c r="AB1020" s="91"/>
      <c r="AD1020" s="118"/>
    </row>
    <row r="1021" spans="28:30" x14ac:dyDescent="0.25">
      <c r="AB1021" s="91"/>
      <c r="AD1021" s="118"/>
    </row>
    <row r="1022" spans="28:30" x14ac:dyDescent="0.25">
      <c r="AB1022" s="91"/>
      <c r="AD1022" s="118"/>
    </row>
    <row r="1023" spans="28:30" x14ac:dyDescent="0.25">
      <c r="AB1023" s="91"/>
      <c r="AD1023" s="118"/>
    </row>
    <row r="1024" spans="28:30" x14ac:dyDescent="0.25">
      <c r="AB1024" s="91"/>
      <c r="AD1024" s="118"/>
    </row>
    <row r="1025" spans="28:30" x14ac:dyDescent="0.25">
      <c r="AB1025" s="91"/>
      <c r="AD1025" s="118"/>
    </row>
    <row r="1026" spans="28:30" x14ac:dyDescent="0.25">
      <c r="AB1026" s="91"/>
      <c r="AD1026" s="118"/>
    </row>
    <row r="1027" spans="28:30" x14ac:dyDescent="0.25">
      <c r="AB1027" s="91"/>
      <c r="AD1027" s="118"/>
    </row>
    <row r="1028" spans="28:30" x14ac:dyDescent="0.25">
      <c r="AB1028" s="91"/>
      <c r="AD1028" s="118"/>
    </row>
    <row r="1029" spans="28:30" x14ac:dyDescent="0.25">
      <c r="AB1029" s="91"/>
      <c r="AD1029" s="118"/>
    </row>
    <row r="1030" spans="28:30" x14ac:dyDescent="0.25">
      <c r="AB1030" s="91"/>
      <c r="AD1030" s="118"/>
    </row>
    <row r="1031" spans="28:30" x14ac:dyDescent="0.25">
      <c r="AB1031" s="91"/>
      <c r="AD1031" s="118"/>
    </row>
    <row r="1032" spans="28:30" x14ac:dyDescent="0.25">
      <c r="AB1032" s="91"/>
      <c r="AD1032" s="118"/>
    </row>
    <row r="1033" spans="28:30" x14ac:dyDescent="0.25">
      <c r="AB1033" s="91"/>
      <c r="AD1033" s="118"/>
    </row>
    <row r="1034" spans="28:30" x14ac:dyDescent="0.25">
      <c r="AB1034" s="91"/>
      <c r="AD1034" s="118"/>
    </row>
    <row r="1035" spans="28:30" x14ac:dyDescent="0.25">
      <c r="AB1035" s="91"/>
      <c r="AD1035" s="118"/>
    </row>
    <row r="1036" spans="28:30" x14ac:dyDescent="0.25">
      <c r="AB1036" s="91"/>
      <c r="AD1036" s="118"/>
    </row>
    <row r="1037" spans="28:30" x14ac:dyDescent="0.25">
      <c r="AB1037" s="91"/>
      <c r="AD1037" s="118"/>
    </row>
    <row r="1038" spans="28:30" x14ac:dyDescent="0.25">
      <c r="AB1038" s="91"/>
      <c r="AD1038" s="118"/>
    </row>
    <row r="1039" spans="28:30" x14ac:dyDescent="0.25">
      <c r="AB1039" s="91"/>
      <c r="AD1039" s="118"/>
    </row>
    <row r="1040" spans="28:30" x14ac:dyDescent="0.25">
      <c r="AB1040" s="91"/>
      <c r="AD1040" s="118"/>
    </row>
    <row r="1041" spans="28:30" x14ac:dyDescent="0.25">
      <c r="AB1041" s="91"/>
      <c r="AD1041" s="118"/>
    </row>
    <row r="1042" spans="28:30" x14ac:dyDescent="0.25">
      <c r="AB1042" s="91"/>
      <c r="AD1042" s="118"/>
    </row>
    <row r="1043" spans="28:30" x14ac:dyDescent="0.25">
      <c r="AB1043" s="91"/>
      <c r="AD1043" s="118"/>
    </row>
    <row r="1044" spans="28:30" x14ac:dyDescent="0.25">
      <c r="AB1044" s="91"/>
      <c r="AD1044" s="118"/>
    </row>
    <row r="1045" spans="28:30" x14ac:dyDescent="0.25">
      <c r="AB1045" s="91"/>
      <c r="AD1045" s="118"/>
    </row>
    <row r="1046" spans="28:30" x14ac:dyDescent="0.25">
      <c r="AB1046" s="91"/>
      <c r="AD1046" s="118"/>
    </row>
    <row r="1047" spans="28:30" x14ac:dyDescent="0.25">
      <c r="AB1047" s="91"/>
      <c r="AD1047" s="118"/>
    </row>
    <row r="1048" spans="28:30" x14ac:dyDescent="0.25">
      <c r="AB1048" s="91"/>
      <c r="AD1048" s="118"/>
    </row>
    <row r="1049" spans="28:30" x14ac:dyDescent="0.25">
      <c r="AB1049" s="91"/>
      <c r="AD1049" s="118"/>
    </row>
    <row r="1050" spans="28:30" x14ac:dyDescent="0.25">
      <c r="AB1050" s="91"/>
      <c r="AD1050" s="118"/>
    </row>
    <row r="1051" spans="28:30" x14ac:dyDescent="0.25">
      <c r="AB1051" s="91"/>
      <c r="AD1051" s="118"/>
    </row>
    <row r="1052" spans="28:30" x14ac:dyDescent="0.25">
      <c r="AB1052" s="91"/>
      <c r="AD1052" s="118"/>
    </row>
    <row r="1053" spans="28:30" x14ac:dyDescent="0.25">
      <c r="AB1053" s="91"/>
      <c r="AD1053" s="118"/>
    </row>
    <row r="1054" spans="28:30" x14ac:dyDescent="0.25">
      <c r="AB1054" s="91"/>
      <c r="AD1054" s="118"/>
    </row>
    <row r="1055" spans="28:30" x14ac:dyDescent="0.25">
      <c r="AB1055" s="91"/>
      <c r="AD1055" s="118"/>
    </row>
    <row r="1056" spans="28:30" x14ac:dyDescent="0.25">
      <c r="AB1056" s="91"/>
      <c r="AD1056" s="118"/>
    </row>
    <row r="1057" spans="28:30" x14ac:dyDescent="0.25">
      <c r="AB1057" s="91"/>
      <c r="AD1057" s="118"/>
    </row>
    <row r="1058" spans="28:30" x14ac:dyDescent="0.25">
      <c r="AB1058" s="91"/>
      <c r="AD1058" s="118"/>
    </row>
    <row r="1059" spans="28:30" x14ac:dyDescent="0.25">
      <c r="AB1059" s="91"/>
      <c r="AD1059" s="118"/>
    </row>
    <row r="1060" spans="28:30" x14ac:dyDescent="0.25">
      <c r="AB1060" s="91"/>
      <c r="AD1060" s="118"/>
    </row>
    <row r="1061" spans="28:30" x14ac:dyDescent="0.25">
      <c r="AB1061" s="91"/>
      <c r="AD1061" s="118"/>
    </row>
    <row r="1062" spans="28:30" x14ac:dyDescent="0.25">
      <c r="AB1062" s="91"/>
      <c r="AD1062" s="118"/>
    </row>
    <row r="1063" spans="28:30" x14ac:dyDescent="0.25">
      <c r="AB1063" s="91"/>
      <c r="AD1063" s="118"/>
    </row>
    <row r="1064" spans="28:30" x14ac:dyDescent="0.25">
      <c r="AB1064" s="91"/>
      <c r="AD1064" s="118"/>
    </row>
    <row r="1065" spans="28:30" x14ac:dyDescent="0.25">
      <c r="AB1065" s="91"/>
      <c r="AD1065" s="118"/>
    </row>
    <row r="1066" spans="28:30" x14ac:dyDescent="0.25">
      <c r="AB1066" s="91"/>
      <c r="AD1066" s="118"/>
    </row>
    <row r="1067" spans="28:30" x14ac:dyDescent="0.25">
      <c r="AB1067" s="91"/>
      <c r="AD1067" s="118"/>
    </row>
    <row r="1068" spans="28:30" x14ac:dyDescent="0.25">
      <c r="AB1068" s="91"/>
      <c r="AD1068" s="118"/>
    </row>
    <row r="1069" spans="28:30" x14ac:dyDescent="0.25">
      <c r="AB1069" s="91"/>
      <c r="AD1069" s="118"/>
    </row>
    <row r="1070" spans="28:30" x14ac:dyDescent="0.25">
      <c r="AB1070" s="91"/>
      <c r="AD1070" s="118"/>
    </row>
    <row r="1071" spans="28:30" x14ac:dyDescent="0.25">
      <c r="AB1071" s="91"/>
      <c r="AD1071" s="118"/>
    </row>
    <row r="1072" spans="28:30" x14ac:dyDescent="0.25">
      <c r="AB1072" s="91"/>
      <c r="AD1072" s="118"/>
    </row>
    <row r="1073" spans="28:30" x14ac:dyDescent="0.25">
      <c r="AB1073" s="91"/>
      <c r="AD1073" s="118"/>
    </row>
    <row r="1074" spans="28:30" x14ac:dyDescent="0.25">
      <c r="AB1074" s="91"/>
      <c r="AD1074" s="118"/>
    </row>
    <row r="1075" spans="28:30" x14ac:dyDescent="0.25">
      <c r="AB1075" s="91"/>
      <c r="AD1075" s="118"/>
    </row>
    <row r="1076" spans="28:30" x14ac:dyDescent="0.25">
      <c r="AB1076" s="91"/>
      <c r="AD1076" s="118"/>
    </row>
    <row r="1077" spans="28:30" x14ac:dyDescent="0.25">
      <c r="AB1077" s="91"/>
      <c r="AD1077" s="118"/>
    </row>
    <row r="1078" spans="28:30" x14ac:dyDescent="0.25">
      <c r="AB1078" s="91"/>
      <c r="AD1078" s="118"/>
    </row>
    <row r="1079" spans="28:30" x14ac:dyDescent="0.25">
      <c r="AB1079" s="91"/>
      <c r="AD1079" s="118"/>
    </row>
    <row r="1080" spans="28:30" x14ac:dyDescent="0.25">
      <c r="AB1080" s="91"/>
      <c r="AD1080" s="118"/>
    </row>
    <row r="1081" spans="28:30" x14ac:dyDescent="0.25">
      <c r="AB1081" s="91"/>
      <c r="AD1081" s="118"/>
    </row>
    <row r="1082" spans="28:30" x14ac:dyDescent="0.25">
      <c r="AB1082" s="91"/>
      <c r="AD1082" s="118"/>
    </row>
    <row r="1083" spans="28:30" x14ac:dyDescent="0.25">
      <c r="AB1083" s="91"/>
      <c r="AD1083" s="118"/>
    </row>
    <row r="1084" spans="28:30" x14ac:dyDescent="0.25">
      <c r="AB1084" s="91"/>
      <c r="AD1084" s="118"/>
    </row>
    <row r="1085" spans="28:30" x14ac:dyDescent="0.25">
      <c r="AB1085" s="91"/>
      <c r="AD1085" s="118"/>
    </row>
    <row r="1086" spans="28:30" x14ac:dyDescent="0.25">
      <c r="AB1086" s="91"/>
      <c r="AD1086" s="118"/>
    </row>
    <row r="1087" spans="28:30" x14ac:dyDescent="0.25">
      <c r="AB1087" s="91"/>
      <c r="AD1087" s="118"/>
    </row>
    <row r="1088" spans="28:30" x14ac:dyDescent="0.25">
      <c r="AB1088" s="91"/>
      <c r="AD1088" s="118"/>
    </row>
    <row r="1089" spans="28:30" x14ac:dyDescent="0.25">
      <c r="AB1089" s="91"/>
      <c r="AD1089" s="118"/>
    </row>
    <row r="1090" spans="28:30" x14ac:dyDescent="0.25">
      <c r="AB1090" s="91"/>
      <c r="AD1090" s="118"/>
    </row>
    <row r="1091" spans="28:30" x14ac:dyDescent="0.25">
      <c r="AB1091" s="91"/>
      <c r="AD1091" s="118"/>
    </row>
    <row r="1092" spans="28:30" x14ac:dyDescent="0.25">
      <c r="AB1092" s="91"/>
      <c r="AD1092" s="118"/>
    </row>
    <row r="1093" spans="28:30" x14ac:dyDescent="0.25">
      <c r="AB1093" s="91"/>
      <c r="AD1093" s="118"/>
    </row>
    <row r="1094" spans="28:30" x14ac:dyDescent="0.25">
      <c r="AB1094" s="91"/>
      <c r="AD1094" s="118"/>
    </row>
    <row r="1095" spans="28:30" x14ac:dyDescent="0.25">
      <c r="AB1095" s="91"/>
      <c r="AD1095" s="118"/>
    </row>
    <row r="1096" spans="28:30" x14ac:dyDescent="0.25">
      <c r="AB1096" s="91"/>
      <c r="AD1096" s="118"/>
    </row>
    <row r="1097" spans="28:30" x14ac:dyDescent="0.25">
      <c r="AB1097" s="91"/>
      <c r="AD1097" s="118"/>
    </row>
    <row r="1098" spans="28:30" x14ac:dyDescent="0.25">
      <c r="AB1098" s="91"/>
      <c r="AD1098" s="118"/>
    </row>
    <row r="1099" spans="28:30" x14ac:dyDescent="0.25">
      <c r="AB1099" s="91"/>
      <c r="AD1099" s="118"/>
    </row>
    <row r="1100" spans="28:30" x14ac:dyDescent="0.25">
      <c r="AB1100" s="91"/>
      <c r="AD1100" s="118"/>
    </row>
    <row r="1101" spans="28:30" x14ac:dyDescent="0.25">
      <c r="AB1101" s="91"/>
      <c r="AD1101" s="118"/>
    </row>
    <row r="1102" spans="28:30" x14ac:dyDescent="0.25">
      <c r="AB1102" s="91"/>
      <c r="AD1102" s="118"/>
    </row>
    <row r="1103" spans="28:30" x14ac:dyDescent="0.25">
      <c r="AB1103" s="91"/>
      <c r="AD1103" s="118"/>
    </row>
    <row r="1104" spans="28:30" x14ac:dyDescent="0.25">
      <c r="AB1104" s="91"/>
      <c r="AD1104" s="118"/>
    </row>
    <row r="1105" spans="28:30" x14ac:dyDescent="0.25">
      <c r="AB1105" s="91"/>
      <c r="AD1105" s="118"/>
    </row>
    <row r="1106" spans="28:30" x14ac:dyDescent="0.25">
      <c r="AB1106" s="91"/>
      <c r="AD1106" s="118"/>
    </row>
    <row r="1107" spans="28:30" x14ac:dyDescent="0.25">
      <c r="AB1107" s="91"/>
      <c r="AD1107" s="118"/>
    </row>
    <row r="1108" spans="28:30" x14ac:dyDescent="0.25">
      <c r="AB1108" s="91"/>
      <c r="AD1108" s="118"/>
    </row>
    <row r="1109" spans="28:30" x14ac:dyDescent="0.25">
      <c r="AB1109" s="91"/>
      <c r="AD1109" s="118"/>
    </row>
    <row r="1110" spans="28:30" x14ac:dyDescent="0.25">
      <c r="AB1110" s="91"/>
      <c r="AD1110" s="118"/>
    </row>
    <row r="1111" spans="28:30" x14ac:dyDescent="0.25">
      <c r="AB1111" s="91"/>
      <c r="AD1111" s="118"/>
    </row>
    <row r="1112" spans="28:30" x14ac:dyDescent="0.25">
      <c r="AB1112" s="91"/>
      <c r="AD1112" s="118"/>
    </row>
    <row r="1113" spans="28:30" x14ac:dyDescent="0.25">
      <c r="AB1113" s="91"/>
      <c r="AD1113" s="118"/>
    </row>
    <row r="1114" spans="28:30" x14ac:dyDescent="0.25">
      <c r="AB1114" s="91"/>
      <c r="AD1114" s="118"/>
    </row>
    <row r="1115" spans="28:30" x14ac:dyDescent="0.25">
      <c r="AB1115" s="91"/>
      <c r="AD1115" s="118"/>
    </row>
    <row r="1116" spans="28:30" x14ac:dyDescent="0.25">
      <c r="AB1116" s="91"/>
      <c r="AD1116" s="118"/>
    </row>
    <row r="1117" spans="28:30" x14ac:dyDescent="0.25">
      <c r="AB1117" s="91"/>
      <c r="AD1117" s="118"/>
    </row>
    <row r="1118" spans="28:30" x14ac:dyDescent="0.25">
      <c r="AB1118" s="91"/>
      <c r="AD1118" s="118"/>
    </row>
    <row r="1119" spans="28:30" x14ac:dyDescent="0.25">
      <c r="AB1119" s="91"/>
      <c r="AD1119" s="118"/>
    </row>
    <row r="1120" spans="28:30" x14ac:dyDescent="0.25">
      <c r="AB1120" s="91"/>
      <c r="AD1120" s="118"/>
    </row>
    <row r="1121" spans="28:30" x14ac:dyDescent="0.25">
      <c r="AB1121" s="91"/>
      <c r="AD1121" s="118"/>
    </row>
    <row r="1122" spans="28:30" x14ac:dyDescent="0.25">
      <c r="AB1122" s="91"/>
      <c r="AD1122" s="118"/>
    </row>
    <row r="1123" spans="28:30" x14ac:dyDescent="0.25">
      <c r="AB1123" s="91"/>
      <c r="AD1123" s="118"/>
    </row>
    <row r="1124" spans="28:30" x14ac:dyDescent="0.25">
      <c r="AB1124" s="91"/>
      <c r="AD1124" s="118"/>
    </row>
    <row r="1125" spans="28:30" x14ac:dyDescent="0.25">
      <c r="AB1125" s="91"/>
      <c r="AD1125" s="118"/>
    </row>
    <row r="1126" spans="28:30" x14ac:dyDescent="0.25">
      <c r="AB1126" s="91"/>
      <c r="AD1126" s="118"/>
    </row>
    <row r="1127" spans="28:30" x14ac:dyDescent="0.25">
      <c r="AB1127" s="91"/>
      <c r="AD1127" s="118"/>
    </row>
    <row r="1128" spans="28:30" x14ac:dyDescent="0.25">
      <c r="AB1128" s="91"/>
      <c r="AD1128" s="118"/>
    </row>
    <row r="1129" spans="28:30" x14ac:dyDescent="0.25">
      <c r="AB1129" s="91"/>
      <c r="AD1129" s="118"/>
    </row>
    <row r="1130" spans="28:30" x14ac:dyDescent="0.25">
      <c r="AB1130" s="91"/>
      <c r="AD1130" s="118"/>
    </row>
    <row r="1131" spans="28:30" x14ac:dyDescent="0.25">
      <c r="AB1131" s="91"/>
      <c r="AD1131" s="118"/>
    </row>
    <row r="1132" spans="28:30" x14ac:dyDescent="0.25">
      <c r="AB1132" s="91"/>
      <c r="AD1132" s="118"/>
    </row>
    <row r="1133" spans="28:30" x14ac:dyDescent="0.25">
      <c r="AB1133" s="91"/>
      <c r="AD1133" s="118"/>
    </row>
    <row r="1134" spans="28:30" x14ac:dyDescent="0.25">
      <c r="AB1134" s="91"/>
      <c r="AD1134" s="118"/>
    </row>
    <row r="1135" spans="28:30" x14ac:dyDescent="0.25">
      <c r="AB1135" s="91"/>
      <c r="AD1135" s="118"/>
    </row>
    <row r="1136" spans="28:30" x14ac:dyDescent="0.25">
      <c r="AB1136" s="91"/>
      <c r="AD1136" s="118"/>
    </row>
    <row r="1137" spans="28:30" x14ac:dyDescent="0.25">
      <c r="AB1137" s="91"/>
      <c r="AD1137" s="118"/>
    </row>
    <row r="1138" spans="28:30" x14ac:dyDescent="0.25">
      <c r="AB1138" s="91"/>
      <c r="AD1138" s="118"/>
    </row>
    <row r="1139" spans="28:30" x14ac:dyDescent="0.25">
      <c r="AB1139" s="91"/>
      <c r="AD1139" s="118"/>
    </row>
    <row r="1140" spans="28:30" x14ac:dyDescent="0.25">
      <c r="AB1140" s="91"/>
      <c r="AD1140" s="118"/>
    </row>
    <row r="1141" spans="28:30" x14ac:dyDescent="0.25">
      <c r="AB1141" s="91"/>
      <c r="AD1141" s="118"/>
    </row>
    <row r="1142" spans="28:30" x14ac:dyDescent="0.25">
      <c r="AB1142" s="91"/>
      <c r="AD1142" s="118"/>
    </row>
    <row r="1143" spans="28:30" x14ac:dyDescent="0.25">
      <c r="AB1143" s="91"/>
      <c r="AD1143" s="118"/>
    </row>
    <row r="1144" spans="28:30" x14ac:dyDescent="0.25">
      <c r="AB1144" s="91"/>
      <c r="AD1144" s="118"/>
    </row>
    <row r="1145" spans="28:30" x14ac:dyDescent="0.25">
      <c r="AB1145" s="91"/>
      <c r="AD1145" s="118"/>
    </row>
    <row r="1146" spans="28:30" x14ac:dyDescent="0.25">
      <c r="AB1146" s="91"/>
      <c r="AD1146" s="118"/>
    </row>
    <row r="1147" spans="28:30" x14ac:dyDescent="0.25">
      <c r="AB1147" s="91"/>
      <c r="AD1147" s="118"/>
    </row>
    <row r="1148" spans="28:30" x14ac:dyDescent="0.25">
      <c r="AB1148" s="91"/>
      <c r="AD1148" s="118"/>
    </row>
    <row r="1149" spans="28:30" x14ac:dyDescent="0.25">
      <c r="AB1149" s="91"/>
      <c r="AD1149" s="118"/>
    </row>
    <row r="1150" spans="28:30" x14ac:dyDescent="0.25">
      <c r="AB1150" s="91"/>
      <c r="AD1150" s="118"/>
    </row>
    <row r="1151" spans="28:30" x14ac:dyDescent="0.25">
      <c r="AB1151" s="91"/>
      <c r="AD1151" s="118"/>
    </row>
    <row r="1152" spans="28:30" x14ac:dyDescent="0.25">
      <c r="AB1152" s="91"/>
      <c r="AD1152" s="118"/>
    </row>
    <row r="1153" spans="28:30" x14ac:dyDescent="0.25">
      <c r="AB1153" s="91"/>
      <c r="AD1153" s="118"/>
    </row>
    <row r="1154" spans="28:30" x14ac:dyDescent="0.25">
      <c r="AB1154" s="91"/>
      <c r="AD1154" s="118"/>
    </row>
    <row r="1155" spans="28:30" x14ac:dyDescent="0.25">
      <c r="AB1155" s="91"/>
      <c r="AD1155" s="118"/>
    </row>
    <row r="1156" spans="28:30" x14ac:dyDescent="0.25">
      <c r="AB1156" s="91"/>
      <c r="AD1156" s="118"/>
    </row>
    <row r="1157" spans="28:30" x14ac:dyDescent="0.25">
      <c r="AB1157" s="91"/>
      <c r="AD1157" s="118"/>
    </row>
    <row r="1158" spans="28:30" x14ac:dyDescent="0.25">
      <c r="AB1158" s="91"/>
      <c r="AD1158" s="118"/>
    </row>
    <row r="1159" spans="28:30" x14ac:dyDescent="0.25">
      <c r="AB1159" s="91"/>
      <c r="AD1159" s="118"/>
    </row>
    <row r="1160" spans="28:30" x14ac:dyDescent="0.25">
      <c r="AB1160" s="91"/>
      <c r="AD1160" s="118"/>
    </row>
    <row r="1161" spans="28:30" x14ac:dyDescent="0.25">
      <c r="AB1161" s="91"/>
      <c r="AD1161" s="118"/>
    </row>
    <row r="1162" spans="28:30" x14ac:dyDescent="0.25">
      <c r="AB1162" s="91"/>
      <c r="AD1162" s="118"/>
    </row>
    <row r="1163" spans="28:30" x14ac:dyDescent="0.25">
      <c r="AB1163" s="91"/>
      <c r="AD1163" s="118"/>
    </row>
    <row r="1164" spans="28:30" x14ac:dyDescent="0.25">
      <c r="AB1164" s="91"/>
      <c r="AD1164" s="118"/>
    </row>
    <row r="1165" spans="28:30" x14ac:dyDescent="0.25">
      <c r="AB1165" s="91"/>
      <c r="AD1165" s="118"/>
    </row>
    <row r="1166" spans="28:30" x14ac:dyDescent="0.25">
      <c r="AB1166" s="91"/>
      <c r="AD1166" s="118"/>
    </row>
    <row r="1167" spans="28:30" x14ac:dyDescent="0.25">
      <c r="AB1167" s="91"/>
      <c r="AD1167" s="118"/>
    </row>
    <row r="1168" spans="28:30" x14ac:dyDescent="0.25">
      <c r="AB1168" s="91"/>
      <c r="AD1168" s="118"/>
    </row>
    <row r="1169" spans="28:30" x14ac:dyDescent="0.25">
      <c r="AB1169" s="91"/>
      <c r="AD1169" s="118"/>
    </row>
    <row r="1170" spans="28:30" x14ac:dyDescent="0.25">
      <c r="AB1170" s="91"/>
      <c r="AD1170" s="118"/>
    </row>
    <row r="1171" spans="28:30" x14ac:dyDescent="0.25">
      <c r="AB1171" s="91"/>
      <c r="AD1171" s="118"/>
    </row>
    <row r="1172" spans="28:30" x14ac:dyDescent="0.25">
      <c r="AB1172" s="91"/>
      <c r="AD1172" s="118"/>
    </row>
    <row r="1173" spans="28:30" x14ac:dyDescent="0.25">
      <c r="AB1173" s="91"/>
      <c r="AD1173" s="118"/>
    </row>
    <row r="1174" spans="28:30" x14ac:dyDescent="0.25">
      <c r="AB1174" s="91"/>
      <c r="AD1174" s="118"/>
    </row>
    <row r="1175" spans="28:30" x14ac:dyDescent="0.25">
      <c r="AB1175" s="91"/>
      <c r="AD1175" s="118"/>
    </row>
    <row r="1176" spans="28:30" x14ac:dyDescent="0.25">
      <c r="AB1176" s="91"/>
      <c r="AD1176" s="118"/>
    </row>
    <row r="1177" spans="28:30" x14ac:dyDescent="0.25">
      <c r="AB1177" s="91"/>
      <c r="AD1177" s="118"/>
    </row>
    <row r="1178" spans="28:30" x14ac:dyDescent="0.25">
      <c r="AB1178" s="91"/>
      <c r="AD1178" s="118"/>
    </row>
    <row r="1179" spans="28:30" x14ac:dyDescent="0.25">
      <c r="AB1179" s="91"/>
      <c r="AD1179" s="118"/>
    </row>
    <row r="1180" spans="28:30" x14ac:dyDescent="0.25">
      <c r="AB1180" s="91"/>
      <c r="AD1180" s="118"/>
    </row>
    <row r="1181" spans="28:30" x14ac:dyDescent="0.25">
      <c r="AB1181" s="91"/>
      <c r="AD1181" s="118"/>
    </row>
    <row r="1182" spans="28:30" x14ac:dyDescent="0.25">
      <c r="AB1182" s="91"/>
      <c r="AD1182" s="118"/>
    </row>
    <row r="1183" spans="28:30" x14ac:dyDescent="0.25">
      <c r="AB1183" s="91"/>
      <c r="AD1183" s="118"/>
    </row>
    <row r="1184" spans="28:30" x14ac:dyDescent="0.25">
      <c r="AB1184" s="91"/>
      <c r="AD1184" s="118"/>
    </row>
    <row r="1185" spans="28:30" x14ac:dyDescent="0.25">
      <c r="AB1185" s="91"/>
      <c r="AD1185" s="118"/>
    </row>
    <row r="1186" spans="28:30" x14ac:dyDescent="0.25">
      <c r="AB1186" s="91"/>
      <c r="AD1186" s="118"/>
    </row>
    <row r="1187" spans="28:30" x14ac:dyDescent="0.25">
      <c r="AB1187" s="91"/>
      <c r="AD1187" s="118"/>
    </row>
    <row r="1188" spans="28:30" x14ac:dyDescent="0.25">
      <c r="AB1188" s="91"/>
      <c r="AD1188" s="118"/>
    </row>
    <row r="1189" spans="28:30" x14ac:dyDescent="0.25">
      <c r="AB1189" s="91"/>
      <c r="AD1189" s="118"/>
    </row>
    <row r="1190" spans="28:30" x14ac:dyDescent="0.25">
      <c r="AB1190" s="91"/>
      <c r="AD1190" s="118"/>
    </row>
    <row r="1191" spans="28:30" x14ac:dyDescent="0.25">
      <c r="AB1191" s="91"/>
      <c r="AD1191" s="118"/>
    </row>
    <row r="1192" spans="28:30" x14ac:dyDescent="0.25">
      <c r="AB1192" s="91"/>
      <c r="AD1192" s="118"/>
    </row>
    <row r="1193" spans="28:30" x14ac:dyDescent="0.25">
      <c r="AB1193" s="91"/>
      <c r="AD1193" s="118"/>
    </row>
    <row r="1194" spans="28:30" x14ac:dyDescent="0.25">
      <c r="AB1194" s="91"/>
      <c r="AD1194" s="118"/>
    </row>
    <row r="1195" spans="28:30" x14ac:dyDescent="0.25">
      <c r="AB1195" s="91"/>
      <c r="AD1195" s="118"/>
    </row>
    <row r="1196" spans="28:30" x14ac:dyDescent="0.25">
      <c r="AB1196" s="91"/>
      <c r="AD1196" s="118"/>
    </row>
    <row r="1197" spans="28:30" x14ac:dyDescent="0.25">
      <c r="AB1197" s="91"/>
      <c r="AD1197" s="118"/>
    </row>
    <row r="1198" spans="28:30" x14ac:dyDescent="0.25">
      <c r="AB1198" s="91"/>
      <c r="AD1198" s="118"/>
    </row>
    <row r="1199" spans="28:30" x14ac:dyDescent="0.25">
      <c r="AB1199" s="91"/>
      <c r="AD1199" s="118"/>
    </row>
    <row r="1200" spans="28:30" x14ac:dyDescent="0.25">
      <c r="AB1200" s="91"/>
      <c r="AD1200" s="118"/>
    </row>
    <row r="1201" spans="28:30" x14ac:dyDescent="0.25">
      <c r="AB1201" s="91"/>
      <c r="AD1201" s="118"/>
    </row>
    <row r="1202" spans="28:30" x14ac:dyDescent="0.25">
      <c r="AB1202" s="91"/>
      <c r="AD1202" s="118"/>
    </row>
    <row r="1203" spans="28:30" x14ac:dyDescent="0.25">
      <c r="AB1203" s="91"/>
      <c r="AD1203" s="118"/>
    </row>
    <row r="1204" spans="28:30" x14ac:dyDescent="0.25">
      <c r="AB1204" s="91"/>
      <c r="AD1204" s="118"/>
    </row>
    <row r="1205" spans="28:30" x14ac:dyDescent="0.25">
      <c r="AB1205" s="91"/>
      <c r="AD1205" s="118"/>
    </row>
    <row r="1206" spans="28:30" x14ac:dyDescent="0.25">
      <c r="AB1206" s="91"/>
      <c r="AD1206" s="118"/>
    </row>
    <row r="1207" spans="28:30" x14ac:dyDescent="0.25">
      <c r="AB1207" s="91"/>
      <c r="AD1207" s="118"/>
    </row>
    <row r="1208" spans="28:30" x14ac:dyDescent="0.25">
      <c r="AB1208" s="91"/>
      <c r="AD1208" s="118"/>
    </row>
    <row r="1209" spans="28:30" x14ac:dyDescent="0.25">
      <c r="AB1209" s="91"/>
      <c r="AD1209" s="118"/>
    </row>
    <row r="1210" spans="28:30" x14ac:dyDescent="0.25">
      <c r="AB1210" s="91"/>
      <c r="AD1210" s="118"/>
    </row>
    <row r="1211" spans="28:30" x14ac:dyDescent="0.25">
      <c r="AB1211" s="91"/>
      <c r="AD1211" s="118"/>
    </row>
    <row r="1212" spans="28:30" x14ac:dyDescent="0.25">
      <c r="AB1212" s="91"/>
      <c r="AD1212" s="118"/>
    </row>
    <row r="1213" spans="28:30" x14ac:dyDescent="0.25">
      <c r="AB1213" s="91"/>
      <c r="AD1213" s="118"/>
    </row>
    <row r="1214" spans="28:30" x14ac:dyDescent="0.25">
      <c r="AB1214" s="91"/>
      <c r="AD1214" s="118"/>
    </row>
    <row r="1215" spans="28:30" x14ac:dyDescent="0.25">
      <c r="AB1215" s="91"/>
      <c r="AD1215" s="118"/>
    </row>
    <row r="1216" spans="28:30" x14ac:dyDescent="0.25">
      <c r="AB1216" s="91"/>
      <c r="AD1216" s="118"/>
    </row>
    <row r="1217" spans="28:30" x14ac:dyDescent="0.25">
      <c r="AB1217" s="91"/>
      <c r="AD1217" s="118"/>
    </row>
    <row r="1218" spans="28:30" x14ac:dyDescent="0.25">
      <c r="AB1218" s="91"/>
      <c r="AD1218" s="118"/>
    </row>
    <row r="1219" spans="28:30" x14ac:dyDescent="0.25">
      <c r="AB1219" s="91"/>
      <c r="AD1219" s="118"/>
    </row>
    <row r="1220" spans="28:30" x14ac:dyDescent="0.25">
      <c r="AB1220" s="91"/>
      <c r="AD1220" s="118"/>
    </row>
    <row r="1221" spans="28:30" x14ac:dyDescent="0.25">
      <c r="AB1221" s="91"/>
      <c r="AD1221" s="118"/>
    </row>
    <row r="1222" spans="28:30" x14ac:dyDescent="0.25">
      <c r="AB1222" s="91"/>
      <c r="AD1222" s="118"/>
    </row>
    <row r="1223" spans="28:30" x14ac:dyDescent="0.25">
      <c r="AB1223" s="91"/>
      <c r="AD1223" s="118"/>
    </row>
    <row r="1224" spans="28:30" x14ac:dyDescent="0.25">
      <c r="AB1224" s="91"/>
      <c r="AD1224" s="118"/>
    </row>
    <row r="1225" spans="28:30" x14ac:dyDescent="0.25">
      <c r="AB1225" s="91"/>
      <c r="AD1225" s="118"/>
    </row>
    <row r="1226" spans="28:30" x14ac:dyDescent="0.25">
      <c r="AB1226" s="91"/>
      <c r="AD1226" s="118"/>
    </row>
    <row r="1227" spans="28:30" x14ac:dyDescent="0.25">
      <c r="AB1227" s="91"/>
      <c r="AD1227" s="118"/>
    </row>
    <row r="1228" spans="28:30" x14ac:dyDescent="0.25">
      <c r="AB1228" s="91"/>
      <c r="AD1228" s="118"/>
    </row>
    <row r="1229" spans="28:30" x14ac:dyDescent="0.25">
      <c r="AB1229" s="91"/>
      <c r="AD1229" s="118"/>
    </row>
    <row r="1230" spans="28:30" x14ac:dyDescent="0.25">
      <c r="AB1230" s="91"/>
      <c r="AD1230" s="118"/>
    </row>
    <row r="1231" spans="28:30" x14ac:dyDescent="0.25">
      <c r="AB1231" s="91"/>
      <c r="AD1231" s="118"/>
    </row>
    <row r="1232" spans="28:30" x14ac:dyDescent="0.25">
      <c r="AB1232" s="91"/>
      <c r="AD1232" s="118"/>
    </row>
    <row r="1233" spans="28:30" x14ac:dyDescent="0.25">
      <c r="AB1233" s="91"/>
      <c r="AD1233" s="118"/>
    </row>
    <row r="1234" spans="28:30" x14ac:dyDescent="0.25">
      <c r="AB1234" s="91"/>
      <c r="AD1234" s="118"/>
    </row>
    <row r="1235" spans="28:30" x14ac:dyDescent="0.25">
      <c r="AB1235" s="91"/>
      <c r="AD1235" s="118"/>
    </row>
    <row r="1236" spans="28:30" x14ac:dyDescent="0.25">
      <c r="AB1236" s="91"/>
      <c r="AD1236" s="118"/>
    </row>
    <row r="1237" spans="28:30" x14ac:dyDescent="0.25">
      <c r="AB1237" s="91"/>
      <c r="AD1237" s="118"/>
    </row>
    <row r="1238" spans="28:30" x14ac:dyDescent="0.25">
      <c r="AB1238" s="91"/>
      <c r="AD1238" s="118"/>
    </row>
    <row r="1239" spans="28:30" x14ac:dyDescent="0.25">
      <c r="AB1239" s="91"/>
      <c r="AD1239" s="118"/>
    </row>
    <row r="1240" spans="28:30" x14ac:dyDescent="0.25">
      <c r="AB1240" s="91"/>
      <c r="AD1240" s="118"/>
    </row>
    <row r="1241" spans="28:30" x14ac:dyDescent="0.25">
      <c r="AB1241" s="91"/>
      <c r="AD1241" s="118"/>
    </row>
    <row r="1242" spans="28:30" x14ac:dyDescent="0.25">
      <c r="AB1242" s="91"/>
      <c r="AD1242" s="118"/>
    </row>
    <row r="1243" spans="28:30" x14ac:dyDescent="0.25">
      <c r="AB1243" s="91"/>
      <c r="AD1243" s="118"/>
    </row>
    <row r="1244" spans="28:30" x14ac:dyDescent="0.25">
      <c r="AB1244" s="91"/>
      <c r="AD1244" s="118"/>
    </row>
    <row r="1245" spans="28:30" x14ac:dyDescent="0.25">
      <c r="AB1245" s="91"/>
      <c r="AD1245" s="118"/>
    </row>
    <row r="1246" spans="28:30" x14ac:dyDescent="0.25">
      <c r="AB1246" s="91"/>
      <c r="AD1246" s="118"/>
    </row>
    <row r="1247" spans="28:30" x14ac:dyDescent="0.25">
      <c r="AB1247" s="91"/>
      <c r="AD1247" s="118"/>
    </row>
    <row r="1248" spans="28:30" x14ac:dyDescent="0.25">
      <c r="AB1248" s="91"/>
      <c r="AD1248" s="118"/>
    </row>
    <row r="1249" spans="28:30" x14ac:dyDescent="0.25">
      <c r="AB1249" s="91"/>
      <c r="AD1249" s="118"/>
    </row>
    <row r="1250" spans="28:30" x14ac:dyDescent="0.25">
      <c r="AB1250" s="91"/>
      <c r="AD1250" s="118"/>
    </row>
    <row r="1251" spans="28:30" x14ac:dyDescent="0.25">
      <c r="AB1251" s="91"/>
      <c r="AD1251" s="118"/>
    </row>
    <row r="1252" spans="28:30" x14ac:dyDescent="0.25">
      <c r="AB1252" s="91"/>
      <c r="AD1252" s="118"/>
    </row>
    <row r="1253" spans="28:30" x14ac:dyDescent="0.25">
      <c r="AB1253" s="91"/>
      <c r="AD1253" s="118"/>
    </row>
    <row r="1254" spans="28:30" x14ac:dyDescent="0.25">
      <c r="AB1254" s="91"/>
      <c r="AD1254" s="118"/>
    </row>
    <row r="1255" spans="28:30" x14ac:dyDescent="0.25">
      <c r="AB1255" s="91"/>
      <c r="AD1255" s="118"/>
    </row>
    <row r="1256" spans="28:30" x14ac:dyDescent="0.25">
      <c r="AB1256" s="91"/>
      <c r="AD1256" s="118"/>
    </row>
    <row r="1257" spans="28:30" x14ac:dyDescent="0.25">
      <c r="AB1257" s="91"/>
      <c r="AD1257" s="118"/>
    </row>
    <row r="1258" spans="28:30" x14ac:dyDescent="0.25">
      <c r="AB1258" s="91"/>
      <c r="AD1258" s="118"/>
    </row>
    <row r="1259" spans="28:30" x14ac:dyDescent="0.25">
      <c r="AB1259" s="91"/>
      <c r="AD1259" s="118"/>
    </row>
    <row r="1260" spans="28:30" x14ac:dyDescent="0.25">
      <c r="AB1260" s="91"/>
      <c r="AD1260" s="118"/>
    </row>
    <row r="1261" spans="28:30" x14ac:dyDescent="0.25">
      <c r="AB1261" s="91"/>
      <c r="AD1261" s="118"/>
    </row>
    <row r="1262" spans="28:30" x14ac:dyDescent="0.25">
      <c r="AB1262" s="91"/>
      <c r="AD1262" s="118"/>
    </row>
    <row r="1263" spans="28:30" x14ac:dyDescent="0.25">
      <c r="AB1263" s="91"/>
      <c r="AD1263" s="118"/>
    </row>
    <row r="1264" spans="28:30" x14ac:dyDescent="0.25">
      <c r="AB1264" s="91"/>
      <c r="AD1264" s="118"/>
    </row>
    <row r="1265" spans="28:30" x14ac:dyDescent="0.25">
      <c r="AB1265" s="91"/>
      <c r="AD1265" s="118"/>
    </row>
    <row r="1266" spans="28:30" x14ac:dyDescent="0.25">
      <c r="AB1266" s="91"/>
      <c r="AD1266" s="118"/>
    </row>
    <row r="1267" spans="28:30" x14ac:dyDescent="0.25">
      <c r="AB1267" s="91"/>
      <c r="AD1267" s="118"/>
    </row>
    <row r="1268" spans="28:30" x14ac:dyDescent="0.25">
      <c r="AB1268" s="91"/>
      <c r="AD1268" s="118"/>
    </row>
    <row r="1269" spans="28:30" x14ac:dyDescent="0.25">
      <c r="AB1269" s="91"/>
      <c r="AD1269" s="118"/>
    </row>
    <row r="1270" spans="28:30" x14ac:dyDescent="0.25">
      <c r="AB1270" s="91"/>
      <c r="AD1270" s="118"/>
    </row>
    <row r="1271" spans="28:30" x14ac:dyDescent="0.25">
      <c r="AB1271" s="91"/>
      <c r="AD1271" s="118"/>
    </row>
    <row r="1272" spans="28:30" x14ac:dyDescent="0.25">
      <c r="AB1272" s="91"/>
      <c r="AD1272" s="118"/>
    </row>
    <row r="1273" spans="28:30" x14ac:dyDescent="0.25">
      <c r="AB1273" s="91"/>
      <c r="AD1273" s="118"/>
    </row>
    <row r="1274" spans="28:30" x14ac:dyDescent="0.25">
      <c r="AB1274" s="91"/>
      <c r="AD1274" s="118"/>
    </row>
    <row r="1275" spans="28:30" x14ac:dyDescent="0.25">
      <c r="AB1275" s="91"/>
      <c r="AD1275" s="118"/>
    </row>
    <row r="1276" spans="28:30" x14ac:dyDescent="0.25">
      <c r="AB1276" s="91"/>
      <c r="AD1276" s="118"/>
    </row>
    <row r="1277" spans="28:30" x14ac:dyDescent="0.25">
      <c r="AB1277" s="91"/>
      <c r="AD1277" s="118"/>
    </row>
    <row r="1278" spans="28:30" x14ac:dyDescent="0.25">
      <c r="AB1278" s="91"/>
      <c r="AD1278" s="118"/>
    </row>
    <row r="1279" spans="28:30" x14ac:dyDescent="0.25">
      <c r="AB1279" s="91"/>
      <c r="AD1279" s="118"/>
    </row>
    <row r="1280" spans="28:30" x14ac:dyDescent="0.25">
      <c r="AB1280" s="91"/>
      <c r="AD1280" s="118"/>
    </row>
    <row r="1281" spans="28:30" x14ac:dyDescent="0.25">
      <c r="AB1281" s="91"/>
      <c r="AD1281" s="118"/>
    </row>
    <row r="1282" spans="28:30" x14ac:dyDescent="0.25">
      <c r="AB1282" s="91"/>
      <c r="AD1282" s="118"/>
    </row>
    <row r="1283" spans="28:30" x14ac:dyDescent="0.25">
      <c r="AB1283" s="91"/>
      <c r="AD1283" s="118"/>
    </row>
    <row r="1284" spans="28:30" x14ac:dyDescent="0.25">
      <c r="AB1284" s="91"/>
      <c r="AD1284" s="118"/>
    </row>
    <row r="1285" spans="28:30" x14ac:dyDescent="0.25">
      <c r="AB1285" s="91"/>
      <c r="AD1285" s="118"/>
    </row>
    <row r="1286" spans="28:30" x14ac:dyDescent="0.25">
      <c r="AB1286" s="91"/>
      <c r="AD1286" s="118"/>
    </row>
    <row r="1287" spans="28:30" x14ac:dyDescent="0.25">
      <c r="AB1287" s="91"/>
      <c r="AD1287" s="118"/>
    </row>
    <row r="1288" spans="28:30" x14ac:dyDescent="0.25">
      <c r="AB1288" s="91"/>
      <c r="AD1288" s="118"/>
    </row>
    <row r="1289" spans="28:30" x14ac:dyDescent="0.25">
      <c r="AB1289" s="91"/>
      <c r="AD1289" s="118"/>
    </row>
    <row r="1290" spans="28:30" x14ac:dyDescent="0.25">
      <c r="AB1290" s="91"/>
      <c r="AD1290" s="118"/>
    </row>
    <row r="1291" spans="28:30" x14ac:dyDescent="0.25">
      <c r="AB1291" s="91"/>
      <c r="AD1291" s="118"/>
    </row>
    <row r="1292" spans="28:30" x14ac:dyDescent="0.25">
      <c r="AB1292" s="91"/>
      <c r="AD1292" s="118"/>
    </row>
    <row r="1293" spans="28:30" x14ac:dyDescent="0.25">
      <c r="AB1293" s="91"/>
      <c r="AD1293" s="118"/>
    </row>
    <row r="1294" spans="28:30" x14ac:dyDescent="0.25">
      <c r="AB1294" s="91"/>
      <c r="AD1294" s="118"/>
    </row>
    <row r="1295" spans="28:30" x14ac:dyDescent="0.25">
      <c r="AB1295" s="91"/>
      <c r="AD1295" s="118"/>
    </row>
    <row r="1296" spans="28:30" x14ac:dyDescent="0.25">
      <c r="AB1296" s="91"/>
      <c r="AD1296" s="118"/>
    </row>
    <row r="1297" spans="28:30" x14ac:dyDescent="0.25">
      <c r="AB1297" s="91"/>
      <c r="AD1297" s="118"/>
    </row>
    <row r="1298" spans="28:30" x14ac:dyDescent="0.25">
      <c r="AB1298" s="91"/>
      <c r="AD1298" s="118"/>
    </row>
    <row r="1299" spans="28:30" x14ac:dyDescent="0.25">
      <c r="AB1299" s="91"/>
      <c r="AD1299" s="118"/>
    </row>
    <row r="1300" spans="28:30" x14ac:dyDescent="0.25">
      <c r="AB1300" s="91"/>
      <c r="AD1300" s="118"/>
    </row>
    <row r="1301" spans="28:30" x14ac:dyDescent="0.25">
      <c r="AB1301" s="91"/>
      <c r="AD1301" s="118"/>
    </row>
    <row r="1302" spans="28:30" x14ac:dyDescent="0.25">
      <c r="AB1302" s="91"/>
      <c r="AD1302" s="118"/>
    </row>
    <row r="1303" spans="28:30" x14ac:dyDescent="0.25">
      <c r="AB1303" s="91"/>
      <c r="AD1303" s="118"/>
    </row>
    <row r="1304" spans="28:30" x14ac:dyDescent="0.25">
      <c r="AB1304" s="91"/>
      <c r="AD1304" s="118"/>
    </row>
    <row r="1305" spans="28:30" x14ac:dyDescent="0.25">
      <c r="AB1305" s="91"/>
      <c r="AD1305" s="118"/>
    </row>
    <row r="1306" spans="28:30" x14ac:dyDescent="0.25">
      <c r="AB1306" s="91"/>
      <c r="AD1306" s="118"/>
    </row>
    <row r="1307" spans="28:30" x14ac:dyDescent="0.25">
      <c r="AB1307" s="91"/>
      <c r="AD1307" s="118"/>
    </row>
    <row r="1308" spans="28:30" x14ac:dyDescent="0.25">
      <c r="AB1308" s="91"/>
      <c r="AD1308" s="118"/>
    </row>
    <row r="1309" spans="28:30" x14ac:dyDescent="0.25">
      <c r="AB1309" s="91"/>
      <c r="AD1309" s="118"/>
    </row>
    <row r="1310" spans="28:30" x14ac:dyDescent="0.25">
      <c r="AB1310" s="91"/>
      <c r="AD1310" s="118"/>
    </row>
    <row r="1311" spans="28:30" x14ac:dyDescent="0.25">
      <c r="AB1311" s="91"/>
      <c r="AD1311" s="118"/>
    </row>
    <row r="1312" spans="28:30" x14ac:dyDescent="0.25">
      <c r="AB1312" s="91"/>
      <c r="AD1312" s="118"/>
    </row>
    <row r="1313" spans="28:30" x14ac:dyDescent="0.25">
      <c r="AB1313" s="91"/>
      <c r="AD1313" s="118"/>
    </row>
    <row r="1314" spans="28:30" x14ac:dyDescent="0.25">
      <c r="AB1314" s="91"/>
      <c r="AD1314" s="118"/>
    </row>
    <row r="1315" spans="28:30" x14ac:dyDescent="0.25">
      <c r="AB1315" s="91"/>
      <c r="AD1315" s="118"/>
    </row>
    <row r="1316" spans="28:30" x14ac:dyDescent="0.25">
      <c r="AB1316" s="91"/>
      <c r="AD1316" s="118"/>
    </row>
    <row r="1317" spans="28:30" x14ac:dyDescent="0.25">
      <c r="AB1317" s="91"/>
      <c r="AD1317" s="118"/>
    </row>
    <row r="1318" spans="28:30" x14ac:dyDescent="0.25">
      <c r="AB1318" s="91"/>
      <c r="AD1318" s="118"/>
    </row>
    <row r="1319" spans="28:30" x14ac:dyDescent="0.25">
      <c r="AB1319" s="91"/>
      <c r="AD1319" s="118"/>
    </row>
    <row r="1320" spans="28:30" x14ac:dyDescent="0.25">
      <c r="AB1320" s="91"/>
      <c r="AD1320" s="118"/>
    </row>
    <row r="1321" spans="28:30" x14ac:dyDescent="0.25">
      <c r="AB1321" s="91"/>
      <c r="AD1321" s="118"/>
    </row>
    <row r="1322" spans="28:30" x14ac:dyDescent="0.25">
      <c r="AB1322" s="91"/>
      <c r="AD1322" s="118"/>
    </row>
    <row r="1323" spans="28:30" x14ac:dyDescent="0.25">
      <c r="AB1323" s="91"/>
      <c r="AD1323" s="118"/>
    </row>
    <row r="1324" spans="28:30" x14ac:dyDescent="0.25">
      <c r="AB1324" s="91"/>
      <c r="AD1324" s="118"/>
    </row>
    <row r="1325" spans="28:30" x14ac:dyDescent="0.25">
      <c r="AB1325" s="91"/>
      <c r="AD1325" s="118"/>
    </row>
    <row r="1326" spans="28:30" x14ac:dyDescent="0.25">
      <c r="AB1326" s="91"/>
      <c r="AD1326" s="118"/>
    </row>
    <row r="1327" spans="28:30" x14ac:dyDescent="0.25">
      <c r="AB1327" s="91"/>
      <c r="AD1327" s="118"/>
    </row>
    <row r="1328" spans="28:30" x14ac:dyDescent="0.25">
      <c r="AB1328" s="91"/>
      <c r="AD1328" s="118"/>
    </row>
    <row r="1329" spans="28:30" x14ac:dyDescent="0.25">
      <c r="AB1329" s="91"/>
      <c r="AD1329" s="118"/>
    </row>
    <row r="1330" spans="28:30" x14ac:dyDescent="0.25">
      <c r="AB1330" s="91"/>
      <c r="AD1330" s="118"/>
    </row>
    <row r="1331" spans="28:30" x14ac:dyDescent="0.25">
      <c r="AB1331" s="91"/>
      <c r="AD1331" s="118"/>
    </row>
    <row r="1332" spans="28:30" x14ac:dyDescent="0.25">
      <c r="AB1332" s="91"/>
      <c r="AD1332" s="118"/>
    </row>
    <row r="1333" spans="28:30" x14ac:dyDescent="0.25">
      <c r="AB1333" s="91"/>
      <c r="AD1333" s="118"/>
    </row>
    <row r="1334" spans="28:30" x14ac:dyDescent="0.25">
      <c r="AB1334" s="91"/>
      <c r="AD1334" s="118"/>
    </row>
    <row r="1335" spans="28:30" x14ac:dyDescent="0.25">
      <c r="AB1335" s="91"/>
      <c r="AD1335" s="118"/>
    </row>
    <row r="1336" spans="28:30" x14ac:dyDescent="0.25">
      <c r="AB1336" s="91"/>
      <c r="AD1336" s="118"/>
    </row>
    <row r="1337" spans="28:30" x14ac:dyDescent="0.25">
      <c r="AB1337" s="91"/>
      <c r="AD1337" s="118"/>
    </row>
    <row r="1338" spans="28:30" x14ac:dyDescent="0.25">
      <c r="AB1338" s="91"/>
      <c r="AD1338" s="118"/>
    </row>
    <row r="1339" spans="28:30" x14ac:dyDescent="0.25">
      <c r="AB1339" s="91"/>
      <c r="AD1339" s="118"/>
    </row>
    <row r="1340" spans="28:30" x14ac:dyDescent="0.25">
      <c r="AB1340" s="91"/>
      <c r="AD1340" s="118"/>
    </row>
    <row r="1341" spans="28:30" x14ac:dyDescent="0.25">
      <c r="AB1341" s="91"/>
      <c r="AD1341" s="118"/>
    </row>
    <row r="1342" spans="28:30" x14ac:dyDescent="0.25">
      <c r="AB1342" s="91"/>
      <c r="AD1342" s="118"/>
    </row>
    <row r="1343" spans="28:30" x14ac:dyDescent="0.25">
      <c r="AB1343" s="91"/>
      <c r="AD1343" s="118"/>
    </row>
    <row r="1344" spans="28:30" x14ac:dyDescent="0.25">
      <c r="AB1344" s="91"/>
      <c r="AD1344" s="118"/>
    </row>
    <row r="1345" spans="28:30" x14ac:dyDescent="0.25">
      <c r="AB1345" s="91"/>
      <c r="AD1345" s="118"/>
    </row>
    <row r="1346" spans="28:30" x14ac:dyDescent="0.25">
      <c r="AB1346" s="91"/>
      <c r="AD1346" s="118"/>
    </row>
    <row r="1347" spans="28:30" x14ac:dyDescent="0.25">
      <c r="AB1347" s="91"/>
      <c r="AD1347" s="118"/>
    </row>
    <row r="1348" spans="28:30" x14ac:dyDescent="0.25">
      <c r="AB1348" s="91"/>
      <c r="AD1348" s="118"/>
    </row>
    <row r="1349" spans="28:30" x14ac:dyDescent="0.25">
      <c r="AB1349" s="91"/>
      <c r="AD1349" s="118"/>
    </row>
    <row r="1350" spans="28:30" x14ac:dyDescent="0.25">
      <c r="AB1350" s="91"/>
      <c r="AD1350" s="118"/>
    </row>
    <row r="1351" spans="28:30" x14ac:dyDescent="0.25">
      <c r="AB1351" s="91"/>
      <c r="AD1351" s="118"/>
    </row>
    <row r="1352" spans="28:30" x14ac:dyDescent="0.25">
      <c r="AB1352" s="91"/>
      <c r="AD1352" s="118"/>
    </row>
    <row r="1353" spans="28:30" x14ac:dyDescent="0.25">
      <c r="AB1353" s="91"/>
      <c r="AD1353" s="118"/>
    </row>
    <row r="1354" spans="28:30" x14ac:dyDescent="0.25">
      <c r="AB1354" s="91"/>
      <c r="AD1354" s="118"/>
    </row>
    <row r="1355" spans="28:30" x14ac:dyDescent="0.25">
      <c r="AB1355" s="91"/>
      <c r="AD1355" s="118"/>
    </row>
    <row r="1356" spans="28:30" x14ac:dyDescent="0.25">
      <c r="AB1356" s="91"/>
      <c r="AD1356" s="118"/>
    </row>
    <row r="1357" spans="28:30" x14ac:dyDescent="0.25">
      <c r="AB1357" s="91"/>
      <c r="AD1357" s="118"/>
    </row>
    <row r="1358" spans="28:30" x14ac:dyDescent="0.25">
      <c r="AB1358" s="91"/>
      <c r="AD1358" s="118"/>
    </row>
    <row r="1359" spans="28:30" x14ac:dyDescent="0.25">
      <c r="AB1359" s="91"/>
      <c r="AD1359" s="118"/>
    </row>
    <row r="1360" spans="28:30" x14ac:dyDescent="0.25">
      <c r="AB1360" s="91"/>
      <c r="AD1360" s="118"/>
    </row>
    <row r="1361" spans="28:30" x14ac:dyDescent="0.25">
      <c r="AB1361" s="91"/>
      <c r="AD1361" s="118"/>
    </row>
    <row r="1362" spans="28:30" x14ac:dyDescent="0.25">
      <c r="AB1362" s="91"/>
      <c r="AD1362" s="118"/>
    </row>
    <row r="1363" spans="28:30" x14ac:dyDescent="0.25">
      <c r="AB1363" s="91"/>
      <c r="AD1363" s="118"/>
    </row>
    <row r="1364" spans="28:30" x14ac:dyDescent="0.25">
      <c r="AB1364" s="91"/>
      <c r="AD1364" s="118"/>
    </row>
    <row r="1365" spans="28:30" x14ac:dyDescent="0.25">
      <c r="AB1365" s="91"/>
      <c r="AD1365" s="118"/>
    </row>
    <row r="1366" spans="28:30" x14ac:dyDescent="0.25">
      <c r="AB1366" s="91"/>
      <c r="AD1366" s="118"/>
    </row>
    <row r="1367" spans="28:30" x14ac:dyDescent="0.25">
      <c r="AB1367" s="91"/>
      <c r="AD1367" s="118"/>
    </row>
    <row r="1368" spans="28:30" x14ac:dyDescent="0.25">
      <c r="AB1368" s="91"/>
      <c r="AD1368" s="118"/>
    </row>
    <row r="1369" spans="28:30" x14ac:dyDescent="0.25">
      <c r="AB1369" s="91"/>
      <c r="AD1369" s="118"/>
    </row>
    <row r="1370" spans="28:30" x14ac:dyDescent="0.25">
      <c r="AB1370" s="91"/>
      <c r="AD1370" s="118"/>
    </row>
    <row r="1371" spans="28:30" x14ac:dyDescent="0.25">
      <c r="AB1371" s="91"/>
      <c r="AD1371" s="118"/>
    </row>
    <row r="1372" spans="28:30" x14ac:dyDescent="0.25">
      <c r="AB1372" s="91"/>
      <c r="AD1372" s="118"/>
    </row>
    <row r="1373" spans="28:30" x14ac:dyDescent="0.25">
      <c r="AB1373" s="91"/>
      <c r="AD1373" s="118"/>
    </row>
    <row r="1374" spans="28:30" x14ac:dyDescent="0.25">
      <c r="AB1374" s="91"/>
      <c r="AD1374" s="118"/>
    </row>
    <row r="1375" spans="28:30" x14ac:dyDescent="0.25">
      <c r="AB1375" s="91"/>
      <c r="AD1375" s="118"/>
    </row>
    <row r="1376" spans="28:30" x14ac:dyDescent="0.25">
      <c r="AB1376" s="91"/>
      <c r="AD1376" s="118"/>
    </row>
    <row r="1377" spans="28:30" x14ac:dyDescent="0.25">
      <c r="AB1377" s="91"/>
      <c r="AD1377" s="118"/>
    </row>
    <row r="1378" spans="28:30" x14ac:dyDescent="0.25">
      <c r="AB1378" s="91"/>
      <c r="AD1378" s="118"/>
    </row>
    <row r="1379" spans="28:30" x14ac:dyDescent="0.25">
      <c r="AB1379" s="91"/>
      <c r="AD1379" s="118"/>
    </row>
    <row r="1380" spans="28:30" x14ac:dyDescent="0.25">
      <c r="AB1380" s="91"/>
      <c r="AD1380" s="118"/>
    </row>
    <row r="1381" spans="28:30" x14ac:dyDescent="0.25">
      <c r="AB1381" s="91"/>
      <c r="AD1381" s="118"/>
    </row>
    <row r="1382" spans="28:30" x14ac:dyDescent="0.25">
      <c r="AB1382" s="91"/>
      <c r="AD1382" s="118"/>
    </row>
    <row r="1383" spans="28:30" x14ac:dyDescent="0.25">
      <c r="AB1383" s="91"/>
      <c r="AD1383" s="118"/>
    </row>
    <row r="1384" spans="28:30" x14ac:dyDescent="0.25">
      <c r="AB1384" s="91"/>
      <c r="AD1384" s="118"/>
    </row>
    <row r="1385" spans="28:30" x14ac:dyDescent="0.25">
      <c r="AB1385" s="91"/>
      <c r="AD1385" s="118"/>
    </row>
    <row r="1386" spans="28:30" x14ac:dyDescent="0.25">
      <c r="AB1386" s="91"/>
      <c r="AD1386" s="118"/>
    </row>
    <row r="1387" spans="28:30" x14ac:dyDescent="0.25">
      <c r="AB1387" s="91"/>
      <c r="AD1387" s="118"/>
    </row>
    <row r="1388" spans="28:30" x14ac:dyDescent="0.25">
      <c r="AB1388" s="91"/>
      <c r="AD1388" s="118"/>
    </row>
    <row r="1389" spans="28:30" x14ac:dyDescent="0.25">
      <c r="AB1389" s="91"/>
      <c r="AD1389" s="118"/>
    </row>
    <row r="1390" spans="28:30" x14ac:dyDescent="0.25">
      <c r="AB1390" s="91"/>
      <c r="AD1390" s="118"/>
    </row>
    <row r="1391" spans="28:30" x14ac:dyDescent="0.25">
      <c r="AB1391" s="91"/>
      <c r="AD1391" s="118"/>
    </row>
    <row r="1392" spans="28:30" x14ac:dyDescent="0.25">
      <c r="AB1392" s="91"/>
      <c r="AD1392" s="118"/>
    </row>
    <row r="1393" spans="28:30" x14ac:dyDescent="0.25">
      <c r="AB1393" s="91"/>
      <c r="AD1393" s="118"/>
    </row>
    <row r="1394" spans="28:30" x14ac:dyDescent="0.25">
      <c r="AB1394" s="91"/>
      <c r="AD1394" s="118"/>
    </row>
    <row r="1395" spans="28:30" x14ac:dyDescent="0.25">
      <c r="AB1395" s="91"/>
      <c r="AD1395" s="118"/>
    </row>
    <row r="1396" spans="28:30" x14ac:dyDescent="0.25">
      <c r="AB1396" s="91"/>
      <c r="AD1396" s="118"/>
    </row>
    <row r="1397" spans="28:30" x14ac:dyDescent="0.25">
      <c r="AB1397" s="91"/>
      <c r="AD1397" s="118"/>
    </row>
    <row r="1398" spans="28:30" x14ac:dyDescent="0.25">
      <c r="AB1398" s="91"/>
      <c r="AD1398" s="118"/>
    </row>
    <row r="1399" spans="28:30" x14ac:dyDescent="0.25">
      <c r="AB1399" s="91"/>
      <c r="AD1399" s="118"/>
    </row>
    <row r="1400" spans="28:30" x14ac:dyDescent="0.25">
      <c r="AB1400" s="91"/>
      <c r="AD1400" s="118"/>
    </row>
    <row r="1401" spans="28:30" x14ac:dyDescent="0.25">
      <c r="AB1401" s="91"/>
      <c r="AD1401" s="118"/>
    </row>
    <row r="1402" spans="28:30" x14ac:dyDescent="0.25">
      <c r="AB1402" s="91"/>
      <c r="AD1402" s="118"/>
    </row>
    <row r="1403" spans="28:30" x14ac:dyDescent="0.25">
      <c r="AB1403" s="91"/>
      <c r="AD1403" s="118"/>
    </row>
    <row r="1404" spans="28:30" x14ac:dyDescent="0.25">
      <c r="AB1404" s="91"/>
      <c r="AD1404" s="118"/>
    </row>
    <row r="1405" spans="28:30" x14ac:dyDescent="0.25">
      <c r="AB1405" s="91"/>
      <c r="AD1405" s="118"/>
    </row>
    <row r="1406" spans="28:30" x14ac:dyDescent="0.25">
      <c r="AB1406" s="91"/>
      <c r="AD1406" s="118"/>
    </row>
    <row r="1407" spans="28:30" x14ac:dyDescent="0.25">
      <c r="AB1407" s="91"/>
      <c r="AD1407" s="118"/>
    </row>
    <row r="1408" spans="28:30" x14ac:dyDescent="0.25">
      <c r="AB1408" s="91"/>
      <c r="AD1408" s="118"/>
    </row>
    <row r="1409" spans="28:30" x14ac:dyDescent="0.25">
      <c r="AB1409" s="91"/>
      <c r="AD1409" s="118"/>
    </row>
    <row r="1410" spans="28:30" x14ac:dyDescent="0.25">
      <c r="AB1410" s="91"/>
      <c r="AD1410" s="118"/>
    </row>
    <row r="1411" spans="28:30" x14ac:dyDescent="0.25">
      <c r="AB1411" s="91"/>
      <c r="AD1411" s="118"/>
    </row>
    <row r="1412" spans="28:30" x14ac:dyDescent="0.25">
      <c r="AB1412" s="91"/>
      <c r="AD1412" s="118"/>
    </row>
    <row r="1413" spans="28:30" x14ac:dyDescent="0.25">
      <c r="AB1413" s="91"/>
      <c r="AD1413" s="118"/>
    </row>
    <row r="1414" spans="28:30" x14ac:dyDescent="0.25">
      <c r="AB1414" s="91"/>
      <c r="AD1414" s="118"/>
    </row>
    <row r="1415" spans="28:30" x14ac:dyDescent="0.25">
      <c r="AB1415" s="91"/>
      <c r="AD1415" s="118"/>
    </row>
    <row r="1416" spans="28:30" x14ac:dyDescent="0.25">
      <c r="AB1416" s="91"/>
      <c r="AD1416" s="118"/>
    </row>
    <row r="1417" spans="28:30" x14ac:dyDescent="0.25">
      <c r="AB1417" s="91"/>
      <c r="AD1417" s="118"/>
    </row>
    <row r="1418" spans="28:30" x14ac:dyDescent="0.25">
      <c r="AB1418" s="91"/>
      <c r="AD1418" s="118"/>
    </row>
    <row r="1419" spans="28:30" x14ac:dyDescent="0.25">
      <c r="AB1419" s="91"/>
      <c r="AD1419" s="118"/>
    </row>
    <row r="1420" spans="28:30" x14ac:dyDescent="0.25">
      <c r="AB1420" s="91"/>
      <c r="AD1420" s="118"/>
    </row>
    <row r="1421" spans="28:30" x14ac:dyDescent="0.25">
      <c r="AB1421" s="91"/>
      <c r="AD1421" s="118"/>
    </row>
    <row r="1422" spans="28:30" x14ac:dyDescent="0.25">
      <c r="AB1422" s="91"/>
      <c r="AD1422" s="118"/>
    </row>
    <row r="1423" spans="28:30" x14ac:dyDescent="0.25">
      <c r="AB1423" s="91"/>
      <c r="AD1423" s="118"/>
    </row>
    <row r="1424" spans="28:30" x14ac:dyDescent="0.25">
      <c r="AB1424" s="91"/>
      <c r="AD1424" s="118"/>
    </row>
    <row r="1425" spans="28:30" x14ac:dyDescent="0.25">
      <c r="AB1425" s="91"/>
      <c r="AD1425" s="118"/>
    </row>
    <row r="1426" spans="28:30" x14ac:dyDescent="0.25">
      <c r="AB1426" s="91"/>
      <c r="AD1426" s="118"/>
    </row>
    <row r="1427" spans="28:30" x14ac:dyDescent="0.25">
      <c r="AB1427" s="91"/>
      <c r="AD1427" s="118"/>
    </row>
    <row r="1428" spans="28:30" x14ac:dyDescent="0.25">
      <c r="AB1428" s="91"/>
      <c r="AD1428" s="118"/>
    </row>
    <row r="1429" spans="28:30" x14ac:dyDescent="0.25">
      <c r="AB1429" s="91"/>
      <c r="AD1429" s="118"/>
    </row>
    <row r="1430" spans="28:30" x14ac:dyDescent="0.25">
      <c r="AB1430" s="91"/>
      <c r="AD1430" s="118"/>
    </row>
    <row r="1431" spans="28:30" x14ac:dyDescent="0.25">
      <c r="AB1431" s="91"/>
      <c r="AD1431" s="118"/>
    </row>
    <row r="1432" spans="28:30" x14ac:dyDescent="0.25">
      <c r="AB1432" s="91"/>
      <c r="AD1432" s="118"/>
    </row>
    <row r="1433" spans="28:30" x14ac:dyDescent="0.25">
      <c r="AB1433" s="91"/>
      <c r="AD1433" s="118"/>
    </row>
    <row r="1434" spans="28:30" x14ac:dyDescent="0.25">
      <c r="AB1434" s="91"/>
      <c r="AD1434" s="118"/>
    </row>
    <row r="1435" spans="28:30" x14ac:dyDescent="0.25">
      <c r="AB1435" s="91"/>
      <c r="AD1435" s="118"/>
    </row>
    <row r="1436" spans="28:30" x14ac:dyDescent="0.25">
      <c r="AB1436" s="91"/>
      <c r="AD1436" s="118"/>
    </row>
    <row r="1437" spans="28:30" x14ac:dyDescent="0.25">
      <c r="AB1437" s="91"/>
      <c r="AD1437" s="118"/>
    </row>
    <row r="1438" spans="28:30" x14ac:dyDescent="0.25">
      <c r="AB1438" s="91"/>
      <c r="AD1438" s="118"/>
    </row>
    <row r="1439" spans="28:30" x14ac:dyDescent="0.25">
      <c r="AB1439" s="91"/>
      <c r="AD1439" s="118"/>
    </row>
    <row r="1440" spans="28:30" x14ac:dyDescent="0.25">
      <c r="AB1440" s="91"/>
      <c r="AD1440" s="118"/>
    </row>
    <row r="1441" spans="28:30" x14ac:dyDescent="0.25">
      <c r="AB1441" s="91"/>
      <c r="AD1441" s="118"/>
    </row>
    <row r="1442" spans="28:30" x14ac:dyDescent="0.25">
      <c r="AB1442" s="91"/>
      <c r="AD1442" s="118"/>
    </row>
    <row r="1443" spans="28:30" x14ac:dyDescent="0.25">
      <c r="AB1443" s="91"/>
      <c r="AD1443" s="118"/>
    </row>
    <row r="1444" spans="28:30" x14ac:dyDescent="0.25">
      <c r="AB1444" s="91"/>
      <c r="AD1444" s="118"/>
    </row>
    <row r="1445" spans="28:30" x14ac:dyDescent="0.25">
      <c r="AB1445" s="91"/>
      <c r="AD1445" s="118"/>
    </row>
    <row r="1446" spans="28:30" x14ac:dyDescent="0.25">
      <c r="AB1446" s="91"/>
      <c r="AD1446" s="118"/>
    </row>
    <row r="1447" spans="28:30" x14ac:dyDescent="0.25">
      <c r="AB1447" s="91"/>
      <c r="AD1447" s="118"/>
    </row>
    <row r="1448" spans="28:30" x14ac:dyDescent="0.25">
      <c r="AB1448" s="91"/>
      <c r="AD1448" s="118"/>
    </row>
    <row r="1449" spans="28:30" x14ac:dyDescent="0.25">
      <c r="AB1449" s="91"/>
      <c r="AD1449" s="118"/>
    </row>
    <row r="1450" spans="28:30" x14ac:dyDescent="0.25">
      <c r="AB1450" s="91"/>
      <c r="AD1450" s="118"/>
    </row>
    <row r="1451" spans="28:30" x14ac:dyDescent="0.25">
      <c r="AB1451" s="91"/>
      <c r="AD1451" s="118"/>
    </row>
    <row r="1452" spans="28:30" x14ac:dyDescent="0.25">
      <c r="AB1452" s="91"/>
      <c r="AD1452" s="118"/>
    </row>
    <row r="1453" spans="28:30" x14ac:dyDescent="0.25">
      <c r="AB1453" s="91"/>
      <c r="AD1453" s="118"/>
    </row>
    <row r="1454" spans="28:30" x14ac:dyDescent="0.25">
      <c r="AB1454" s="91"/>
      <c r="AD1454" s="118"/>
    </row>
    <row r="1455" spans="28:30" x14ac:dyDescent="0.25">
      <c r="AB1455" s="91"/>
      <c r="AD1455" s="118"/>
    </row>
    <row r="1456" spans="28:30" x14ac:dyDescent="0.25">
      <c r="AB1456" s="91"/>
      <c r="AD1456" s="118"/>
    </row>
    <row r="1457" spans="28:30" x14ac:dyDescent="0.25">
      <c r="AB1457" s="91"/>
      <c r="AD1457" s="118"/>
    </row>
    <row r="1458" spans="28:30" x14ac:dyDescent="0.25">
      <c r="AB1458" s="91"/>
      <c r="AD1458" s="118"/>
    </row>
    <row r="1459" spans="28:30" x14ac:dyDescent="0.25">
      <c r="AB1459" s="91"/>
      <c r="AD1459" s="118"/>
    </row>
    <row r="1460" spans="28:30" x14ac:dyDescent="0.25">
      <c r="AB1460" s="91"/>
      <c r="AD1460" s="118"/>
    </row>
    <row r="1461" spans="28:30" x14ac:dyDescent="0.25">
      <c r="AB1461" s="91"/>
      <c r="AD1461" s="118"/>
    </row>
    <row r="1462" spans="28:30" x14ac:dyDescent="0.25">
      <c r="AB1462" s="91"/>
      <c r="AD1462" s="118"/>
    </row>
    <row r="1463" spans="28:30" x14ac:dyDescent="0.25">
      <c r="AB1463" s="91"/>
      <c r="AD1463" s="118"/>
    </row>
    <row r="1464" spans="28:30" x14ac:dyDescent="0.25">
      <c r="AB1464" s="91"/>
      <c r="AD1464" s="118"/>
    </row>
    <row r="1465" spans="28:30" x14ac:dyDescent="0.25">
      <c r="AB1465" s="91"/>
      <c r="AD1465" s="118"/>
    </row>
    <row r="1466" spans="28:30" x14ac:dyDescent="0.25">
      <c r="AB1466" s="91"/>
      <c r="AD1466" s="118"/>
    </row>
    <row r="1467" spans="28:30" x14ac:dyDescent="0.25">
      <c r="AB1467" s="91"/>
      <c r="AD1467" s="118"/>
    </row>
    <row r="1468" spans="28:30" x14ac:dyDescent="0.25">
      <c r="AB1468" s="91"/>
      <c r="AD1468" s="118"/>
    </row>
    <row r="1469" spans="28:30" x14ac:dyDescent="0.25">
      <c r="AB1469" s="91"/>
      <c r="AD1469" s="118"/>
    </row>
    <row r="1470" spans="28:30" x14ac:dyDescent="0.25">
      <c r="AB1470" s="91"/>
      <c r="AD1470" s="118"/>
    </row>
    <row r="1471" spans="28:30" x14ac:dyDescent="0.25">
      <c r="AB1471" s="91"/>
      <c r="AD1471" s="118"/>
    </row>
    <row r="1472" spans="28:30" x14ac:dyDescent="0.25">
      <c r="AB1472" s="91"/>
      <c r="AD1472" s="118"/>
    </row>
    <row r="1473" spans="28:30" x14ac:dyDescent="0.25">
      <c r="AB1473" s="91"/>
      <c r="AD1473" s="118"/>
    </row>
    <row r="1474" spans="28:30" x14ac:dyDescent="0.25">
      <c r="AB1474" s="91"/>
      <c r="AD1474" s="118"/>
    </row>
    <row r="1475" spans="28:30" x14ac:dyDescent="0.25">
      <c r="AB1475" s="91"/>
      <c r="AD1475" s="118"/>
    </row>
    <row r="1476" spans="28:30" x14ac:dyDescent="0.25">
      <c r="AB1476" s="91"/>
      <c r="AD1476" s="118"/>
    </row>
    <row r="1477" spans="28:30" x14ac:dyDescent="0.25">
      <c r="AB1477" s="91"/>
      <c r="AD1477" s="118"/>
    </row>
    <row r="1478" spans="28:30" x14ac:dyDescent="0.25">
      <c r="AB1478" s="91"/>
      <c r="AD1478" s="118"/>
    </row>
    <row r="1479" spans="28:30" x14ac:dyDescent="0.25">
      <c r="AB1479" s="91"/>
      <c r="AD1479" s="118"/>
    </row>
    <row r="1480" spans="28:30" x14ac:dyDescent="0.25">
      <c r="AB1480" s="91"/>
      <c r="AD1480" s="118"/>
    </row>
    <row r="1481" spans="28:30" x14ac:dyDescent="0.25">
      <c r="AB1481" s="91"/>
      <c r="AD1481" s="118"/>
    </row>
    <row r="1482" spans="28:30" x14ac:dyDescent="0.25">
      <c r="AB1482" s="91"/>
      <c r="AD1482" s="118"/>
    </row>
    <row r="1483" spans="28:30" x14ac:dyDescent="0.25">
      <c r="AB1483" s="91"/>
      <c r="AD1483" s="118"/>
    </row>
    <row r="1484" spans="28:30" x14ac:dyDescent="0.25">
      <c r="AB1484" s="91"/>
      <c r="AD1484" s="118"/>
    </row>
    <row r="1485" spans="28:30" x14ac:dyDescent="0.25">
      <c r="AB1485" s="91"/>
      <c r="AD1485" s="118"/>
    </row>
    <row r="1486" spans="28:30" x14ac:dyDescent="0.25">
      <c r="AB1486" s="91"/>
      <c r="AD1486" s="118"/>
    </row>
    <row r="1487" spans="28:30" x14ac:dyDescent="0.25">
      <c r="AB1487" s="91"/>
      <c r="AD1487" s="118"/>
    </row>
    <row r="1488" spans="28:30" x14ac:dyDescent="0.25">
      <c r="AB1488" s="91"/>
      <c r="AD1488" s="118"/>
    </row>
    <row r="1489" spans="28:30" x14ac:dyDescent="0.25">
      <c r="AB1489" s="91"/>
      <c r="AD1489" s="118"/>
    </row>
    <row r="1490" spans="28:30" x14ac:dyDescent="0.25">
      <c r="AB1490" s="91"/>
      <c r="AD1490" s="118"/>
    </row>
    <row r="1491" spans="28:30" x14ac:dyDescent="0.25">
      <c r="AB1491" s="91"/>
      <c r="AD1491" s="118"/>
    </row>
    <row r="1492" spans="28:30" x14ac:dyDescent="0.25">
      <c r="AB1492" s="91"/>
      <c r="AD1492" s="118"/>
    </row>
    <row r="1493" spans="28:30" x14ac:dyDescent="0.25">
      <c r="AB1493" s="91"/>
      <c r="AD1493" s="118"/>
    </row>
    <row r="1494" spans="28:30" x14ac:dyDescent="0.25">
      <c r="AB1494" s="91"/>
      <c r="AD1494" s="118"/>
    </row>
    <row r="1495" spans="28:30" x14ac:dyDescent="0.25">
      <c r="AB1495" s="91"/>
      <c r="AD1495" s="118"/>
    </row>
    <row r="1496" spans="28:30" x14ac:dyDescent="0.25">
      <c r="AB1496" s="91"/>
      <c r="AD1496" s="118"/>
    </row>
    <row r="1497" spans="28:30" x14ac:dyDescent="0.25">
      <c r="AB1497" s="91"/>
      <c r="AD1497" s="118"/>
    </row>
    <row r="1498" spans="28:30" x14ac:dyDescent="0.25">
      <c r="AB1498" s="91"/>
      <c r="AD1498" s="118"/>
    </row>
    <row r="1499" spans="28:30" x14ac:dyDescent="0.25">
      <c r="AB1499" s="91"/>
      <c r="AD1499" s="118"/>
    </row>
    <row r="1500" spans="28:30" x14ac:dyDescent="0.25">
      <c r="AB1500" s="91"/>
      <c r="AD1500" s="118"/>
    </row>
    <row r="1501" spans="28:30" x14ac:dyDescent="0.25">
      <c r="AB1501" s="91"/>
      <c r="AD1501" s="118"/>
    </row>
    <row r="1502" spans="28:30" x14ac:dyDescent="0.25">
      <c r="AB1502" s="91"/>
      <c r="AD1502" s="118"/>
    </row>
    <row r="1503" spans="28:30" x14ac:dyDescent="0.25">
      <c r="AB1503" s="91"/>
      <c r="AD1503" s="118"/>
    </row>
    <row r="1504" spans="28:30" x14ac:dyDescent="0.25">
      <c r="AB1504" s="91"/>
      <c r="AD1504" s="118"/>
    </row>
    <row r="1505" spans="28:30" x14ac:dyDescent="0.25">
      <c r="AB1505" s="91"/>
      <c r="AD1505" s="118"/>
    </row>
    <row r="1506" spans="28:30" x14ac:dyDescent="0.25">
      <c r="AB1506" s="91"/>
      <c r="AD1506" s="118"/>
    </row>
    <row r="1507" spans="28:30" x14ac:dyDescent="0.25">
      <c r="AB1507" s="91"/>
      <c r="AD1507" s="118"/>
    </row>
    <row r="1508" spans="28:30" x14ac:dyDescent="0.25">
      <c r="AB1508" s="91"/>
      <c r="AD1508" s="118"/>
    </row>
    <row r="1509" spans="28:30" x14ac:dyDescent="0.25">
      <c r="AB1509" s="91"/>
      <c r="AD1509" s="118"/>
    </row>
    <row r="1510" spans="28:30" x14ac:dyDescent="0.25">
      <c r="AB1510" s="91"/>
      <c r="AD1510" s="118"/>
    </row>
    <row r="1511" spans="28:30" x14ac:dyDescent="0.25">
      <c r="AB1511" s="91"/>
      <c r="AD1511" s="118"/>
    </row>
    <row r="1512" spans="28:30" x14ac:dyDescent="0.25">
      <c r="AB1512" s="91"/>
      <c r="AD1512" s="118"/>
    </row>
    <row r="1513" spans="28:30" x14ac:dyDescent="0.25">
      <c r="AB1513" s="91"/>
      <c r="AD1513" s="118"/>
    </row>
    <row r="1514" spans="28:30" x14ac:dyDescent="0.25">
      <c r="AB1514" s="91"/>
      <c r="AD1514" s="118"/>
    </row>
    <row r="1515" spans="28:30" x14ac:dyDescent="0.25">
      <c r="AB1515" s="91"/>
      <c r="AD1515" s="118"/>
    </row>
    <row r="1516" spans="28:30" x14ac:dyDescent="0.25">
      <c r="AB1516" s="91"/>
      <c r="AD1516" s="118"/>
    </row>
    <row r="1517" spans="28:30" x14ac:dyDescent="0.25">
      <c r="AB1517" s="91"/>
      <c r="AD1517" s="118"/>
    </row>
    <row r="1518" spans="28:30" x14ac:dyDescent="0.25">
      <c r="AB1518" s="91"/>
      <c r="AD1518" s="118"/>
    </row>
    <row r="1519" spans="28:30" x14ac:dyDescent="0.25">
      <c r="AB1519" s="91"/>
      <c r="AD1519" s="118"/>
    </row>
    <row r="1520" spans="28:30" x14ac:dyDescent="0.25">
      <c r="AB1520" s="91"/>
      <c r="AD1520" s="118"/>
    </row>
    <row r="1521" spans="28:30" x14ac:dyDescent="0.25">
      <c r="AB1521" s="91"/>
      <c r="AD1521" s="118"/>
    </row>
    <row r="1522" spans="28:30" x14ac:dyDescent="0.25">
      <c r="AB1522" s="91"/>
      <c r="AD1522" s="118"/>
    </row>
    <row r="1523" spans="28:30" x14ac:dyDescent="0.25">
      <c r="AB1523" s="91"/>
      <c r="AD1523" s="118"/>
    </row>
    <row r="1524" spans="28:30" x14ac:dyDescent="0.25">
      <c r="AB1524" s="91"/>
      <c r="AD1524" s="118"/>
    </row>
    <row r="1525" spans="28:30" x14ac:dyDescent="0.25">
      <c r="AB1525" s="91"/>
      <c r="AD1525" s="118"/>
    </row>
    <row r="1526" spans="28:30" x14ac:dyDescent="0.25">
      <c r="AB1526" s="91"/>
      <c r="AD1526" s="118"/>
    </row>
    <row r="1527" spans="28:30" x14ac:dyDescent="0.25">
      <c r="AB1527" s="91"/>
      <c r="AD1527" s="118"/>
    </row>
    <row r="1528" spans="28:30" x14ac:dyDescent="0.25">
      <c r="AB1528" s="91"/>
      <c r="AD1528" s="118"/>
    </row>
    <row r="1529" spans="28:30" x14ac:dyDescent="0.25">
      <c r="AB1529" s="91"/>
      <c r="AD1529" s="118"/>
    </row>
    <row r="1530" spans="28:30" x14ac:dyDescent="0.25">
      <c r="AB1530" s="91"/>
      <c r="AD1530" s="118"/>
    </row>
    <row r="1531" spans="28:30" x14ac:dyDescent="0.25">
      <c r="AB1531" s="91"/>
      <c r="AD1531" s="118"/>
    </row>
    <row r="1532" spans="28:30" x14ac:dyDescent="0.25">
      <c r="AB1532" s="91"/>
      <c r="AD1532" s="118"/>
    </row>
    <row r="1533" spans="28:30" x14ac:dyDescent="0.25">
      <c r="AB1533" s="91"/>
      <c r="AD1533" s="118"/>
    </row>
    <row r="1534" spans="28:30" x14ac:dyDescent="0.25">
      <c r="AB1534" s="91"/>
      <c r="AD1534" s="118"/>
    </row>
    <row r="1535" spans="28:30" x14ac:dyDescent="0.25">
      <c r="AB1535" s="91"/>
      <c r="AD1535" s="118"/>
    </row>
    <row r="1536" spans="28:30" x14ac:dyDescent="0.25">
      <c r="AB1536" s="91"/>
      <c r="AD1536" s="118"/>
    </row>
    <row r="1537" spans="28:30" x14ac:dyDescent="0.25">
      <c r="AB1537" s="91"/>
      <c r="AD1537" s="118"/>
    </row>
    <row r="1538" spans="28:30" x14ac:dyDescent="0.25">
      <c r="AB1538" s="91"/>
      <c r="AD1538" s="118"/>
    </row>
    <row r="1539" spans="28:30" x14ac:dyDescent="0.25">
      <c r="AB1539" s="91"/>
      <c r="AD1539" s="118"/>
    </row>
    <row r="1540" spans="28:30" x14ac:dyDescent="0.25">
      <c r="AB1540" s="91"/>
      <c r="AD1540" s="118"/>
    </row>
    <row r="1541" spans="28:30" x14ac:dyDescent="0.25">
      <c r="AB1541" s="91"/>
      <c r="AD1541" s="118"/>
    </row>
    <row r="1542" spans="28:30" x14ac:dyDescent="0.25">
      <c r="AB1542" s="91"/>
      <c r="AD1542" s="118"/>
    </row>
    <row r="1543" spans="28:30" x14ac:dyDescent="0.25">
      <c r="AB1543" s="91"/>
      <c r="AD1543" s="118"/>
    </row>
    <row r="1544" spans="28:30" x14ac:dyDescent="0.25">
      <c r="AB1544" s="91"/>
      <c r="AD1544" s="118"/>
    </row>
    <row r="1545" spans="28:30" x14ac:dyDescent="0.25">
      <c r="AB1545" s="91"/>
      <c r="AD1545" s="118"/>
    </row>
    <row r="1546" spans="28:30" x14ac:dyDescent="0.25">
      <c r="AB1546" s="91"/>
      <c r="AD1546" s="118"/>
    </row>
    <row r="1547" spans="28:30" x14ac:dyDescent="0.25">
      <c r="AB1547" s="91"/>
      <c r="AD1547" s="118"/>
    </row>
    <row r="1548" spans="28:30" x14ac:dyDescent="0.25">
      <c r="AB1548" s="91"/>
      <c r="AD1548" s="118"/>
    </row>
    <row r="1549" spans="28:30" x14ac:dyDescent="0.25">
      <c r="AB1549" s="91"/>
      <c r="AD1549" s="118"/>
    </row>
    <row r="1550" spans="28:30" x14ac:dyDescent="0.25">
      <c r="AB1550" s="91"/>
      <c r="AD1550" s="118"/>
    </row>
    <row r="1551" spans="28:30" x14ac:dyDescent="0.25">
      <c r="AB1551" s="91"/>
      <c r="AD1551" s="118"/>
    </row>
    <row r="1552" spans="28:30" x14ac:dyDescent="0.25">
      <c r="AB1552" s="91"/>
      <c r="AD1552" s="118"/>
    </row>
    <row r="1553" spans="28:30" x14ac:dyDescent="0.25">
      <c r="AB1553" s="91"/>
      <c r="AD1553" s="118"/>
    </row>
    <row r="1554" spans="28:30" x14ac:dyDescent="0.25">
      <c r="AB1554" s="91"/>
      <c r="AD1554" s="118"/>
    </row>
    <row r="1555" spans="28:30" x14ac:dyDescent="0.25">
      <c r="AB1555" s="91"/>
      <c r="AD1555" s="118"/>
    </row>
    <row r="1556" spans="28:30" x14ac:dyDescent="0.25">
      <c r="AB1556" s="91"/>
      <c r="AD1556" s="118"/>
    </row>
    <row r="1557" spans="28:30" x14ac:dyDescent="0.25">
      <c r="AB1557" s="91"/>
      <c r="AD1557" s="118"/>
    </row>
    <row r="1558" spans="28:30" x14ac:dyDescent="0.25">
      <c r="AB1558" s="91"/>
      <c r="AD1558" s="118"/>
    </row>
    <row r="1559" spans="28:30" x14ac:dyDescent="0.25">
      <c r="AB1559" s="91"/>
      <c r="AD1559" s="118"/>
    </row>
    <row r="1560" spans="28:30" x14ac:dyDescent="0.25">
      <c r="AB1560" s="91"/>
      <c r="AD1560" s="118"/>
    </row>
    <row r="1561" spans="28:30" x14ac:dyDescent="0.25">
      <c r="AB1561" s="91"/>
      <c r="AD1561" s="118"/>
    </row>
    <row r="1562" spans="28:30" x14ac:dyDescent="0.25">
      <c r="AB1562" s="91"/>
      <c r="AD1562" s="118"/>
    </row>
    <row r="1563" spans="28:30" x14ac:dyDescent="0.25">
      <c r="AB1563" s="91"/>
      <c r="AD1563" s="118"/>
    </row>
    <row r="1564" spans="28:30" x14ac:dyDescent="0.25">
      <c r="AB1564" s="91"/>
      <c r="AD1564" s="118"/>
    </row>
    <row r="1565" spans="28:30" x14ac:dyDescent="0.25">
      <c r="AB1565" s="91"/>
      <c r="AD1565" s="118"/>
    </row>
    <row r="1566" spans="28:30" x14ac:dyDescent="0.25">
      <c r="AB1566" s="91"/>
      <c r="AD1566" s="118"/>
    </row>
    <row r="1567" spans="28:30" x14ac:dyDescent="0.25">
      <c r="AB1567" s="91"/>
      <c r="AD1567" s="118"/>
    </row>
    <row r="1568" spans="28:30" x14ac:dyDescent="0.25">
      <c r="AB1568" s="91"/>
      <c r="AD1568" s="118"/>
    </row>
    <row r="1569" spans="28:30" x14ac:dyDescent="0.25">
      <c r="AB1569" s="91"/>
      <c r="AD1569" s="118"/>
    </row>
    <row r="1570" spans="28:30" x14ac:dyDescent="0.25">
      <c r="AB1570" s="91"/>
      <c r="AD1570" s="118"/>
    </row>
    <row r="1571" spans="28:30" x14ac:dyDescent="0.25">
      <c r="AB1571" s="91"/>
      <c r="AD1571" s="118"/>
    </row>
    <row r="1572" spans="28:30" x14ac:dyDescent="0.25">
      <c r="AB1572" s="91"/>
      <c r="AD1572" s="118"/>
    </row>
    <row r="1573" spans="28:30" x14ac:dyDescent="0.25">
      <c r="AB1573" s="91"/>
      <c r="AD1573" s="118"/>
    </row>
    <row r="1574" spans="28:30" x14ac:dyDescent="0.25">
      <c r="AB1574" s="91"/>
      <c r="AD1574" s="118"/>
    </row>
    <row r="1575" spans="28:30" x14ac:dyDescent="0.25">
      <c r="AB1575" s="91"/>
      <c r="AD1575" s="118"/>
    </row>
    <row r="1576" spans="28:30" x14ac:dyDescent="0.25">
      <c r="AB1576" s="91"/>
      <c r="AD1576" s="118"/>
    </row>
    <row r="1577" spans="28:30" x14ac:dyDescent="0.25">
      <c r="AB1577" s="91"/>
      <c r="AD1577" s="118"/>
    </row>
    <row r="1578" spans="28:30" x14ac:dyDescent="0.25">
      <c r="AB1578" s="91"/>
      <c r="AD1578" s="118"/>
    </row>
    <row r="1579" spans="28:30" x14ac:dyDescent="0.25">
      <c r="AB1579" s="91"/>
      <c r="AD1579" s="118"/>
    </row>
    <row r="1580" spans="28:30" x14ac:dyDescent="0.25">
      <c r="AB1580" s="91"/>
      <c r="AD1580" s="118"/>
    </row>
    <row r="1581" spans="28:30" x14ac:dyDescent="0.25">
      <c r="AB1581" s="91"/>
      <c r="AD1581" s="118"/>
    </row>
    <row r="1582" spans="28:30" x14ac:dyDescent="0.25">
      <c r="AB1582" s="91"/>
      <c r="AD1582" s="118"/>
    </row>
    <row r="1583" spans="28:30" x14ac:dyDescent="0.25">
      <c r="AB1583" s="91"/>
      <c r="AD1583" s="118"/>
    </row>
    <row r="1584" spans="28:30" x14ac:dyDescent="0.25">
      <c r="AB1584" s="91"/>
      <c r="AD1584" s="118"/>
    </row>
    <row r="1585" spans="28:30" x14ac:dyDescent="0.25">
      <c r="AB1585" s="91"/>
      <c r="AD1585" s="118"/>
    </row>
    <row r="1586" spans="28:30" x14ac:dyDescent="0.25">
      <c r="AB1586" s="91"/>
      <c r="AD1586" s="118"/>
    </row>
    <row r="1587" spans="28:30" x14ac:dyDescent="0.25">
      <c r="AB1587" s="91"/>
      <c r="AD1587" s="118"/>
    </row>
    <row r="1588" spans="28:30" x14ac:dyDescent="0.25">
      <c r="AD1588" s="118"/>
    </row>
    <row r="1589" spans="28:30" x14ac:dyDescent="0.25">
      <c r="AD1589" s="118"/>
    </row>
  </sheetData>
  <mergeCells count="48">
    <mergeCell ref="A337:N337"/>
    <mergeCell ref="AC300:AC341"/>
    <mergeCell ref="AC124:AC152"/>
    <mergeCell ref="AC1:AC49"/>
    <mergeCell ref="AC50:AC78"/>
    <mergeCell ref="AC79:AC103"/>
    <mergeCell ref="AC104:AC123"/>
    <mergeCell ref="AC153:AC178"/>
    <mergeCell ref="AC179:AC198"/>
    <mergeCell ref="AC200:AC237"/>
    <mergeCell ref="AC238:AC268"/>
    <mergeCell ref="AC270:AC299"/>
    <mergeCell ref="F14:F15"/>
    <mergeCell ref="P14:P15"/>
    <mergeCell ref="E14:E15"/>
    <mergeCell ref="I14:I15"/>
    <mergeCell ref="K14:L14"/>
    <mergeCell ref="C12:C15"/>
    <mergeCell ref="D12:D15"/>
    <mergeCell ref="AD13:AD15"/>
    <mergeCell ref="A8:AB8"/>
    <mergeCell ref="A10:AB10"/>
    <mergeCell ref="Q14:R14"/>
    <mergeCell ref="S14:S15"/>
    <mergeCell ref="O14:O15"/>
    <mergeCell ref="G14:H14"/>
    <mergeCell ref="A9:AB9"/>
    <mergeCell ref="J13:L13"/>
    <mergeCell ref="J14:J15"/>
    <mergeCell ref="AB13:AB15"/>
    <mergeCell ref="N14:N15"/>
    <mergeCell ref="N13:S13"/>
    <mergeCell ref="A12:A15"/>
    <mergeCell ref="B12:B15"/>
    <mergeCell ref="E13:I13"/>
    <mergeCell ref="V1:Y1"/>
    <mergeCell ref="X337:AA337"/>
    <mergeCell ref="N12:Y12"/>
    <mergeCell ref="Z12:Z15"/>
    <mergeCell ref="AA12:AA15"/>
    <mergeCell ref="T13:Y13"/>
    <mergeCell ref="T14:T15"/>
    <mergeCell ref="U14:U15"/>
    <mergeCell ref="V14:V15"/>
    <mergeCell ref="W14:X14"/>
    <mergeCell ref="Y14:Y15"/>
    <mergeCell ref="E12:L12"/>
    <mergeCell ref="M12:M15"/>
  </mergeCells>
  <phoneticPr fontId="2" type="noConversion"/>
  <printOptions horizontalCentered="1"/>
  <pageMargins left="0.19685039370078741" right="0" top="0.82677165354330717" bottom="0.31496062992125984" header="0.62992125984251968" footer="0.15748031496062992"/>
  <pageSetup paperSize="9" scale="28" fitToHeight="100" orientation="landscape" useFirstPageNumber="1" errors="blank" verticalDpi="360" r:id="rId1"/>
  <headerFooter differentFirst="1" scaleWithDoc="0" alignWithMargins="0">
    <oddHeader>&amp;R&amp;8Продовження додатку</oddHeader>
  </headerFooter>
  <rowBreaks count="4" manualBreakCount="4">
    <brk id="150" max="28" man="1"/>
    <brk id="163" max="28" man="1"/>
    <brk id="193" max="28" man="1"/>
    <brk id="284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2"/>
  <sheetViews>
    <sheetView showGridLines="0" showZeros="0" tabSelected="1" view="pageBreakPreview" zoomScale="87" zoomScaleNormal="87" zoomScaleSheetLayoutView="87" workbookViewId="0">
      <pane xSplit="3" topLeftCell="P1" activePane="topRight" state="frozen"/>
      <selection activeCell="A192" sqref="A192"/>
      <selection pane="topRight" activeCell="W8" sqref="W8"/>
    </sheetView>
  </sheetViews>
  <sheetFormatPr defaultColWidth="9.1640625" defaultRowHeight="15.75" x14ac:dyDescent="0.25"/>
  <cols>
    <col min="1" max="1" width="19.1640625" style="58" customWidth="1"/>
    <col min="2" max="2" width="22.1640625" style="57" customWidth="1"/>
    <col min="3" max="3" width="74.1640625" style="59" customWidth="1"/>
    <col min="4" max="4" width="23.1640625" style="60" customWidth="1"/>
    <col min="5" max="5" width="23.83203125" style="60" hidden="1" customWidth="1"/>
    <col min="6" max="6" width="23.6640625" style="60" customWidth="1"/>
    <col min="7" max="7" width="20.83203125" style="60" customWidth="1"/>
    <col min="8" max="8" width="21.1640625" style="60" hidden="1" customWidth="1"/>
    <col min="9" max="11" width="21.1640625" style="60" customWidth="1"/>
    <col min="12" max="12" width="14.83203125" style="190" customWidth="1"/>
    <col min="13" max="13" width="22.5" style="60" customWidth="1"/>
    <col min="14" max="14" width="21.1640625" style="60" customWidth="1"/>
    <col min="15" max="15" width="21.33203125" style="60" customWidth="1"/>
    <col min="16" max="16" width="19.1640625" style="60" customWidth="1"/>
    <col min="17" max="17" width="18.83203125" style="60" customWidth="1"/>
    <col min="18" max="24" width="23" style="60" customWidth="1"/>
    <col min="25" max="25" width="15.83203125" style="190" customWidth="1"/>
    <col min="26" max="26" width="23" style="60" customWidth="1"/>
    <col min="27" max="27" width="22.83203125" style="60" hidden="1" customWidth="1"/>
    <col min="28" max="28" width="6.83203125" style="204" customWidth="1"/>
    <col min="29" max="29" width="0.1640625" style="57" customWidth="1"/>
    <col min="30" max="30" width="12.1640625" style="57" customWidth="1"/>
    <col min="31" max="31" width="11.33203125" style="57" customWidth="1"/>
    <col min="32" max="32" width="10.83203125" style="57" customWidth="1"/>
    <col min="33" max="16384" width="9.1640625" style="57"/>
  </cols>
  <sheetData>
    <row r="1" spans="1:29" ht="29.25" customHeight="1" x14ac:dyDescent="0.45">
      <c r="N1" s="81"/>
      <c r="O1" s="81"/>
      <c r="P1" s="81"/>
      <c r="Q1" s="81"/>
      <c r="R1" s="81"/>
      <c r="S1" s="81"/>
      <c r="T1" s="216"/>
      <c r="U1" s="216"/>
      <c r="V1" s="226" t="s">
        <v>605</v>
      </c>
      <c r="W1" s="226"/>
      <c r="X1" s="226"/>
      <c r="Y1" s="226"/>
      <c r="Z1" s="81"/>
      <c r="AA1" s="81"/>
      <c r="AB1" s="244">
        <v>51</v>
      </c>
      <c r="AC1" s="244"/>
    </row>
    <row r="2" spans="1:29" ht="29.25" customHeight="1" x14ac:dyDescent="0.25">
      <c r="N2" s="66"/>
      <c r="O2" s="66"/>
      <c r="P2" s="66"/>
      <c r="Q2" s="66"/>
      <c r="R2" s="66"/>
      <c r="S2" s="66"/>
      <c r="T2" s="188"/>
      <c r="U2" s="188"/>
      <c r="V2" s="144" t="s">
        <v>603</v>
      </c>
      <c r="W2" s="144"/>
      <c r="X2" s="144"/>
      <c r="Y2" s="144"/>
      <c r="Z2" s="66"/>
      <c r="AA2" s="66"/>
      <c r="AB2" s="244"/>
      <c r="AC2" s="244"/>
    </row>
    <row r="3" spans="1:29" ht="29.25" customHeight="1" x14ac:dyDescent="0.45">
      <c r="N3" s="66"/>
      <c r="O3" s="66"/>
      <c r="P3" s="66"/>
      <c r="Q3" s="66"/>
      <c r="R3" s="66"/>
      <c r="S3" s="66"/>
      <c r="T3" s="189"/>
      <c r="U3" s="189"/>
      <c r="V3" s="145" t="s">
        <v>609</v>
      </c>
      <c r="W3" s="247"/>
      <c r="X3" s="145" t="s">
        <v>608</v>
      </c>
      <c r="Y3" s="145"/>
      <c r="Z3" s="66"/>
      <c r="AA3" s="66"/>
      <c r="AB3" s="244"/>
      <c r="AC3" s="244"/>
    </row>
    <row r="4" spans="1:29" ht="29.25" customHeight="1" x14ac:dyDescent="0.45">
      <c r="N4" s="66"/>
      <c r="O4" s="66"/>
      <c r="P4" s="66"/>
      <c r="Q4" s="66"/>
      <c r="R4" s="66"/>
      <c r="S4" s="66"/>
      <c r="T4" s="189"/>
      <c r="U4" s="189"/>
      <c r="V4" s="189"/>
      <c r="W4" s="189"/>
      <c r="X4" s="66"/>
      <c r="Y4" s="196"/>
      <c r="Z4" s="66"/>
      <c r="AA4" s="66"/>
      <c r="AB4" s="244"/>
      <c r="AC4" s="244"/>
    </row>
    <row r="5" spans="1:29" ht="29.25" customHeight="1" x14ac:dyDescent="0.45">
      <c r="N5" s="66"/>
      <c r="O5" s="66"/>
      <c r="P5" s="66"/>
      <c r="Q5" s="66"/>
      <c r="R5" s="66"/>
      <c r="S5" s="66"/>
      <c r="T5" s="189"/>
      <c r="U5" s="189"/>
      <c r="V5" s="189"/>
      <c r="W5" s="189"/>
      <c r="X5" s="66"/>
      <c r="Y5" s="196"/>
      <c r="Z5" s="66"/>
      <c r="AA5" s="66"/>
      <c r="AB5" s="244"/>
      <c r="AC5" s="244"/>
    </row>
    <row r="6" spans="1:29" ht="29.25" customHeight="1" x14ac:dyDescent="0.45">
      <c r="N6" s="142"/>
      <c r="O6" s="142"/>
      <c r="P6" s="142"/>
      <c r="Q6" s="142"/>
      <c r="R6" s="142"/>
      <c r="S6" s="142"/>
      <c r="T6" s="189"/>
      <c r="U6" s="189"/>
      <c r="V6" s="189"/>
      <c r="W6" s="189"/>
      <c r="X6" s="142"/>
      <c r="Y6" s="159"/>
      <c r="Z6" s="142"/>
      <c r="AA6" s="142"/>
      <c r="AB6" s="244"/>
      <c r="AC6" s="244"/>
    </row>
    <row r="7" spans="1:29" ht="26.25" customHeight="1" x14ac:dyDescent="0.4"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162"/>
      <c r="Z7" s="94"/>
      <c r="AA7" s="94"/>
      <c r="AB7" s="244"/>
      <c r="AC7" s="244"/>
    </row>
    <row r="8" spans="1:29" ht="26.25" customHeight="1" x14ac:dyDescent="0.4"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162"/>
      <c r="Z8" s="94"/>
      <c r="AA8" s="94"/>
      <c r="AB8" s="244"/>
      <c r="AC8" s="244"/>
    </row>
    <row r="9" spans="1:29" ht="26.25" customHeight="1" x14ac:dyDescent="0.4">
      <c r="N9" s="133"/>
      <c r="O9" s="133"/>
      <c r="P9" s="133"/>
      <c r="Q9" s="133"/>
      <c r="R9" s="133"/>
      <c r="S9" s="139"/>
      <c r="T9" s="139"/>
      <c r="U9" s="139"/>
      <c r="V9" s="139"/>
      <c r="W9" s="139"/>
      <c r="X9" s="139"/>
      <c r="Y9" s="161"/>
      <c r="Z9" s="139"/>
      <c r="AA9" s="133"/>
      <c r="AB9" s="244"/>
      <c r="AC9" s="244"/>
    </row>
    <row r="10" spans="1:29" ht="105.75" customHeight="1" x14ac:dyDescent="0.25">
      <c r="A10" s="246" t="s">
        <v>602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4"/>
      <c r="AC10" s="244"/>
    </row>
    <row r="11" spans="1:29" ht="23.25" customHeight="1" x14ac:dyDescent="0.25">
      <c r="A11" s="245" t="s">
        <v>351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4"/>
      <c r="AC11" s="244"/>
    </row>
    <row r="12" spans="1:29" ht="15" customHeight="1" x14ac:dyDescent="0.25">
      <c r="A12" s="233" t="s">
        <v>591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44"/>
      <c r="AC12" s="244"/>
    </row>
    <row r="13" spans="1:29" ht="15" customHeight="1" x14ac:dyDescent="0.2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8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8"/>
      <c r="Z13" s="187" t="s">
        <v>275</v>
      </c>
      <c r="AA13" s="140"/>
      <c r="AB13" s="244"/>
      <c r="AC13" s="244"/>
    </row>
    <row r="14" spans="1:29" s="67" customFormat="1" ht="20.25" customHeight="1" x14ac:dyDescent="0.3">
      <c r="A14" s="238" t="s">
        <v>259</v>
      </c>
      <c r="B14" s="238" t="s">
        <v>251</v>
      </c>
      <c r="C14" s="238" t="s">
        <v>261</v>
      </c>
      <c r="D14" s="225" t="s">
        <v>181</v>
      </c>
      <c r="E14" s="225"/>
      <c r="F14" s="225"/>
      <c r="G14" s="225"/>
      <c r="H14" s="225"/>
      <c r="I14" s="225"/>
      <c r="J14" s="225"/>
      <c r="K14" s="225"/>
      <c r="L14" s="228" t="s">
        <v>598</v>
      </c>
      <c r="M14" s="225" t="s">
        <v>182</v>
      </c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8" t="s">
        <v>598</v>
      </c>
      <c r="Z14" s="229" t="s">
        <v>183</v>
      </c>
      <c r="AA14" s="95"/>
      <c r="AB14" s="244"/>
      <c r="AC14" s="244"/>
    </row>
    <row r="15" spans="1:29" s="61" customFormat="1" ht="38.25" customHeight="1" x14ac:dyDescent="0.25">
      <c r="A15" s="238"/>
      <c r="B15" s="238"/>
      <c r="C15" s="238"/>
      <c r="D15" s="225" t="s">
        <v>600</v>
      </c>
      <c r="E15" s="225"/>
      <c r="F15" s="225"/>
      <c r="G15" s="225"/>
      <c r="H15" s="225"/>
      <c r="I15" s="225" t="s">
        <v>597</v>
      </c>
      <c r="J15" s="225"/>
      <c r="K15" s="225"/>
      <c r="L15" s="228"/>
      <c r="M15" s="225" t="s">
        <v>600</v>
      </c>
      <c r="N15" s="225"/>
      <c r="O15" s="225"/>
      <c r="P15" s="225"/>
      <c r="Q15" s="225"/>
      <c r="R15" s="225"/>
      <c r="S15" s="225" t="s">
        <v>597</v>
      </c>
      <c r="T15" s="225"/>
      <c r="U15" s="225"/>
      <c r="V15" s="225"/>
      <c r="W15" s="225"/>
      <c r="X15" s="225"/>
      <c r="Y15" s="228"/>
      <c r="Z15" s="229"/>
      <c r="AA15" s="235" t="s">
        <v>599</v>
      </c>
      <c r="AB15" s="244"/>
      <c r="AC15" s="244"/>
    </row>
    <row r="16" spans="1:29" s="61" customFormat="1" ht="29.25" customHeight="1" x14ac:dyDescent="0.25">
      <c r="A16" s="238"/>
      <c r="B16" s="238"/>
      <c r="C16" s="238"/>
      <c r="D16" s="229" t="s">
        <v>484</v>
      </c>
      <c r="E16" s="229" t="s">
        <v>184</v>
      </c>
      <c r="F16" s="230" t="s">
        <v>185</v>
      </c>
      <c r="G16" s="230"/>
      <c r="H16" s="229" t="s">
        <v>186</v>
      </c>
      <c r="I16" s="229" t="s">
        <v>484</v>
      </c>
      <c r="J16" s="230" t="s">
        <v>185</v>
      </c>
      <c r="K16" s="230"/>
      <c r="L16" s="228"/>
      <c r="M16" s="229" t="s">
        <v>484</v>
      </c>
      <c r="N16" s="229" t="s">
        <v>252</v>
      </c>
      <c r="O16" s="229" t="s">
        <v>184</v>
      </c>
      <c r="P16" s="230" t="s">
        <v>185</v>
      </c>
      <c r="Q16" s="230"/>
      <c r="R16" s="229" t="s">
        <v>186</v>
      </c>
      <c r="S16" s="229" t="s">
        <v>484</v>
      </c>
      <c r="T16" s="229" t="s">
        <v>252</v>
      </c>
      <c r="U16" s="229" t="s">
        <v>184</v>
      </c>
      <c r="V16" s="230" t="s">
        <v>185</v>
      </c>
      <c r="W16" s="230"/>
      <c r="X16" s="229" t="s">
        <v>186</v>
      </c>
      <c r="Y16" s="228"/>
      <c r="Z16" s="229"/>
      <c r="AA16" s="235"/>
      <c r="AB16" s="244"/>
      <c r="AC16" s="244"/>
    </row>
    <row r="17" spans="1:29" s="61" customFormat="1" ht="60.75" customHeight="1" x14ac:dyDescent="0.25">
      <c r="A17" s="238"/>
      <c r="B17" s="238"/>
      <c r="C17" s="238"/>
      <c r="D17" s="229"/>
      <c r="E17" s="229"/>
      <c r="F17" s="202" t="s">
        <v>187</v>
      </c>
      <c r="G17" s="202" t="s">
        <v>188</v>
      </c>
      <c r="H17" s="229"/>
      <c r="I17" s="229"/>
      <c r="J17" s="202" t="s">
        <v>187</v>
      </c>
      <c r="K17" s="202" t="s">
        <v>188</v>
      </c>
      <c r="L17" s="228"/>
      <c r="M17" s="229"/>
      <c r="N17" s="229"/>
      <c r="O17" s="229"/>
      <c r="P17" s="202" t="s">
        <v>187</v>
      </c>
      <c r="Q17" s="202" t="s">
        <v>188</v>
      </c>
      <c r="R17" s="229"/>
      <c r="S17" s="229"/>
      <c r="T17" s="229"/>
      <c r="U17" s="229"/>
      <c r="V17" s="202" t="s">
        <v>187</v>
      </c>
      <c r="W17" s="202" t="s">
        <v>188</v>
      </c>
      <c r="X17" s="229"/>
      <c r="Y17" s="228"/>
      <c r="Z17" s="229"/>
      <c r="AA17" s="235"/>
      <c r="AB17" s="244"/>
      <c r="AC17" s="244"/>
    </row>
    <row r="18" spans="1:29" s="61" customFormat="1" ht="21" customHeight="1" x14ac:dyDescent="0.25">
      <c r="A18" s="210" t="s">
        <v>34</v>
      </c>
      <c r="B18" s="211"/>
      <c r="C18" s="212" t="s">
        <v>363</v>
      </c>
      <c r="D18" s="213">
        <f>D19+D20</f>
        <v>442158649</v>
      </c>
      <c r="E18" s="213">
        <f t="shared" ref="E18:Z18" si="0">E19+E20</f>
        <v>442158649</v>
      </c>
      <c r="F18" s="213">
        <f t="shared" si="0"/>
        <v>334005448</v>
      </c>
      <c r="G18" s="213">
        <f t="shared" si="0"/>
        <v>11246271.6</v>
      </c>
      <c r="H18" s="213">
        <f t="shared" si="0"/>
        <v>0</v>
      </c>
      <c r="I18" s="213">
        <f t="shared" si="0"/>
        <v>436150825.02999991</v>
      </c>
      <c r="J18" s="213">
        <f t="shared" si="0"/>
        <v>333883597.29000002</v>
      </c>
      <c r="K18" s="213">
        <f t="shared" si="0"/>
        <v>8977390.1300000008</v>
      </c>
      <c r="L18" s="214">
        <f>I18/D18*100</f>
        <v>98.641251509251816</v>
      </c>
      <c r="M18" s="213">
        <f t="shared" si="0"/>
        <v>1362630</v>
      </c>
      <c r="N18" s="213">
        <f t="shared" si="0"/>
        <v>962630</v>
      </c>
      <c r="O18" s="213">
        <f t="shared" si="0"/>
        <v>400000</v>
      </c>
      <c r="P18" s="213">
        <f t="shared" si="0"/>
        <v>0</v>
      </c>
      <c r="Q18" s="213">
        <f t="shared" si="0"/>
        <v>228200</v>
      </c>
      <c r="R18" s="213">
        <f t="shared" si="0"/>
        <v>962630</v>
      </c>
      <c r="S18" s="213">
        <f t="shared" si="0"/>
        <v>67727869.730000004</v>
      </c>
      <c r="T18" s="213">
        <f t="shared" si="0"/>
        <v>958514.45</v>
      </c>
      <c r="U18" s="213">
        <f t="shared" si="0"/>
        <v>47056118.060000002</v>
      </c>
      <c r="V18" s="213">
        <f t="shared" si="0"/>
        <v>1561157.16</v>
      </c>
      <c r="W18" s="213">
        <f t="shared" si="0"/>
        <v>147815.35</v>
      </c>
      <c r="X18" s="213">
        <f t="shared" si="0"/>
        <v>20671751.669999998</v>
      </c>
      <c r="Y18" s="214">
        <f>S18/M18*100</f>
        <v>4970.3785862633295</v>
      </c>
      <c r="Z18" s="213">
        <f t="shared" si="0"/>
        <v>503878694.75999993</v>
      </c>
      <c r="AA18" s="33">
        <f t="shared" ref="AA18" si="1">AA19+AA20</f>
        <v>443521279</v>
      </c>
      <c r="AB18" s="244"/>
      <c r="AC18" s="244"/>
    </row>
    <row r="19" spans="1:29" ht="37.5" customHeight="1" x14ac:dyDescent="0.25">
      <c r="A19" s="34" t="s">
        <v>98</v>
      </c>
      <c r="B19" s="34" t="s">
        <v>36</v>
      </c>
      <c r="C19" s="35" t="s">
        <v>359</v>
      </c>
      <c r="D19" s="36">
        <f>'дод 2'!E19+'дод 2'!E70+'дод 2'!E143+'дод 2'!E163+'дод 2'!E198+'дод 2'!E204+'дод 2'!E220+'дод 2'!E268+'дод 2'!E297+'дод 2'!E317+'дод 2'!E304+'дод 2'!E308+'дод 2'!E300+'дод 2'!E326+'дод 2'!E293</f>
        <v>438958649</v>
      </c>
      <c r="E19" s="36">
        <f>'дод 2'!F19+'дод 2'!F70+'дод 2'!F143+'дод 2'!F163+'дод 2'!F198+'дод 2'!F204+'дод 2'!F220+'дод 2'!F268+'дод 2'!F297+'дод 2'!F317+'дод 2'!F304+'дод 2'!F308+'дод 2'!F300+'дод 2'!F326+'дод 2'!F293</f>
        <v>438958649</v>
      </c>
      <c r="F19" s="36">
        <f>'дод 2'!G19+'дод 2'!G70+'дод 2'!G143+'дод 2'!G163+'дод 2'!G198+'дод 2'!G204+'дод 2'!G220+'дод 2'!G268+'дод 2'!G297+'дод 2'!G317+'дод 2'!G304+'дод 2'!G308+'дод 2'!G300+'дод 2'!G326+'дод 2'!G293</f>
        <v>334005448</v>
      </c>
      <c r="G19" s="36">
        <f>'дод 2'!H19+'дод 2'!H70+'дод 2'!H143+'дод 2'!H163+'дод 2'!H198+'дод 2'!H204+'дод 2'!H220+'дод 2'!H268+'дод 2'!H297+'дод 2'!H317+'дод 2'!H304+'дод 2'!H308+'дод 2'!H300+'дод 2'!H326+'дод 2'!H293</f>
        <v>11246271.6</v>
      </c>
      <c r="H19" s="36">
        <f>'дод 2'!I19+'дод 2'!I70+'дод 2'!I143+'дод 2'!I163+'дод 2'!I198+'дод 2'!I204+'дод 2'!I220+'дод 2'!I268+'дод 2'!I297+'дод 2'!I317+'дод 2'!I304+'дод 2'!I308+'дод 2'!I300+'дод 2'!I326+'дод 2'!I293</f>
        <v>0</v>
      </c>
      <c r="I19" s="36">
        <f>'дод 2'!J19+'дод 2'!J70+'дод 2'!J143+'дод 2'!J163+'дод 2'!J198+'дод 2'!J204+'дод 2'!J220+'дод 2'!J268+'дод 2'!J297+'дод 2'!J317+'дод 2'!J304+'дод 2'!J308+'дод 2'!J300+'дод 2'!J326+'дод 2'!J293</f>
        <v>433704357.36999989</v>
      </c>
      <c r="J19" s="36">
        <f>'дод 2'!K19+'дод 2'!K70+'дод 2'!K143+'дод 2'!K163+'дод 2'!K198+'дод 2'!K204+'дод 2'!K220+'дод 2'!K268+'дод 2'!K297+'дод 2'!K317+'дод 2'!K304+'дод 2'!K308+'дод 2'!K300+'дод 2'!K326+'дод 2'!K293</f>
        <v>333883597.29000002</v>
      </c>
      <c r="K19" s="36">
        <f>'дод 2'!L19+'дод 2'!L70+'дод 2'!L143+'дод 2'!L163+'дод 2'!L198+'дод 2'!L204+'дод 2'!L220+'дод 2'!L268+'дод 2'!L297+'дод 2'!L317+'дод 2'!L304+'дод 2'!L308+'дод 2'!L300+'дод 2'!L326+'дод 2'!L293</f>
        <v>8977390.1300000008</v>
      </c>
      <c r="L19" s="192">
        <f t="shared" ref="L19:L82" si="2">I19/D19*100</f>
        <v>98.803009886701162</v>
      </c>
      <c r="M19" s="36">
        <f>'дод 2'!N19+'дод 2'!N70+'дод 2'!N143+'дод 2'!N163+'дод 2'!N198+'дод 2'!N204+'дод 2'!N220+'дод 2'!N268+'дод 2'!N297+'дод 2'!N317+'дод 2'!N304+'дод 2'!N308+'дод 2'!N300+'дод 2'!N326+'дод 2'!N293</f>
        <v>1362630</v>
      </c>
      <c r="N19" s="36">
        <f>'дод 2'!O19+'дод 2'!O70+'дод 2'!O143+'дод 2'!O163+'дод 2'!O198+'дод 2'!O204+'дод 2'!O220+'дод 2'!O268+'дод 2'!O297+'дод 2'!O317+'дод 2'!O304+'дод 2'!O308+'дод 2'!O300+'дод 2'!O326+'дод 2'!O293</f>
        <v>962630</v>
      </c>
      <c r="O19" s="36">
        <f>'дод 2'!P19+'дод 2'!P70+'дод 2'!P143+'дод 2'!P163+'дод 2'!P198+'дод 2'!P204+'дод 2'!P220+'дод 2'!P268+'дод 2'!P297+'дод 2'!P317+'дод 2'!P304+'дод 2'!P308+'дод 2'!P300+'дод 2'!P326+'дод 2'!P293</f>
        <v>400000</v>
      </c>
      <c r="P19" s="36">
        <f>'дод 2'!Q19+'дод 2'!Q70+'дод 2'!Q143+'дод 2'!Q163+'дод 2'!Q198+'дод 2'!Q204+'дод 2'!Q220+'дод 2'!Q268+'дод 2'!Q297+'дод 2'!Q317+'дод 2'!Q304+'дод 2'!Q308+'дод 2'!Q300+'дод 2'!Q326+'дод 2'!Q293</f>
        <v>0</v>
      </c>
      <c r="Q19" s="36">
        <f>'дод 2'!R19+'дод 2'!R70+'дод 2'!R143+'дод 2'!R163+'дод 2'!R198+'дод 2'!R204+'дод 2'!R220+'дод 2'!R268+'дод 2'!R297+'дод 2'!R317+'дод 2'!R304+'дод 2'!R308+'дод 2'!R300+'дод 2'!R326+'дод 2'!R293</f>
        <v>228200</v>
      </c>
      <c r="R19" s="36">
        <f>'дод 2'!S19+'дод 2'!S70+'дод 2'!S143+'дод 2'!S163+'дод 2'!S198+'дод 2'!S204+'дод 2'!S220+'дод 2'!S268+'дод 2'!S297+'дод 2'!S317+'дод 2'!S304+'дод 2'!S308+'дод 2'!S300+'дод 2'!S326+'дод 2'!S293</f>
        <v>962630</v>
      </c>
      <c r="S19" s="36">
        <f>'дод 2'!T19+'дод 2'!T70+'дод 2'!T143+'дод 2'!T163+'дод 2'!T198+'дод 2'!T204+'дод 2'!T220+'дод 2'!T268+'дод 2'!T297+'дод 2'!T317+'дод 2'!T304+'дод 2'!T308+'дод 2'!T300+'дод 2'!T326+'дод 2'!T293</f>
        <v>67727869.730000004</v>
      </c>
      <c r="T19" s="36">
        <f>'дод 2'!U19+'дод 2'!U70+'дод 2'!U143+'дод 2'!U163+'дод 2'!U198+'дод 2'!U204+'дод 2'!U220+'дод 2'!U268+'дод 2'!U297+'дод 2'!U317+'дод 2'!U304+'дод 2'!U308+'дод 2'!U300+'дод 2'!U326+'дод 2'!U293</f>
        <v>958514.45</v>
      </c>
      <c r="U19" s="36">
        <f>'дод 2'!V19+'дод 2'!V70+'дод 2'!V143+'дод 2'!V163+'дод 2'!V198+'дод 2'!V204+'дод 2'!V220+'дод 2'!V268+'дод 2'!V297+'дод 2'!V317+'дод 2'!V304+'дод 2'!V308+'дод 2'!V300+'дод 2'!V326+'дод 2'!V293</f>
        <v>47056118.060000002</v>
      </c>
      <c r="V19" s="36">
        <f>'дод 2'!W19+'дод 2'!W70+'дод 2'!W143+'дод 2'!W163+'дод 2'!W198+'дод 2'!W204+'дод 2'!W220+'дод 2'!W268+'дод 2'!W297+'дод 2'!W317+'дод 2'!W304+'дод 2'!W308+'дод 2'!W300+'дод 2'!W326+'дод 2'!W293</f>
        <v>1561157.16</v>
      </c>
      <c r="W19" s="36">
        <f>'дод 2'!X19+'дод 2'!X70+'дод 2'!X143+'дод 2'!X163+'дод 2'!X198+'дод 2'!X204+'дод 2'!X220+'дод 2'!X268+'дод 2'!X297+'дод 2'!X317+'дод 2'!X304+'дод 2'!X308+'дод 2'!X300+'дод 2'!X326+'дод 2'!X293</f>
        <v>147815.35</v>
      </c>
      <c r="X19" s="36">
        <f>'дод 2'!Y19+'дод 2'!Y70+'дод 2'!Y143+'дод 2'!Y163+'дод 2'!Y198+'дод 2'!Y204+'дод 2'!Y220+'дод 2'!Y268+'дод 2'!Y297+'дод 2'!Y317+'дод 2'!Y304+'дод 2'!Y308+'дод 2'!Y300+'дод 2'!Y326+'дод 2'!Y293</f>
        <v>20671751.669999998</v>
      </c>
      <c r="Y19" s="192">
        <f t="shared" ref="Y19:Y82" si="3">S19/M19*100</f>
        <v>4970.3785862633295</v>
      </c>
      <c r="Z19" s="36">
        <f>'дод 2'!AA19+'дод 2'!AA70+'дод 2'!AA143+'дод 2'!AA163+'дод 2'!AA198+'дод 2'!AA204+'дод 2'!AA220+'дод 2'!AA268+'дод 2'!AA297+'дод 2'!AA317+'дод 2'!AA304+'дод 2'!AA308+'дод 2'!AA300+'дод 2'!AA326+'дод 2'!AA293</f>
        <v>501432227.0999999</v>
      </c>
      <c r="AA19" s="36">
        <f>'дод 2'!AB19+'дод 2'!AB70+'дод 2'!AB143+'дод 2'!AB163+'дод 2'!AB198+'дод 2'!AB204+'дод 2'!AB220+'дод 2'!AB268+'дод 2'!AB297+'дод 2'!AB317+'дод 2'!AB304+'дод 2'!AB308+'дод 2'!AB300+'дод 2'!AB326+'дод 2'!AB293</f>
        <v>440321279</v>
      </c>
      <c r="AB19" s="244"/>
      <c r="AC19" s="244"/>
    </row>
    <row r="20" spans="1:29" ht="22.5" customHeight="1" x14ac:dyDescent="0.25">
      <c r="A20" s="34" t="s">
        <v>35</v>
      </c>
      <c r="B20" s="34" t="s">
        <v>78</v>
      </c>
      <c r="C20" s="35" t="s">
        <v>198</v>
      </c>
      <c r="D20" s="36">
        <f>'дод 2'!E20+'дод 2'!E221</f>
        <v>3200000</v>
      </c>
      <c r="E20" s="36">
        <f>'дод 2'!F20+'дод 2'!F221</f>
        <v>3200000</v>
      </c>
      <c r="F20" s="36">
        <f>'дод 2'!G20+'дод 2'!G221</f>
        <v>0</v>
      </c>
      <c r="G20" s="36">
        <f>'дод 2'!H20+'дод 2'!H221</f>
        <v>0</v>
      </c>
      <c r="H20" s="36">
        <f>'дод 2'!I20+'дод 2'!I221</f>
        <v>0</v>
      </c>
      <c r="I20" s="36">
        <f>'дод 2'!J20+'дод 2'!J221</f>
        <v>2446467.66</v>
      </c>
      <c r="J20" s="36">
        <f>'дод 2'!K20+'дод 2'!K221</f>
        <v>0</v>
      </c>
      <c r="K20" s="36">
        <f>'дод 2'!L20+'дод 2'!L221</f>
        <v>0</v>
      </c>
      <c r="L20" s="192">
        <f t="shared" si="2"/>
        <v>76.452114375000008</v>
      </c>
      <c r="M20" s="36">
        <f>'дод 2'!N20+'дод 2'!N221</f>
        <v>0</v>
      </c>
      <c r="N20" s="36">
        <f>'дод 2'!O20+'дод 2'!O221</f>
        <v>0</v>
      </c>
      <c r="O20" s="36">
        <f>'дод 2'!P20+'дод 2'!P221</f>
        <v>0</v>
      </c>
      <c r="P20" s="36">
        <f>'дод 2'!Q20+'дод 2'!Q221</f>
        <v>0</v>
      </c>
      <c r="Q20" s="36">
        <f>'дод 2'!R20+'дод 2'!R221</f>
        <v>0</v>
      </c>
      <c r="R20" s="36">
        <f>'дод 2'!S20+'дод 2'!S221</f>
        <v>0</v>
      </c>
      <c r="S20" s="36">
        <f>'дод 2'!T20+'дод 2'!T221</f>
        <v>0</v>
      </c>
      <c r="T20" s="36">
        <f>'дод 2'!U20+'дод 2'!U221</f>
        <v>0</v>
      </c>
      <c r="U20" s="36">
        <f>'дод 2'!V20+'дод 2'!V221</f>
        <v>0</v>
      </c>
      <c r="V20" s="36">
        <f>'дод 2'!W20+'дод 2'!W221</f>
        <v>0</v>
      </c>
      <c r="W20" s="36">
        <f>'дод 2'!X20+'дод 2'!X221</f>
        <v>0</v>
      </c>
      <c r="X20" s="36">
        <f>'дод 2'!Y20+'дод 2'!Y221</f>
        <v>0</v>
      </c>
      <c r="Y20" s="192" t="e">
        <f t="shared" si="3"/>
        <v>#DIV/0!</v>
      </c>
      <c r="Z20" s="36">
        <f>'дод 2'!AA20+'дод 2'!AA221</f>
        <v>2446467.66</v>
      </c>
      <c r="AA20" s="36">
        <f>'дод 2'!AB20+'дод 2'!AB221</f>
        <v>3200000</v>
      </c>
      <c r="AB20" s="244"/>
      <c r="AC20" s="244"/>
    </row>
    <row r="21" spans="1:29" s="61" customFormat="1" ht="18.75" customHeight="1" x14ac:dyDescent="0.25">
      <c r="A21" s="37" t="s">
        <v>37</v>
      </c>
      <c r="B21" s="17"/>
      <c r="C21" s="32" t="s">
        <v>390</v>
      </c>
      <c r="D21" s="33">
        <f>D39+D40+D42+D43+D51+D52+D60+D61+D62+D65+D53+D44+D63+D47+D49+D57+D66+D67+D69+D100+D96+D102+D91+D77+D78+D80+D81+D72+D93+D88+D89+D83+D84+D74+D75+D86+D98+D105+D71</f>
        <v>1637545214.0200002</v>
      </c>
      <c r="E21" s="33">
        <f t="shared" ref="E21:Z21" si="4">E39+E40+E42+E43+E51+E52+E60+E61+E62+E65+E53+E44+E63+E47+E49+E57+E66+E67+E69+E100+E96+E102+E91+E77+E78+E80+E81+E72+E93+E88+E89+E83+E84+E74+E75+E86+E98+E105+E71</f>
        <v>1637545214.0200002</v>
      </c>
      <c r="F21" s="33">
        <f t="shared" si="4"/>
        <v>1117909622.5699999</v>
      </c>
      <c r="G21" s="33">
        <f t="shared" si="4"/>
        <v>156628136</v>
      </c>
      <c r="H21" s="33">
        <f t="shared" si="4"/>
        <v>0</v>
      </c>
      <c r="I21" s="33">
        <f t="shared" si="4"/>
        <v>1594703797.4100001</v>
      </c>
      <c r="J21" s="33">
        <f t="shared" si="4"/>
        <v>1110466937.3900001</v>
      </c>
      <c r="K21" s="33">
        <f t="shared" si="4"/>
        <v>138671304.66</v>
      </c>
      <c r="L21" s="191">
        <f t="shared" si="2"/>
        <v>97.383802520797019</v>
      </c>
      <c r="M21" s="33">
        <f t="shared" si="4"/>
        <v>591189236.86000001</v>
      </c>
      <c r="N21" s="33">
        <f t="shared" si="4"/>
        <v>471941843.58000004</v>
      </c>
      <c r="O21" s="33">
        <f t="shared" si="4"/>
        <v>102904669.13</v>
      </c>
      <c r="P21" s="33">
        <f t="shared" si="4"/>
        <v>14154760</v>
      </c>
      <c r="Q21" s="33">
        <f t="shared" si="4"/>
        <v>6906830</v>
      </c>
      <c r="R21" s="33">
        <f t="shared" si="4"/>
        <v>488284567.73000002</v>
      </c>
      <c r="S21" s="33">
        <f t="shared" si="4"/>
        <v>564433566.71000004</v>
      </c>
      <c r="T21" s="33">
        <f t="shared" si="4"/>
        <v>413401997.38999999</v>
      </c>
      <c r="U21" s="33">
        <f t="shared" si="4"/>
        <v>104628448.69000001</v>
      </c>
      <c r="V21" s="33">
        <f t="shared" si="4"/>
        <v>15962156.569999998</v>
      </c>
      <c r="W21" s="33">
        <f t="shared" si="4"/>
        <v>3366595.06</v>
      </c>
      <c r="X21" s="33">
        <f t="shared" si="4"/>
        <v>459805118.01999998</v>
      </c>
      <c r="Y21" s="191">
        <f t="shared" si="3"/>
        <v>95.474262980140139</v>
      </c>
      <c r="Z21" s="33">
        <f t="shared" si="4"/>
        <v>2159137364.1199999</v>
      </c>
      <c r="AA21" s="33">
        <f t="shared" ref="AA21" si="5">AA39+AA40+AA42+AA43+AA51+AA52+AA60+AA61+AA62+AA65+AA53+AA44+AA63+AA47+AA49+AA57+AA66+AA67+AA69+AA100+AA96+AA102+AA91+AA77+AA78+AA80+AA81+AA72+AA93+AA88+AA89+AA83+AA84+AA74+AA75+AA86+AA98+AA105+AA71</f>
        <v>2228734450.8800001</v>
      </c>
      <c r="AB21" s="244"/>
      <c r="AC21" s="244"/>
    </row>
    <row r="22" spans="1:29" s="64" customFormat="1" ht="31.5" x14ac:dyDescent="0.25">
      <c r="A22" s="38"/>
      <c r="B22" s="18"/>
      <c r="C22" s="19" t="s">
        <v>394</v>
      </c>
      <c r="D22" s="39">
        <f>D45+D48+D50+D58+D82+D85+D87</f>
        <v>532789700</v>
      </c>
      <c r="E22" s="39">
        <f t="shared" ref="E22:Z22" si="6">E45+E48+E50+E58+E82+E85+E87</f>
        <v>532789700</v>
      </c>
      <c r="F22" s="39">
        <f t="shared" si="6"/>
        <v>437550400</v>
      </c>
      <c r="G22" s="39">
        <f t="shared" si="6"/>
        <v>0</v>
      </c>
      <c r="H22" s="39">
        <f t="shared" si="6"/>
        <v>0</v>
      </c>
      <c r="I22" s="39">
        <f t="shared" si="6"/>
        <v>532120337.46999997</v>
      </c>
      <c r="J22" s="39">
        <f t="shared" si="6"/>
        <v>437530691.24000001</v>
      </c>
      <c r="K22" s="39">
        <f t="shared" si="6"/>
        <v>0</v>
      </c>
      <c r="L22" s="193">
        <f t="shared" si="2"/>
        <v>99.874366465793159</v>
      </c>
      <c r="M22" s="39">
        <f t="shared" si="6"/>
        <v>20174100</v>
      </c>
      <c r="N22" s="39">
        <f t="shared" si="6"/>
        <v>0</v>
      </c>
      <c r="O22" s="39">
        <f t="shared" si="6"/>
        <v>5092400</v>
      </c>
      <c r="P22" s="39">
        <f t="shared" si="6"/>
        <v>0</v>
      </c>
      <c r="Q22" s="39">
        <f t="shared" si="6"/>
        <v>0</v>
      </c>
      <c r="R22" s="39">
        <f t="shared" si="6"/>
        <v>15081700</v>
      </c>
      <c r="S22" s="39">
        <f t="shared" si="6"/>
        <v>18255356.93</v>
      </c>
      <c r="T22" s="39">
        <f t="shared" si="6"/>
        <v>0</v>
      </c>
      <c r="U22" s="39">
        <f t="shared" si="6"/>
        <v>3764348.2</v>
      </c>
      <c r="V22" s="39">
        <f t="shared" si="6"/>
        <v>0</v>
      </c>
      <c r="W22" s="39">
        <f t="shared" si="6"/>
        <v>0</v>
      </c>
      <c r="X22" s="39">
        <f t="shared" si="6"/>
        <v>14491008.73</v>
      </c>
      <c r="Y22" s="193">
        <f t="shared" si="3"/>
        <v>90.489077232689439</v>
      </c>
      <c r="Z22" s="39">
        <f t="shared" si="6"/>
        <v>550375694.39999998</v>
      </c>
      <c r="AA22" s="39">
        <f t="shared" ref="AA22" si="7">AA45+AA48+AA50+AA58+AA82+AA85+AA87</f>
        <v>552963800</v>
      </c>
      <c r="AB22" s="244"/>
      <c r="AC22" s="244"/>
    </row>
    <row r="23" spans="1:29" s="64" customFormat="1" ht="63" x14ac:dyDescent="0.25">
      <c r="A23" s="38"/>
      <c r="B23" s="18"/>
      <c r="C23" s="19" t="str">
        <f>C68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D23" s="39">
        <f>D68</f>
        <v>2239207</v>
      </c>
      <c r="E23" s="39">
        <f t="shared" ref="E23:Z23" si="8">E68</f>
        <v>2239207</v>
      </c>
      <c r="F23" s="39">
        <f t="shared" si="8"/>
        <v>0</v>
      </c>
      <c r="G23" s="39">
        <f t="shared" si="8"/>
        <v>0</v>
      </c>
      <c r="H23" s="39">
        <f t="shared" si="8"/>
        <v>0</v>
      </c>
      <c r="I23" s="39">
        <f t="shared" si="8"/>
        <v>2137666.1</v>
      </c>
      <c r="J23" s="39">
        <f t="shared" si="8"/>
        <v>0</v>
      </c>
      <c r="K23" s="39">
        <f t="shared" si="8"/>
        <v>0</v>
      </c>
      <c r="L23" s="193">
        <f t="shared" si="2"/>
        <v>95.465318749003558</v>
      </c>
      <c r="M23" s="39">
        <f t="shared" si="8"/>
        <v>8063593</v>
      </c>
      <c r="N23" s="39">
        <f t="shared" si="8"/>
        <v>8063593</v>
      </c>
      <c r="O23" s="39">
        <f t="shared" si="8"/>
        <v>0</v>
      </c>
      <c r="P23" s="39">
        <f t="shared" si="8"/>
        <v>0</v>
      </c>
      <c r="Q23" s="39">
        <f t="shared" si="8"/>
        <v>0</v>
      </c>
      <c r="R23" s="39">
        <f t="shared" si="8"/>
        <v>8063593</v>
      </c>
      <c r="S23" s="39">
        <f t="shared" si="8"/>
        <v>7634048.2999999998</v>
      </c>
      <c r="T23" s="39">
        <f t="shared" si="8"/>
        <v>7634048.2999999998</v>
      </c>
      <c r="U23" s="39">
        <f t="shared" si="8"/>
        <v>0</v>
      </c>
      <c r="V23" s="39">
        <f t="shared" si="8"/>
        <v>0</v>
      </c>
      <c r="W23" s="39">
        <f t="shared" si="8"/>
        <v>0</v>
      </c>
      <c r="X23" s="39">
        <f t="shared" si="8"/>
        <v>7634048.2999999998</v>
      </c>
      <c r="Y23" s="193">
        <f t="shared" si="3"/>
        <v>94.673035953079477</v>
      </c>
      <c r="Z23" s="39">
        <f t="shared" si="8"/>
        <v>9771714.4000000004</v>
      </c>
      <c r="AA23" s="39">
        <f t="shared" ref="AA23" si="9">AA68</f>
        <v>10302800</v>
      </c>
      <c r="AB23" s="244"/>
      <c r="AC23" s="244"/>
    </row>
    <row r="24" spans="1:29" s="64" customFormat="1" ht="47.25" x14ac:dyDescent="0.25">
      <c r="A24" s="38"/>
      <c r="B24" s="18"/>
      <c r="C24" s="19" t="str">
        <f>C70</f>
        <v>субвенції з державного бюджету місцевим бюджетам на надання державної пітримки особам з особливими освітніми потребами</v>
      </c>
      <c r="D24" s="39">
        <f>D70+D99</f>
        <v>891200</v>
      </c>
      <c r="E24" s="39">
        <f t="shared" ref="E24:Z24" si="10">E70+E99</f>
        <v>891200</v>
      </c>
      <c r="F24" s="39">
        <f t="shared" si="10"/>
        <v>730490</v>
      </c>
      <c r="G24" s="39">
        <f t="shared" si="10"/>
        <v>0</v>
      </c>
      <c r="H24" s="39">
        <f t="shared" si="10"/>
        <v>0</v>
      </c>
      <c r="I24" s="39">
        <f t="shared" si="10"/>
        <v>891199.9</v>
      </c>
      <c r="J24" s="39">
        <f t="shared" si="10"/>
        <v>730490</v>
      </c>
      <c r="K24" s="39">
        <f t="shared" si="10"/>
        <v>0</v>
      </c>
      <c r="L24" s="193">
        <f t="shared" si="2"/>
        <v>99.99998877917416</v>
      </c>
      <c r="M24" s="39">
        <f t="shared" si="10"/>
        <v>1511800</v>
      </c>
      <c r="N24" s="39">
        <f t="shared" si="10"/>
        <v>0</v>
      </c>
      <c r="O24" s="39">
        <f t="shared" si="10"/>
        <v>1511800</v>
      </c>
      <c r="P24" s="39">
        <f t="shared" si="10"/>
        <v>1239180</v>
      </c>
      <c r="Q24" s="39">
        <f t="shared" si="10"/>
        <v>0</v>
      </c>
      <c r="R24" s="39">
        <f t="shared" si="10"/>
        <v>0</v>
      </c>
      <c r="S24" s="39">
        <f t="shared" si="10"/>
        <v>1511800</v>
      </c>
      <c r="T24" s="39">
        <f t="shared" si="10"/>
        <v>0</v>
      </c>
      <c r="U24" s="39">
        <f t="shared" si="10"/>
        <v>1511800</v>
      </c>
      <c r="V24" s="39">
        <f t="shared" si="10"/>
        <v>1239180</v>
      </c>
      <c r="W24" s="39">
        <f t="shared" si="10"/>
        <v>0</v>
      </c>
      <c r="X24" s="39">
        <f t="shared" si="10"/>
        <v>0</v>
      </c>
      <c r="Y24" s="193">
        <f t="shared" si="3"/>
        <v>100</v>
      </c>
      <c r="Z24" s="39">
        <f t="shared" si="10"/>
        <v>2402999.9</v>
      </c>
      <c r="AA24" s="39">
        <f t="shared" ref="AA24" si="11">AA70+AA99</f>
        <v>2403000</v>
      </c>
      <c r="AB24" s="244"/>
      <c r="AC24" s="244"/>
    </row>
    <row r="25" spans="1:29" s="64" customFormat="1" ht="47.25" x14ac:dyDescent="0.25">
      <c r="A25" s="38"/>
      <c r="B25" s="18"/>
      <c r="C25" s="19" t="str">
        <f>C101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D25" s="39">
        <f>D101</f>
        <v>93946200</v>
      </c>
      <c r="E25" s="39">
        <f t="shared" ref="E25:Z25" si="12">E101</f>
        <v>93946200</v>
      </c>
      <c r="F25" s="39">
        <f t="shared" si="12"/>
        <v>77069710</v>
      </c>
      <c r="G25" s="39">
        <f t="shared" si="12"/>
        <v>0</v>
      </c>
      <c r="H25" s="39">
        <f t="shared" si="12"/>
        <v>0</v>
      </c>
      <c r="I25" s="39">
        <f t="shared" si="12"/>
        <v>85461031.459999993</v>
      </c>
      <c r="J25" s="39">
        <f t="shared" si="12"/>
        <v>70340992.209999993</v>
      </c>
      <c r="K25" s="39">
        <f t="shared" si="12"/>
        <v>0</v>
      </c>
      <c r="L25" s="193">
        <f t="shared" si="2"/>
        <v>90.968055610551573</v>
      </c>
      <c r="M25" s="39">
        <f t="shared" si="12"/>
        <v>0</v>
      </c>
      <c r="N25" s="39">
        <f t="shared" si="12"/>
        <v>0</v>
      </c>
      <c r="O25" s="39">
        <f t="shared" si="12"/>
        <v>0</v>
      </c>
      <c r="P25" s="39">
        <f t="shared" si="12"/>
        <v>0</v>
      </c>
      <c r="Q25" s="39">
        <f t="shared" si="12"/>
        <v>0</v>
      </c>
      <c r="R25" s="39">
        <f t="shared" si="12"/>
        <v>0</v>
      </c>
      <c r="S25" s="39">
        <f t="shared" si="12"/>
        <v>0</v>
      </c>
      <c r="T25" s="39">
        <f t="shared" si="12"/>
        <v>0</v>
      </c>
      <c r="U25" s="39">
        <f t="shared" si="12"/>
        <v>0</v>
      </c>
      <c r="V25" s="39">
        <f t="shared" si="12"/>
        <v>0</v>
      </c>
      <c r="W25" s="39">
        <f t="shared" si="12"/>
        <v>0</v>
      </c>
      <c r="X25" s="39">
        <f t="shared" si="12"/>
        <v>0</v>
      </c>
      <c r="Y25" s="193" t="e">
        <f t="shared" si="3"/>
        <v>#DIV/0!</v>
      </c>
      <c r="Z25" s="39">
        <f t="shared" si="12"/>
        <v>85461031.459999993</v>
      </c>
      <c r="AA25" s="39">
        <f t="shared" ref="AA25" si="13">AA101</f>
        <v>93946200</v>
      </c>
      <c r="AB25" s="244"/>
      <c r="AC25" s="244"/>
    </row>
    <row r="26" spans="1:29" s="64" customFormat="1" ht="47.25" x14ac:dyDescent="0.25">
      <c r="A26" s="38"/>
      <c r="B26" s="18"/>
      <c r="C26" s="19" t="str">
        <f>C97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D26" s="39">
        <f>D97</f>
        <v>0</v>
      </c>
      <c r="E26" s="39">
        <f t="shared" ref="E26:Z26" si="14">E97</f>
        <v>0</v>
      </c>
      <c r="F26" s="39">
        <f t="shared" si="14"/>
        <v>0</v>
      </c>
      <c r="G26" s="39">
        <f t="shared" si="14"/>
        <v>0</v>
      </c>
      <c r="H26" s="39">
        <f t="shared" si="14"/>
        <v>0</v>
      </c>
      <c r="I26" s="39">
        <f t="shared" si="14"/>
        <v>0</v>
      </c>
      <c r="J26" s="39">
        <f t="shared" si="14"/>
        <v>0</v>
      </c>
      <c r="K26" s="39">
        <f t="shared" si="14"/>
        <v>0</v>
      </c>
      <c r="L26" s="193" t="e">
        <f t="shared" si="2"/>
        <v>#DIV/0!</v>
      </c>
      <c r="M26" s="39">
        <f t="shared" si="14"/>
        <v>22533600</v>
      </c>
      <c r="N26" s="39">
        <f t="shared" si="14"/>
        <v>0</v>
      </c>
      <c r="O26" s="39">
        <f t="shared" si="14"/>
        <v>22533600</v>
      </c>
      <c r="P26" s="39">
        <f t="shared" si="14"/>
        <v>0</v>
      </c>
      <c r="Q26" s="39">
        <f t="shared" si="14"/>
        <v>0</v>
      </c>
      <c r="R26" s="39">
        <f t="shared" si="14"/>
        <v>0</v>
      </c>
      <c r="S26" s="39">
        <f t="shared" si="14"/>
        <v>12419141.67</v>
      </c>
      <c r="T26" s="39">
        <f t="shared" si="14"/>
        <v>0</v>
      </c>
      <c r="U26" s="39">
        <f t="shared" si="14"/>
        <v>12419141.67</v>
      </c>
      <c r="V26" s="39">
        <f t="shared" si="14"/>
        <v>0</v>
      </c>
      <c r="W26" s="39">
        <f t="shared" si="14"/>
        <v>0</v>
      </c>
      <c r="X26" s="39">
        <f t="shared" si="14"/>
        <v>0</v>
      </c>
      <c r="Y26" s="193">
        <f t="shared" si="3"/>
        <v>55.113881803173925</v>
      </c>
      <c r="Z26" s="39">
        <f t="shared" si="14"/>
        <v>12419141.67</v>
      </c>
      <c r="AA26" s="39">
        <f t="shared" ref="AA26" si="15">AA97</f>
        <v>22533600</v>
      </c>
      <c r="AB26" s="244"/>
      <c r="AC26" s="244"/>
    </row>
    <row r="27" spans="1:29" s="64" customFormat="1" ht="47.25" x14ac:dyDescent="0.25">
      <c r="A27" s="38"/>
      <c r="B27" s="18"/>
      <c r="C27" s="19" t="str">
        <f>C106</f>
        <v>субвенції з державного бюджету місцевим бюджетам на забезпечення харчуванням учнів закладів загальної середньої освіти</v>
      </c>
      <c r="D27" s="39">
        <f>D106</f>
        <v>12808000</v>
      </c>
      <c r="E27" s="39">
        <f t="shared" ref="E27:Z27" si="16">E106</f>
        <v>12808000</v>
      </c>
      <c r="F27" s="39">
        <f t="shared" si="16"/>
        <v>0</v>
      </c>
      <c r="G27" s="39">
        <f t="shared" si="16"/>
        <v>0</v>
      </c>
      <c r="H27" s="39">
        <f t="shared" si="16"/>
        <v>0</v>
      </c>
      <c r="I27" s="39">
        <f t="shared" si="16"/>
        <v>2161021.58</v>
      </c>
      <c r="J27" s="39">
        <f t="shared" si="16"/>
        <v>0</v>
      </c>
      <c r="K27" s="39">
        <f t="shared" si="16"/>
        <v>0</v>
      </c>
      <c r="L27" s="193">
        <f t="shared" si="2"/>
        <v>16.872435821361652</v>
      </c>
      <c r="M27" s="39">
        <f t="shared" si="16"/>
        <v>0</v>
      </c>
      <c r="N27" s="39">
        <f t="shared" si="16"/>
        <v>0</v>
      </c>
      <c r="O27" s="39">
        <f t="shared" si="16"/>
        <v>0</v>
      </c>
      <c r="P27" s="39">
        <f t="shared" si="16"/>
        <v>0</v>
      </c>
      <c r="Q27" s="39">
        <f t="shared" si="16"/>
        <v>0</v>
      </c>
      <c r="R27" s="39">
        <f t="shared" si="16"/>
        <v>0</v>
      </c>
      <c r="S27" s="39">
        <f t="shared" si="16"/>
        <v>0</v>
      </c>
      <c r="T27" s="39">
        <f t="shared" si="16"/>
        <v>0</v>
      </c>
      <c r="U27" s="39">
        <f t="shared" si="16"/>
        <v>0</v>
      </c>
      <c r="V27" s="39">
        <f t="shared" si="16"/>
        <v>0</v>
      </c>
      <c r="W27" s="39">
        <f t="shared" si="16"/>
        <v>0</v>
      </c>
      <c r="X27" s="39">
        <f t="shared" si="16"/>
        <v>0</v>
      </c>
      <c r="Y27" s="193" t="e">
        <f t="shared" si="3"/>
        <v>#DIV/0!</v>
      </c>
      <c r="Z27" s="39">
        <f t="shared" si="16"/>
        <v>2161021.58</v>
      </c>
      <c r="AA27" s="39">
        <f t="shared" ref="AA27" si="17">AA106</f>
        <v>12808000</v>
      </c>
      <c r="AB27" s="244"/>
      <c r="AC27" s="244"/>
    </row>
    <row r="28" spans="1:29" s="64" customFormat="1" ht="94.5" x14ac:dyDescent="0.25">
      <c r="A28" s="38"/>
      <c r="B28" s="18"/>
      <c r="C28" s="19" t="str">
        <f>C73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D28" s="39">
        <f>D73</f>
        <v>2442000</v>
      </c>
      <c r="E28" s="39">
        <f t="shared" ref="E28:Z28" si="18">E73</f>
        <v>2442000</v>
      </c>
      <c r="F28" s="39">
        <f t="shared" si="18"/>
        <v>0</v>
      </c>
      <c r="G28" s="39">
        <f t="shared" si="18"/>
        <v>0</v>
      </c>
      <c r="H28" s="39">
        <f t="shared" si="18"/>
        <v>0</v>
      </c>
      <c r="I28" s="39">
        <f t="shared" si="18"/>
        <v>1817007.36</v>
      </c>
      <c r="J28" s="39">
        <f t="shared" si="18"/>
        <v>0</v>
      </c>
      <c r="K28" s="39">
        <f t="shared" si="18"/>
        <v>0</v>
      </c>
      <c r="L28" s="193">
        <f t="shared" si="2"/>
        <v>74.406525798525806</v>
      </c>
      <c r="M28" s="39">
        <f t="shared" si="18"/>
        <v>12258000</v>
      </c>
      <c r="N28" s="39">
        <f t="shared" si="18"/>
        <v>12258000</v>
      </c>
      <c r="O28" s="39">
        <f t="shared" si="18"/>
        <v>0</v>
      </c>
      <c r="P28" s="39">
        <f t="shared" si="18"/>
        <v>0</v>
      </c>
      <c r="Q28" s="39">
        <f t="shared" si="18"/>
        <v>0</v>
      </c>
      <c r="R28" s="39">
        <f t="shared" si="18"/>
        <v>12258000</v>
      </c>
      <c r="S28" s="39">
        <f t="shared" si="18"/>
        <v>5102077</v>
      </c>
      <c r="T28" s="39">
        <f t="shared" si="18"/>
        <v>5102077</v>
      </c>
      <c r="U28" s="39">
        <f t="shared" si="18"/>
        <v>0</v>
      </c>
      <c r="V28" s="39">
        <f t="shared" si="18"/>
        <v>0</v>
      </c>
      <c r="W28" s="39">
        <f t="shared" si="18"/>
        <v>0</v>
      </c>
      <c r="X28" s="39">
        <f t="shared" si="18"/>
        <v>5102077</v>
      </c>
      <c r="Y28" s="193">
        <f t="shared" si="3"/>
        <v>41.622426170664056</v>
      </c>
      <c r="Z28" s="39">
        <f t="shared" si="18"/>
        <v>6919084.3600000003</v>
      </c>
      <c r="AA28" s="39">
        <f t="shared" ref="AA28" si="19">AA73</f>
        <v>14700000</v>
      </c>
      <c r="AB28" s="244"/>
      <c r="AC28" s="244"/>
    </row>
    <row r="29" spans="1:29" s="64" customFormat="1" ht="79.900000000000006" customHeight="1" x14ac:dyDescent="0.25">
      <c r="A29" s="38"/>
      <c r="B29" s="18"/>
      <c r="C29" s="19" t="str">
        <f>C94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9" s="39">
        <f>D94</f>
        <v>0</v>
      </c>
      <c r="E29" s="39">
        <f t="shared" ref="E29:Z29" si="20">E94</f>
        <v>0</v>
      </c>
      <c r="F29" s="39">
        <f t="shared" si="20"/>
        <v>0</v>
      </c>
      <c r="G29" s="39">
        <f t="shared" si="20"/>
        <v>0</v>
      </c>
      <c r="H29" s="39">
        <f t="shared" si="20"/>
        <v>0</v>
      </c>
      <c r="I29" s="39">
        <f t="shared" si="20"/>
        <v>0</v>
      </c>
      <c r="J29" s="39">
        <f t="shared" si="20"/>
        <v>0</v>
      </c>
      <c r="K29" s="39">
        <f t="shared" si="20"/>
        <v>0</v>
      </c>
      <c r="L29" s="193" t="e">
        <f t="shared" si="2"/>
        <v>#DIV/0!</v>
      </c>
      <c r="M29" s="39">
        <f t="shared" si="20"/>
        <v>22450000</v>
      </c>
      <c r="N29" s="39">
        <f t="shared" si="20"/>
        <v>22450000</v>
      </c>
      <c r="O29" s="39">
        <f t="shared" si="20"/>
        <v>0</v>
      </c>
      <c r="P29" s="39">
        <f t="shared" si="20"/>
        <v>0</v>
      </c>
      <c r="Q29" s="39">
        <f t="shared" si="20"/>
        <v>0</v>
      </c>
      <c r="R29" s="39">
        <f t="shared" si="20"/>
        <v>22450000</v>
      </c>
      <c r="S29" s="39">
        <f t="shared" si="20"/>
        <v>22449971.440000001</v>
      </c>
      <c r="T29" s="39">
        <f t="shared" si="20"/>
        <v>22449971.440000001</v>
      </c>
      <c r="U29" s="39">
        <f t="shared" si="20"/>
        <v>0</v>
      </c>
      <c r="V29" s="39">
        <f t="shared" si="20"/>
        <v>0</v>
      </c>
      <c r="W29" s="39">
        <f t="shared" si="20"/>
        <v>0</v>
      </c>
      <c r="X29" s="39">
        <f t="shared" si="20"/>
        <v>22449971.440000001</v>
      </c>
      <c r="Y29" s="193">
        <f t="shared" si="3"/>
        <v>99.999872783964378</v>
      </c>
      <c r="Z29" s="39">
        <f t="shared" si="20"/>
        <v>22449971.440000001</v>
      </c>
      <c r="AA29" s="39">
        <f t="shared" ref="AA29" si="21">AA94</f>
        <v>22450000</v>
      </c>
      <c r="AB29" s="244"/>
      <c r="AC29" s="244"/>
    </row>
    <row r="30" spans="1:29" s="64" customFormat="1" ht="110.25" x14ac:dyDescent="0.25">
      <c r="A30" s="38"/>
      <c r="B30" s="18"/>
      <c r="C30" s="19" t="str">
        <f>C54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D30" s="39">
        <f t="shared" ref="D30:AA30" si="22">D54+D92</f>
        <v>0</v>
      </c>
      <c r="E30" s="39">
        <f t="shared" ref="E30:Z30" si="23">E54+E92</f>
        <v>0</v>
      </c>
      <c r="F30" s="39">
        <f t="shared" si="23"/>
        <v>0</v>
      </c>
      <c r="G30" s="39">
        <f t="shared" si="23"/>
        <v>0</v>
      </c>
      <c r="H30" s="39">
        <f t="shared" si="23"/>
        <v>0</v>
      </c>
      <c r="I30" s="39">
        <f t="shared" si="23"/>
        <v>0</v>
      </c>
      <c r="J30" s="39">
        <f t="shared" si="23"/>
        <v>0</v>
      </c>
      <c r="K30" s="39">
        <f t="shared" si="23"/>
        <v>0</v>
      </c>
      <c r="L30" s="193" t="e">
        <f t="shared" si="2"/>
        <v>#DIV/0!</v>
      </c>
      <c r="M30" s="39">
        <f t="shared" si="23"/>
        <v>30815214.670000002</v>
      </c>
      <c r="N30" s="39">
        <f t="shared" si="23"/>
        <v>30815214.670000002</v>
      </c>
      <c r="O30" s="39">
        <f t="shared" si="23"/>
        <v>0</v>
      </c>
      <c r="P30" s="39">
        <f t="shared" si="23"/>
        <v>0</v>
      </c>
      <c r="Q30" s="39">
        <f t="shared" si="23"/>
        <v>0</v>
      </c>
      <c r="R30" s="39">
        <f t="shared" si="23"/>
        <v>30815214.670000002</v>
      </c>
      <c r="S30" s="39">
        <f t="shared" si="23"/>
        <v>23865495.829999998</v>
      </c>
      <c r="T30" s="39">
        <f t="shared" si="23"/>
        <v>23865495.829999998</v>
      </c>
      <c r="U30" s="39">
        <f t="shared" si="23"/>
        <v>0</v>
      </c>
      <c r="V30" s="39">
        <f t="shared" si="23"/>
        <v>0</v>
      </c>
      <c r="W30" s="39">
        <f t="shared" si="23"/>
        <v>0</v>
      </c>
      <c r="X30" s="39">
        <f t="shared" si="23"/>
        <v>23865495.829999998</v>
      </c>
      <c r="Y30" s="193">
        <f t="shared" si="3"/>
        <v>77.44711852756987</v>
      </c>
      <c r="Z30" s="39">
        <f t="shared" si="23"/>
        <v>23865495.829999998</v>
      </c>
      <c r="AA30" s="39">
        <f t="shared" si="22"/>
        <v>30815214.670000002</v>
      </c>
      <c r="AB30" s="244"/>
      <c r="AC30" s="244"/>
    </row>
    <row r="31" spans="1:29" s="64" customFormat="1" ht="21.75" customHeight="1" x14ac:dyDescent="0.25">
      <c r="A31" s="38"/>
      <c r="B31" s="18"/>
      <c r="C31" s="19" t="s">
        <v>584</v>
      </c>
      <c r="D31" s="39">
        <f>D55</f>
        <v>0</v>
      </c>
      <c r="E31" s="39">
        <f t="shared" ref="E31:Z31" si="24">E55</f>
        <v>0</v>
      </c>
      <c r="F31" s="39">
        <f t="shared" si="24"/>
        <v>0</v>
      </c>
      <c r="G31" s="39">
        <f t="shared" si="24"/>
        <v>0</v>
      </c>
      <c r="H31" s="39">
        <f t="shared" si="24"/>
        <v>0</v>
      </c>
      <c r="I31" s="39">
        <f t="shared" si="24"/>
        <v>0</v>
      </c>
      <c r="J31" s="39">
        <f t="shared" si="24"/>
        <v>0</v>
      </c>
      <c r="K31" s="39">
        <f t="shared" si="24"/>
        <v>0</v>
      </c>
      <c r="L31" s="193" t="e">
        <f t="shared" si="2"/>
        <v>#DIV/0!</v>
      </c>
      <c r="M31" s="39">
        <f t="shared" si="24"/>
        <v>4063300</v>
      </c>
      <c r="N31" s="39">
        <f t="shared" si="24"/>
        <v>4063300</v>
      </c>
      <c r="O31" s="39">
        <f t="shared" si="24"/>
        <v>0</v>
      </c>
      <c r="P31" s="39">
        <f t="shared" si="24"/>
        <v>0</v>
      </c>
      <c r="Q31" s="39">
        <f t="shared" si="24"/>
        <v>0</v>
      </c>
      <c r="R31" s="39">
        <f t="shared" si="24"/>
        <v>4063300</v>
      </c>
      <c r="S31" s="39">
        <f t="shared" si="24"/>
        <v>3987122.64</v>
      </c>
      <c r="T31" s="39">
        <f t="shared" si="24"/>
        <v>3987122.64</v>
      </c>
      <c r="U31" s="39">
        <f t="shared" si="24"/>
        <v>0</v>
      </c>
      <c r="V31" s="39">
        <f t="shared" si="24"/>
        <v>0</v>
      </c>
      <c r="W31" s="39">
        <f t="shared" si="24"/>
        <v>0</v>
      </c>
      <c r="X31" s="39">
        <f t="shared" si="24"/>
        <v>3987122.64</v>
      </c>
      <c r="Y31" s="193">
        <f t="shared" si="3"/>
        <v>98.12523416927128</v>
      </c>
      <c r="Z31" s="39">
        <f t="shared" si="24"/>
        <v>3987122.64</v>
      </c>
      <c r="AA31" s="39">
        <f t="shared" ref="AA31" si="25">AA55</f>
        <v>4063300</v>
      </c>
      <c r="AB31" s="244"/>
      <c r="AC31" s="244"/>
    </row>
    <row r="32" spans="1:29" s="64" customFormat="1" ht="69.75" customHeight="1" x14ac:dyDescent="0.25">
      <c r="A32" s="38"/>
      <c r="B32" s="18"/>
      <c r="C32" s="19" t="str">
        <f>C103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D32" s="39">
        <f>D103</f>
        <v>0</v>
      </c>
      <c r="E32" s="39">
        <f t="shared" ref="E32:Z32" si="26">E103</f>
        <v>0</v>
      </c>
      <c r="F32" s="39">
        <f t="shared" si="26"/>
        <v>0</v>
      </c>
      <c r="G32" s="39">
        <f t="shared" si="26"/>
        <v>0</v>
      </c>
      <c r="H32" s="39">
        <f t="shared" si="26"/>
        <v>0</v>
      </c>
      <c r="I32" s="39">
        <f t="shared" si="26"/>
        <v>0</v>
      </c>
      <c r="J32" s="39">
        <f t="shared" si="26"/>
        <v>0</v>
      </c>
      <c r="K32" s="39">
        <f t="shared" si="26"/>
        <v>0</v>
      </c>
      <c r="L32" s="193" t="e">
        <f t="shared" si="2"/>
        <v>#DIV/0!</v>
      </c>
      <c r="M32" s="39">
        <f t="shared" si="26"/>
        <v>2892900</v>
      </c>
      <c r="N32" s="39">
        <f t="shared" si="26"/>
        <v>0</v>
      </c>
      <c r="O32" s="39">
        <f t="shared" si="26"/>
        <v>2892900</v>
      </c>
      <c r="P32" s="39">
        <f t="shared" si="26"/>
        <v>0</v>
      </c>
      <c r="Q32" s="39">
        <f t="shared" si="26"/>
        <v>0</v>
      </c>
      <c r="R32" s="39">
        <f t="shared" si="26"/>
        <v>0</v>
      </c>
      <c r="S32" s="39">
        <f t="shared" si="26"/>
        <v>2892900</v>
      </c>
      <c r="T32" s="39">
        <f t="shared" si="26"/>
        <v>0</v>
      </c>
      <c r="U32" s="39">
        <f t="shared" si="26"/>
        <v>2892900</v>
      </c>
      <c r="V32" s="39">
        <f t="shared" si="26"/>
        <v>0</v>
      </c>
      <c r="W32" s="39">
        <f t="shared" si="26"/>
        <v>0</v>
      </c>
      <c r="X32" s="39">
        <f t="shared" si="26"/>
        <v>0</v>
      </c>
      <c r="Y32" s="193">
        <f t="shared" si="3"/>
        <v>100</v>
      </c>
      <c r="Z32" s="39">
        <f t="shared" si="26"/>
        <v>2892900</v>
      </c>
      <c r="AA32" s="39">
        <f t="shared" ref="AA32" si="27">AA103</f>
        <v>2892900</v>
      </c>
      <c r="AB32" s="244"/>
      <c r="AC32" s="244"/>
    </row>
    <row r="33" spans="1:29" s="64" customFormat="1" ht="63" x14ac:dyDescent="0.25">
      <c r="A33" s="38"/>
      <c r="B33" s="18"/>
      <c r="C33" s="19" t="str">
        <f>C104</f>
        <v>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v>
      </c>
      <c r="D33" s="39">
        <f>D104</f>
        <v>0</v>
      </c>
      <c r="E33" s="39">
        <f t="shared" ref="E33:Z33" si="28">E104</f>
        <v>0</v>
      </c>
      <c r="F33" s="39">
        <f t="shared" si="28"/>
        <v>0</v>
      </c>
      <c r="G33" s="39">
        <f t="shared" si="28"/>
        <v>0</v>
      </c>
      <c r="H33" s="39">
        <f t="shared" si="28"/>
        <v>0</v>
      </c>
      <c r="I33" s="39">
        <f t="shared" si="28"/>
        <v>0</v>
      </c>
      <c r="J33" s="39">
        <f t="shared" si="28"/>
        <v>0</v>
      </c>
      <c r="K33" s="39">
        <f t="shared" si="28"/>
        <v>0</v>
      </c>
      <c r="L33" s="193" t="e">
        <f t="shared" si="2"/>
        <v>#DIV/0!</v>
      </c>
      <c r="M33" s="39">
        <f t="shared" si="28"/>
        <v>7899800</v>
      </c>
      <c r="N33" s="39">
        <f t="shared" si="28"/>
        <v>0</v>
      </c>
      <c r="O33" s="39">
        <f t="shared" si="28"/>
        <v>7899800</v>
      </c>
      <c r="P33" s="39">
        <f t="shared" si="28"/>
        <v>0</v>
      </c>
      <c r="Q33" s="39">
        <f t="shared" si="28"/>
        <v>0</v>
      </c>
      <c r="R33" s="39">
        <f t="shared" si="28"/>
        <v>0</v>
      </c>
      <c r="S33" s="39">
        <f t="shared" si="28"/>
        <v>2861910.4</v>
      </c>
      <c r="T33" s="39">
        <f t="shared" si="28"/>
        <v>0</v>
      </c>
      <c r="U33" s="39">
        <f t="shared" si="28"/>
        <v>2861910.4</v>
      </c>
      <c r="V33" s="39">
        <f t="shared" si="28"/>
        <v>0</v>
      </c>
      <c r="W33" s="39">
        <f t="shared" si="28"/>
        <v>0</v>
      </c>
      <c r="X33" s="39">
        <f t="shared" si="28"/>
        <v>0</v>
      </c>
      <c r="Y33" s="193">
        <f t="shared" si="3"/>
        <v>36.22763107926783</v>
      </c>
      <c r="Z33" s="39">
        <f t="shared" si="28"/>
        <v>2861910.4</v>
      </c>
      <c r="AA33" s="39">
        <f t="shared" ref="AA33" si="29">AA104</f>
        <v>7899800</v>
      </c>
      <c r="AB33" s="244"/>
      <c r="AC33" s="244"/>
    </row>
    <row r="34" spans="1:29" s="64" customFormat="1" ht="110.25" x14ac:dyDescent="0.25">
      <c r="A34" s="38"/>
      <c r="B34" s="18"/>
      <c r="C34" s="19" t="str">
        <f>C79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D34" s="39">
        <f>D79</f>
        <v>0</v>
      </c>
      <c r="E34" s="39">
        <f t="shared" ref="E34:Z34" si="30">E79</f>
        <v>0</v>
      </c>
      <c r="F34" s="39">
        <f t="shared" si="30"/>
        <v>0</v>
      </c>
      <c r="G34" s="39">
        <f t="shared" si="30"/>
        <v>0</v>
      </c>
      <c r="H34" s="39">
        <f t="shared" si="30"/>
        <v>0</v>
      </c>
      <c r="I34" s="39">
        <f t="shared" si="30"/>
        <v>0</v>
      </c>
      <c r="J34" s="39">
        <f t="shared" si="30"/>
        <v>0</v>
      </c>
      <c r="K34" s="39">
        <f t="shared" si="30"/>
        <v>0</v>
      </c>
      <c r="L34" s="193" t="e">
        <f t="shared" si="2"/>
        <v>#DIV/0!</v>
      </c>
      <c r="M34" s="39">
        <f t="shared" si="30"/>
        <v>213902286</v>
      </c>
      <c r="N34" s="39">
        <f t="shared" si="30"/>
        <v>213902286</v>
      </c>
      <c r="O34" s="39">
        <f t="shared" si="30"/>
        <v>0</v>
      </c>
      <c r="P34" s="39">
        <f t="shared" si="30"/>
        <v>0</v>
      </c>
      <c r="Q34" s="39">
        <f t="shared" si="30"/>
        <v>0</v>
      </c>
      <c r="R34" s="39">
        <f t="shared" si="30"/>
        <v>213902286</v>
      </c>
      <c r="S34" s="39">
        <f t="shared" si="30"/>
        <v>186829884</v>
      </c>
      <c r="T34" s="39">
        <f t="shared" si="30"/>
        <v>186829884</v>
      </c>
      <c r="U34" s="39">
        <f t="shared" si="30"/>
        <v>0</v>
      </c>
      <c r="V34" s="39">
        <f t="shared" si="30"/>
        <v>0</v>
      </c>
      <c r="W34" s="39">
        <f t="shared" si="30"/>
        <v>0</v>
      </c>
      <c r="X34" s="39">
        <f t="shared" si="30"/>
        <v>186829884</v>
      </c>
      <c r="Y34" s="193">
        <f t="shared" si="3"/>
        <v>87.343565837346873</v>
      </c>
      <c r="Z34" s="39">
        <f t="shared" si="30"/>
        <v>186829884</v>
      </c>
      <c r="AA34" s="39">
        <f t="shared" ref="AA34" si="31">AA79</f>
        <v>213902286</v>
      </c>
      <c r="AB34" s="244"/>
      <c r="AC34" s="244"/>
    </row>
    <row r="35" spans="1:29" s="64" customFormat="1" ht="45.75" customHeight="1" x14ac:dyDescent="0.25">
      <c r="A35" s="38"/>
      <c r="B35" s="18"/>
      <c r="C35" s="19" t="str">
        <f>C90</f>
        <v>субвенція з місцевого бюджету за рахунок залишку коштів освітньої субвенції, що утворився на початок бюджетного періоду</v>
      </c>
      <c r="D35" s="39">
        <f>D90</f>
        <v>0</v>
      </c>
      <c r="E35" s="39">
        <f t="shared" ref="E35:Z35" si="32">E90</f>
        <v>0</v>
      </c>
      <c r="F35" s="39">
        <f t="shared" si="32"/>
        <v>0</v>
      </c>
      <c r="G35" s="39">
        <f t="shared" si="32"/>
        <v>0</v>
      </c>
      <c r="H35" s="39">
        <f t="shared" si="32"/>
        <v>0</v>
      </c>
      <c r="I35" s="39">
        <f t="shared" si="32"/>
        <v>0</v>
      </c>
      <c r="J35" s="39">
        <f t="shared" si="32"/>
        <v>0</v>
      </c>
      <c r="K35" s="39">
        <f t="shared" si="32"/>
        <v>0</v>
      </c>
      <c r="L35" s="193" t="e">
        <f t="shared" si="2"/>
        <v>#DIV/0!</v>
      </c>
      <c r="M35" s="39">
        <f t="shared" si="32"/>
        <v>1368993.2799999998</v>
      </c>
      <c r="N35" s="39">
        <f t="shared" si="32"/>
        <v>0</v>
      </c>
      <c r="O35" s="39">
        <f t="shared" si="32"/>
        <v>547169.13</v>
      </c>
      <c r="P35" s="39">
        <f t="shared" si="32"/>
        <v>0</v>
      </c>
      <c r="Q35" s="39">
        <f t="shared" si="32"/>
        <v>0</v>
      </c>
      <c r="R35" s="39">
        <f t="shared" si="32"/>
        <v>821824.14999999991</v>
      </c>
      <c r="S35" s="39">
        <f t="shared" si="32"/>
        <v>1361595.1600000001</v>
      </c>
      <c r="T35" s="39">
        <f t="shared" si="32"/>
        <v>0</v>
      </c>
      <c r="U35" s="39">
        <f t="shared" si="32"/>
        <v>547150.76</v>
      </c>
      <c r="V35" s="39">
        <f t="shared" si="32"/>
        <v>0</v>
      </c>
      <c r="W35" s="39">
        <f t="shared" si="32"/>
        <v>0</v>
      </c>
      <c r="X35" s="39">
        <f t="shared" si="32"/>
        <v>814444.4</v>
      </c>
      <c r="Y35" s="193">
        <f t="shared" si="3"/>
        <v>99.459594133288974</v>
      </c>
      <c r="Z35" s="39">
        <f t="shared" si="32"/>
        <v>1361595.1600000001</v>
      </c>
      <c r="AA35" s="39">
        <f t="shared" ref="AA35" si="33">AA90</f>
        <v>1368993.2799999998</v>
      </c>
      <c r="AB35" s="244"/>
      <c r="AC35" s="244"/>
    </row>
    <row r="36" spans="1:29" s="64" customFormat="1" ht="47.25" x14ac:dyDescent="0.25">
      <c r="A36" s="38"/>
      <c r="B36" s="18"/>
      <c r="C36" s="68" t="str">
        <f>C46</f>
        <v>субвенції з місцевого бюджету на здійснення переданих видатків у сфері освіти за рахунок коштів освітньої субвенції</v>
      </c>
      <c r="D36" s="39">
        <f t="shared" ref="D36:AA36" si="34">D46+D64+D59</f>
        <v>5905981.3700000001</v>
      </c>
      <c r="E36" s="39">
        <f t="shared" ref="E36:Z36" si="35">E46+E64+E59</f>
        <v>5905981.3700000001</v>
      </c>
      <c r="F36" s="39">
        <f t="shared" si="35"/>
        <v>2257749.5700000003</v>
      </c>
      <c r="G36" s="39">
        <f t="shared" si="35"/>
        <v>0</v>
      </c>
      <c r="H36" s="39">
        <f t="shared" si="35"/>
        <v>0</v>
      </c>
      <c r="I36" s="39">
        <f t="shared" si="35"/>
        <v>5854480.1500000004</v>
      </c>
      <c r="J36" s="39">
        <f t="shared" si="35"/>
        <v>2214596.31</v>
      </c>
      <c r="K36" s="39">
        <f t="shared" si="35"/>
        <v>0</v>
      </c>
      <c r="L36" s="193">
        <f t="shared" si="2"/>
        <v>99.127982010549417</v>
      </c>
      <c r="M36" s="39">
        <f t="shared" si="35"/>
        <v>0</v>
      </c>
      <c r="N36" s="39">
        <f t="shared" si="35"/>
        <v>0</v>
      </c>
      <c r="O36" s="39">
        <f t="shared" si="35"/>
        <v>0</v>
      </c>
      <c r="P36" s="39">
        <f t="shared" si="35"/>
        <v>0</v>
      </c>
      <c r="Q36" s="39">
        <f t="shared" si="35"/>
        <v>0</v>
      </c>
      <c r="R36" s="39">
        <f t="shared" si="35"/>
        <v>0</v>
      </c>
      <c r="S36" s="39">
        <f t="shared" si="35"/>
        <v>0</v>
      </c>
      <c r="T36" s="39">
        <f t="shared" si="35"/>
        <v>0</v>
      </c>
      <c r="U36" s="39">
        <f t="shared" si="35"/>
        <v>0</v>
      </c>
      <c r="V36" s="39">
        <f t="shared" si="35"/>
        <v>0</v>
      </c>
      <c r="W36" s="39">
        <f t="shared" si="35"/>
        <v>0</v>
      </c>
      <c r="X36" s="39">
        <f t="shared" si="35"/>
        <v>0</v>
      </c>
      <c r="Y36" s="193" t="e">
        <f t="shared" si="3"/>
        <v>#DIV/0!</v>
      </c>
      <c r="Z36" s="39">
        <f t="shared" si="35"/>
        <v>5854480.1500000004</v>
      </c>
      <c r="AA36" s="39">
        <f t="shared" si="34"/>
        <v>5905981.3700000001</v>
      </c>
      <c r="AB36" s="244"/>
      <c r="AC36" s="244"/>
    </row>
    <row r="37" spans="1:29" s="64" customFormat="1" ht="109.15" customHeight="1" x14ac:dyDescent="0.25">
      <c r="A37" s="38"/>
      <c r="B37" s="18"/>
      <c r="C37" s="68" t="str">
        <f>C76</f>
        <v>субвенції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v>
      </c>
      <c r="D37" s="39">
        <f>D76</f>
        <v>79200</v>
      </c>
      <c r="E37" s="39">
        <f t="shared" ref="E37:Z37" si="36">E76</f>
        <v>79200</v>
      </c>
      <c r="F37" s="39">
        <f t="shared" si="36"/>
        <v>0</v>
      </c>
      <c r="G37" s="39">
        <f t="shared" si="36"/>
        <v>0</v>
      </c>
      <c r="H37" s="39">
        <f t="shared" si="36"/>
        <v>0</v>
      </c>
      <c r="I37" s="39">
        <f t="shared" si="36"/>
        <v>79159.5</v>
      </c>
      <c r="J37" s="39">
        <f t="shared" si="36"/>
        <v>0</v>
      </c>
      <c r="K37" s="39">
        <f t="shared" si="36"/>
        <v>0</v>
      </c>
      <c r="L37" s="193">
        <f t="shared" si="2"/>
        <v>99.94886363636364</v>
      </c>
      <c r="M37" s="39">
        <f t="shared" si="36"/>
        <v>0</v>
      </c>
      <c r="N37" s="39">
        <f t="shared" si="36"/>
        <v>0</v>
      </c>
      <c r="O37" s="39">
        <f t="shared" si="36"/>
        <v>0</v>
      </c>
      <c r="P37" s="39">
        <f t="shared" si="36"/>
        <v>0</v>
      </c>
      <c r="Q37" s="39">
        <f t="shared" si="36"/>
        <v>0</v>
      </c>
      <c r="R37" s="39">
        <f t="shared" si="36"/>
        <v>0</v>
      </c>
      <c r="S37" s="39">
        <f t="shared" si="36"/>
        <v>0</v>
      </c>
      <c r="T37" s="39">
        <f t="shared" si="36"/>
        <v>0</v>
      </c>
      <c r="U37" s="39">
        <f t="shared" si="36"/>
        <v>0</v>
      </c>
      <c r="V37" s="39">
        <f t="shared" si="36"/>
        <v>0</v>
      </c>
      <c r="W37" s="39">
        <f t="shared" si="36"/>
        <v>0</v>
      </c>
      <c r="X37" s="39">
        <f t="shared" si="36"/>
        <v>0</v>
      </c>
      <c r="Y37" s="193" t="e">
        <f t="shared" si="3"/>
        <v>#DIV/0!</v>
      </c>
      <c r="Z37" s="39">
        <f t="shared" si="36"/>
        <v>79159.5</v>
      </c>
      <c r="AA37" s="39">
        <f t="shared" ref="AA37" si="37">AA76</f>
        <v>79200</v>
      </c>
      <c r="AB37" s="244"/>
      <c r="AC37" s="244"/>
    </row>
    <row r="38" spans="1:29" s="64" customFormat="1" x14ac:dyDescent="0.25">
      <c r="A38" s="38"/>
      <c r="B38" s="18"/>
      <c r="C38" s="68" t="str">
        <f>C56</f>
        <v>іншої субвенції з місцевого бюджету</v>
      </c>
      <c r="D38" s="39">
        <f>D56+D41+D95</f>
        <v>207505</v>
      </c>
      <c r="E38" s="39">
        <f t="shared" ref="E38:Z38" si="38">E56+E41+E95</f>
        <v>207505</v>
      </c>
      <c r="F38" s="39">
        <f t="shared" si="38"/>
        <v>170089</v>
      </c>
      <c r="G38" s="39">
        <f t="shared" si="38"/>
        <v>0</v>
      </c>
      <c r="H38" s="39">
        <f t="shared" si="38"/>
        <v>0</v>
      </c>
      <c r="I38" s="39">
        <f t="shared" si="38"/>
        <v>207505</v>
      </c>
      <c r="J38" s="39">
        <f t="shared" si="38"/>
        <v>170089</v>
      </c>
      <c r="K38" s="39">
        <f t="shared" si="38"/>
        <v>0</v>
      </c>
      <c r="L38" s="193">
        <f t="shared" si="2"/>
        <v>100</v>
      </c>
      <c r="M38" s="39">
        <f t="shared" si="38"/>
        <v>6587222.5600000005</v>
      </c>
      <c r="N38" s="39">
        <f t="shared" si="38"/>
        <v>6587222.5600000005</v>
      </c>
      <c r="O38" s="39">
        <f t="shared" si="38"/>
        <v>0</v>
      </c>
      <c r="P38" s="39">
        <f t="shared" si="38"/>
        <v>0</v>
      </c>
      <c r="Q38" s="39">
        <f t="shared" si="38"/>
        <v>0</v>
      </c>
      <c r="R38" s="39">
        <f t="shared" si="38"/>
        <v>6587222.5600000005</v>
      </c>
      <c r="S38" s="39">
        <f t="shared" si="38"/>
        <v>6584766.8100000005</v>
      </c>
      <c r="T38" s="39">
        <f t="shared" si="38"/>
        <v>6584766.8100000005</v>
      </c>
      <c r="U38" s="39">
        <f t="shared" si="38"/>
        <v>0</v>
      </c>
      <c r="V38" s="39">
        <f t="shared" si="38"/>
        <v>0</v>
      </c>
      <c r="W38" s="39">
        <f t="shared" si="38"/>
        <v>0</v>
      </c>
      <c r="X38" s="39">
        <f t="shared" si="38"/>
        <v>6584766.8100000005</v>
      </c>
      <c r="Y38" s="193">
        <f t="shared" si="3"/>
        <v>99.962719492507929</v>
      </c>
      <c r="Z38" s="39">
        <f t="shared" si="38"/>
        <v>6792271.8100000005</v>
      </c>
      <c r="AA38" s="39">
        <f t="shared" ref="AA38" si="39">AA56+AA41+AA95</f>
        <v>6794727.5600000005</v>
      </c>
      <c r="AB38" s="244"/>
      <c r="AC38" s="244"/>
    </row>
    <row r="39" spans="1:29" x14ac:dyDescent="0.25">
      <c r="A39" s="34" t="s">
        <v>38</v>
      </c>
      <c r="B39" s="34" t="s">
        <v>39</v>
      </c>
      <c r="C39" s="35" t="s">
        <v>312</v>
      </c>
      <c r="D39" s="36">
        <f>'дод 2'!E71+'дод 2'!E269</f>
        <v>392563266</v>
      </c>
      <c r="E39" s="36">
        <f>'дод 2'!F71+'дод 2'!F269</f>
        <v>392563266</v>
      </c>
      <c r="F39" s="36">
        <f>'дод 2'!G71+'дод 2'!G269</f>
        <v>258468471</v>
      </c>
      <c r="G39" s="36">
        <f>'дод 2'!H71+'дод 2'!H269</f>
        <v>48997509</v>
      </c>
      <c r="H39" s="36">
        <f>'дод 2'!I71+'дод 2'!I269</f>
        <v>0</v>
      </c>
      <c r="I39" s="36">
        <f>'дод 2'!J71+'дод 2'!J269</f>
        <v>388904107.74000001</v>
      </c>
      <c r="J39" s="36">
        <f>'дод 2'!K71+'дод 2'!K269</f>
        <v>258454205.88</v>
      </c>
      <c r="K39" s="36">
        <f>'дод 2'!L71+'дод 2'!L269</f>
        <v>45702962.270000003</v>
      </c>
      <c r="L39" s="192">
        <f t="shared" si="2"/>
        <v>99.067880625386891</v>
      </c>
      <c r="M39" s="36">
        <f>'дод 2'!N71+'дод 2'!N269</f>
        <v>17214330</v>
      </c>
      <c r="N39" s="36">
        <f>'дод 2'!O71+'дод 2'!O269</f>
        <v>162300</v>
      </c>
      <c r="O39" s="36">
        <f>'дод 2'!P71+'дод 2'!P269</f>
        <v>17052030</v>
      </c>
      <c r="P39" s="36">
        <f>'дод 2'!Q71+'дод 2'!Q269</f>
        <v>0</v>
      </c>
      <c r="Q39" s="36">
        <f>'дод 2'!R71+'дод 2'!R269</f>
        <v>0</v>
      </c>
      <c r="R39" s="36">
        <f>'дод 2'!S71+'дод 2'!S269</f>
        <v>162300</v>
      </c>
      <c r="S39" s="36">
        <f>'дод 2'!T71+'дод 2'!T269</f>
        <v>11208205.34</v>
      </c>
      <c r="T39" s="36">
        <f>'дод 2'!U71+'дод 2'!U269</f>
        <v>162072.5</v>
      </c>
      <c r="U39" s="36">
        <f>'дод 2'!V71+'дод 2'!V269</f>
        <v>10812637.720000001</v>
      </c>
      <c r="V39" s="36">
        <f>'дод 2'!W71+'дод 2'!W269</f>
        <v>1734671.25</v>
      </c>
      <c r="W39" s="36">
        <f>'дод 2'!X71+'дод 2'!X269</f>
        <v>0</v>
      </c>
      <c r="X39" s="36">
        <f>'дод 2'!Y71+'дод 2'!Y269</f>
        <v>395567.62</v>
      </c>
      <c r="Y39" s="192">
        <f t="shared" si="3"/>
        <v>65.109739037185875</v>
      </c>
      <c r="Z39" s="36">
        <f>'дод 2'!AA71+'дод 2'!AA269</f>
        <v>400112313.07999998</v>
      </c>
      <c r="AA39" s="36">
        <f>'дод 2'!AB71+'дод 2'!AB269</f>
        <v>409777596</v>
      </c>
      <c r="AB39" s="244"/>
      <c r="AC39" s="244"/>
    </row>
    <row r="40" spans="1:29" ht="47.25" x14ac:dyDescent="0.25">
      <c r="A40" s="34">
        <v>1021</v>
      </c>
      <c r="B40" s="34" t="s">
        <v>41</v>
      </c>
      <c r="C40" s="14" t="s">
        <v>566</v>
      </c>
      <c r="D40" s="36">
        <f>'дод 2'!E72+'дод 2'!E270</f>
        <v>276266776</v>
      </c>
      <c r="E40" s="36">
        <f>'дод 2'!F72+'дод 2'!F270</f>
        <v>276266776</v>
      </c>
      <c r="F40" s="36">
        <f>'дод 2'!G72+'дод 2'!G270</f>
        <v>146623368</v>
      </c>
      <c r="G40" s="36">
        <f>'дод 2'!H72+'дод 2'!H270</f>
        <v>68564527</v>
      </c>
      <c r="H40" s="36">
        <f>'дод 2'!I72+'дод 2'!I270</f>
        <v>0</v>
      </c>
      <c r="I40" s="36">
        <f>'дод 2'!J72+'дод 2'!J270</f>
        <v>267305106.72999999</v>
      </c>
      <c r="J40" s="36">
        <f>'дод 2'!K72+'дод 2'!K270</f>
        <v>146614548.49000001</v>
      </c>
      <c r="K40" s="36">
        <f>'дод 2'!L72+'дод 2'!L270</f>
        <v>60631112.270000003</v>
      </c>
      <c r="L40" s="192">
        <f t="shared" si="2"/>
        <v>96.756153816338738</v>
      </c>
      <c r="M40" s="36">
        <f>'дод 2'!N72+'дод 2'!N270</f>
        <v>37850416</v>
      </c>
      <c r="N40" s="36">
        <f>'дод 2'!O72+'дод 2'!O270</f>
        <v>17655006</v>
      </c>
      <c r="O40" s="36">
        <f>'дод 2'!P72+'дод 2'!P270</f>
        <v>20195410</v>
      </c>
      <c r="P40" s="36">
        <f>'дод 2'!Q72+'дод 2'!Q270</f>
        <v>2627920</v>
      </c>
      <c r="Q40" s="36">
        <f>'дод 2'!R72+'дод 2'!R270</f>
        <v>244330</v>
      </c>
      <c r="R40" s="36">
        <f>'дод 2'!S72+'дод 2'!S270</f>
        <v>17655006</v>
      </c>
      <c r="S40" s="36">
        <f>'дод 2'!T72+'дод 2'!T270</f>
        <v>74622941.420000002</v>
      </c>
      <c r="T40" s="36">
        <f>'дод 2'!U72+'дод 2'!U270</f>
        <v>15720852.890000001</v>
      </c>
      <c r="U40" s="36">
        <f>'дод 2'!V72+'дод 2'!V270</f>
        <v>45829432.899999999</v>
      </c>
      <c r="V40" s="36">
        <f>'дод 2'!W72+'дод 2'!W270</f>
        <v>6329252.1299999999</v>
      </c>
      <c r="W40" s="36">
        <f>'дод 2'!X72+'дод 2'!X270</f>
        <v>35933.26</v>
      </c>
      <c r="X40" s="36">
        <f>'дод 2'!Y72+'дод 2'!Y270</f>
        <v>28793508.52</v>
      </c>
      <c r="Y40" s="192">
        <f t="shared" si="3"/>
        <v>197.152235843326</v>
      </c>
      <c r="Z40" s="36">
        <f>'дод 2'!AA72+'дод 2'!AA270</f>
        <v>341928048.14999998</v>
      </c>
      <c r="AA40" s="36">
        <f>'дод 2'!AB72+'дод 2'!AB270</f>
        <v>314117192</v>
      </c>
      <c r="AB40" s="244"/>
      <c r="AC40" s="244"/>
    </row>
    <row r="41" spans="1:29" ht="18.399999999999999" customHeight="1" x14ac:dyDescent="0.25">
      <c r="A41" s="34"/>
      <c r="B41" s="34"/>
      <c r="C41" s="22" t="s">
        <v>281</v>
      </c>
      <c r="D41" s="41">
        <f>'дод 2'!E73</f>
        <v>48133</v>
      </c>
      <c r="E41" s="41">
        <f>'дод 2'!F73</f>
        <v>48133</v>
      </c>
      <c r="F41" s="41">
        <f>'дод 2'!G73</f>
        <v>39455</v>
      </c>
      <c r="G41" s="41">
        <f>'дод 2'!H73</f>
        <v>0</v>
      </c>
      <c r="H41" s="41">
        <f>'дод 2'!I73</f>
        <v>0</v>
      </c>
      <c r="I41" s="41">
        <f>'дод 2'!J73</f>
        <v>48133</v>
      </c>
      <c r="J41" s="41">
        <f>'дод 2'!K73</f>
        <v>39455</v>
      </c>
      <c r="K41" s="41">
        <f>'дод 2'!L73</f>
        <v>0</v>
      </c>
      <c r="L41" s="194">
        <f t="shared" si="2"/>
        <v>100</v>
      </c>
      <c r="M41" s="41">
        <f>'дод 2'!N73</f>
        <v>0</v>
      </c>
      <c r="N41" s="41">
        <f>'дод 2'!O73</f>
        <v>0</v>
      </c>
      <c r="O41" s="41">
        <f>'дод 2'!P73</f>
        <v>0</v>
      </c>
      <c r="P41" s="41">
        <f>'дод 2'!Q73</f>
        <v>0</v>
      </c>
      <c r="Q41" s="41">
        <f>'дод 2'!R73</f>
        <v>0</v>
      </c>
      <c r="R41" s="41">
        <f>'дод 2'!S73</f>
        <v>0</v>
      </c>
      <c r="S41" s="41">
        <f>'дод 2'!T73</f>
        <v>0</v>
      </c>
      <c r="T41" s="41">
        <f>'дод 2'!U73</f>
        <v>0</v>
      </c>
      <c r="U41" s="41">
        <f>'дод 2'!V73</f>
        <v>0</v>
      </c>
      <c r="V41" s="41">
        <f>'дод 2'!W73</f>
        <v>0</v>
      </c>
      <c r="W41" s="41">
        <f>'дод 2'!X73</f>
        <v>0</v>
      </c>
      <c r="X41" s="41">
        <f>'дод 2'!Y73</f>
        <v>0</v>
      </c>
      <c r="Y41" s="194" t="e">
        <f t="shared" si="3"/>
        <v>#DIV/0!</v>
      </c>
      <c r="Z41" s="41">
        <f>'дод 2'!AA73</f>
        <v>48133</v>
      </c>
      <c r="AA41" s="41">
        <f>'дод 2'!AB73</f>
        <v>48133</v>
      </c>
      <c r="AB41" s="244"/>
      <c r="AC41" s="244"/>
    </row>
    <row r="42" spans="1:29" ht="78.75" x14ac:dyDescent="0.25">
      <c r="A42" s="34">
        <v>1022</v>
      </c>
      <c r="B42" s="12" t="s">
        <v>44</v>
      </c>
      <c r="C42" s="14" t="s">
        <v>360</v>
      </c>
      <c r="D42" s="36">
        <f>'дод 2'!E74</f>
        <v>18608386</v>
      </c>
      <c r="E42" s="36">
        <f>'дод 2'!F74</f>
        <v>18608386</v>
      </c>
      <c r="F42" s="36">
        <f>'дод 2'!G74</f>
        <v>11451200</v>
      </c>
      <c r="G42" s="36">
        <f>'дод 2'!H74</f>
        <v>3058200</v>
      </c>
      <c r="H42" s="36">
        <f>'дод 2'!I74</f>
        <v>0</v>
      </c>
      <c r="I42" s="36">
        <f>'дод 2'!J74</f>
        <v>18283835.940000001</v>
      </c>
      <c r="J42" s="36">
        <f>'дод 2'!K74</f>
        <v>11450931.289999999</v>
      </c>
      <c r="K42" s="36">
        <f>'дод 2'!L74</f>
        <v>2760991.12</v>
      </c>
      <c r="L42" s="192">
        <f t="shared" si="2"/>
        <v>98.255893552509079</v>
      </c>
      <c r="M42" s="36">
        <f>'дод 2'!N74</f>
        <v>0</v>
      </c>
      <c r="N42" s="36">
        <f>'дод 2'!O74</f>
        <v>0</v>
      </c>
      <c r="O42" s="36">
        <f>'дод 2'!P74</f>
        <v>0</v>
      </c>
      <c r="P42" s="36">
        <f>'дод 2'!Q74</f>
        <v>0</v>
      </c>
      <c r="Q42" s="36">
        <f>'дод 2'!R74</f>
        <v>0</v>
      </c>
      <c r="R42" s="36">
        <f>'дод 2'!S74</f>
        <v>0</v>
      </c>
      <c r="S42" s="36">
        <f>'дод 2'!T74</f>
        <v>1291589.1000000001</v>
      </c>
      <c r="T42" s="36">
        <f>'дод 2'!U74</f>
        <v>0</v>
      </c>
      <c r="U42" s="36">
        <f>'дод 2'!V74</f>
        <v>1000868.31</v>
      </c>
      <c r="V42" s="36">
        <f>'дод 2'!W74</f>
        <v>303434.3</v>
      </c>
      <c r="W42" s="36">
        <f>'дод 2'!X74</f>
        <v>0</v>
      </c>
      <c r="X42" s="36">
        <f>'дод 2'!Y74</f>
        <v>290720.78999999998</v>
      </c>
      <c r="Y42" s="192" t="e">
        <f t="shared" si="3"/>
        <v>#DIV/0!</v>
      </c>
      <c r="Z42" s="36">
        <f>'дод 2'!AA74</f>
        <v>19575425.040000003</v>
      </c>
      <c r="AA42" s="36">
        <f>'дод 2'!AB74</f>
        <v>18608386</v>
      </c>
      <c r="AB42" s="239">
        <v>52</v>
      </c>
      <c r="AC42" s="244"/>
    </row>
    <row r="43" spans="1:29" ht="63.75" customHeight="1" x14ac:dyDescent="0.25">
      <c r="A43" s="34">
        <v>1025</v>
      </c>
      <c r="B43" s="34" t="s">
        <v>44</v>
      </c>
      <c r="C43" s="25" t="s">
        <v>361</v>
      </c>
      <c r="D43" s="36">
        <f>'дод 2'!E75</f>
        <v>14166400</v>
      </c>
      <c r="E43" s="36">
        <f>'дод 2'!F75</f>
        <v>14166400</v>
      </c>
      <c r="F43" s="36">
        <f>'дод 2'!G75</f>
        <v>10069600</v>
      </c>
      <c r="G43" s="36">
        <f>'дод 2'!H75</f>
        <v>1260200</v>
      </c>
      <c r="H43" s="36">
        <f>'дод 2'!I75</f>
        <v>0</v>
      </c>
      <c r="I43" s="36">
        <f>'дод 2'!J75</f>
        <v>13951958</v>
      </c>
      <c r="J43" s="36">
        <f>'дод 2'!K75</f>
        <v>10068620.25</v>
      </c>
      <c r="K43" s="36">
        <f>'дод 2'!L75</f>
        <v>1105845.45</v>
      </c>
      <c r="L43" s="192">
        <f t="shared" si="2"/>
        <v>98.486263270838037</v>
      </c>
      <c r="M43" s="36">
        <f>'дод 2'!N75</f>
        <v>0</v>
      </c>
      <c r="N43" s="36">
        <f>'дод 2'!O75</f>
        <v>0</v>
      </c>
      <c r="O43" s="36">
        <f>'дод 2'!P75</f>
        <v>0</v>
      </c>
      <c r="P43" s="36">
        <f>'дод 2'!Q75</f>
        <v>0</v>
      </c>
      <c r="Q43" s="36">
        <f>'дод 2'!R75</f>
        <v>0</v>
      </c>
      <c r="R43" s="36">
        <f>'дод 2'!S75</f>
        <v>0</v>
      </c>
      <c r="S43" s="36">
        <f>'дод 2'!T75</f>
        <v>658434.68000000005</v>
      </c>
      <c r="T43" s="36">
        <f>'дод 2'!U75</f>
        <v>0</v>
      </c>
      <c r="U43" s="36">
        <f>'дод 2'!V75</f>
        <v>524934.68000000005</v>
      </c>
      <c r="V43" s="36">
        <f>'дод 2'!W75</f>
        <v>0</v>
      </c>
      <c r="W43" s="36">
        <f>'дод 2'!X75</f>
        <v>0</v>
      </c>
      <c r="X43" s="36">
        <f>'дод 2'!Y75</f>
        <v>133500</v>
      </c>
      <c r="Y43" s="192" t="e">
        <f t="shared" si="3"/>
        <v>#DIV/0!</v>
      </c>
      <c r="Z43" s="36">
        <f>'дод 2'!AA75</f>
        <v>14610392.68</v>
      </c>
      <c r="AA43" s="36">
        <f>'дод 2'!AB75</f>
        <v>14166400</v>
      </c>
      <c r="AB43" s="239"/>
      <c r="AC43" s="244"/>
    </row>
    <row r="44" spans="1:29" ht="47.25" x14ac:dyDescent="0.25">
      <c r="A44" s="34">
        <v>1031</v>
      </c>
      <c r="B44" s="34">
        <v>921</v>
      </c>
      <c r="C44" s="25" t="s">
        <v>388</v>
      </c>
      <c r="D44" s="36">
        <f>'дод 2'!E76</f>
        <v>495457562.92000002</v>
      </c>
      <c r="E44" s="36">
        <f>'дод 2'!F76</f>
        <v>495457562.92000002</v>
      </c>
      <c r="F44" s="36">
        <f>'дод 2'!G76</f>
        <v>404285040.56999999</v>
      </c>
      <c r="G44" s="36">
        <f>'дод 2'!H76</f>
        <v>0</v>
      </c>
      <c r="H44" s="36">
        <f>'дод 2'!I76</f>
        <v>0</v>
      </c>
      <c r="I44" s="36">
        <f>'дод 2'!J76</f>
        <v>494847132.69</v>
      </c>
      <c r="J44" s="36">
        <f>'дод 2'!K76</f>
        <v>404236335.06</v>
      </c>
      <c r="K44" s="36">
        <f>'дод 2'!L76</f>
        <v>0</v>
      </c>
      <c r="L44" s="192">
        <f t="shared" si="2"/>
        <v>99.876794648889316</v>
      </c>
      <c r="M44" s="36">
        <f>'дод 2'!N76</f>
        <v>0</v>
      </c>
      <c r="N44" s="36">
        <f>'дод 2'!O76</f>
        <v>0</v>
      </c>
      <c r="O44" s="36">
        <f>'дод 2'!P76</f>
        <v>0</v>
      </c>
      <c r="P44" s="36">
        <f>'дод 2'!Q76</f>
        <v>0</v>
      </c>
      <c r="Q44" s="36">
        <f>'дод 2'!R76</f>
        <v>0</v>
      </c>
      <c r="R44" s="36">
        <f>'дод 2'!S76</f>
        <v>0</v>
      </c>
      <c r="S44" s="36">
        <f>'дод 2'!T76</f>
        <v>0</v>
      </c>
      <c r="T44" s="36">
        <f>'дод 2'!U76</f>
        <v>0</v>
      </c>
      <c r="U44" s="36">
        <f>'дод 2'!V76</f>
        <v>0</v>
      </c>
      <c r="V44" s="36">
        <f>'дод 2'!W76</f>
        <v>0</v>
      </c>
      <c r="W44" s="36">
        <f>'дод 2'!X76</f>
        <v>0</v>
      </c>
      <c r="X44" s="36">
        <f>'дод 2'!Y76</f>
        <v>0</v>
      </c>
      <c r="Y44" s="192" t="e">
        <f t="shared" si="3"/>
        <v>#DIV/0!</v>
      </c>
      <c r="Z44" s="36">
        <f>'дод 2'!AA76</f>
        <v>494847132.69</v>
      </c>
      <c r="AA44" s="36">
        <f>'дод 2'!AB76</f>
        <v>495457562.92000002</v>
      </c>
      <c r="AB44" s="239"/>
      <c r="AC44" s="244"/>
    </row>
    <row r="45" spans="1:29" ht="31.5" x14ac:dyDescent="0.25">
      <c r="A45" s="34"/>
      <c r="B45" s="34"/>
      <c r="C45" s="22" t="s">
        <v>394</v>
      </c>
      <c r="D45" s="36">
        <f>'дод 2'!E77</f>
        <v>491905148</v>
      </c>
      <c r="E45" s="36">
        <f>'дод 2'!F77</f>
        <v>491905148</v>
      </c>
      <c r="F45" s="36">
        <f>'дод 2'!G77</f>
        <v>403954638</v>
      </c>
      <c r="G45" s="36">
        <f>'дод 2'!H77</f>
        <v>0</v>
      </c>
      <c r="H45" s="36">
        <f>'дод 2'!I77</f>
        <v>0</v>
      </c>
      <c r="I45" s="36">
        <f>'дод 2'!J77</f>
        <v>491341009.52999997</v>
      </c>
      <c r="J45" s="36">
        <f>'дод 2'!K77</f>
        <v>403943876.62</v>
      </c>
      <c r="K45" s="36">
        <f>'дод 2'!L77</f>
        <v>0</v>
      </c>
      <c r="L45" s="192">
        <f t="shared" si="2"/>
        <v>99.885315599502519</v>
      </c>
      <c r="M45" s="36">
        <f>'дод 2'!N77</f>
        <v>0</v>
      </c>
      <c r="N45" s="36">
        <f>'дод 2'!O77</f>
        <v>0</v>
      </c>
      <c r="O45" s="36">
        <f>'дод 2'!P77</f>
        <v>0</v>
      </c>
      <c r="P45" s="36">
        <f>'дод 2'!Q77</f>
        <v>0</v>
      </c>
      <c r="Q45" s="36">
        <f>'дод 2'!R77</f>
        <v>0</v>
      </c>
      <c r="R45" s="36">
        <f>'дод 2'!S77</f>
        <v>0</v>
      </c>
      <c r="S45" s="36">
        <f>'дод 2'!T77</f>
        <v>0</v>
      </c>
      <c r="T45" s="36">
        <f>'дод 2'!U77</f>
        <v>0</v>
      </c>
      <c r="U45" s="36">
        <f>'дод 2'!V77</f>
        <v>0</v>
      </c>
      <c r="V45" s="36">
        <f>'дод 2'!W77</f>
        <v>0</v>
      </c>
      <c r="W45" s="36">
        <f>'дод 2'!X77</f>
        <v>0</v>
      </c>
      <c r="X45" s="36">
        <f>'дод 2'!Y77</f>
        <v>0</v>
      </c>
      <c r="Y45" s="192" t="e">
        <f t="shared" si="3"/>
        <v>#DIV/0!</v>
      </c>
      <c r="Z45" s="36">
        <f>'дод 2'!AA77</f>
        <v>491341009.52999997</v>
      </c>
      <c r="AA45" s="36">
        <f>'дод 2'!AB77</f>
        <v>491905148</v>
      </c>
      <c r="AB45" s="239"/>
      <c r="AC45" s="244"/>
    </row>
    <row r="46" spans="1:29" s="62" customFormat="1" ht="47.25" x14ac:dyDescent="0.25">
      <c r="A46" s="40"/>
      <c r="B46" s="40"/>
      <c r="C46" s="24" t="s">
        <v>387</v>
      </c>
      <c r="D46" s="41">
        <f>'дод 2'!E78</f>
        <v>3552414.92</v>
      </c>
      <c r="E46" s="41">
        <f>'дод 2'!F78</f>
        <v>3552414.92</v>
      </c>
      <c r="F46" s="41">
        <f>'дод 2'!G78</f>
        <v>330402.57</v>
      </c>
      <c r="G46" s="41">
        <f>'дод 2'!H78</f>
        <v>0</v>
      </c>
      <c r="H46" s="41">
        <f>'дод 2'!I78</f>
        <v>0</v>
      </c>
      <c r="I46" s="41">
        <f>'дод 2'!J78</f>
        <v>3506123.16</v>
      </c>
      <c r="J46" s="41">
        <f>'дод 2'!K78</f>
        <v>292458.44</v>
      </c>
      <c r="K46" s="41">
        <f>'дод 2'!L78</f>
        <v>0</v>
      </c>
      <c r="L46" s="194">
        <f t="shared" si="2"/>
        <v>98.696893210886529</v>
      </c>
      <c r="M46" s="41">
        <f>'дод 2'!N78</f>
        <v>0</v>
      </c>
      <c r="N46" s="41">
        <f>'дод 2'!O78</f>
        <v>0</v>
      </c>
      <c r="O46" s="41">
        <f>'дод 2'!P78</f>
        <v>0</v>
      </c>
      <c r="P46" s="41">
        <f>'дод 2'!Q78</f>
        <v>0</v>
      </c>
      <c r="Q46" s="41">
        <f>'дод 2'!R78</f>
        <v>0</v>
      </c>
      <c r="R46" s="41">
        <f>'дод 2'!S78</f>
        <v>0</v>
      </c>
      <c r="S46" s="41">
        <f>'дод 2'!T78</f>
        <v>0</v>
      </c>
      <c r="T46" s="41">
        <f>'дод 2'!U78</f>
        <v>0</v>
      </c>
      <c r="U46" s="41">
        <f>'дод 2'!V78</f>
        <v>0</v>
      </c>
      <c r="V46" s="41">
        <f>'дод 2'!W78</f>
        <v>0</v>
      </c>
      <c r="W46" s="41">
        <f>'дод 2'!X78</f>
        <v>0</v>
      </c>
      <c r="X46" s="41">
        <f>'дод 2'!Y78</f>
        <v>0</v>
      </c>
      <c r="Y46" s="194" t="e">
        <f t="shared" si="3"/>
        <v>#DIV/0!</v>
      </c>
      <c r="Z46" s="41">
        <f>'дод 2'!AA78</f>
        <v>3506123.16</v>
      </c>
      <c r="AA46" s="41">
        <f>'дод 2'!AB78</f>
        <v>3552414.92</v>
      </c>
      <c r="AB46" s="239"/>
      <c r="AC46" s="244"/>
    </row>
    <row r="47" spans="1:29" s="62" customFormat="1" ht="78.75" x14ac:dyDescent="0.25">
      <c r="A47" s="42" t="s">
        <v>396</v>
      </c>
      <c r="B47" s="42" t="s">
        <v>44</v>
      </c>
      <c r="C47" s="43" t="s">
        <v>397</v>
      </c>
      <c r="D47" s="36">
        <f>'дод 2'!E79</f>
        <v>19252200</v>
      </c>
      <c r="E47" s="36">
        <f>'дод 2'!F79</f>
        <v>19252200</v>
      </c>
      <c r="F47" s="36">
        <f>'дод 2'!G79</f>
        <v>15780500</v>
      </c>
      <c r="G47" s="36">
        <f>'дод 2'!H79</f>
        <v>0</v>
      </c>
      <c r="H47" s="36">
        <f>'дод 2'!I79</f>
        <v>0</v>
      </c>
      <c r="I47" s="36">
        <f>'дод 2'!J79</f>
        <v>19172262.809999999</v>
      </c>
      <c r="J47" s="36">
        <f>'дод 2'!K79</f>
        <v>15780446.880000001</v>
      </c>
      <c r="K47" s="36">
        <f>'дод 2'!L79</f>
        <v>0</v>
      </c>
      <c r="L47" s="192">
        <f t="shared" si="2"/>
        <v>99.58478932277869</v>
      </c>
      <c r="M47" s="36">
        <f>'дод 2'!N79</f>
        <v>0</v>
      </c>
      <c r="N47" s="36">
        <f>'дод 2'!O79</f>
        <v>0</v>
      </c>
      <c r="O47" s="36">
        <f>'дод 2'!P79</f>
        <v>0</v>
      </c>
      <c r="P47" s="36">
        <f>'дод 2'!Q79</f>
        <v>0</v>
      </c>
      <c r="Q47" s="36">
        <f>'дод 2'!R79</f>
        <v>0</v>
      </c>
      <c r="R47" s="36">
        <f>'дод 2'!S79</f>
        <v>0</v>
      </c>
      <c r="S47" s="36">
        <f>'дод 2'!T79</f>
        <v>0</v>
      </c>
      <c r="T47" s="36">
        <f>'дод 2'!U79</f>
        <v>0</v>
      </c>
      <c r="U47" s="36">
        <f>'дод 2'!V79</f>
        <v>0</v>
      </c>
      <c r="V47" s="36">
        <f>'дод 2'!W79</f>
        <v>0</v>
      </c>
      <c r="W47" s="36">
        <f>'дод 2'!X79</f>
        <v>0</v>
      </c>
      <c r="X47" s="36">
        <f>'дод 2'!Y79</f>
        <v>0</v>
      </c>
      <c r="Y47" s="192" t="e">
        <f t="shared" si="3"/>
        <v>#DIV/0!</v>
      </c>
      <c r="Z47" s="36">
        <f>'дод 2'!AA79</f>
        <v>19172262.809999999</v>
      </c>
      <c r="AA47" s="36">
        <f>'дод 2'!AB79</f>
        <v>19252200</v>
      </c>
      <c r="AB47" s="239"/>
      <c r="AC47" s="244"/>
    </row>
    <row r="48" spans="1:29" s="62" customFormat="1" ht="27.75" customHeight="1" x14ac:dyDescent="0.25">
      <c r="A48" s="40"/>
      <c r="B48" s="40"/>
      <c r="C48" s="24" t="s">
        <v>394</v>
      </c>
      <c r="D48" s="41">
        <f>'дод 2'!E80</f>
        <v>19252200</v>
      </c>
      <c r="E48" s="41">
        <f>'дод 2'!F80</f>
        <v>19252200</v>
      </c>
      <c r="F48" s="41">
        <f>'дод 2'!G80</f>
        <v>15780500</v>
      </c>
      <c r="G48" s="41">
        <f>'дод 2'!H80</f>
        <v>0</v>
      </c>
      <c r="H48" s="41">
        <f>'дод 2'!I80</f>
        <v>0</v>
      </c>
      <c r="I48" s="41">
        <f>'дод 2'!J80</f>
        <v>19172262.809999999</v>
      </c>
      <c r="J48" s="41">
        <f>'дод 2'!K80</f>
        <v>15780446.880000001</v>
      </c>
      <c r="K48" s="41">
        <f>'дод 2'!L80</f>
        <v>0</v>
      </c>
      <c r="L48" s="194">
        <f t="shared" si="2"/>
        <v>99.58478932277869</v>
      </c>
      <c r="M48" s="41">
        <f>'дод 2'!N80</f>
        <v>0</v>
      </c>
      <c r="N48" s="41">
        <f>'дод 2'!O80</f>
        <v>0</v>
      </c>
      <c r="O48" s="41">
        <f>'дод 2'!P80</f>
        <v>0</v>
      </c>
      <c r="P48" s="41">
        <f>'дод 2'!Q80</f>
        <v>0</v>
      </c>
      <c r="Q48" s="41">
        <f>'дод 2'!R80</f>
        <v>0</v>
      </c>
      <c r="R48" s="41">
        <f>'дод 2'!S80</f>
        <v>0</v>
      </c>
      <c r="S48" s="41">
        <f>'дод 2'!T80</f>
        <v>0</v>
      </c>
      <c r="T48" s="41">
        <f>'дод 2'!U80</f>
        <v>0</v>
      </c>
      <c r="U48" s="41">
        <f>'дод 2'!V80</f>
        <v>0</v>
      </c>
      <c r="V48" s="41">
        <f>'дод 2'!W80</f>
        <v>0</v>
      </c>
      <c r="W48" s="41">
        <f>'дод 2'!X80</f>
        <v>0</v>
      </c>
      <c r="X48" s="41">
        <f>'дод 2'!Y80</f>
        <v>0</v>
      </c>
      <c r="Y48" s="194" t="e">
        <f t="shared" si="3"/>
        <v>#DIV/0!</v>
      </c>
      <c r="Z48" s="41">
        <f>'дод 2'!AA80</f>
        <v>19172262.809999999</v>
      </c>
      <c r="AA48" s="41">
        <f>'дод 2'!AB80</f>
        <v>19252200</v>
      </c>
      <c r="AB48" s="239"/>
      <c r="AC48" s="244"/>
    </row>
    <row r="49" spans="1:29" ht="70.900000000000006" customHeight="1" x14ac:dyDescent="0.25">
      <c r="A49" s="34">
        <v>1035</v>
      </c>
      <c r="B49" s="34" t="s">
        <v>44</v>
      </c>
      <c r="C49" s="14" t="s">
        <v>398</v>
      </c>
      <c r="D49" s="36">
        <f>'дод 2'!E81</f>
        <v>1730660</v>
      </c>
      <c r="E49" s="36">
        <f>'дод 2'!F81</f>
        <v>1730660</v>
      </c>
      <c r="F49" s="36">
        <f>'дод 2'!G81</f>
        <v>1416400</v>
      </c>
      <c r="G49" s="36">
        <f>'дод 2'!H81</f>
        <v>0</v>
      </c>
      <c r="H49" s="36">
        <f>'дод 2'!I81</f>
        <v>0</v>
      </c>
      <c r="I49" s="36">
        <f>'дод 2'!J81</f>
        <v>1729489.65</v>
      </c>
      <c r="J49" s="36">
        <f>'дод 2'!K81</f>
        <v>1415426.37</v>
      </c>
      <c r="K49" s="36">
        <f>'дод 2'!L81</f>
        <v>0</v>
      </c>
      <c r="L49" s="192">
        <f t="shared" si="2"/>
        <v>99.932375509921073</v>
      </c>
      <c r="M49" s="36">
        <f>'дод 2'!N81</f>
        <v>0</v>
      </c>
      <c r="N49" s="36">
        <f>'дод 2'!O81</f>
        <v>0</v>
      </c>
      <c r="O49" s="36">
        <f>'дод 2'!P81</f>
        <v>0</v>
      </c>
      <c r="P49" s="36">
        <f>'дод 2'!Q81</f>
        <v>0</v>
      </c>
      <c r="Q49" s="36">
        <f>'дод 2'!R81</f>
        <v>0</v>
      </c>
      <c r="R49" s="36">
        <f>'дод 2'!S81</f>
        <v>0</v>
      </c>
      <c r="S49" s="36">
        <f>'дод 2'!T81</f>
        <v>0</v>
      </c>
      <c r="T49" s="36">
        <f>'дод 2'!U81</f>
        <v>0</v>
      </c>
      <c r="U49" s="36">
        <f>'дод 2'!V81</f>
        <v>0</v>
      </c>
      <c r="V49" s="36">
        <f>'дод 2'!W81</f>
        <v>0</v>
      </c>
      <c r="W49" s="36">
        <f>'дод 2'!X81</f>
        <v>0</v>
      </c>
      <c r="X49" s="36">
        <f>'дод 2'!Y81</f>
        <v>0</v>
      </c>
      <c r="Y49" s="192" t="e">
        <f t="shared" si="3"/>
        <v>#DIV/0!</v>
      </c>
      <c r="Z49" s="36">
        <f>'дод 2'!AA81</f>
        <v>1729489.65</v>
      </c>
      <c r="AA49" s="36">
        <f>'дод 2'!AB81</f>
        <v>1730660</v>
      </c>
      <c r="AB49" s="239"/>
      <c r="AC49" s="244"/>
    </row>
    <row r="50" spans="1:29" s="62" customFormat="1" ht="26.25" customHeight="1" x14ac:dyDescent="0.25">
      <c r="A50" s="34"/>
      <c r="B50" s="34"/>
      <c r="C50" s="24" t="s">
        <v>394</v>
      </c>
      <c r="D50" s="41">
        <f>'дод 2'!E82</f>
        <v>1730660</v>
      </c>
      <c r="E50" s="41">
        <f>'дод 2'!F82</f>
        <v>1730660</v>
      </c>
      <c r="F50" s="41">
        <f>'дод 2'!G82</f>
        <v>1416400</v>
      </c>
      <c r="G50" s="41">
        <f>'дод 2'!H82</f>
        <v>0</v>
      </c>
      <c r="H50" s="41">
        <f>'дод 2'!I82</f>
        <v>0</v>
      </c>
      <c r="I50" s="41">
        <f>'дод 2'!J82</f>
        <v>1729489.65</v>
      </c>
      <c r="J50" s="41">
        <f>'дод 2'!K82</f>
        <v>1415426.37</v>
      </c>
      <c r="K50" s="41">
        <f>'дод 2'!L82</f>
        <v>0</v>
      </c>
      <c r="L50" s="194">
        <f t="shared" si="2"/>
        <v>99.932375509921073</v>
      </c>
      <c r="M50" s="41">
        <f>'дод 2'!N82</f>
        <v>0</v>
      </c>
      <c r="N50" s="41">
        <f>'дод 2'!O82</f>
        <v>0</v>
      </c>
      <c r="O50" s="41">
        <f>'дод 2'!P82</f>
        <v>0</v>
      </c>
      <c r="P50" s="41">
        <f>'дод 2'!Q82</f>
        <v>0</v>
      </c>
      <c r="Q50" s="41">
        <f>'дод 2'!R82</f>
        <v>0</v>
      </c>
      <c r="R50" s="41">
        <f>'дод 2'!S82</f>
        <v>0</v>
      </c>
      <c r="S50" s="41">
        <f>'дод 2'!T82</f>
        <v>0</v>
      </c>
      <c r="T50" s="41">
        <f>'дод 2'!U82</f>
        <v>0</v>
      </c>
      <c r="U50" s="41">
        <f>'дод 2'!V82</f>
        <v>0</v>
      </c>
      <c r="V50" s="41">
        <f>'дод 2'!W82</f>
        <v>0</v>
      </c>
      <c r="W50" s="41">
        <f>'дод 2'!X82</f>
        <v>0</v>
      </c>
      <c r="X50" s="41">
        <f>'дод 2'!Y82</f>
        <v>0</v>
      </c>
      <c r="Y50" s="194" t="e">
        <f t="shared" si="3"/>
        <v>#DIV/0!</v>
      </c>
      <c r="Z50" s="41">
        <f>'дод 2'!AA82</f>
        <v>1729489.65</v>
      </c>
      <c r="AA50" s="41">
        <f>'дод 2'!AB82</f>
        <v>1730660</v>
      </c>
      <c r="AB50" s="239"/>
      <c r="AC50" s="244"/>
    </row>
    <row r="51" spans="1:29" s="62" customFormat="1" ht="31.5" x14ac:dyDescent="0.25">
      <c r="A51" s="12" t="s">
        <v>43</v>
      </c>
      <c r="B51" s="12" t="s">
        <v>46</v>
      </c>
      <c r="C51" s="14" t="s">
        <v>278</v>
      </c>
      <c r="D51" s="36">
        <f>'дод 2'!E83</f>
        <v>48990900</v>
      </c>
      <c r="E51" s="36">
        <f>'дод 2'!F83</f>
        <v>48990900</v>
      </c>
      <c r="F51" s="36">
        <f>'дод 2'!G83</f>
        <v>33450500</v>
      </c>
      <c r="G51" s="36">
        <f>'дод 2'!H83</f>
        <v>7564900</v>
      </c>
      <c r="H51" s="36">
        <f>'дод 2'!I83</f>
        <v>0</v>
      </c>
      <c r="I51" s="36">
        <f>'дод 2'!J83</f>
        <v>47127853.630000003</v>
      </c>
      <c r="J51" s="36">
        <f>'дод 2'!K83</f>
        <v>33450466.190000001</v>
      </c>
      <c r="K51" s="36">
        <f>'дод 2'!L83</f>
        <v>5835503.1900000004</v>
      </c>
      <c r="L51" s="192">
        <f t="shared" si="2"/>
        <v>96.197158308992087</v>
      </c>
      <c r="M51" s="36">
        <f>'дод 2'!N83</f>
        <v>0</v>
      </c>
      <c r="N51" s="36">
        <f>'дод 2'!O83</f>
        <v>0</v>
      </c>
      <c r="O51" s="36">
        <f>'дод 2'!P83</f>
        <v>0</v>
      </c>
      <c r="P51" s="36">
        <f>'дод 2'!Q83</f>
        <v>0</v>
      </c>
      <c r="Q51" s="36">
        <f>'дод 2'!R83</f>
        <v>0</v>
      </c>
      <c r="R51" s="36">
        <f>'дод 2'!S83</f>
        <v>0</v>
      </c>
      <c r="S51" s="36">
        <f>'дод 2'!T83</f>
        <v>1138174.7000000002</v>
      </c>
      <c r="T51" s="36">
        <f>'дод 2'!U83</f>
        <v>0</v>
      </c>
      <c r="U51" s="36">
        <f>'дод 2'!V83</f>
        <v>874729.3</v>
      </c>
      <c r="V51" s="36">
        <f>'дод 2'!W83</f>
        <v>599392.53</v>
      </c>
      <c r="W51" s="36">
        <f>'дод 2'!X83</f>
        <v>147.97999999999999</v>
      </c>
      <c r="X51" s="36">
        <f>'дод 2'!Y83</f>
        <v>263445.40000000002</v>
      </c>
      <c r="Y51" s="192" t="e">
        <f t="shared" si="3"/>
        <v>#DIV/0!</v>
      </c>
      <c r="Z51" s="36">
        <f>'дод 2'!AA83</f>
        <v>48266028.330000006</v>
      </c>
      <c r="AA51" s="36">
        <f>'дод 2'!AB83</f>
        <v>48990900</v>
      </c>
      <c r="AB51" s="239"/>
      <c r="AC51" s="244"/>
    </row>
    <row r="52" spans="1:29" s="62" customFormat="1" ht="30" customHeight="1" x14ac:dyDescent="0.25">
      <c r="A52" s="13">
        <v>1080</v>
      </c>
      <c r="B52" s="12" t="s">
        <v>46</v>
      </c>
      <c r="C52" s="14" t="s">
        <v>319</v>
      </c>
      <c r="D52" s="36">
        <f>'дод 2'!E205</f>
        <v>60063658</v>
      </c>
      <c r="E52" s="36">
        <f>'дод 2'!F205</f>
        <v>60063658</v>
      </c>
      <c r="F52" s="36">
        <f>'дод 2'!G205</f>
        <v>47336300</v>
      </c>
      <c r="G52" s="36">
        <f>'дод 2'!H205</f>
        <v>1616300</v>
      </c>
      <c r="H52" s="36">
        <f>'дод 2'!I205</f>
        <v>0</v>
      </c>
      <c r="I52" s="36">
        <f>'дод 2'!J205</f>
        <v>59082647.710000001</v>
      </c>
      <c r="J52" s="36">
        <f>'дод 2'!K205</f>
        <v>46993084.170000002</v>
      </c>
      <c r="K52" s="36">
        <f>'дод 2'!L205</f>
        <v>1317737.8400000001</v>
      </c>
      <c r="L52" s="192">
        <f t="shared" si="2"/>
        <v>98.366715710188686</v>
      </c>
      <c r="M52" s="36">
        <f>'дод 2'!N205</f>
        <v>3703600</v>
      </c>
      <c r="N52" s="36">
        <f>'дод 2'!O205</f>
        <v>0</v>
      </c>
      <c r="O52" s="36">
        <f>'дод 2'!P205</f>
        <v>3701400</v>
      </c>
      <c r="P52" s="36">
        <f>'дод 2'!Q205</f>
        <v>3029160</v>
      </c>
      <c r="Q52" s="36">
        <f>'дод 2'!R205</f>
        <v>0</v>
      </c>
      <c r="R52" s="36">
        <f>'дод 2'!S205</f>
        <v>2200</v>
      </c>
      <c r="S52" s="36">
        <f>'дод 2'!T205</f>
        <v>2948281.3099999996</v>
      </c>
      <c r="T52" s="36">
        <f>'дод 2'!U205</f>
        <v>0</v>
      </c>
      <c r="U52" s="36">
        <f>'дод 2'!V205</f>
        <v>2871767.51</v>
      </c>
      <c r="V52" s="36">
        <f>'дод 2'!W205</f>
        <v>2310470.86</v>
      </c>
      <c r="W52" s="36">
        <f>'дод 2'!X205</f>
        <v>0</v>
      </c>
      <c r="X52" s="36">
        <f>'дод 2'!Y205</f>
        <v>76513.8</v>
      </c>
      <c r="Y52" s="192">
        <f t="shared" si="3"/>
        <v>79.605824333081316</v>
      </c>
      <c r="Z52" s="36">
        <f>'дод 2'!AA205</f>
        <v>62030929.020000003</v>
      </c>
      <c r="AA52" s="36">
        <f>'дод 2'!AB205</f>
        <v>63767258</v>
      </c>
      <c r="AB52" s="239"/>
      <c r="AC52" s="244"/>
    </row>
    <row r="53" spans="1:29" s="62" customFormat="1" ht="52.5" customHeight="1" x14ac:dyDescent="0.25">
      <c r="A53" s="13">
        <v>1091</v>
      </c>
      <c r="B53" s="12" t="s">
        <v>328</v>
      </c>
      <c r="C53" s="14" t="s">
        <v>436</v>
      </c>
      <c r="D53" s="36">
        <f>'дод 2'!E84</f>
        <v>154767872</v>
      </c>
      <c r="E53" s="36">
        <f>'дод 2'!F84</f>
        <v>154767872</v>
      </c>
      <c r="F53" s="36">
        <f>'дод 2'!G84</f>
        <v>81142534</v>
      </c>
      <c r="G53" s="36">
        <f>'дод 2'!H84</f>
        <v>23803100</v>
      </c>
      <c r="H53" s="36">
        <f>'дод 2'!I84</f>
        <v>0</v>
      </c>
      <c r="I53" s="36">
        <f>'дод 2'!J84</f>
        <v>149322268.50999999</v>
      </c>
      <c r="J53" s="36">
        <f>'дод 2'!K84</f>
        <v>80974030.049999997</v>
      </c>
      <c r="K53" s="36">
        <f>'дод 2'!L84</f>
        <v>19896689.760000002</v>
      </c>
      <c r="L53" s="192">
        <f t="shared" si="2"/>
        <v>96.481438027396266</v>
      </c>
      <c r="M53" s="36">
        <f>'дод 2'!N84</f>
        <v>38241960</v>
      </c>
      <c r="N53" s="36">
        <f>'дод 2'!O84</f>
        <v>16326800</v>
      </c>
      <c r="O53" s="36">
        <f>'дод 2'!P84</f>
        <v>21478160</v>
      </c>
      <c r="P53" s="36">
        <f>'дод 2'!Q84</f>
        <v>7258500</v>
      </c>
      <c r="Q53" s="36">
        <f>'дод 2'!R84</f>
        <v>6662500</v>
      </c>
      <c r="R53" s="36">
        <f>'дод 2'!S84</f>
        <v>16763800</v>
      </c>
      <c r="S53" s="36">
        <f>'дод 2'!T84</f>
        <v>50467145.650000006</v>
      </c>
      <c r="T53" s="36">
        <f>'дод 2'!U84</f>
        <v>15905464.9</v>
      </c>
      <c r="U53" s="36">
        <f>'дод 2'!V84</f>
        <v>18313139.300000001</v>
      </c>
      <c r="V53" s="36">
        <f>'дод 2'!W84</f>
        <v>3445755.5</v>
      </c>
      <c r="W53" s="36">
        <f>'дод 2'!X84</f>
        <v>3330513.82</v>
      </c>
      <c r="X53" s="36">
        <f>'дод 2'!Y84</f>
        <v>32154006.350000001</v>
      </c>
      <c r="Y53" s="192">
        <f t="shared" si="3"/>
        <v>131.96798921917184</v>
      </c>
      <c r="Z53" s="36">
        <f>'дод 2'!AA84</f>
        <v>199789414.16</v>
      </c>
      <c r="AA53" s="36">
        <f>'дод 2'!AB84</f>
        <v>193009832</v>
      </c>
      <c r="AB53" s="239"/>
      <c r="AC53" s="244"/>
    </row>
    <row r="54" spans="1:29" s="62" customFormat="1" ht="103.5" customHeight="1" x14ac:dyDescent="0.25">
      <c r="A54" s="21"/>
      <c r="B54" s="20"/>
      <c r="C54" s="24" t="s">
        <v>439</v>
      </c>
      <c r="D54" s="41">
        <f>'дод 2'!E85</f>
        <v>0</v>
      </c>
      <c r="E54" s="41">
        <f>'дод 2'!F85</f>
        <v>0</v>
      </c>
      <c r="F54" s="41">
        <f>'дод 2'!G85</f>
        <v>0</v>
      </c>
      <c r="G54" s="41">
        <f>'дод 2'!H85</f>
        <v>0</v>
      </c>
      <c r="H54" s="41">
        <f>'дод 2'!I85</f>
        <v>0</v>
      </c>
      <c r="I54" s="41">
        <f>'дод 2'!J85</f>
        <v>0</v>
      </c>
      <c r="J54" s="41">
        <f>'дод 2'!K85</f>
        <v>0</v>
      </c>
      <c r="K54" s="41">
        <f>'дод 2'!L85</f>
        <v>0</v>
      </c>
      <c r="L54" s="194" t="e">
        <f t="shared" si="2"/>
        <v>#DIV/0!</v>
      </c>
      <c r="M54" s="41">
        <f>'дод 2'!N85</f>
        <v>6210000</v>
      </c>
      <c r="N54" s="41">
        <f>'дод 2'!O85</f>
        <v>6210000</v>
      </c>
      <c r="O54" s="41">
        <f>'дод 2'!P85</f>
        <v>0</v>
      </c>
      <c r="P54" s="41">
        <f>'дод 2'!Q85</f>
        <v>0</v>
      </c>
      <c r="Q54" s="41">
        <f>'дод 2'!R85</f>
        <v>0</v>
      </c>
      <c r="R54" s="41">
        <f>'дод 2'!S85</f>
        <v>6210000</v>
      </c>
      <c r="S54" s="41">
        <f>'дод 2'!T85</f>
        <v>5867298.0099999998</v>
      </c>
      <c r="T54" s="41">
        <f>'дод 2'!U85</f>
        <v>5867298.0099999998</v>
      </c>
      <c r="U54" s="41">
        <f>'дод 2'!V85</f>
        <v>0</v>
      </c>
      <c r="V54" s="41">
        <f>'дод 2'!W85</f>
        <v>0</v>
      </c>
      <c r="W54" s="41">
        <f>'дод 2'!X85</f>
        <v>0</v>
      </c>
      <c r="X54" s="41">
        <f>'дод 2'!Y85</f>
        <v>5867298.0099999998</v>
      </c>
      <c r="Y54" s="194">
        <f t="shared" si="3"/>
        <v>94.481449436392907</v>
      </c>
      <c r="Z54" s="41">
        <f>'дод 2'!AA85</f>
        <v>5867298.0099999998</v>
      </c>
      <c r="AA54" s="41">
        <f>'дод 2'!AB85</f>
        <v>6210000</v>
      </c>
      <c r="AB54" s="239"/>
      <c r="AC54" s="244"/>
    </row>
    <row r="55" spans="1:29" s="62" customFormat="1" ht="21.4" customHeight="1" x14ac:dyDescent="0.25">
      <c r="A55" s="21"/>
      <c r="B55" s="20"/>
      <c r="C55" s="22" t="s">
        <v>584</v>
      </c>
      <c r="D55" s="41">
        <f>'дод 2'!E86</f>
        <v>0</v>
      </c>
      <c r="E55" s="41">
        <f>'дод 2'!F86</f>
        <v>0</v>
      </c>
      <c r="F55" s="41">
        <f>'дод 2'!G86</f>
        <v>0</v>
      </c>
      <c r="G55" s="41">
        <f>'дод 2'!H86</f>
        <v>0</v>
      </c>
      <c r="H55" s="41">
        <f>'дод 2'!I86</f>
        <v>0</v>
      </c>
      <c r="I55" s="41">
        <f>'дод 2'!J86</f>
        <v>0</v>
      </c>
      <c r="J55" s="41">
        <f>'дод 2'!K86</f>
        <v>0</v>
      </c>
      <c r="K55" s="41">
        <f>'дод 2'!L86</f>
        <v>0</v>
      </c>
      <c r="L55" s="194" t="e">
        <f t="shared" si="2"/>
        <v>#DIV/0!</v>
      </c>
      <c r="M55" s="41">
        <f>'дод 2'!N86</f>
        <v>4063300</v>
      </c>
      <c r="N55" s="41">
        <f>'дод 2'!O86</f>
        <v>4063300</v>
      </c>
      <c r="O55" s="41">
        <f>'дод 2'!P86</f>
        <v>0</v>
      </c>
      <c r="P55" s="41">
        <f>'дод 2'!Q86</f>
        <v>0</v>
      </c>
      <c r="Q55" s="41">
        <f>'дод 2'!R86</f>
        <v>0</v>
      </c>
      <c r="R55" s="41">
        <f>'дод 2'!S86</f>
        <v>4063300</v>
      </c>
      <c r="S55" s="41">
        <f>'дод 2'!T86</f>
        <v>3987122.64</v>
      </c>
      <c r="T55" s="41">
        <f>'дод 2'!U86</f>
        <v>3987122.64</v>
      </c>
      <c r="U55" s="41">
        <f>'дод 2'!V86</f>
        <v>0</v>
      </c>
      <c r="V55" s="41">
        <f>'дод 2'!W86</f>
        <v>0</v>
      </c>
      <c r="W55" s="41">
        <f>'дод 2'!X86</f>
        <v>0</v>
      </c>
      <c r="X55" s="41">
        <f>'дод 2'!Y86</f>
        <v>3987122.64</v>
      </c>
      <c r="Y55" s="194">
        <f t="shared" si="3"/>
        <v>98.12523416927128</v>
      </c>
      <c r="Z55" s="41">
        <f>'дод 2'!AA86</f>
        <v>3987122.64</v>
      </c>
      <c r="AA55" s="41">
        <f>'дод 2'!AB86</f>
        <v>4063300</v>
      </c>
      <c r="AB55" s="239"/>
      <c r="AC55" s="244"/>
    </row>
    <row r="56" spans="1:29" s="62" customFormat="1" ht="21" customHeight="1" x14ac:dyDescent="0.25">
      <c r="A56" s="21"/>
      <c r="B56" s="20"/>
      <c r="C56" s="24" t="str">
        <f>'дод 2'!D87</f>
        <v>іншої субвенції з місцевого бюджету</v>
      </c>
      <c r="D56" s="41">
        <f>'дод 2'!E87</f>
        <v>159372</v>
      </c>
      <c r="E56" s="41">
        <f>'дод 2'!F87</f>
        <v>159372</v>
      </c>
      <c r="F56" s="41">
        <f>'дод 2'!G87</f>
        <v>130634</v>
      </c>
      <c r="G56" s="41">
        <f>'дод 2'!H87</f>
        <v>0</v>
      </c>
      <c r="H56" s="41">
        <f>'дод 2'!I87</f>
        <v>0</v>
      </c>
      <c r="I56" s="41">
        <f>'дод 2'!J87</f>
        <v>159372</v>
      </c>
      <c r="J56" s="41">
        <f>'дод 2'!K87</f>
        <v>130634</v>
      </c>
      <c r="K56" s="41">
        <f>'дод 2'!L87</f>
        <v>0</v>
      </c>
      <c r="L56" s="194">
        <f t="shared" si="2"/>
        <v>100</v>
      </c>
      <c r="M56" s="41">
        <f>'дод 2'!N87</f>
        <v>6053500</v>
      </c>
      <c r="N56" s="41">
        <f>'дод 2'!O87</f>
        <v>6053500</v>
      </c>
      <c r="O56" s="41">
        <f>'дод 2'!P87</f>
        <v>0</v>
      </c>
      <c r="P56" s="41">
        <f>'дод 2'!Q87</f>
        <v>0</v>
      </c>
      <c r="Q56" s="41">
        <f>'дод 2'!R87</f>
        <v>0</v>
      </c>
      <c r="R56" s="41">
        <f>'дод 2'!S87</f>
        <v>6053500</v>
      </c>
      <c r="S56" s="41">
        <f>'дод 2'!T87</f>
        <v>6051044.25</v>
      </c>
      <c r="T56" s="41">
        <f>'дод 2'!U87</f>
        <v>6051044.25</v>
      </c>
      <c r="U56" s="41">
        <f>'дод 2'!V87</f>
        <v>0</v>
      </c>
      <c r="V56" s="41">
        <f>'дод 2'!W87</f>
        <v>0</v>
      </c>
      <c r="W56" s="41">
        <f>'дод 2'!X87</f>
        <v>0</v>
      </c>
      <c r="X56" s="41">
        <f>'дод 2'!Y87</f>
        <v>6051044.25</v>
      </c>
      <c r="Y56" s="194">
        <f t="shared" si="3"/>
        <v>99.959432559676216</v>
      </c>
      <c r="Z56" s="41">
        <f>'дод 2'!AA87</f>
        <v>6210416.25</v>
      </c>
      <c r="AA56" s="41">
        <f>'дод 2'!AB87</f>
        <v>6212872</v>
      </c>
      <c r="AB56" s="239"/>
      <c r="AC56" s="244"/>
    </row>
    <row r="57" spans="1:29" s="62" customFormat="1" ht="64.5" customHeight="1" x14ac:dyDescent="0.25">
      <c r="A57" s="44">
        <v>1092</v>
      </c>
      <c r="B57" s="42" t="s">
        <v>328</v>
      </c>
      <c r="C57" s="43" t="s">
        <v>400</v>
      </c>
      <c r="D57" s="36">
        <f>'дод 2'!E88</f>
        <v>20104427.449999999</v>
      </c>
      <c r="E57" s="36">
        <f>'дод 2'!F88</f>
        <v>20104427.449999999</v>
      </c>
      <c r="F57" s="36">
        <f>'дод 2'!G88</f>
        <v>16565078</v>
      </c>
      <c r="G57" s="36">
        <f>'дод 2'!H88</f>
        <v>0</v>
      </c>
      <c r="H57" s="36">
        <f>'дод 2'!I88</f>
        <v>0</v>
      </c>
      <c r="I57" s="36">
        <f>'дод 2'!J88</f>
        <v>20080310.93</v>
      </c>
      <c r="J57" s="36">
        <f>'дод 2'!K88</f>
        <v>16557157.369999999</v>
      </c>
      <c r="K57" s="36">
        <f>'дод 2'!L88</f>
        <v>0</v>
      </c>
      <c r="L57" s="192">
        <f t="shared" si="2"/>
        <v>99.880043736336305</v>
      </c>
      <c r="M57" s="36">
        <f>'дод 2'!N88</f>
        <v>0</v>
      </c>
      <c r="N57" s="36">
        <f>'дод 2'!O88</f>
        <v>0</v>
      </c>
      <c r="O57" s="36">
        <f>'дод 2'!P88</f>
        <v>0</v>
      </c>
      <c r="P57" s="36">
        <f>'дод 2'!Q88</f>
        <v>0</v>
      </c>
      <c r="Q57" s="36">
        <f>'дод 2'!R88</f>
        <v>0</v>
      </c>
      <c r="R57" s="36">
        <f>'дод 2'!S88</f>
        <v>0</v>
      </c>
      <c r="S57" s="36">
        <f>'дод 2'!T88</f>
        <v>0</v>
      </c>
      <c r="T57" s="36">
        <f>'дод 2'!U88</f>
        <v>0</v>
      </c>
      <c r="U57" s="36">
        <f>'дод 2'!V88</f>
        <v>0</v>
      </c>
      <c r="V57" s="36">
        <f>'дод 2'!W88</f>
        <v>0</v>
      </c>
      <c r="W57" s="36">
        <f>'дод 2'!X88</f>
        <v>0</v>
      </c>
      <c r="X57" s="36">
        <f>'дод 2'!Y88</f>
        <v>0</v>
      </c>
      <c r="Y57" s="192" t="e">
        <f t="shared" si="3"/>
        <v>#DIV/0!</v>
      </c>
      <c r="Z57" s="36">
        <f>'дод 2'!AA88</f>
        <v>20080310.93</v>
      </c>
      <c r="AA57" s="36">
        <f>'дод 2'!AB88</f>
        <v>20104427.449999999</v>
      </c>
      <c r="AB57" s="239"/>
      <c r="AC57" s="244"/>
    </row>
    <row r="58" spans="1:29" s="62" customFormat="1" ht="31.5" x14ac:dyDescent="0.25">
      <c r="A58" s="45"/>
      <c r="B58" s="46"/>
      <c r="C58" s="24" t="s">
        <v>394</v>
      </c>
      <c r="D58" s="41">
        <f>'дод 2'!E89</f>
        <v>19901692</v>
      </c>
      <c r="E58" s="41">
        <f>'дод 2'!F89</f>
        <v>19901692</v>
      </c>
      <c r="F58" s="41">
        <f>'дод 2'!G89</f>
        <v>16398862</v>
      </c>
      <c r="G58" s="41">
        <f>'дод 2'!H89</f>
        <v>0</v>
      </c>
      <c r="H58" s="41">
        <f>'дод 2'!I89</f>
        <v>0</v>
      </c>
      <c r="I58" s="41">
        <f>'дод 2'!J89</f>
        <v>19877575.48</v>
      </c>
      <c r="J58" s="41">
        <f>'дод 2'!K89</f>
        <v>16390941.369999999</v>
      </c>
      <c r="K58" s="41">
        <f>'дод 2'!L89</f>
        <v>0</v>
      </c>
      <c r="L58" s="194">
        <f t="shared" si="2"/>
        <v>99.878821760481472</v>
      </c>
      <c r="M58" s="41">
        <f>'дод 2'!N89</f>
        <v>0</v>
      </c>
      <c r="N58" s="41">
        <f>'дод 2'!O89</f>
        <v>0</v>
      </c>
      <c r="O58" s="41">
        <f>'дод 2'!P89</f>
        <v>0</v>
      </c>
      <c r="P58" s="41">
        <f>'дод 2'!Q89</f>
        <v>0</v>
      </c>
      <c r="Q58" s="41">
        <f>'дод 2'!R89</f>
        <v>0</v>
      </c>
      <c r="R58" s="41">
        <f>'дод 2'!S89</f>
        <v>0</v>
      </c>
      <c r="S58" s="41">
        <f>'дод 2'!T89</f>
        <v>0</v>
      </c>
      <c r="T58" s="41">
        <f>'дод 2'!U89</f>
        <v>0</v>
      </c>
      <c r="U58" s="41">
        <f>'дод 2'!V89</f>
        <v>0</v>
      </c>
      <c r="V58" s="41">
        <f>'дод 2'!W89</f>
        <v>0</v>
      </c>
      <c r="W58" s="41">
        <f>'дод 2'!X89</f>
        <v>0</v>
      </c>
      <c r="X58" s="41">
        <f>'дод 2'!Y89</f>
        <v>0</v>
      </c>
      <c r="Y58" s="194" t="e">
        <f t="shared" si="3"/>
        <v>#DIV/0!</v>
      </c>
      <c r="Z58" s="41">
        <f>'дод 2'!AA89</f>
        <v>19877575.48</v>
      </c>
      <c r="AA58" s="41">
        <f>'дод 2'!AB89</f>
        <v>19901692</v>
      </c>
      <c r="AB58" s="239"/>
      <c r="AC58" s="244"/>
    </row>
    <row r="59" spans="1:29" s="62" customFormat="1" ht="47.25" x14ac:dyDescent="0.25">
      <c r="A59" s="45"/>
      <c r="B59" s="46"/>
      <c r="C59" s="22" t="s">
        <v>490</v>
      </c>
      <c r="D59" s="41">
        <f>'дод 2'!E90</f>
        <v>202735.45</v>
      </c>
      <c r="E59" s="41">
        <f>'дод 2'!F90</f>
        <v>202735.45</v>
      </c>
      <c r="F59" s="41">
        <f>'дод 2'!G90</f>
        <v>166216</v>
      </c>
      <c r="G59" s="41">
        <f>'дод 2'!H90</f>
        <v>0</v>
      </c>
      <c r="H59" s="41">
        <f>'дод 2'!I90</f>
        <v>0</v>
      </c>
      <c r="I59" s="41">
        <f>'дод 2'!J90</f>
        <v>202735.45</v>
      </c>
      <c r="J59" s="41">
        <f>'дод 2'!K90</f>
        <v>166216</v>
      </c>
      <c r="K59" s="41">
        <f>'дод 2'!L90</f>
        <v>0</v>
      </c>
      <c r="L59" s="194">
        <f t="shared" si="2"/>
        <v>100</v>
      </c>
      <c r="M59" s="41">
        <f>'дод 2'!N90</f>
        <v>0</v>
      </c>
      <c r="N59" s="41">
        <f>'дод 2'!O90</f>
        <v>0</v>
      </c>
      <c r="O59" s="41">
        <f>'дод 2'!P90</f>
        <v>0</v>
      </c>
      <c r="P59" s="41">
        <f>'дод 2'!Q90</f>
        <v>0</v>
      </c>
      <c r="Q59" s="41">
        <f>'дод 2'!R90</f>
        <v>0</v>
      </c>
      <c r="R59" s="41">
        <f>'дод 2'!S90</f>
        <v>0</v>
      </c>
      <c r="S59" s="41">
        <f>'дод 2'!T90</f>
        <v>0</v>
      </c>
      <c r="T59" s="41">
        <f>'дод 2'!U90</f>
        <v>0</v>
      </c>
      <c r="U59" s="41">
        <f>'дод 2'!V90</f>
        <v>0</v>
      </c>
      <c r="V59" s="41">
        <f>'дод 2'!W90</f>
        <v>0</v>
      </c>
      <c r="W59" s="41">
        <f>'дод 2'!X90</f>
        <v>0</v>
      </c>
      <c r="X59" s="41">
        <f>'дод 2'!Y90</f>
        <v>0</v>
      </c>
      <c r="Y59" s="194" t="e">
        <f t="shared" si="3"/>
        <v>#DIV/0!</v>
      </c>
      <c r="Z59" s="41">
        <f>'дод 2'!AA90</f>
        <v>202735.45</v>
      </c>
      <c r="AA59" s="41">
        <f>'дод 2'!AB90</f>
        <v>202735.45</v>
      </c>
      <c r="AB59" s="239"/>
      <c r="AC59" s="244"/>
    </row>
    <row r="60" spans="1:29" s="62" customFormat="1" ht="24.75" customHeight="1" x14ac:dyDescent="0.25">
      <c r="A60" s="12" t="s">
        <v>298</v>
      </c>
      <c r="B60" s="12" t="s">
        <v>47</v>
      </c>
      <c r="C60" s="14" t="s">
        <v>314</v>
      </c>
      <c r="D60" s="36">
        <f>'дод 2'!E91+'дод 2'!E271</f>
        <v>13550500</v>
      </c>
      <c r="E60" s="36">
        <f>'дод 2'!F91+'дод 2'!F271</f>
        <v>13550500</v>
      </c>
      <c r="F60" s="36">
        <f>'дод 2'!G91+'дод 2'!G271</f>
        <v>9337100</v>
      </c>
      <c r="G60" s="36">
        <f>'дод 2'!H91+'дод 2'!H271</f>
        <v>1318500</v>
      </c>
      <c r="H60" s="36">
        <f>'дод 2'!I91+'дод 2'!I271</f>
        <v>0</v>
      </c>
      <c r="I60" s="36">
        <f>'дод 2'!J91+'дод 2'!J271</f>
        <v>13008190.289999999</v>
      </c>
      <c r="J60" s="36">
        <f>'дод 2'!K91+'дод 2'!K271</f>
        <v>9337030.2400000002</v>
      </c>
      <c r="K60" s="36">
        <f>'дод 2'!L91+'дод 2'!L271</f>
        <v>1038008.08</v>
      </c>
      <c r="L60" s="192">
        <f t="shared" si="2"/>
        <v>95.997861997712249</v>
      </c>
      <c r="M60" s="36">
        <f>'дод 2'!N91+'дод 2'!N271</f>
        <v>0</v>
      </c>
      <c r="N60" s="36">
        <f>'дод 2'!O91+'дод 2'!O271</f>
        <v>0</v>
      </c>
      <c r="O60" s="36">
        <f>'дод 2'!P91+'дод 2'!P271</f>
        <v>0</v>
      </c>
      <c r="P60" s="36">
        <f>'дод 2'!Q91+'дод 2'!Q271</f>
        <v>0</v>
      </c>
      <c r="Q60" s="36">
        <f>'дод 2'!R91+'дод 2'!R271</f>
        <v>0</v>
      </c>
      <c r="R60" s="36">
        <f>'дод 2'!S91+'дод 2'!S271</f>
        <v>0</v>
      </c>
      <c r="S60" s="36">
        <f>'дод 2'!T91+'дод 2'!T271</f>
        <v>618717.19999999995</v>
      </c>
      <c r="T60" s="36">
        <f>'дод 2'!U91+'дод 2'!U271</f>
        <v>0</v>
      </c>
      <c r="U60" s="36">
        <f>'дод 2'!V91+'дод 2'!V271</f>
        <v>339511.39</v>
      </c>
      <c r="V60" s="36">
        <f>'дод 2'!W91+'дод 2'!W271</f>
        <v>0</v>
      </c>
      <c r="W60" s="36">
        <f>'дод 2'!X91+'дод 2'!X271</f>
        <v>0</v>
      </c>
      <c r="X60" s="36">
        <f>'дод 2'!Y91+'дод 2'!Y271</f>
        <v>279205.81</v>
      </c>
      <c r="Y60" s="192" t="e">
        <f t="shared" si="3"/>
        <v>#DIV/0!</v>
      </c>
      <c r="Z60" s="36">
        <f>'дод 2'!AA91+'дод 2'!AA271</f>
        <v>13626907.489999998</v>
      </c>
      <c r="AA60" s="36">
        <f>'дод 2'!AB91+'дод 2'!AB271</f>
        <v>13550500</v>
      </c>
      <c r="AB60" s="239"/>
      <c r="AC60" s="244"/>
    </row>
    <row r="61" spans="1:29" ht="30" customHeight="1" x14ac:dyDescent="0.25">
      <c r="A61" s="12" t="s">
        <v>300</v>
      </c>
      <c r="B61" s="12" t="s">
        <v>47</v>
      </c>
      <c r="C61" s="14" t="s">
        <v>220</v>
      </c>
      <c r="D61" s="36">
        <f>'дод 2'!E92</f>
        <v>134000</v>
      </c>
      <c r="E61" s="36">
        <f>'дод 2'!F92</f>
        <v>134000</v>
      </c>
      <c r="F61" s="36">
        <f>'дод 2'!G92</f>
        <v>0</v>
      </c>
      <c r="G61" s="36">
        <f>'дод 2'!H92</f>
        <v>0</v>
      </c>
      <c r="H61" s="36">
        <f>'дод 2'!I92</f>
        <v>0</v>
      </c>
      <c r="I61" s="36">
        <f>'дод 2'!J92</f>
        <v>126300</v>
      </c>
      <c r="J61" s="36">
        <f>'дод 2'!K92</f>
        <v>0</v>
      </c>
      <c r="K61" s="36">
        <f>'дод 2'!L92</f>
        <v>0</v>
      </c>
      <c r="L61" s="192">
        <f t="shared" si="2"/>
        <v>94.25373134328359</v>
      </c>
      <c r="M61" s="36">
        <f>'дод 2'!N92</f>
        <v>0</v>
      </c>
      <c r="N61" s="36">
        <f>'дод 2'!O92</f>
        <v>0</v>
      </c>
      <c r="O61" s="36">
        <f>'дод 2'!P92</f>
        <v>0</v>
      </c>
      <c r="P61" s="36">
        <f>'дод 2'!Q92</f>
        <v>0</v>
      </c>
      <c r="Q61" s="36">
        <f>'дод 2'!R92</f>
        <v>0</v>
      </c>
      <c r="R61" s="36">
        <f>'дод 2'!S92</f>
        <v>0</v>
      </c>
      <c r="S61" s="36">
        <f>'дод 2'!T92</f>
        <v>0</v>
      </c>
      <c r="T61" s="36">
        <f>'дод 2'!U92</f>
        <v>0</v>
      </c>
      <c r="U61" s="36">
        <f>'дод 2'!V92</f>
        <v>0</v>
      </c>
      <c r="V61" s="36">
        <f>'дод 2'!W92</f>
        <v>0</v>
      </c>
      <c r="W61" s="36">
        <f>'дод 2'!X92</f>
        <v>0</v>
      </c>
      <c r="X61" s="36">
        <f>'дод 2'!Y92</f>
        <v>0</v>
      </c>
      <c r="Y61" s="192" t="e">
        <f t="shared" si="3"/>
        <v>#DIV/0!</v>
      </c>
      <c r="Z61" s="36">
        <f>'дод 2'!AA92</f>
        <v>126300</v>
      </c>
      <c r="AA61" s="36">
        <f>'дод 2'!AB92</f>
        <v>134000</v>
      </c>
      <c r="AB61" s="239"/>
      <c r="AC61" s="244"/>
    </row>
    <row r="62" spans="1:29" ht="32.25" customHeight="1" x14ac:dyDescent="0.25">
      <c r="A62" s="12" t="s">
        <v>302</v>
      </c>
      <c r="B62" s="12" t="s">
        <v>47</v>
      </c>
      <c r="C62" s="14" t="s">
        <v>303</v>
      </c>
      <c r="D62" s="36">
        <f>'дод 2'!E93</f>
        <v>173400</v>
      </c>
      <c r="E62" s="36">
        <f>'дод 2'!F93</f>
        <v>173400</v>
      </c>
      <c r="F62" s="36">
        <f>'дод 2'!G93</f>
        <v>0</v>
      </c>
      <c r="G62" s="36">
        <f>'дод 2'!H93</f>
        <v>129400</v>
      </c>
      <c r="H62" s="36">
        <f>'дод 2'!I93</f>
        <v>0</v>
      </c>
      <c r="I62" s="36">
        <f>'дод 2'!J93</f>
        <v>167654.06</v>
      </c>
      <c r="J62" s="36">
        <f>'дод 2'!K93</f>
        <v>0</v>
      </c>
      <c r="K62" s="36">
        <f>'дод 2'!L93</f>
        <v>128058.3</v>
      </c>
      <c r="L62" s="192">
        <f t="shared" si="2"/>
        <v>96.686309111880036</v>
      </c>
      <c r="M62" s="36">
        <f>'дод 2'!N93</f>
        <v>0</v>
      </c>
      <c r="N62" s="36">
        <f>'дод 2'!O93</f>
        <v>0</v>
      </c>
      <c r="O62" s="36">
        <f>'дод 2'!P93</f>
        <v>0</v>
      </c>
      <c r="P62" s="36">
        <f>'дод 2'!Q93</f>
        <v>0</v>
      </c>
      <c r="Q62" s="36">
        <f>'дод 2'!R93</f>
        <v>0</v>
      </c>
      <c r="R62" s="36">
        <f>'дод 2'!S93</f>
        <v>0</v>
      </c>
      <c r="S62" s="36">
        <f>'дод 2'!T93</f>
        <v>503462.99</v>
      </c>
      <c r="T62" s="36">
        <f>'дод 2'!U93</f>
        <v>0</v>
      </c>
      <c r="U62" s="36">
        <f>'дод 2'!V93</f>
        <v>29243.49</v>
      </c>
      <c r="V62" s="36">
        <f>'дод 2'!W93</f>
        <v>0</v>
      </c>
      <c r="W62" s="36">
        <f>'дод 2'!X93</f>
        <v>0</v>
      </c>
      <c r="X62" s="36">
        <f>'дод 2'!Y93</f>
        <v>474219.5</v>
      </c>
      <c r="Y62" s="192" t="e">
        <f t="shared" si="3"/>
        <v>#DIV/0!</v>
      </c>
      <c r="Z62" s="36">
        <f>'дод 2'!AA93</f>
        <v>671117.05</v>
      </c>
      <c r="AA62" s="36">
        <f>'дод 2'!AB93</f>
        <v>173400</v>
      </c>
      <c r="AB62" s="239"/>
      <c r="AC62" s="244"/>
    </row>
    <row r="63" spans="1:29" ht="31.5" x14ac:dyDescent="0.25">
      <c r="A63" s="12" t="s">
        <v>391</v>
      </c>
      <c r="B63" s="12" t="s">
        <v>47</v>
      </c>
      <c r="C63" s="14" t="s">
        <v>392</v>
      </c>
      <c r="D63" s="36">
        <f>'дод 2'!E94</f>
        <v>2150831</v>
      </c>
      <c r="E63" s="36">
        <f>'дод 2'!F94</f>
        <v>2150831</v>
      </c>
      <c r="F63" s="36">
        <f>'дод 2'!G94</f>
        <v>1761131</v>
      </c>
      <c r="G63" s="36">
        <f>'дод 2'!H94</f>
        <v>0</v>
      </c>
      <c r="H63" s="36">
        <f>'дод 2'!I94</f>
        <v>0</v>
      </c>
      <c r="I63" s="36">
        <f>'дод 2'!J94</f>
        <v>2145621.54</v>
      </c>
      <c r="J63" s="36">
        <f>'дод 2'!K94</f>
        <v>1755921.87</v>
      </c>
      <c r="K63" s="36">
        <f>'дод 2'!L94</f>
        <v>0</v>
      </c>
      <c r="L63" s="192">
        <f t="shared" si="2"/>
        <v>99.757793150647359</v>
      </c>
      <c r="M63" s="36">
        <f>'дод 2'!N94</f>
        <v>0</v>
      </c>
      <c r="N63" s="36">
        <f>'дод 2'!O94</f>
        <v>0</v>
      </c>
      <c r="O63" s="36">
        <f>'дод 2'!P94</f>
        <v>0</v>
      </c>
      <c r="P63" s="36">
        <f>'дод 2'!Q94</f>
        <v>0</v>
      </c>
      <c r="Q63" s="36">
        <f>'дод 2'!R94</f>
        <v>0</v>
      </c>
      <c r="R63" s="36">
        <f>'дод 2'!S94</f>
        <v>0</v>
      </c>
      <c r="S63" s="36">
        <f>'дод 2'!T94</f>
        <v>0</v>
      </c>
      <c r="T63" s="36">
        <f>'дод 2'!U94</f>
        <v>0</v>
      </c>
      <c r="U63" s="36">
        <f>'дод 2'!V94</f>
        <v>0</v>
      </c>
      <c r="V63" s="36">
        <f>'дод 2'!W94</f>
        <v>0</v>
      </c>
      <c r="W63" s="36">
        <f>'дод 2'!X94</f>
        <v>0</v>
      </c>
      <c r="X63" s="36">
        <f>'дод 2'!Y94</f>
        <v>0</v>
      </c>
      <c r="Y63" s="192" t="e">
        <f t="shared" si="3"/>
        <v>#DIV/0!</v>
      </c>
      <c r="Z63" s="36">
        <f>'дод 2'!AA94</f>
        <v>2145621.54</v>
      </c>
      <c r="AA63" s="36">
        <f>'дод 2'!AB94</f>
        <v>2150831</v>
      </c>
      <c r="AB63" s="239"/>
      <c r="AC63" s="244"/>
    </row>
    <row r="64" spans="1:29" s="62" customFormat="1" ht="45" customHeight="1" x14ac:dyDescent="0.25">
      <c r="A64" s="20"/>
      <c r="B64" s="20"/>
      <c r="C64" s="24" t="s">
        <v>387</v>
      </c>
      <c r="D64" s="41">
        <f>'дод 2'!E95</f>
        <v>2150831</v>
      </c>
      <c r="E64" s="41">
        <f>'дод 2'!F95</f>
        <v>2150831</v>
      </c>
      <c r="F64" s="41">
        <f>'дод 2'!G95</f>
        <v>1761131</v>
      </c>
      <c r="G64" s="41">
        <f>'дод 2'!H95</f>
        <v>0</v>
      </c>
      <c r="H64" s="41">
        <f>'дод 2'!I95</f>
        <v>0</v>
      </c>
      <c r="I64" s="41">
        <f>'дод 2'!J95</f>
        <v>2145621.54</v>
      </c>
      <c r="J64" s="41">
        <f>'дод 2'!K95</f>
        <v>1755921.87</v>
      </c>
      <c r="K64" s="41">
        <f>'дод 2'!L95</f>
        <v>0</v>
      </c>
      <c r="L64" s="194">
        <f t="shared" si="2"/>
        <v>99.757793150647359</v>
      </c>
      <c r="M64" s="41">
        <f>'дод 2'!N95</f>
        <v>0</v>
      </c>
      <c r="N64" s="41">
        <f>'дод 2'!O95</f>
        <v>0</v>
      </c>
      <c r="O64" s="41">
        <f>'дод 2'!P95</f>
        <v>0</v>
      </c>
      <c r="P64" s="41">
        <f>'дод 2'!Q95</f>
        <v>0</v>
      </c>
      <c r="Q64" s="41">
        <f>'дод 2'!R95</f>
        <v>0</v>
      </c>
      <c r="R64" s="41">
        <f>'дод 2'!S95</f>
        <v>0</v>
      </c>
      <c r="S64" s="41">
        <f>'дод 2'!T95</f>
        <v>0</v>
      </c>
      <c r="T64" s="41">
        <f>'дод 2'!U95</f>
        <v>0</v>
      </c>
      <c r="U64" s="41">
        <f>'дод 2'!V95</f>
        <v>0</v>
      </c>
      <c r="V64" s="41">
        <f>'дод 2'!W95</f>
        <v>0</v>
      </c>
      <c r="W64" s="41">
        <f>'дод 2'!X95</f>
        <v>0</v>
      </c>
      <c r="X64" s="41">
        <f>'дод 2'!Y95</f>
        <v>0</v>
      </c>
      <c r="Y64" s="194" t="e">
        <f t="shared" si="3"/>
        <v>#DIV/0!</v>
      </c>
      <c r="Z64" s="41">
        <f>'дод 2'!AA95</f>
        <v>2145621.54</v>
      </c>
      <c r="AA64" s="41">
        <f>'дод 2'!AB95</f>
        <v>2150831</v>
      </c>
      <c r="AB64" s="239"/>
      <c r="AC64" s="244"/>
    </row>
    <row r="65" spans="1:29" s="62" customFormat="1" ht="31.5" x14ac:dyDescent="0.25">
      <c r="A65" s="12" t="s">
        <v>305</v>
      </c>
      <c r="B65" s="12" t="s">
        <v>47</v>
      </c>
      <c r="C65" s="14" t="s">
        <v>306</v>
      </c>
      <c r="D65" s="36">
        <f>'дод 2'!E96</f>
        <v>3385200</v>
      </c>
      <c r="E65" s="36">
        <f>'дод 2'!F96</f>
        <v>3385200</v>
      </c>
      <c r="F65" s="36">
        <f>'дод 2'!G96</f>
        <v>2422200</v>
      </c>
      <c r="G65" s="36">
        <f>'дод 2'!H96</f>
        <v>315500</v>
      </c>
      <c r="H65" s="36">
        <f>'дод 2'!I96</f>
        <v>0</v>
      </c>
      <c r="I65" s="36">
        <f>'дод 2'!J96</f>
        <v>3167093.82</v>
      </c>
      <c r="J65" s="36">
        <f>'дод 2'!K96</f>
        <v>2307251.0699999998</v>
      </c>
      <c r="K65" s="36">
        <f>'дод 2'!L96</f>
        <v>254396.38</v>
      </c>
      <c r="L65" s="192">
        <f t="shared" si="2"/>
        <v>93.557066643034375</v>
      </c>
      <c r="M65" s="36">
        <f>'дод 2'!N96</f>
        <v>0</v>
      </c>
      <c r="N65" s="36">
        <f>'дод 2'!O96</f>
        <v>0</v>
      </c>
      <c r="O65" s="36">
        <f>'дод 2'!P96</f>
        <v>0</v>
      </c>
      <c r="P65" s="36">
        <f>'дод 2'!Q96</f>
        <v>0</v>
      </c>
      <c r="Q65" s="36">
        <f>'дод 2'!R96</f>
        <v>0</v>
      </c>
      <c r="R65" s="36">
        <f>'дод 2'!S96</f>
        <v>0</v>
      </c>
      <c r="S65" s="36">
        <f>'дод 2'!T96</f>
        <v>60303.06</v>
      </c>
      <c r="T65" s="36">
        <f>'дод 2'!U96</f>
        <v>0</v>
      </c>
      <c r="U65" s="36">
        <f>'дод 2'!V96</f>
        <v>34933.06</v>
      </c>
      <c r="V65" s="36">
        <f>'дод 2'!W96</f>
        <v>0</v>
      </c>
      <c r="W65" s="36">
        <f>'дод 2'!X96</f>
        <v>0</v>
      </c>
      <c r="X65" s="36">
        <f>'дод 2'!Y96</f>
        <v>25370</v>
      </c>
      <c r="Y65" s="192" t="e">
        <f t="shared" si="3"/>
        <v>#DIV/0!</v>
      </c>
      <c r="Z65" s="36">
        <f>'дод 2'!AA96</f>
        <v>3227396.88</v>
      </c>
      <c r="AA65" s="36">
        <f>'дод 2'!AB96</f>
        <v>3385200</v>
      </c>
      <c r="AB65" s="239"/>
      <c r="AC65" s="244"/>
    </row>
    <row r="66" spans="1:29" s="62" customFormat="1" ht="78.75" x14ac:dyDescent="0.25">
      <c r="A66" s="12" t="s">
        <v>417</v>
      </c>
      <c r="B66" s="12" t="s">
        <v>47</v>
      </c>
      <c r="C66" s="16" t="s">
        <v>416</v>
      </c>
      <c r="D66" s="36">
        <f>'дод 2'!E97</f>
        <v>959666</v>
      </c>
      <c r="E66" s="36">
        <f>'дод 2'!F97</f>
        <v>959666</v>
      </c>
      <c r="F66" s="36">
        <f>'дод 2'!G97</f>
        <v>0</v>
      </c>
      <c r="G66" s="36">
        <f>'дод 2'!H97</f>
        <v>0</v>
      </c>
      <c r="H66" s="36">
        <f>'дод 2'!I97</f>
        <v>0</v>
      </c>
      <c r="I66" s="36">
        <f>'дод 2'!J97</f>
        <v>921223.9</v>
      </c>
      <c r="J66" s="36">
        <f>'дод 2'!K97</f>
        <v>0</v>
      </c>
      <c r="K66" s="36">
        <f>'дод 2'!L97</f>
        <v>0</v>
      </c>
      <c r="L66" s="192">
        <f t="shared" si="2"/>
        <v>95.994220906023557</v>
      </c>
      <c r="M66" s="36">
        <f>'дод 2'!N97</f>
        <v>3455834</v>
      </c>
      <c r="N66" s="36">
        <f>'дод 2'!O97</f>
        <v>3455834</v>
      </c>
      <c r="O66" s="36">
        <f>'дод 2'!P97</f>
        <v>0</v>
      </c>
      <c r="P66" s="36">
        <f>'дод 2'!Q97</f>
        <v>0</v>
      </c>
      <c r="Q66" s="36">
        <f>'дод 2'!R97</f>
        <v>0</v>
      </c>
      <c r="R66" s="36">
        <f>'дод 2'!S97</f>
        <v>3455834</v>
      </c>
      <c r="S66" s="36">
        <f>'дод 2'!T97</f>
        <v>3271732.7</v>
      </c>
      <c r="T66" s="36">
        <f>'дод 2'!U97</f>
        <v>3271732.7</v>
      </c>
      <c r="U66" s="36">
        <f>'дод 2'!V97</f>
        <v>0</v>
      </c>
      <c r="V66" s="36">
        <f>'дод 2'!W97</f>
        <v>0</v>
      </c>
      <c r="W66" s="36">
        <f>'дод 2'!X97</f>
        <v>0</v>
      </c>
      <c r="X66" s="36">
        <f>'дод 2'!Y97</f>
        <v>3271732.7</v>
      </c>
      <c r="Y66" s="192">
        <f t="shared" si="3"/>
        <v>94.67273891049166</v>
      </c>
      <c r="Z66" s="36">
        <f>'дод 2'!AA97</f>
        <v>4192956.6</v>
      </c>
      <c r="AA66" s="36">
        <f>'дод 2'!AB97</f>
        <v>4415500</v>
      </c>
      <c r="AB66" s="239"/>
      <c r="AC66" s="244"/>
    </row>
    <row r="67" spans="1:29" s="62" customFormat="1" ht="78.75" x14ac:dyDescent="0.25">
      <c r="A67" s="12" t="s">
        <v>418</v>
      </c>
      <c r="B67" s="12" t="s">
        <v>47</v>
      </c>
      <c r="C67" s="16" t="s">
        <v>419</v>
      </c>
      <c r="D67" s="36">
        <f>'дод 2'!E98</f>
        <v>2239207</v>
      </c>
      <c r="E67" s="36">
        <f>'дод 2'!F98</f>
        <v>2239207</v>
      </c>
      <c r="F67" s="36">
        <f>'дод 2'!G98</f>
        <v>0</v>
      </c>
      <c r="G67" s="36">
        <f>'дод 2'!H98</f>
        <v>0</v>
      </c>
      <c r="H67" s="36">
        <f>'дод 2'!I98</f>
        <v>0</v>
      </c>
      <c r="I67" s="36">
        <f>'дод 2'!J98</f>
        <v>2137666.1</v>
      </c>
      <c r="J67" s="36">
        <f>'дод 2'!K98</f>
        <v>0</v>
      </c>
      <c r="K67" s="36">
        <f>'дод 2'!L98</f>
        <v>0</v>
      </c>
      <c r="L67" s="192">
        <f t="shared" si="2"/>
        <v>95.465318749003558</v>
      </c>
      <c r="M67" s="36">
        <f>'дод 2'!N98</f>
        <v>8063593</v>
      </c>
      <c r="N67" s="36">
        <f>'дод 2'!O98</f>
        <v>8063593</v>
      </c>
      <c r="O67" s="36">
        <f>'дод 2'!P98</f>
        <v>0</v>
      </c>
      <c r="P67" s="36">
        <f>'дод 2'!Q98</f>
        <v>0</v>
      </c>
      <c r="Q67" s="36">
        <f>'дод 2'!R98</f>
        <v>0</v>
      </c>
      <c r="R67" s="36">
        <f>'дод 2'!S98</f>
        <v>8063593</v>
      </c>
      <c r="S67" s="36">
        <f>'дод 2'!T98</f>
        <v>7634048.2999999998</v>
      </c>
      <c r="T67" s="36">
        <f>'дод 2'!U98</f>
        <v>7634048.2999999998</v>
      </c>
      <c r="U67" s="36">
        <f>'дод 2'!V98</f>
        <v>0</v>
      </c>
      <c r="V67" s="36">
        <f>'дод 2'!W98</f>
        <v>0</v>
      </c>
      <c r="W67" s="36">
        <f>'дод 2'!X98</f>
        <v>0</v>
      </c>
      <c r="X67" s="36">
        <f>'дод 2'!Y98</f>
        <v>7634048.2999999998</v>
      </c>
      <c r="Y67" s="192">
        <f t="shared" si="3"/>
        <v>94.673035953079477</v>
      </c>
      <c r="Z67" s="36">
        <f>'дод 2'!AA98</f>
        <v>9771714.4000000004</v>
      </c>
      <c r="AA67" s="36">
        <f>'дод 2'!AB98</f>
        <v>10302800</v>
      </c>
      <c r="AB67" s="239"/>
      <c r="AC67" s="244"/>
    </row>
    <row r="68" spans="1:29" s="62" customFormat="1" ht="63" x14ac:dyDescent="0.25">
      <c r="A68" s="20"/>
      <c r="B68" s="20"/>
      <c r="C68" s="22" t="s">
        <v>420</v>
      </c>
      <c r="D68" s="36">
        <f>'дод 2'!E99</f>
        <v>2239207</v>
      </c>
      <c r="E68" s="36">
        <f>'дод 2'!F99</f>
        <v>2239207</v>
      </c>
      <c r="F68" s="36">
        <f>'дод 2'!G99</f>
        <v>0</v>
      </c>
      <c r="G68" s="36">
        <f>'дод 2'!H99</f>
        <v>0</v>
      </c>
      <c r="H68" s="36">
        <f>'дод 2'!I99</f>
        <v>0</v>
      </c>
      <c r="I68" s="36">
        <f>'дод 2'!J99</f>
        <v>2137666.1</v>
      </c>
      <c r="J68" s="36">
        <f>'дод 2'!K99</f>
        <v>0</v>
      </c>
      <c r="K68" s="36">
        <f>'дод 2'!L99</f>
        <v>0</v>
      </c>
      <c r="L68" s="192">
        <f t="shared" si="2"/>
        <v>95.465318749003558</v>
      </c>
      <c r="M68" s="36">
        <f>'дод 2'!N99</f>
        <v>8063593</v>
      </c>
      <c r="N68" s="36">
        <f>'дод 2'!O99</f>
        <v>8063593</v>
      </c>
      <c r="O68" s="36">
        <f>'дод 2'!P99</f>
        <v>0</v>
      </c>
      <c r="P68" s="36">
        <f>'дод 2'!Q99</f>
        <v>0</v>
      </c>
      <c r="Q68" s="36">
        <f>'дод 2'!R99</f>
        <v>0</v>
      </c>
      <c r="R68" s="36">
        <f>'дод 2'!S99</f>
        <v>8063593</v>
      </c>
      <c r="S68" s="36">
        <f>'дод 2'!T99</f>
        <v>7634048.2999999998</v>
      </c>
      <c r="T68" s="36">
        <f>'дод 2'!U99</f>
        <v>7634048.2999999998</v>
      </c>
      <c r="U68" s="36">
        <f>'дод 2'!V99</f>
        <v>0</v>
      </c>
      <c r="V68" s="36">
        <f>'дод 2'!W99</f>
        <v>0</v>
      </c>
      <c r="W68" s="36">
        <f>'дод 2'!X99</f>
        <v>0</v>
      </c>
      <c r="X68" s="36">
        <f>'дод 2'!Y99</f>
        <v>7634048.2999999998</v>
      </c>
      <c r="Y68" s="192">
        <f t="shared" si="3"/>
        <v>94.673035953079477</v>
      </c>
      <c r="Z68" s="36">
        <f>'дод 2'!AA99</f>
        <v>9771714.4000000004</v>
      </c>
      <c r="AA68" s="36">
        <f>'дод 2'!AB99</f>
        <v>10302800</v>
      </c>
      <c r="AB68" s="239"/>
      <c r="AC68" s="244"/>
    </row>
    <row r="69" spans="1:29" ht="78.75" x14ac:dyDescent="0.25">
      <c r="A69" s="12" t="s">
        <v>423</v>
      </c>
      <c r="B69" s="12" t="s">
        <v>47</v>
      </c>
      <c r="C69" s="16" t="s">
        <v>424</v>
      </c>
      <c r="D69" s="36">
        <f>'дод 2'!E100</f>
        <v>891200</v>
      </c>
      <c r="E69" s="36">
        <f>'дод 2'!F100</f>
        <v>891200</v>
      </c>
      <c r="F69" s="36">
        <f>'дод 2'!G100</f>
        <v>730490</v>
      </c>
      <c r="G69" s="36">
        <f>'дод 2'!H100</f>
        <v>0</v>
      </c>
      <c r="H69" s="36">
        <f>'дод 2'!I100</f>
        <v>0</v>
      </c>
      <c r="I69" s="36">
        <f>'дод 2'!J100</f>
        <v>891199.9</v>
      </c>
      <c r="J69" s="36">
        <f>'дод 2'!K100</f>
        <v>730490</v>
      </c>
      <c r="K69" s="36">
        <f>'дод 2'!L100</f>
        <v>0</v>
      </c>
      <c r="L69" s="192">
        <f t="shared" si="2"/>
        <v>99.99998877917416</v>
      </c>
      <c r="M69" s="36">
        <f>'дод 2'!N100</f>
        <v>0</v>
      </c>
      <c r="N69" s="36">
        <f>'дод 2'!O100</f>
        <v>0</v>
      </c>
      <c r="O69" s="36">
        <f>'дод 2'!P100</f>
        <v>0</v>
      </c>
      <c r="P69" s="36">
        <f>'дод 2'!Q100</f>
        <v>0</v>
      </c>
      <c r="Q69" s="36">
        <f>'дод 2'!R100</f>
        <v>0</v>
      </c>
      <c r="R69" s="36">
        <f>'дод 2'!S100</f>
        <v>0</v>
      </c>
      <c r="S69" s="36">
        <f>'дод 2'!T100</f>
        <v>0</v>
      </c>
      <c r="T69" s="36">
        <f>'дод 2'!U100</f>
        <v>0</v>
      </c>
      <c r="U69" s="36">
        <f>'дод 2'!V100</f>
        <v>0</v>
      </c>
      <c r="V69" s="36">
        <f>'дод 2'!W100</f>
        <v>0</v>
      </c>
      <c r="W69" s="36">
        <f>'дод 2'!X100</f>
        <v>0</v>
      </c>
      <c r="X69" s="36">
        <f>'дод 2'!Y100</f>
        <v>0</v>
      </c>
      <c r="Y69" s="192" t="e">
        <f t="shared" si="3"/>
        <v>#DIV/0!</v>
      </c>
      <c r="Z69" s="36">
        <f>'дод 2'!AA100</f>
        <v>891199.9</v>
      </c>
      <c r="AA69" s="36">
        <f>'дод 2'!AB100</f>
        <v>891200</v>
      </c>
      <c r="AB69" s="239"/>
      <c r="AC69" s="244"/>
    </row>
    <row r="70" spans="1:29" s="62" customFormat="1" ht="47.65" customHeight="1" x14ac:dyDescent="0.25">
      <c r="A70" s="20"/>
      <c r="B70" s="20"/>
      <c r="C70" s="22" t="s">
        <v>425</v>
      </c>
      <c r="D70" s="41">
        <f>'дод 2'!E101</f>
        <v>891200</v>
      </c>
      <c r="E70" s="41">
        <f>'дод 2'!F101</f>
        <v>891200</v>
      </c>
      <c r="F70" s="41">
        <f>'дод 2'!G101</f>
        <v>730490</v>
      </c>
      <c r="G70" s="41">
        <f>'дод 2'!H101</f>
        <v>0</v>
      </c>
      <c r="H70" s="41">
        <f>'дод 2'!I101</f>
        <v>0</v>
      </c>
      <c r="I70" s="41">
        <f>'дод 2'!J101</f>
        <v>891199.9</v>
      </c>
      <c r="J70" s="41">
        <f>'дод 2'!K101</f>
        <v>730490</v>
      </c>
      <c r="K70" s="41">
        <f>'дод 2'!L101</f>
        <v>0</v>
      </c>
      <c r="L70" s="194">
        <f t="shared" si="2"/>
        <v>99.99998877917416</v>
      </c>
      <c r="M70" s="41">
        <f>'дод 2'!N101</f>
        <v>0</v>
      </c>
      <c r="N70" s="41">
        <f>'дод 2'!O101</f>
        <v>0</v>
      </c>
      <c r="O70" s="41">
        <f>'дод 2'!P101</f>
        <v>0</v>
      </c>
      <c r="P70" s="41">
        <f>'дод 2'!Q101</f>
        <v>0</v>
      </c>
      <c r="Q70" s="41">
        <f>'дод 2'!R101</f>
        <v>0</v>
      </c>
      <c r="R70" s="41">
        <f>'дод 2'!S101</f>
        <v>0</v>
      </c>
      <c r="S70" s="41">
        <f>'дод 2'!T101</f>
        <v>0</v>
      </c>
      <c r="T70" s="41">
        <f>'дод 2'!U101</f>
        <v>0</v>
      </c>
      <c r="U70" s="41">
        <f>'дод 2'!V101</f>
        <v>0</v>
      </c>
      <c r="V70" s="41">
        <f>'дод 2'!W101</f>
        <v>0</v>
      </c>
      <c r="W70" s="41">
        <f>'дод 2'!X101</f>
        <v>0</v>
      </c>
      <c r="X70" s="41">
        <f>'дод 2'!Y101</f>
        <v>0</v>
      </c>
      <c r="Y70" s="194" t="e">
        <f t="shared" si="3"/>
        <v>#DIV/0!</v>
      </c>
      <c r="Z70" s="41">
        <f>'дод 2'!AA101</f>
        <v>891199.9</v>
      </c>
      <c r="AA70" s="41">
        <f>'дод 2'!AB101</f>
        <v>891200</v>
      </c>
      <c r="AB70" s="239"/>
      <c r="AC70" s="244"/>
    </row>
    <row r="71" spans="1:29" s="62" customFormat="1" ht="110.25" x14ac:dyDescent="0.25">
      <c r="A71" s="13">
        <v>1221</v>
      </c>
      <c r="B71" s="12" t="s">
        <v>47</v>
      </c>
      <c r="C71" s="16" t="s">
        <v>594</v>
      </c>
      <c r="D71" s="36">
        <f>'дод 2'!E102</f>
        <v>2500000</v>
      </c>
      <c r="E71" s="36">
        <f>'дод 2'!F102</f>
        <v>2500000</v>
      </c>
      <c r="F71" s="36">
        <f>'дод 2'!G102</f>
        <v>0</v>
      </c>
      <c r="G71" s="36">
        <f>'дод 2'!H102</f>
        <v>0</v>
      </c>
      <c r="H71" s="36">
        <f>'дод 2'!I102</f>
        <v>0</v>
      </c>
      <c r="I71" s="36">
        <f>'дод 2'!J102</f>
        <v>2500000</v>
      </c>
      <c r="J71" s="36">
        <f>'дод 2'!K102</f>
        <v>0</v>
      </c>
      <c r="K71" s="36">
        <f>'дод 2'!L102</f>
        <v>0</v>
      </c>
      <c r="L71" s="192">
        <f t="shared" si="2"/>
        <v>100</v>
      </c>
      <c r="M71" s="36">
        <f>'дод 2'!N102</f>
        <v>0</v>
      </c>
      <c r="N71" s="36">
        <f>'дод 2'!O102</f>
        <v>0</v>
      </c>
      <c r="O71" s="36">
        <f>'дод 2'!P102</f>
        <v>0</v>
      </c>
      <c r="P71" s="36">
        <f>'дод 2'!Q102</f>
        <v>0</v>
      </c>
      <c r="Q71" s="36">
        <f>'дод 2'!R102</f>
        <v>0</v>
      </c>
      <c r="R71" s="36">
        <f>'дод 2'!S102</f>
        <v>0</v>
      </c>
      <c r="S71" s="36">
        <f>'дод 2'!T102</f>
        <v>0</v>
      </c>
      <c r="T71" s="36">
        <f>'дод 2'!U102</f>
        <v>0</v>
      </c>
      <c r="U71" s="36">
        <f>'дод 2'!V102</f>
        <v>0</v>
      </c>
      <c r="V71" s="36">
        <f>'дод 2'!W102</f>
        <v>0</v>
      </c>
      <c r="W71" s="36">
        <f>'дод 2'!X102</f>
        <v>0</v>
      </c>
      <c r="X71" s="36">
        <f>'дод 2'!Y102</f>
        <v>0</v>
      </c>
      <c r="Y71" s="192" t="e">
        <f t="shared" si="3"/>
        <v>#DIV/0!</v>
      </c>
      <c r="Z71" s="36">
        <f>'дод 2'!AA102</f>
        <v>2500000</v>
      </c>
      <c r="AA71" s="36">
        <f>'дод 2'!AB102</f>
        <v>2500000</v>
      </c>
      <c r="AB71" s="239"/>
      <c r="AC71" s="244"/>
    </row>
    <row r="72" spans="1:29" ht="94.5" x14ac:dyDescent="0.25">
      <c r="A72" s="12" t="s">
        <v>501</v>
      </c>
      <c r="B72" s="12" t="s">
        <v>47</v>
      </c>
      <c r="C72" s="16" t="s">
        <v>502</v>
      </c>
      <c r="D72" s="36">
        <f>'дод 2'!E103</f>
        <v>2442000</v>
      </c>
      <c r="E72" s="36">
        <f>'дод 2'!F103</f>
        <v>2442000</v>
      </c>
      <c r="F72" s="36">
        <f>'дод 2'!G103</f>
        <v>0</v>
      </c>
      <c r="G72" s="36">
        <f>'дод 2'!H103</f>
        <v>0</v>
      </c>
      <c r="H72" s="36">
        <f>'дод 2'!I103</f>
        <v>0</v>
      </c>
      <c r="I72" s="36">
        <f>'дод 2'!J103</f>
        <v>1817007.36</v>
      </c>
      <c r="J72" s="36">
        <f>'дод 2'!K103</f>
        <v>0</v>
      </c>
      <c r="K72" s="36">
        <f>'дод 2'!L103</f>
        <v>0</v>
      </c>
      <c r="L72" s="192">
        <f t="shared" si="2"/>
        <v>74.406525798525806</v>
      </c>
      <c r="M72" s="36">
        <f>'дод 2'!N103</f>
        <v>12258000</v>
      </c>
      <c r="N72" s="36">
        <f>'дод 2'!O103</f>
        <v>12258000</v>
      </c>
      <c r="O72" s="36">
        <f>'дод 2'!P103</f>
        <v>0</v>
      </c>
      <c r="P72" s="36">
        <f>'дод 2'!Q103</f>
        <v>0</v>
      </c>
      <c r="Q72" s="36">
        <f>'дод 2'!R103</f>
        <v>0</v>
      </c>
      <c r="R72" s="36">
        <f>'дод 2'!S103</f>
        <v>12258000</v>
      </c>
      <c r="S72" s="36">
        <f>'дод 2'!T103</f>
        <v>5102077</v>
      </c>
      <c r="T72" s="36">
        <f>'дод 2'!U103</f>
        <v>5102077</v>
      </c>
      <c r="U72" s="36">
        <f>'дод 2'!V103</f>
        <v>0</v>
      </c>
      <c r="V72" s="36">
        <f>'дод 2'!W103</f>
        <v>0</v>
      </c>
      <c r="W72" s="36">
        <f>'дод 2'!X103</f>
        <v>0</v>
      </c>
      <c r="X72" s="36">
        <f>'дод 2'!Y103</f>
        <v>5102077</v>
      </c>
      <c r="Y72" s="192">
        <f t="shared" si="3"/>
        <v>41.622426170664056</v>
      </c>
      <c r="Z72" s="36">
        <f>'дод 2'!AA103</f>
        <v>6919084.3600000003</v>
      </c>
      <c r="AA72" s="36">
        <f>'дод 2'!AB103</f>
        <v>14700000</v>
      </c>
      <c r="AB72" s="239"/>
      <c r="AC72" s="244"/>
    </row>
    <row r="73" spans="1:29" s="62" customFormat="1" ht="94.5" x14ac:dyDescent="0.25">
      <c r="A73" s="20"/>
      <c r="B73" s="20"/>
      <c r="C73" s="22" t="s">
        <v>503</v>
      </c>
      <c r="D73" s="41">
        <f>'дод 2'!E104</f>
        <v>2442000</v>
      </c>
      <c r="E73" s="41">
        <f>'дод 2'!F104</f>
        <v>2442000</v>
      </c>
      <c r="F73" s="41">
        <f>'дод 2'!G104</f>
        <v>0</v>
      </c>
      <c r="G73" s="41">
        <f>'дод 2'!H104</f>
        <v>0</v>
      </c>
      <c r="H73" s="41">
        <f>'дод 2'!I104</f>
        <v>0</v>
      </c>
      <c r="I73" s="41">
        <f>'дод 2'!J104</f>
        <v>1817007.36</v>
      </c>
      <c r="J73" s="41">
        <f>'дод 2'!K104</f>
        <v>0</v>
      </c>
      <c r="K73" s="41">
        <f>'дод 2'!L104</f>
        <v>0</v>
      </c>
      <c r="L73" s="194">
        <f t="shared" si="2"/>
        <v>74.406525798525806</v>
      </c>
      <c r="M73" s="41">
        <f>'дод 2'!N104</f>
        <v>12258000</v>
      </c>
      <c r="N73" s="41">
        <f>'дод 2'!O104</f>
        <v>12258000</v>
      </c>
      <c r="O73" s="41">
        <f>'дод 2'!P104</f>
        <v>0</v>
      </c>
      <c r="P73" s="41">
        <f>'дод 2'!Q104</f>
        <v>0</v>
      </c>
      <c r="Q73" s="41">
        <f>'дод 2'!R104</f>
        <v>0</v>
      </c>
      <c r="R73" s="41">
        <f>'дод 2'!S104</f>
        <v>12258000</v>
      </c>
      <c r="S73" s="41">
        <f>'дод 2'!T104</f>
        <v>5102077</v>
      </c>
      <c r="T73" s="41">
        <f>'дод 2'!U104</f>
        <v>5102077</v>
      </c>
      <c r="U73" s="41">
        <f>'дод 2'!V104</f>
        <v>0</v>
      </c>
      <c r="V73" s="41">
        <f>'дод 2'!W104</f>
        <v>0</v>
      </c>
      <c r="W73" s="41">
        <f>'дод 2'!X104</f>
        <v>0</v>
      </c>
      <c r="X73" s="41">
        <f>'дод 2'!Y104</f>
        <v>5102077</v>
      </c>
      <c r="Y73" s="194">
        <f t="shared" si="3"/>
        <v>41.622426170664056</v>
      </c>
      <c r="Z73" s="41">
        <f>'дод 2'!AA104</f>
        <v>6919084.3600000003</v>
      </c>
      <c r="AA73" s="41">
        <f>'дод 2'!AB104</f>
        <v>14700000</v>
      </c>
      <c r="AB73" s="239">
        <v>53</v>
      </c>
      <c r="AC73" s="244"/>
    </row>
    <row r="74" spans="1:29" s="62" customFormat="1" ht="112.9" customHeight="1" x14ac:dyDescent="0.25">
      <c r="A74" s="13">
        <v>1231</v>
      </c>
      <c r="B74" s="12" t="s">
        <v>47</v>
      </c>
      <c r="C74" s="16" t="s">
        <v>541</v>
      </c>
      <c r="D74" s="36">
        <f>'дод 2'!E105</f>
        <v>79200</v>
      </c>
      <c r="E74" s="36">
        <f>'дод 2'!F105</f>
        <v>79200</v>
      </c>
      <c r="F74" s="36">
        <f>'дод 2'!G105</f>
        <v>0</v>
      </c>
      <c r="G74" s="36">
        <f>'дод 2'!H105</f>
        <v>0</v>
      </c>
      <c r="H74" s="36">
        <f>'дод 2'!I105</f>
        <v>0</v>
      </c>
      <c r="I74" s="36">
        <f>'дод 2'!J105</f>
        <v>79159.5</v>
      </c>
      <c r="J74" s="36">
        <f>'дод 2'!K105</f>
        <v>0</v>
      </c>
      <c r="K74" s="36">
        <f>'дод 2'!L105</f>
        <v>0</v>
      </c>
      <c r="L74" s="192">
        <f t="shared" si="2"/>
        <v>99.94886363636364</v>
      </c>
      <c r="M74" s="36">
        <f>'дод 2'!N105</f>
        <v>0</v>
      </c>
      <c r="N74" s="36">
        <f>'дод 2'!O105</f>
        <v>0</v>
      </c>
      <c r="O74" s="36">
        <f>'дод 2'!P105</f>
        <v>0</v>
      </c>
      <c r="P74" s="36">
        <f>'дод 2'!Q105</f>
        <v>0</v>
      </c>
      <c r="Q74" s="36">
        <f>'дод 2'!R105</f>
        <v>0</v>
      </c>
      <c r="R74" s="36">
        <f>'дод 2'!S105</f>
        <v>0</v>
      </c>
      <c r="S74" s="36">
        <f>'дод 2'!T105</f>
        <v>0</v>
      </c>
      <c r="T74" s="36">
        <f>'дод 2'!U105</f>
        <v>0</v>
      </c>
      <c r="U74" s="36">
        <f>'дод 2'!V105</f>
        <v>0</v>
      </c>
      <c r="V74" s="36">
        <f>'дод 2'!W105</f>
        <v>0</v>
      </c>
      <c r="W74" s="36">
        <f>'дод 2'!X105</f>
        <v>0</v>
      </c>
      <c r="X74" s="36">
        <f>'дод 2'!Y105</f>
        <v>0</v>
      </c>
      <c r="Y74" s="192" t="e">
        <f t="shared" si="3"/>
        <v>#DIV/0!</v>
      </c>
      <c r="Z74" s="36">
        <f>'дод 2'!AA105</f>
        <v>79159.5</v>
      </c>
      <c r="AA74" s="36">
        <f>'дод 2'!AB105</f>
        <v>79200</v>
      </c>
      <c r="AB74" s="239"/>
      <c r="AC74" s="244"/>
    </row>
    <row r="75" spans="1:29" s="62" customFormat="1" ht="110.25" x14ac:dyDescent="0.25">
      <c r="A75" s="13">
        <v>1232</v>
      </c>
      <c r="B75" s="12" t="s">
        <v>47</v>
      </c>
      <c r="C75" s="16" t="s">
        <v>542</v>
      </c>
      <c r="D75" s="36">
        <f>'дод 2'!E106</f>
        <v>79200</v>
      </c>
      <c r="E75" s="36">
        <f>'дод 2'!F106</f>
        <v>79200</v>
      </c>
      <c r="F75" s="36">
        <f>'дод 2'!G106</f>
        <v>0</v>
      </c>
      <c r="G75" s="36">
        <f>'дод 2'!H106</f>
        <v>0</v>
      </c>
      <c r="H75" s="36">
        <f>'дод 2'!I106</f>
        <v>0</v>
      </c>
      <c r="I75" s="36">
        <f>'дод 2'!J106</f>
        <v>79159.5</v>
      </c>
      <c r="J75" s="36">
        <f>'дод 2'!K106</f>
        <v>0</v>
      </c>
      <c r="K75" s="36">
        <f>'дод 2'!L106</f>
        <v>0</v>
      </c>
      <c r="L75" s="192">
        <f t="shared" si="2"/>
        <v>99.94886363636364</v>
      </c>
      <c r="M75" s="36">
        <f>'дод 2'!N106</f>
        <v>0</v>
      </c>
      <c r="N75" s="36">
        <f>'дод 2'!O106</f>
        <v>0</v>
      </c>
      <c r="O75" s="36">
        <f>'дод 2'!P106</f>
        <v>0</v>
      </c>
      <c r="P75" s="36">
        <f>'дод 2'!Q106</f>
        <v>0</v>
      </c>
      <c r="Q75" s="36">
        <f>'дод 2'!R106</f>
        <v>0</v>
      </c>
      <c r="R75" s="36">
        <f>'дод 2'!S106</f>
        <v>0</v>
      </c>
      <c r="S75" s="36">
        <f>'дод 2'!T106</f>
        <v>0</v>
      </c>
      <c r="T75" s="36">
        <f>'дод 2'!U106</f>
        <v>0</v>
      </c>
      <c r="U75" s="36">
        <f>'дод 2'!V106</f>
        <v>0</v>
      </c>
      <c r="V75" s="36">
        <f>'дод 2'!W106</f>
        <v>0</v>
      </c>
      <c r="W75" s="36">
        <f>'дод 2'!X106</f>
        <v>0</v>
      </c>
      <c r="X75" s="36">
        <f>'дод 2'!Y106</f>
        <v>0</v>
      </c>
      <c r="Y75" s="192" t="e">
        <f t="shared" si="3"/>
        <v>#DIV/0!</v>
      </c>
      <c r="Z75" s="36">
        <f>'дод 2'!AA106</f>
        <v>79159.5</v>
      </c>
      <c r="AA75" s="36">
        <f>'дод 2'!AB106</f>
        <v>79200</v>
      </c>
      <c r="AB75" s="239"/>
      <c r="AC75" s="244"/>
    </row>
    <row r="76" spans="1:29" s="62" customFormat="1" ht="110.25" x14ac:dyDescent="0.25">
      <c r="A76" s="21"/>
      <c r="B76" s="20"/>
      <c r="C76" s="22" t="s">
        <v>540</v>
      </c>
      <c r="D76" s="41">
        <f>'дод 2'!E107</f>
        <v>79200</v>
      </c>
      <c r="E76" s="41">
        <f>'дод 2'!F107</f>
        <v>79200</v>
      </c>
      <c r="F76" s="41">
        <f>'дод 2'!G107</f>
        <v>0</v>
      </c>
      <c r="G76" s="41">
        <f>'дод 2'!H107</f>
        <v>0</v>
      </c>
      <c r="H76" s="41">
        <f>'дод 2'!I107</f>
        <v>0</v>
      </c>
      <c r="I76" s="41">
        <f>'дод 2'!J107</f>
        <v>79159.5</v>
      </c>
      <c r="J76" s="41">
        <f>'дод 2'!K107</f>
        <v>0</v>
      </c>
      <c r="K76" s="41">
        <f>'дод 2'!L107</f>
        <v>0</v>
      </c>
      <c r="L76" s="194">
        <f t="shared" si="2"/>
        <v>99.94886363636364</v>
      </c>
      <c r="M76" s="41">
        <f>'дод 2'!N107</f>
        <v>0</v>
      </c>
      <c r="N76" s="41">
        <f>'дод 2'!O107</f>
        <v>0</v>
      </c>
      <c r="O76" s="41">
        <f>'дод 2'!P107</f>
        <v>0</v>
      </c>
      <c r="P76" s="41">
        <f>'дод 2'!Q107</f>
        <v>0</v>
      </c>
      <c r="Q76" s="41">
        <f>'дод 2'!R107</f>
        <v>0</v>
      </c>
      <c r="R76" s="41">
        <f>'дод 2'!S107</f>
        <v>0</v>
      </c>
      <c r="S76" s="41">
        <f>'дод 2'!T107</f>
        <v>0</v>
      </c>
      <c r="T76" s="41">
        <f>'дод 2'!U107</f>
        <v>0</v>
      </c>
      <c r="U76" s="41">
        <f>'дод 2'!V107</f>
        <v>0</v>
      </c>
      <c r="V76" s="41">
        <f>'дод 2'!W107</f>
        <v>0</v>
      </c>
      <c r="W76" s="41">
        <f>'дод 2'!X107</f>
        <v>0</v>
      </c>
      <c r="X76" s="41">
        <f>'дод 2'!Y107</f>
        <v>0</v>
      </c>
      <c r="Y76" s="194" t="e">
        <f t="shared" si="3"/>
        <v>#DIV/0!</v>
      </c>
      <c r="Z76" s="41">
        <f>'дод 2'!AA107</f>
        <v>79159.5</v>
      </c>
      <c r="AA76" s="41">
        <f>'дод 2'!AB107</f>
        <v>79200</v>
      </c>
      <c r="AB76" s="239"/>
      <c r="AC76" s="244"/>
    </row>
    <row r="77" spans="1:29" ht="120.75" customHeight="1" x14ac:dyDescent="0.25">
      <c r="A77" s="12" t="s">
        <v>466</v>
      </c>
      <c r="B77" s="12" t="s">
        <v>47</v>
      </c>
      <c r="C77" s="16" t="s">
        <v>467</v>
      </c>
      <c r="D77" s="36">
        <f>'дод 2'!E272+'дод 2'!E108</f>
        <v>0</v>
      </c>
      <c r="E77" s="36">
        <f>'дод 2'!F272+'дод 2'!F108</f>
        <v>0</v>
      </c>
      <c r="F77" s="36">
        <f>'дод 2'!G272+'дод 2'!G108</f>
        <v>0</v>
      </c>
      <c r="G77" s="36">
        <f>'дод 2'!H272+'дод 2'!H108</f>
        <v>0</v>
      </c>
      <c r="H77" s="36">
        <f>'дод 2'!I272+'дод 2'!I108</f>
        <v>0</v>
      </c>
      <c r="I77" s="36">
        <f>'дод 2'!J272+'дод 2'!J108</f>
        <v>0</v>
      </c>
      <c r="J77" s="36">
        <f>'дод 2'!K272+'дод 2'!K108</f>
        <v>0</v>
      </c>
      <c r="K77" s="36">
        <f>'дод 2'!L272+'дод 2'!L108</f>
        <v>0</v>
      </c>
      <c r="L77" s="192" t="e">
        <f t="shared" si="2"/>
        <v>#DIV/0!</v>
      </c>
      <c r="M77" s="36">
        <f>'дод 2'!N272+'дод 2'!N108</f>
        <v>116561903</v>
      </c>
      <c r="N77" s="36">
        <f>'дод 2'!O272+'дод 2'!O108</f>
        <v>116561903</v>
      </c>
      <c r="O77" s="36">
        <f>'дод 2'!P272+'дод 2'!P108</f>
        <v>0</v>
      </c>
      <c r="P77" s="36">
        <f>'дод 2'!Q272+'дод 2'!Q108</f>
        <v>0</v>
      </c>
      <c r="Q77" s="36">
        <f>'дод 2'!R272+'дод 2'!R108</f>
        <v>0</v>
      </c>
      <c r="R77" s="36">
        <f>'дод 2'!S272+'дод 2'!S108</f>
        <v>116561903</v>
      </c>
      <c r="S77" s="36">
        <f>'дод 2'!T272+'дод 2'!T108</f>
        <v>104784484.25</v>
      </c>
      <c r="T77" s="36">
        <f>'дод 2'!U272+'дод 2'!U108</f>
        <v>104784484.25</v>
      </c>
      <c r="U77" s="36">
        <f>'дод 2'!V272+'дод 2'!V108</f>
        <v>0</v>
      </c>
      <c r="V77" s="36">
        <f>'дод 2'!W272+'дод 2'!W108</f>
        <v>0</v>
      </c>
      <c r="W77" s="36">
        <f>'дод 2'!X272+'дод 2'!X108</f>
        <v>0</v>
      </c>
      <c r="X77" s="36">
        <f>'дод 2'!Y272+'дод 2'!Y108</f>
        <v>104784484.25</v>
      </c>
      <c r="Y77" s="192">
        <f t="shared" si="3"/>
        <v>89.895996507538143</v>
      </c>
      <c r="Z77" s="36">
        <f>'дод 2'!AA272+'дод 2'!AA108</f>
        <v>104784484.25</v>
      </c>
      <c r="AA77" s="36">
        <f>'дод 2'!AB272+'дод 2'!AB108</f>
        <v>116561903</v>
      </c>
      <c r="AB77" s="239"/>
      <c r="AC77" s="244"/>
    </row>
    <row r="78" spans="1:29" ht="111.75" customHeight="1" x14ac:dyDescent="0.25">
      <c r="A78" s="12" t="s">
        <v>470</v>
      </c>
      <c r="B78" s="12" t="s">
        <v>47</v>
      </c>
      <c r="C78" s="16" t="s">
        <v>471</v>
      </c>
      <c r="D78" s="36">
        <f>'дод 2'!E273</f>
        <v>0</v>
      </c>
      <c r="E78" s="36">
        <f>'дод 2'!F273</f>
        <v>0</v>
      </c>
      <c r="F78" s="36">
        <f>'дод 2'!G273</f>
        <v>0</v>
      </c>
      <c r="G78" s="36">
        <f>'дод 2'!H273</f>
        <v>0</v>
      </c>
      <c r="H78" s="36">
        <f>'дод 2'!I273</f>
        <v>0</v>
      </c>
      <c r="I78" s="36">
        <f>'дод 2'!J273</f>
        <v>0</v>
      </c>
      <c r="J78" s="36">
        <f>'дод 2'!K273</f>
        <v>0</v>
      </c>
      <c r="K78" s="36">
        <f>'дод 2'!L273</f>
        <v>0</v>
      </c>
      <c r="L78" s="192" t="e">
        <f t="shared" si="2"/>
        <v>#DIV/0!</v>
      </c>
      <c r="M78" s="36">
        <f>'дод 2'!N273</f>
        <v>213902286</v>
      </c>
      <c r="N78" s="36">
        <f>'дод 2'!O273</f>
        <v>213902286</v>
      </c>
      <c r="O78" s="36">
        <f>'дод 2'!P273</f>
        <v>0</v>
      </c>
      <c r="P78" s="36">
        <f>'дод 2'!Q273</f>
        <v>0</v>
      </c>
      <c r="Q78" s="36">
        <f>'дод 2'!R273</f>
        <v>0</v>
      </c>
      <c r="R78" s="36">
        <f>'дод 2'!S273</f>
        <v>213902286</v>
      </c>
      <c r="S78" s="36">
        <f>'дод 2'!T273</f>
        <v>186829884</v>
      </c>
      <c r="T78" s="36">
        <f>'дод 2'!U273</f>
        <v>186829884</v>
      </c>
      <c r="U78" s="36">
        <f>'дод 2'!V273</f>
        <v>0</v>
      </c>
      <c r="V78" s="36">
        <f>'дод 2'!W273</f>
        <v>0</v>
      </c>
      <c r="W78" s="36">
        <f>'дод 2'!X273</f>
        <v>0</v>
      </c>
      <c r="X78" s="36">
        <f>'дод 2'!Y273</f>
        <v>186829884</v>
      </c>
      <c r="Y78" s="192">
        <f t="shared" si="3"/>
        <v>87.343565837346873</v>
      </c>
      <c r="Z78" s="36">
        <f>'дод 2'!AA273</f>
        <v>186829884</v>
      </c>
      <c r="AA78" s="36">
        <f>'дод 2'!AB273</f>
        <v>213902286</v>
      </c>
      <c r="AB78" s="239"/>
      <c r="AC78" s="244"/>
    </row>
    <row r="79" spans="1:29" ht="94.5" x14ac:dyDescent="0.25">
      <c r="A79" s="12"/>
      <c r="B79" s="12"/>
      <c r="C79" s="22" t="s">
        <v>472</v>
      </c>
      <c r="D79" s="41">
        <f>'дод 2'!E274</f>
        <v>0</v>
      </c>
      <c r="E79" s="41">
        <f>'дод 2'!F274</f>
        <v>0</v>
      </c>
      <c r="F79" s="41">
        <f>'дод 2'!G274</f>
        <v>0</v>
      </c>
      <c r="G79" s="41">
        <f>'дод 2'!H274</f>
        <v>0</v>
      </c>
      <c r="H79" s="41">
        <f>'дод 2'!I274</f>
        <v>0</v>
      </c>
      <c r="I79" s="41">
        <f>'дод 2'!J274</f>
        <v>0</v>
      </c>
      <c r="J79" s="41">
        <f>'дод 2'!K274</f>
        <v>0</v>
      </c>
      <c r="K79" s="41">
        <f>'дод 2'!L274</f>
        <v>0</v>
      </c>
      <c r="L79" s="194" t="e">
        <f t="shared" si="2"/>
        <v>#DIV/0!</v>
      </c>
      <c r="M79" s="41">
        <f>'дод 2'!N274</f>
        <v>213902286</v>
      </c>
      <c r="N79" s="41">
        <f>'дод 2'!O274</f>
        <v>213902286</v>
      </c>
      <c r="O79" s="41">
        <f>'дод 2'!P274</f>
        <v>0</v>
      </c>
      <c r="P79" s="41">
        <f>'дод 2'!Q274</f>
        <v>0</v>
      </c>
      <c r="Q79" s="41">
        <f>'дод 2'!R274</f>
        <v>0</v>
      </c>
      <c r="R79" s="41">
        <f>'дод 2'!S274</f>
        <v>213902286</v>
      </c>
      <c r="S79" s="41">
        <f>'дод 2'!T274</f>
        <v>186829884</v>
      </c>
      <c r="T79" s="41">
        <f>'дод 2'!U274</f>
        <v>186829884</v>
      </c>
      <c r="U79" s="41">
        <f>'дод 2'!V274</f>
        <v>0</v>
      </c>
      <c r="V79" s="41">
        <f>'дод 2'!W274</f>
        <v>0</v>
      </c>
      <c r="W79" s="41">
        <f>'дод 2'!X274</f>
        <v>0</v>
      </c>
      <c r="X79" s="41">
        <f>'дод 2'!Y274</f>
        <v>186829884</v>
      </c>
      <c r="Y79" s="194">
        <f t="shared" si="3"/>
        <v>87.343565837346873</v>
      </c>
      <c r="Z79" s="41">
        <f>'дод 2'!AA274</f>
        <v>186829884</v>
      </c>
      <c r="AA79" s="41">
        <f>'дод 2'!AB274</f>
        <v>213902286</v>
      </c>
      <c r="AB79" s="239"/>
      <c r="AC79" s="244"/>
    </row>
    <row r="80" spans="1:29" ht="102.75" customHeight="1" x14ac:dyDescent="0.25">
      <c r="A80" s="12" t="s">
        <v>495</v>
      </c>
      <c r="B80" s="12" t="s">
        <v>47</v>
      </c>
      <c r="C80" s="16" t="s">
        <v>496</v>
      </c>
      <c r="D80" s="36">
        <f>'дод 2'!E109</f>
        <v>0</v>
      </c>
      <c r="E80" s="36">
        <f>'дод 2'!F109</f>
        <v>0</v>
      </c>
      <c r="F80" s="36">
        <f>'дод 2'!G109</f>
        <v>0</v>
      </c>
      <c r="G80" s="36">
        <f>'дод 2'!H109</f>
        <v>0</v>
      </c>
      <c r="H80" s="36">
        <f>'дод 2'!I109</f>
        <v>0</v>
      </c>
      <c r="I80" s="36">
        <f>'дод 2'!J109</f>
        <v>0</v>
      </c>
      <c r="J80" s="36">
        <f>'дод 2'!K109</f>
        <v>0</v>
      </c>
      <c r="K80" s="36">
        <f>'дод 2'!L109</f>
        <v>0</v>
      </c>
      <c r="L80" s="192" t="e">
        <f t="shared" si="2"/>
        <v>#DIV/0!</v>
      </c>
      <c r="M80" s="36">
        <f>'дод 2'!N109</f>
        <v>20026937</v>
      </c>
      <c r="N80" s="36">
        <f>'дод 2'!O109</f>
        <v>20026937</v>
      </c>
      <c r="O80" s="36">
        <f>'дод 2'!P109</f>
        <v>0</v>
      </c>
      <c r="P80" s="36">
        <f>'дод 2'!Q109</f>
        <v>0</v>
      </c>
      <c r="Q80" s="36">
        <f>'дод 2'!R109</f>
        <v>0</v>
      </c>
      <c r="R80" s="36">
        <f>'дод 2'!S109</f>
        <v>20026937</v>
      </c>
      <c r="S80" s="36">
        <f>'дод 2'!T109</f>
        <v>18179341.780000001</v>
      </c>
      <c r="T80" s="36">
        <f>'дод 2'!U109</f>
        <v>18179341.780000001</v>
      </c>
      <c r="U80" s="36">
        <f>'дод 2'!V109</f>
        <v>0</v>
      </c>
      <c r="V80" s="36">
        <f>'дод 2'!W109</f>
        <v>0</v>
      </c>
      <c r="W80" s="36">
        <f>'дод 2'!X109</f>
        <v>0</v>
      </c>
      <c r="X80" s="36">
        <f>'дод 2'!Y109</f>
        <v>18179341.780000001</v>
      </c>
      <c r="Y80" s="192">
        <f t="shared" si="3"/>
        <v>90.774449332915964</v>
      </c>
      <c r="Z80" s="36">
        <f>'дод 2'!AA109</f>
        <v>18179341.780000001</v>
      </c>
      <c r="AA80" s="36">
        <f>'дод 2'!AB109</f>
        <v>20026937</v>
      </c>
      <c r="AB80" s="239"/>
      <c r="AC80" s="244"/>
    </row>
    <row r="81" spans="1:29" ht="94.5" x14ac:dyDescent="0.25">
      <c r="A81" s="12" t="s">
        <v>497</v>
      </c>
      <c r="B81" s="12" t="s">
        <v>47</v>
      </c>
      <c r="C81" s="16" t="s">
        <v>498</v>
      </c>
      <c r="D81" s="36">
        <f>'дод 2'!E110</f>
        <v>0</v>
      </c>
      <c r="E81" s="36">
        <f>'дод 2'!F110</f>
        <v>0</v>
      </c>
      <c r="F81" s="36">
        <f>'дод 2'!G110</f>
        <v>0</v>
      </c>
      <c r="G81" s="36">
        <f>'дод 2'!H110</f>
        <v>0</v>
      </c>
      <c r="H81" s="36">
        <f>'дод 2'!I110</f>
        <v>0</v>
      </c>
      <c r="I81" s="36">
        <f>'дод 2'!J110</f>
        <v>0</v>
      </c>
      <c r="J81" s="36">
        <f>'дод 2'!K110</f>
        <v>0</v>
      </c>
      <c r="K81" s="36">
        <f>'дод 2'!L110</f>
        <v>0</v>
      </c>
      <c r="L81" s="192" t="e">
        <f t="shared" si="2"/>
        <v>#DIV/0!</v>
      </c>
      <c r="M81" s="36">
        <f>'дод 2'!N110</f>
        <v>15081700</v>
      </c>
      <c r="N81" s="36">
        <f>'дод 2'!O110</f>
        <v>0</v>
      </c>
      <c r="O81" s="36">
        <f>'дод 2'!P110</f>
        <v>0</v>
      </c>
      <c r="P81" s="36">
        <f>'дод 2'!Q110</f>
        <v>0</v>
      </c>
      <c r="Q81" s="36">
        <f>'дод 2'!R110</f>
        <v>0</v>
      </c>
      <c r="R81" s="36">
        <f>'дод 2'!S110</f>
        <v>15081700</v>
      </c>
      <c r="S81" s="36">
        <f>'дод 2'!T110</f>
        <v>14491008.73</v>
      </c>
      <c r="T81" s="36">
        <f>'дод 2'!U110</f>
        <v>0</v>
      </c>
      <c r="U81" s="36">
        <f>'дод 2'!V110</f>
        <v>0</v>
      </c>
      <c r="V81" s="36">
        <f>'дод 2'!W110</f>
        <v>0</v>
      </c>
      <c r="W81" s="36">
        <f>'дод 2'!X110</f>
        <v>0</v>
      </c>
      <c r="X81" s="36">
        <f>'дод 2'!Y110</f>
        <v>14491008.73</v>
      </c>
      <c r="Y81" s="192">
        <f t="shared" si="3"/>
        <v>96.083390665508531</v>
      </c>
      <c r="Z81" s="36">
        <f>'дод 2'!AA110</f>
        <v>14491008.73</v>
      </c>
      <c r="AA81" s="36">
        <f>'дод 2'!AB110</f>
        <v>15081700</v>
      </c>
      <c r="AB81" s="239"/>
      <c r="AC81" s="244"/>
    </row>
    <row r="82" spans="1:29" s="62" customFormat="1" ht="31.5" x14ac:dyDescent="0.25">
      <c r="A82" s="20"/>
      <c r="B82" s="20"/>
      <c r="C82" s="22" t="s">
        <v>394</v>
      </c>
      <c r="D82" s="41">
        <f>'дод 2'!E111</f>
        <v>0</v>
      </c>
      <c r="E82" s="41">
        <f>'дод 2'!F111</f>
        <v>0</v>
      </c>
      <c r="F82" s="41">
        <f>'дод 2'!G111</f>
        <v>0</v>
      </c>
      <c r="G82" s="41">
        <f>'дод 2'!H111</f>
        <v>0</v>
      </c>
      <c r="H82" s="41">
        <f>'дод 2'!I111</f>
        <v>0</v>
      </c>
      <c r="I82" s="41">
        <f>'дод 2'!J111</f>
        <v>0</v>
      </c>
      <c r="J82" s="41">
        <f>'дод 2'!K111</f>
        <v>0</v>
      </c>
      <c r="K82" s="41">
        <f>'дод 2'!L111</f>
        <v>0</v>
      </c>
      <c r="L82" s="194" t="e">
        <f t="shared" si="2"/>
        <v>#DIV/0!</v>
      </c>
      <c r="M82" s="41">
        <f>'дод 2'!N111</f>
        <v>15081700</v>
      </c>
      <c r="N82" s="41">
        <f>'дод 2'!O111</f>
        <v>0</v>
      </c>
      <c r="O82" s="41">
        <f>'дод 2'!P111</f>
        <v>0</v>
      </c>
      <c r="P82" s="41">
        <f>'дод 2'!Q111</f>
        <v>0</v>
      </c>
      <c r="Q82" s="41">
        <f>'дод 2'!R111</f>
        <v>0</v>
      </c>
      <c r="R82" s="41">
        <f>'дод 2'!S111</f>
        <v>15081700</v>
      </c>
      <c r="S82" s="41">
        <f>'дод 2'!T111</f>
        <v>14491008.73</v>
      </c>
      <c r="T82" s="41">
        <f>'дод 2'!U111</f>
        <v>0</v>
      </c>
      <c r="U82" s="41">
        <f>'дод 2'!V111</f>
        <v>0</v>
      </c>
      <c r="V82" s="41">
        <f>'дод 2'!W111</f>
        <v>0</v>
      </c>
      <c r="W82" s="41">
        <f>'дод 2'!X111</f>
        <v>0</v>
      </c>
      <c r="X82" s="41">
        <f>'дод 2'!Y111</f>
        <v>14491008.73</v>
      </c>
      <c r="Y82" s="194">
        <f t="shared" si="3"/>
        <v>96.083390665508531</v>
      </c>
      <c r="Z82" s="41">
        <f>'дод 2'!AA111</f>
        <v>14491008.73</v>
      </c>
      <c r="AA82" s="41">
        <f>'дод 2'!AB111</f>
        <v>15081700</v>
      </c>
      <c r="AB82" s="239"/>
      <c r="AC82" s="244"/>
    </row>
    <row r="83" spans="1:29" s="62" customFormat="1" ht="68.650000000000006" hidden="1" customHeight="1" x14ac:dyDescent="0.25">
      <c r="A83" s="13">
        <v>1275</v>
      </c>
      <c r="B83" s="12" t="s">
        <v>47</v>
      </c>
      <c r="C83" s="16" t="s">
        <v>531</v>
      </c>
      <c r="D83" s="36">
        <f>'дод 2'!E112</f>
        <v>0</v>
      </c>
      <c r="E83" s="36">
        <f>'дод 2'!F112</f>
        <v>0</v>
      </c>
      <c r="F83" s="36">
        <f>'дод 2'!G112</f>
        <v>0</v>
      </c>
      <c r="G83" s="36">
        <f>'дод 2'!H112</f>
        <v>0</v>
      </c>
      <c r="H83" s="36">
        <f>'дод 2'!I112</f>
        <v>0</v>
      </c>
      <c r="I83" s="36">
        <f>'дод 2'!J112</f>
        <v>0</v>
      </c>
      <c r="J83" s="36">
        <f>'дод 2'!K112</f>
        <v>0</v>
      </c>
      <c r="K83" s="36">
        <f>'дод 2'!L112</f>
        <v>0</v>
      </c>
      <c r="L83" s="192" t="e">
        <f t="shared" ref="L83:L146" si="40">I83/D83*100</f>
        <v>#DIV/0!</v>
      </c>
      <c r="M83" s="36">
        <f>'дод 2'!N112</f>
        <v>0</v>
      </c>
      <c r="N83" s="36">
        <f>'дод 2'!O112</f>
        <v>0</v>
      </c>
      <c r="O83" s="36">
        <f>'дод 2'!P112</f>
        <v>0</v>
      </c>
      <c r="P83" s="36">
        <f>'дод 2'!Q112</f>
        <v>0</v>
      </c>
      <c r="Q83" s="36">
        <f>'дод 2'!R112</f>
        <v>0</v>
      </c>
      <c r="R83" s="36">
        <f>'дод 2'!S112</f>
        <v>0</v>
      </c>
      <c r="S83" s="36">
        <f>'дод 2'!T112</f>
        <v>0</v>
      </c>
      <c r="T83" s="36">
        <f>'дод 2'!U112</f>
        <v>0</v>
      </c>
      <c r="U83" s="36">
        <f>'дод 2'!V112</f>
        <v>0</v>
      </c>
      <c r="V83" s="36">
        <f>'дод 2'!W112</f>
        <v>0</v>
      </c>
      <c r="W83" s="36">
        <f>'дод 2'!X112</f>
        <v>0</v>
      </c>
      <c r="X83" s="36">
        <f>'дод 2'!Y112</f>
        <v>0</v>
      </c>
      <c r="Y83" s="192" t="e">
        <f t="shared" ref="Y83:Y146" si="41">S83/M83*100</f>
        <v>#DIV/0!</v>
      </c>
      <c r="Z83" s="36">
        <f>'дод 2'!AA112</f>
        <v>0</v>
      </c>
      <c r="AA83" s="36">
        <f>'дод 2'!AB112</f>
        <v>0</v>
      </c>
      <c r="AB83" s="239"/>
      <c r="AC83" s="244"/>
    </row>
    <row r="84" spans="1:29" s="62" customFormat="1" ht="57.75" hidden="1" customHeight="1" x14ac:dyDescent="0.25">
      <c r="A84" s="13">
        <v>1276</v>
      </c>
      <c r="B84" s="12" t="s">
        <v>47</v>
      </c>
      <c r="C84" s="16" t="s">
        <v>536</v>
      </c>
      <c r="D84" s="36">
        <f>'дод 2'!E113</f>
        <v>0</v>
      </c>
      <c r="E84" s="36">
        <f>'дод 2'!F113</f>
        <v>0</v>
      </c>
      <c r="F84" s="36">
        <f>'дод 2'!G113</f>
        <v>0</v>
      </c>
      <c r="G84" s="36">
        <f>'дод 2'!H113</f>
        <v>0</v>
      </c>
      <c r="H84" s="36">
        <f>'дод 2'!I113</f>
        <v>0</v>
      </c>
      <c r="I84" s="36">
        <f>'дод 2'!J113</f>
        <v>0</v>
      </c>
      <c r="J84" s="36">
        <f>'дод 2'!K113</f>
        <v>0</v>
      </c>
      <c r="K84" s="36">
        <f>'дод 2'!L113</f>
        <v>0</v>
      </c>
      <c r="L84" s="192" t="e">
        <f t="shared" si="40"/>
        <v>#DIV/0!</v>
      </c>
      <c r="M84" s="36">
        <f>'дод 2'!N113</f>
        <v>0</v>
      </c>
      <c r="N84" s="36">
        <f>'дод 2'!O113</f>
        <v>0</v>
      </c>
      <c r="O84" s="36">
        <f>'дод 2'!P113</f>
        <v>0</v>
      </c>
      <c r="P84" s="36">
        <f>'дод 2'!Q113</f>
        <v>0</v>
      </c>
      <c r="Q84" s="36">
        <f>'дод 2'!R113</f>
        <v>0</v>
      </c>
      <c r="R84" s="36">
        <f>'дод 2'!S113</f>
        <v>0</v>
      </c>
      <c r="S84" s="36">
        <f>'дод 2'!T113</f>
        <v>0</v>
      </c>
      <c r="T84" s="36">
        <f>'дод 2'!U113</f>
        <v>0</v>
      </c>
      <c r="U84" s="36">
        <f>'дод 2'!V113</f>
        <v>0</v>
      </c>
      <c r="V84" s="36">
        <f>'дод 2'!W113</f>
        <v>0</v>
      </c>
      <c r="W84" s="36">
        <f>'дод 2'!X113</f>
        <v>0</v>
      </c>
      <c r="X84" s="36">
        <f>'дод 2'!Y113</f>
        <v>0</v>
      </c>
      <c r="Y84" s="192" t="e">
        <f t="shared" si="41"/>
        <v>#DIV/0!</v>
      </c>
      <c r="Z84" s="36">
        <f>'дод 2'!AA113</f>
        <v>0</v>
      </c>
      <c r="AA84" s="36">
        <f>'дод 2'!AB113</f>
        <v>0</v>
      </c>
      <c r="AB84" s="239"/>
      <c r="AC84" s="244"/>
    </row>
    <row r="85" spans="1:29" s="62" customFormat="1" ht="36.75" hidden="1" customHeight="1" x14ac:dyDescent="0.25">
      <c r="A85" s="21"/>
      <c r="B85" s="20"/>
      <c r="C85" s="22" t="s">
        <v>394</v>
      </c>
      <c r="D85" s="41">
        <f>'дод 2'!E114</f>
        <v>0</v>
      </c>
      <c r="E85" s="41">
        <f>'дод 2'!F114</f>
        <v>0</v>
      </c>
      <c r="F85" s="41">
        <f>'дод 2'!G114</f>
        <v>0</v>
      </c>
      <c r="G85" s="41">
        <f>'дод 2'!H114</f>
        <v>0</v>
      </c>
      <c r="H85" s="41">
        <f>'дод 2'!I114</f>
        <v>0</v>
      </c>
      <c r="I85" s="41">
        <f>'дод 2'!J114</f>
        <v>0</v>
      </c>
      <c r="J85" s="41">
        <f>'дод 2'!K114</f>
        <v>0</v>
      </c>
      <c r="K85" s="41">
        <f>'дод 2'!L114</f>
        <v>0</v>
      </c>
      <c r="L85" s="194" t="e">
        <f t="shared" si="40"/>
        <v>#DIV/0!</v>
      </c>
      <c r="M85" s="41">
        <f>'дод 2'!N114</f>
        <v>0</v>
      </c>
      <c r="N85" s="41">
        <f>'дод 2'!O114</f>
        <v>0</v>
      </c>
      <c r="O85" s="41">
        <f>'дод 2'!P114</f>
        <v>0</v>
      </c>
      <c r="P85" s="41">
        <f>'дод 2'!Q114</f>
        <v>0</v>
      </c>
      <c r="Q85" s="41">
        <f>'дод 2'!R114</f>
        <v>0</v>
      </c>
      <c r="R85" s="41">
        <f>'дод 2'!S114</f>
        <v>0</v>
      </c>
      <c r="S85" s="41">
        <f>'дод 2'!T114</f>
        <v>0</v>
      </c>
      <c r="T85" s="41">
        <f>'дод 2'!U114</f>
        <v>0</v>
      </c>
      <c r="U85" s="41">
        <f>'дод 2'!V114</f>
        <v>0</v>
      </c>
      <c r="V85" s="41">
        <f>'дод 2'!W114</f>
        <v>0</v>
      </c>
      <c r="W85" s="41">
        <f>'дод 2'!X114</f>
        <v>0</v>
      </c>
      <c r="X85" s="41">
        <f>'дод 2'!Y114</f>
        <v>0</v>
      </c>
      <c r="Y85" s="194" t="e">
        <f t="shared" si="41"/>
        <v>#DIV/0!</v>
      </c>
      <c r="Z85" s="41">
        <f>'дод 2'!AA114</f>
        <v>0</v>
      </c>
      <c r="AA85" s="41">
        <f>'дод 2'!AB114</f>
        <v>0</v>
      </c>
      <c r="AB85" s="239"/>
      <c r="AC85" s="244"/>
    </row>
    <row r="86" spans="1:29" ht="63" customHeight="1" x14ac:dyDescent="0.25">
      <c r="A86" s="13">
        <v>1279</v>
      </c>
      <c r="B86" s="12" t="s">
        <v>47</v>
      </c>
      <c r="C86" s="16" t="s">
        <v>553</v>
      </c>
      <c r="D86" s="36">
        <f>'дод 2'!E115</f>
        <v>0</v>
      </c>
      <c r="E86" s="36">
        <f>'дод 2'!F115</f>
        <v>0</v>
      </c>
      <c r="F86" s="36">
        <f>'дод 2'!G115</f>
        <v>0</v>
      </c>
      <c r="G86" s="36">
        <f>'дод 2'!H115</f>
        <v>0</v>
      </c>
      <c r="H86" s="36">
        <f>'дод 2'!I115</f>
        <v>0</v>
      </c>
      <c r="I86" s="36">
        <f>'дод 2'!J115</f>
        <v>0</v>
      </c>
      <c r="J86" s="36">
        <f>'дод 2'!K115</f>
        <v>0</v>
      </c>
      <c r="K86" s="36">
        <f>'дод 2'!L115</f>
        <v>0</v>
      </c>
      <c r="L86" s="192" t="e">
        <f t="shared" si="40"/>
        <v>#DIV/0!</v>
      </c>
      <c r="M86" s="36">
        <f>'дод 2'!N115</f>
        <v>5092400</v>
      </c>
      <c r="N86" s="36">
        <f>'дод 2'!O115</f>
        <v>0</v>
      </c>
      <c r="O86" s="36">
        <f>'дод 2'!P115</f>
        <v>5092400</v>
      </c>
      <c r="P86" s="36">
        <f>'дод 2'!Q115</f>
        <v>0</v>
      </c>
      <c r="Q86" s="36">
        <f>'дод 2'!R115</f>
        <v>0</v>
      </c>
      <c r="R86" s="36">
        <f>'дод 2'!S115</f>
        <v>0</v>
      </c>
      <c r="S86" s="36">
        <f>'дод 2'!T115</f>
        <v>3764348.2</v>
      </c>
      <c r="T86" s="36">
        <f>'дод 2'!U115</f>
        <v>0</v>
      </c>
      <c r="U86" s="36">
        <f>'дод 2'!V115</f>
        <v>3764348.2</v>
      </c>
      <c r="V86" s="36">
        <f>'дод 2'!W115</f>
        <v>0</v>
      </c>
      <c r="W86" s="36">
        <f>'дод 2'!X115</f>
        <v>0</v>
      </c>
      <c r="X86" s="36">
        <f>'дод 2'!Y115</f>
        <v>0</v>
      </c>
      <c r="Y86" s="192">
        <f t="shared" si="41"/>
        <v>73.920905663341458</v>
      </c>
      <c r="Z86" s="36">
        <f>'дод 2'!AA115</f>
        <v>3764348.2</v>
      </c>
      <c r="AA86" s="36">
        <f>'дод 2'!AB115</f>
        <v>5092400</v>
      </c>
      <c r="AB86" s="239"/>
      <c r="AC86" s="244"/>
    </row>
    <row r="87" spans="1:29" s="62" customFormat="1" ht="31.5" x14ac:dyDescent="0.25">
      <c r="A87" s="21"/>
      <c r="B87" s="20"/>
      <c r="C87" s="22" t="s">
        <v>394</v>
      </c>
      <c r="D87" s="41">
        <f>'дод 2'!E116</f>
        <v>0</v>
      </c>
      <c r="E87" s="41">
        <f>'дод 2'!F116</f>
        <v>0</v>
      </c>
      <c r="F87" s="41">
        <f>'дод 2'!G116</f>
        <v>0</v>
      </c>
      <c r="G87" s="41">
        <f>'дод 2'!H116</f>
        <v>0</v>
      </c>
      <c r="H87" s="41">
        <f>'дод 2'!I116</f>
        <v>0</v>
      </c>
      <c r="I87" s="41">
        <f>'дод 2'!J116</f>
        <v>0</v>
      </c>
      <c r="J87" s="41">
        <f>'дод 2'!K116</f>
        <v>0</v>
      </c>
      <c r="K87" s="41">
        <f>'дод 2'!L116</f>
        <v>0</v>
      </c>
      <c r="L87" s="194" t="e">
        <f t="shared" si="40"/>
        <v>#DIV/0!</v>
      </c>
      <c r="M87" s="41">
        <f>'дод 2'!N116</f>
        <v>5092400</v>
      </c>
      <c r="N87" s="41">
        <f>'дод 2'!O116</f>
        <v>0</v>
      </c>
      <c r="O87" s="41">
        <f>'дод 2'!P116</f>
        <v>5092400</v>
      </c>
      <c r="P87" s="41">
        <f>'дод 2'!Q116</f>
        <v>0</v>
      </c>
      <c r="Q87" s="41">
        <f>'дод 2'!R116</f>
        <v>0</v>
      </c>
      <c r="R87" s="41">
        <f>'дод 2'!S116</f>
        <v>0</v>
      </c>
      <c r="S87" s="41">
        <f>'дод 2'!T116</f>
        <v>3764348.2</v>
      </c>
      <c r="T87" s="41">
        <f>'дод 2'!U116</f>
        <v>0</v>
      </c>
      <c r="U87" s="41">
        <f>'дод 2'!V116</f>
        <v>3764348.2</v>
      </c>
      <c r="V87" s="41">
        <f>'дод 2'!W116</f>
        <v>0</v>
      </c>
      <c r="W87" s="41">
        <f>'дод 2'!X116</f>
        <v>0</v>
      </c>
      <c r="X87" s="41">
        <f>'дод 2'!Y116</f>
        <v>0</v>
      </c>
      <c r="Y87" s="194">
        <f t="shared" si="41"/>
        <v>73.920905663341458</v>
      </c>
      <c r="Z87" s="41">
        <f>'дод 2'!AA116</f>
        <v>3764348.2</v>
      </c>
      <c r="AA87" s="41">
        <f>'дод 2'!AB116</f>
        <v>5092400</v>
      </c>
      <c r="AB87" s="239"/>
      <c r="AC87" s="244"/>
    </row>
    <row r="88" spans="1:29" ht="94.5" x14ac:dyDescent="0.25">
      <c r="A88" s="12" t="s">
        <v>521</v>
      </c>
      <c r="B88" s="12" t="s">
        <v>47</v>
      </c>
      <c r="C88" s="16" t="s">
        <v>522</v>
      </c>
      <c r="D88" s="36">
        <f>'дод 2'!E117</f>
        <v>234501.65</v>
      </c>
      <c r="E88" s="36">
        <f>'дод 2'!F117</f>
        <v>234501.65</v>
      </c>
      <c r="F88" s="36">
        <f>'дод 2'!G117</f>
        <v>0</v>
      </c>
      <c r="G88" s="36">
        <f>'дод 2'!H117</f>
        <v>0</v>
      </c>
      <c r="H88" s="36">
        <f>'дод 2'!I117</f>
        <v>0</v>
      </c>
      <c r="I88" s="36">
        <f>'дод 2'!J117</f>
        <v>234494.06</v>
      </c>
      <c r="J88" s="36">
        <f>'дод 2'!K117</f>
        <v>0</v>
      </c>
      <c r="K88" s="36">
        <f>'дод 2'!L117</f>
        <v>0</v>
      </c>
      <c r="L88" s="192">
        <f t="shared" si="40"/>
        <v>99.996763348999892</v>
      </c>
      <c r="M88" s="36">
        <f>'дод 2'!N117</f>
        <v>352210.35</v>
      </c>
      <c r="N88" s="36">
        <f>'дод 2'!O117</f>
        <v>352210.35</v>
      </c>
      <c r="O88" s="36">
        <f>'дод 2'!P117</f>
        <v>0</v>
      </c>
      <c r="P88" s="36">
        <f>'дод 2'!Q117</f>
        <v>0</v>
      </c>
      <c r="Q88" s="36">
        <f>'дод 2'!R117</f>
        <v>0</v>
      </c>
      <c r="R88" s="36">
        <f>'дод 2'!S117</f>
        <v>352210.35</v>
      </c>
      <c r="S88" s="36">
        <f>'дод 2'!T117</f>
        <v>349047.6</v>
      </c>
      <c r="T88" s="36">
        <f>'дод 2'!U117</f>
        <v>349047.6</v>
      </c>
      <c r="U88" s="36">
        <f>'дод 2'!V117</f>
        <v>0</v>
      </c>
      <c r="V88" s="36">
        <f>'дод 2'!W117</f>
        <v>0</v>
      </c>
      <c r="W88" s="36">
        <f>'дод 2'!X117</f>
        <v>0</v>
      </c>
      <c r="X88" s="36">
        <f>'дод 2'!Y117</f>
        <v>349047.6</v>
      </c>
      <c r="Y88" s="192">
        <f t="shared" si="41"/>
        <v>99.102028092019452</v>
      </c>
      <c r="Z88" s="36">
        <f>'дод 2'!AA117</f>
        <v>583541.65999999992</v>
      </c>
      <c r="AA88" s="36">
        <f>'дод 2'!AB117</f>
        <v>586712</v>
      </c>
      <c r="AB88" s="239"/>
      <c r="AC88" s="244"/>
    </row>
    <row r="89" spans="1:29" ht="78.75" x14ac:dyDescent="0.25">
      <c r="A89" s="12" t="s">
        <v>527</v>
      </c>
      <c r="B89" s="12" t="s">
        <v>47</v>
      </c>
      <c r="C89" s="16" t="s">
        <v>528</v>
      </c>
      <c r="D89" s="36">
        <f>'дод 2'!E118</f>
        <v>0</v>
      </c>
      <c r="E89" s="36">
        <f>'дод 2'!F118</f>
        <v>0</v>
      </c>
      <c r="F89" s="36">
        <f>'дод 2'!G118</f>
        <v>0</v>
      </c>
      <c r="G89" s="36">
        <f>'дод 2'!H118</f>
        <v>0</v>
      </c>
      <c r="H89" s="36">
        <f>'дод 2'!I118</f>
        <v>0</v>
      </c>
      <c r="I89" s="36">
        <f>'дод 2'!J118</f>
        <v>0</v>
      </c>
      <c r="J89" s="36">
        <f>'дод 2'!K118</f>
        <v>0</v>
      </c>
      <c r="K89" s="36">
        <f>'дод 2'!L118</f>
        <v>0</v>
      </c>
      <c r="L89" s="192" t="e">
        <f t="shared" si="40"/>
        <v>#DIV/0!</v>
      </c>
      <c r="M89" s="36">
        <f>'дод 2'!N118</f>
        <v>1368993.2799999998</v>
      </c>
      <c r="N89" s="36">
        <f>'дод 2'!O118</f>
        <v>0</v>
      </c>
      <c r="O89" s="36">
        <f>'дод 2'!P118</f>
        <v>547169.13</v>
      </c>
      <c r="P89" s="36">
        <f>'дод 2'!Q118</f>
        <v>0</v>
      </c>
      <c r="Q89" s="36">
        <f>'дод 2'!R118</f>
        <v>0</v>
      </c>
      <c r="R89" s="36">
        <f>'дод 2'!S118</f>
        <v>821824.14999999991</v>
      </c>
      <c r="S89" s="36">
        <f>'дод 2'!T118</f>
        <v>1361595.1600000001</v>
      </c>
      <c r="T89" s="36">
        <f>'дод 2'!U118</f>
        <v>0</v>
      </c>
      <c r="U89" s="36">
        <f>'дод 2'!V118</f>
        <v>547150.76</v>
      </c>
      <c r="V89" s="36">
        <f>'дод 2'!W118</f>
        <v>0</v>
      </c>
      <c r="W89" s="36">
        <f>'дод 2'!X118</f>
        <v>0</v>
      </c>
      <c r="X89" s="36">
        <f>'дод 2'!Y118</f>
        <v>814444.4</v>
      </c>
      <c r="Y89" s="192">
        <f t="shared" si="41"/>
        <v>99.459594133288974</v>
      </c>
      <c r="Z89" s="36">
        <f>'дод 2'!AA118</f>
        <v>1361595.1600000001</v>
      </c>
      <c r="AA89" s="36">
        <f>'дод 2'!AB118</f>
        <v>1368993.2799999998</v>
      </c>
      <c r="AB89" s="239"/>
      <c r="AC89" s="244"/>
    </row>
    <row r="90" spans="1:29" s="62" customFormat="1" ht="47.25" x14ac:dyDescent="0.25">
      <c r="A90" s="20"/>
      <c r="B90" s="20"/>
      <c r="C90" s="22" t="s">
        <v>529</v>
      </c>
      <c r="D90" s="41">
        <f>'дод 2'!E119</f>
        <v>0</v>
      </c>
      <c r="E90" s="41">
        <f>'дод 2'!F119</f>
        <v>0</v>
      </c>
      <c r="F90" s="41">
        <f>'дод 2'!G119</f>
        <v>0</v>
      </c>
      <c r="G90" s="41">
        <f>'дод 2'!H119</f>
        <v>0</v>
      </c>
      <c r="H90" s="41">
        <f>'дод 2'!I119</f>
        <v>0</v>
      </c>
      <c r="I90" s="41">
        <f>'дод 2'!J119</f>
        <v>0</v>
      </c>
      <c r="J90" s="41">
        <f>'дод 2'!K119</f>
        <v>0</v>
      </c>
      <c r="K90" s="41">
        <f>'дод 2'!L119</f>
        <v>0</v>
      </c>
      <c r="L90" s="194" t="e">
        <f t="shared" si="40"/>
        <v>#DIV/0!</v>
      </c>
      <c r="M90" s="41">
        <f>'дод 2'!N119</f>
        <v>1368993.2799999998</v>
      </c>
      <c r="N90" s="41">
        <f>'дод 2'!O119</f>
        <v>0</v>
      </c>
      <c r="O90" s="41">
        <f>'дод 2'!P119</f>
        <v>547169.13</v>
      </c>
      <c r="P90" s="41">
        <f>'дод 2'!Q119</f>
        <v>0</v>
      </c>
      <c r="Q90" s="41">
        <f>'дод 2'!R119</f>
        <v>0</v>
      </c>
      <c r="R90" s="41">
        <f>'дод 2'!S119</f>
        <v>821824.14999999991</v>
      </c>
      <c r="S90" s="41">
        <f>'дод 2'!T119</f>
        <v>1361595.1600000001</v>
      </c>
      <c r="T90" s="41">
        <f>'дод 2'!U119</f>
        <v>0</v>
      </c>
      <c r="U90" s="41">
        <f>'дод 2'!V119</f>
        <v>547150.76</v>
      </c>
      <c r="V90" s="41">
        <f>'дод 2'!W119</f>
        <v>0</v>
      </c>
      <c r="W90" s="41">
        <f>'дод 2'!X119</f>
        <v>0</v>
      </c>
      <c r="X90" s="41">
        <f>'дод 2'!Y119</f>
        <v>814444.4</v>
      </c>
      <c r="Y90" s="194">
        <f t="shared" si="41"/>
        <v>99.459594133288974</v>
      </c>
      <c r="Z90" s="41">
        <f>'дод 2'!AA119</f>
        <v>1361595.1600000001</v>
      </c>
      <c r="AA90" s="41">
        <f>'дод 2'!AB119</f>
        <v>1368993.2799999998</v>
      </c>
      <c r="AB90" s="239"/>
      <c r="AC90" s="244"/>
    </row>
    <row r="91" spans="1:29" ht="18.75" x14ac:dyDescent="0.25">
      <c r="A91" s="12" t="s">
        <v>441</v>
      </c>
      <c r="B91" s="12" t="s">
        <v>47</v>
      </c>
      <c r="C91" s="16" t="s">
        <v>456</v>
      </c>
      <c r="D91" s="36">
        <f>'дод 2'!E275+'дод 2'!E120</f>
        <v>0</v>
      </c>
      <c r="E91" s="36">
        <f>'дод 2'!F275+'дод 2'!F120</f>
        <v>0</v>
      </c>
      <c r="F91" s="36">
        <f>'дод 2'!G275+'дод 2'!G120</f>
        <v>0</v>
      </c>
      <c r="G91" s="36">
        <f>'дод 2'!H275+'дод 2'!H120</f>
        <v>0</v>
      </c>
      <c r="H91" s="36">
        <f>'дод 2'!I275+'дод 2'!I120</f>
        <v>0</v>
      </c>
      <c r="I91" s="36">
        <f>'дод 2'!J275+'дод 2'!J120</f>
        <v>0</v>
      </c>
      <c r="J91" s="36">
        <f>'дод 2'!K275+'дод 2'!K120</f>
        <v>0</v>
      </c>
      <c r="K91" s="36">
        <f>'дод 2'!L275+'дод 2'!L120</f>
        <v>0</v>
      </c>
      <c r="L91" s="192" t="e">
        <f t="shared" si="40"/>
        <v>#DIV/0!</v>
      </c>
      <c r="M91" s="36">
        <f>'дод 2'!N275+'дод 2'!N120</f>
        <v>34134849.670000002</v>
      </c>
      <c r="N91" s="36">
        <f>'дод 2'!O275+'дод 2'!O120</f>
        <v>34134849.670000002</v>
      </c>
      <c r="O91" s="36">
        <f>'дод 2'!P275+'дод 2'!P120</f>
        <v>0</v>
      </c>
      <c r="P91" s="36">
        <f>'дод 2'!Q275+'дод 2'!Q120</f>
        <v>0</v>
      </c>
      <c r="Q91" s="36">
        <f>'дод 2'!R275+'дод 2'!R120</f>
        <v>0</v>
      </c>
      <c r="R91" s="36">
        <f>'дод 2'!S275+'дод 2'!S120</f>
        <v>34134849.670000002</v>
      </c>
      <c r="S91" s="36">
        <f>'дод 2'!T275+'дод 2'!T120</f>
        <v>26738450.469999999</v>
      </c>
      <c r="T91" s="36">
        <f>'дод 2'!U275+'дод 2'!U120</f>
        <v>26738450.469999999</v>
      </c>
      <c r="U91" s="36">
        <f>'дод 2'!V275+'дод 2'!V120</f>
        <v>0</v>
      </c>
      <c r="V91" s="36">
        <f>'дод 2'!W275+'дод 2'!W120</f>
        <v>0</v>
      </c>
      <c r="W91" s="36">
        <f>'дод 2'!X275+'дод 2'!X120</f>
        <v>0</v>
      </c>
      <c r="X91" s="36">
        <f>'дод 2'!Y275+'дод 2'!Y120</f>
        <v>26738450.469999999</v>
      </c>
      <c r="Y91" s="192">
        <f t="shared" si="41"/>
        <v>78.331824304178923</v>
      </c>
      <c r="Z91" s="36">
        <f>'дод 2'!AA275+'дод 2'!AA120</f>
        <v>26738450.469999999</v>
      </c>
      <c r="AA91" s="36">
        <f>'дод 2'!AB275+'дод 2'!AB120</f>
        <v>34134849.670000002</v>
      </c>
      <c r="AB91" s="239"/>
      <c r="AC91" s="244"/>
    </row>
    <row r="92" spans="1:29" ht="110.25" x14ac:dyDescent="0.25">
      <c r="A92" s="12"/>
      <c r="B92" s="12"/>
      <c r="C92" s="22" t="s">
        <v>439</v>
      </c>
      <c r="D92" s="41">
        <f>'дод 2'!E121</f>
        <v>0</v>
      </c>
      <c r="E92" s="41">
        <f>'дод 2'!F121</f>
        <v>0</v>
      </c>
      <c r="F92" s="41">
        <f>'дод 2'!G121</f>
        <v>0</v>
      </c>
      <c r="G92" s="41">
        <f>'дод 2'!H121</f>
        <v>0</v>
      </c>
      <c r="H92" s="41">
        <f>'дод 2'!I121</f>
        <v>0</v>
      </c>
      <c r="I92" s="41">
        <f>'дод 2'!J121</f>
        <v>0</v>
      </c>
      <c r="J92" s="41">
        <f>'дод 2'!K121</f>
        <v>0</v>
      </c>
      <c r="K92" s="41">
        <f>'дод 2'!L121</f>
        <v>0</v>
      </c>
      <c r="L92" s="194" t="e">
        <f t="shared" si="40"/>
        <v>#DIV/0!</v>
      </c>
      <c r="M92" s="41">
        <f>'дод 2'!N121</f>
        <v>24605214.670000002</v>
      </c>
      <c r="N92" s="41">
        <f>'дод 2'!O121</f>
        <v>24605214.670000002</v>
      </c>
      <c r="O92" s="41">
        <f>'дод 2'!P121</f>
        <v>0</v>
      </c>
      <c r="P92" s="41">
        <f>'дод 2'!Q121</f>
        <v>0</v>
      </c>
      <c r="Q92" s="41">
        <f>'дод 2'!R121</f>
        <v>0</v>
      </c>
      <c r="R92" s="41">
        <f>'дод 2'!S121</f>
        <v>24605214.670000002</v>
      </c>
      <c r="S92" s="41">
        <f>'дод 2'!T121</f>
        <v>17998197.82</v>
      </c>
      <c r="T92" s="41">
        <f>'дод 2'!U121</f>
        <v>17998197.82</v>
      </c>
      <c r="U92" s="41">
        <f>'дод 2'!V121</f>
        <v>0</v>
      </c>
      <c r="V92" s="41">
        <f>'дод 2'!W121</f>
        <v>0</v>
      </c>
      <c r="W92" s="41">
        <f>'дод 2'!X121</f>
        <v>0</v>
      </c>
      <c r="X92" s="41">
        <f>'дод 2'!Y121</f>
        <v>17998197.82</v>
      </c>
      <c r="Y92" s="194">
        <f t="shared" si="41"/>
        <v>73.147899993509796</v>
      </c>
      <c r="Z92" s="41">
        <f>'дод 2'!AA121</f>
        <v>17998197.82</v>
      </c>
      <c r="AA92" s="41">
        <f>'дод 2'!AB121</f>
        <v>24605214.670000002</v>
      </c>
      <c r="AB92" s="239"/>
      <c r="AC92" s="244"/>
    </row>
    <row r="93" spans="1:29" ht="47.25" x14ac:dyDescent="0.25">
      <c r="A93" s="12" t="s">
        <v>509</v>
      </c>
      <c r="B93" s="12" t="s">
        <v>47</v>
      </c>
      <c r="C93" s="16" t="s">
        <v>512</v>
      </c>
      <c r="D93" s="36">
        <f>'дод 2'!E276</f>
        <v>0</v>
      </c>
      <c r="E93" s="36">
        <f>'дод 2'!F276</f>
        <v>0</v>
      </c>
      <c r="F93" s="36">
        <f>'дод 2'!G276</f>
        <v>0</v>
      </c>
      <c r="G93" s="36">
        <f>'дод 2'!H276</f>
        <v>0</v>
      </c>
      <c r="H93" s="36">
        <f>'дод 2'!I276</f>
        <v>0</v>
      </c>
      <c r="I93" s="36">
        <f>'дод 2'!J276</f>
        <v>0</v>
      </c>
      <c r="J93" s="36">
        <f>'дод 2'!K276</f>
        <v>0</v>
      </c>
      <c r="K93" s="36">
        <f>'дод 2'!L276</f>
        <v>0</v>
      </c>
      <c r="L93" s="192" t="e">
        <f t="shared" si="40"/>
        <v>#DIV/0!</v>
      </c>
      <c r="M93" s="36">
        <f>'дод 2'!N276</f>
        <v>29042124.559999999</v>
      </c>
      <c r="N93" s="36">
        <f>'дод 2'!O276</f>
        <v>29042124.559999999</v>
      </c>
      <c r="O93" s="36">
        <f>'дод 2'!P276</f>
        <v>0</v>
      </c>
      <c r="P93" s="36">
        <f>'дод 2'!Q276</f>
        <v>0</v>
      </c>
      <c r="Q93" s="36">
        <f>'дод 2'!R276</f>
        <v>0</v>
      </c>
      <c r="R93" s="36">
        <f>'дод 2'!S276</f>
        <v>29042124.559999999</v>
      </c>
      <c r="S93" s="36">
        <f>'дод 2'!T276</f>
        <v>28724541</v>
      </c>
      <c r="T93" s="36">
        <f>'дод 2'!U276</f>
        <v>28724541</v>
      </c>
      <c r="U93" s="36">
        <f>'дод 2'!V276</f>
        <v>0</v>
      </c>
      <c r="V93" s="36">
        <f>'дод 2'!W276</f>
        <v>0</v>
      </c>
      <c r="W93" s="36">
        <f>'дод 2'!X276</f>
        <v>0</v>
      </c>
      <c r="X93" s="36">
        <f>'дод 2'!Y276</f>
        <v>28724541</v>
      </c>
      <c r="Y93" s="192">
        <f t="shared" si="41"/>
        <v>98.906472701940658</v>
      </c>
      <c r="Z93" s="36">
        <f>'дод 2'!AA276</f>
        <v>28724541</v>
      </c>
      <c r="AA93" s="36">
        <f>'дод 2'!AB276</f>
        <v>29042124.559999999</v>
      </c>
      <c r="AB93" s="239"/>
      <c r="AC93" s="244"/>
    </row>
    <row r="94" spans="1:29" ht="78.75" x14ac:dyDescent="0.25">
      <c r="A94" s="12"/>
      <c r="B94" s="12"/>
      <c r="C94" s="22" t="s">
        <v>385</v>
      </c>
      <c r="D94" s="41">
        <f>'дод 2'!E277</f>
        <v>0</v>
      </c>
      <c r="E94" s="41">
        <f>'дод 2'!F277</f>
        <v>0</v>
      </c>
      <c r="F94" s="41">
        <f>'дод 2'!G277</f>
        <v>0</v>
      </c>
      <c r="G94" s="41">
        <f>'дод 2'!H277</f>
        <v>0</v>
      </c>
      <c r="H94" s="41">
        <f>'дод 2'!I277</f>
        <v>0</v>
      </c>
      <c r="I94" s="41">
        <f>'дод 2'!J277</f>
        <v>0</v>
      </c>
      <c r="J94" s="41">
        <f>'дод 2'!K277</f>
        <v>0</v>
      </c>
      <c r="K94" s="41">
        <f>'дод 2'!L277</f>
        <v>0</v>
      </c>
      <c r="L94" s="194" t="e">
        <f t="shared" si="40"/>
        <v>#DIV/0!</v>
      </c>
      <c r="M94" s="41">
        <f>'дод 2'!N277</f>
        <v>22450000</v>
      </c>
      <c r="N94" s="41">
        <f>'дод 2'!O277</f>
        <v>22450000</v>
      </c>
      <c r="O94" s="41">
        <f>'дод 2'!P277</f>
        <v>0</v>
      </c>
      <c r="P94" s="41">
        <f>'дод 2'!Q277</f>
        <v>0</v>
      </c>
      <c r="Q94" s="41">
        <f>'дод 2'!R277</f>
        <v>0</v>
      </c>
      <c r="R94" s="41">
        <f>'дод 2'!S277</f>
        <v>22450000</v>
      </c>
      <c r="S94" s="41">
        <f>'дод 2'!T277</f>
        <v>22449971.440000001</v>
      </c>
      <c r="T94" s="41">
        <f>'дод 2'!U277</f>
        <v>22449971.440000001</v>
      </c>
      <c r="U94" s="41">
        <f>'дод 2'!V277</f>
        <v>0</v>
      </c>
      <c r="V94" s="41">
        <f>'дод 2'!W277</f>
        <v>0</v>
      </c>
      <c r="W94" s="41">
        <f>'дод 2'!X277</f>
        <v>0</v>
      </c>
      <c r="X94" s="41">
        <f>'дод 2'!Y277</f>
        <v>22449971.440000001</v>
      </c>
      <c r="Y94" s="194">
        <f t="shared" si="41"/>
        <v>99.999872783964378</v>
      </c>
      <c r="Z94" s="41">
        <f>'дод 2'!AA277</f>
        <v>22449971.440000001</v>
      </c>
      <c r="AA94" s="41">
        <f>'дод 2'!AB277</f>
        <v>22450000</v>
      </c>
      <c r="AB94" s="239"/>
      <c r="AC94" s="244"/>
    </row>
    <row r="95" spans="1:29" ht="20.45" customHeight="1" x14ac:dyDescent="0.25">
      <c r="A95" s="12"/>
      <c r="B95" s="12"/>
      <c r="C95" s="22" t="s">
        <v>281</v>
      </c>
      <c r="D95" s="41">
        <f>'дод 2'!E278</f>
        <v>0</v>
      </c>
      <c r="E95" s="41">
        <f>'дод 2'!F278</f>
        <v>0</v>
      </c>
      <c r="F95" s="41">
        <f>'дод 2'!G278</f>
        <v>0</v>
      </c>
      <c r="G95" s="41">
        <f>'дод 2'!H278</f>
        <v>0</v>
      </c>
      <c r="H95" s="41">
        <f>'дод 2'!I278</f>
        <v>0</v>
      </c>
      <c r="I95" s="41">
        <f>'дод 2'!J278</f>
        <v>0</v>
      </c>
      <c r="J95" s="41">
        <f>'дод 2'!K278</f>
        <v>0</v>
      </c>
      <c r="K95" s="41">
        <f>'дод 2'!L278</f>
        <v>0</v>
      </c>
      <c r="L95" s="194" t="e">
        <f t="shared" si="40"/>
        <v>#DIV/0!</v>
      </c>
      <c r="M95" s="41">
        <f>'дод 2'!N278</f>
        <v>533722.56000000006</v>
      </c>
      <c r="N95" s="41">
        <f>'дод 2'!O278</f>
        <v>533722.56000000006</v>
      </c>
      <c r="O95" s="41">
        <f>'дод 2'!P278</f>
        <v>0</v>
      </c>
      <c r="P95" s="41">
        <f>'дод 2'!Q278</f>
        <v>0</v>
      </c>
      <c r="Q95" s="41">
        <f>'дод 2'!R278</f>
        <v>0</v>
      </c>
      <c r="R95" s="41">
        <f>'дод 2'!S278</f>
        <v>533722.56000000006</v>
      </c>
      <c r="S95" s="41">
        <f>'дод 2'!T278</f>
        <v>533722.56000000006</v>
      </c>
      <c r="T95" s="41">
        <f>'дод 2'!U278</f>
        <v>533722.56000000006</v>
      </c>
      <c r="U95" s="41">
        <f>'дод 2'!V278</f>
        <v>0</v>
      </c>
      <c r="V95" s="41">
        <f>'дод 2'!W278</f>
        <v>0</v>
      </c>
      <c r="W95" s="41">
        <f>'дод 2'!X278</f>
        <v>0</v>
      </c>
      <c r="X95" s="41">
        <f>'дод 2'!Y278</f>
        <v>533722.56000000006</v>
      </c>
      <c r="Y95" s="194">
        <f t="shared" si="41"/>
        <v>100</v>
      </c>
      <c r="Z95" s="41">
        <f>'дод 2'!AA278</f>
        <v>533722.56000000006</v>
      </c>
      <c r="AA95" s="41">
        <f>'дод 2'!AB278</f>
        <v>533722.56000000006</v>
      </c>
      <c r="AB95" s="239"/>
      <c r="AC95" s="244"/>
    </row>
    <row r="96" spans="1:29" ht="47.65" customHeight="1" x14ac:dyDescent="0.25">
      <c r="A96" s="12" t="s">
        <v>433</v>
      </c>
      <c r="B96" s="12" t="s">
        <v>47</v>
      </c>
      <c r="C96" s="16" t="s">
        <v>434</v>
      </c>
      <c r="D96" s="36">
        <f>'дод 2'!E122</f>
        <v>0</v>
      </c>
      <c r="E96" s="36">
        <f>'дод 2'!F122</f>
        <v>0</v>
      </c>
      <c r="F96" s="36">
        <f>'дод 2'!G122</f>
        <v>0</v>
      </c>
      <c r="G96" s="36">
        <f>'дод 2'!H122</f>
        <v>0</v>
      </c>
      <c r="H96" s="36">
        <f>'дод 2'!I122</f>
        <v>0</v>
      </c>
      <c r="I96" s="36">
        <f>'дод 2'!J122</f>
        <v>0</v>
      </c>
      <c r="J96" s="36">
        <f>'дод 2'!K122</f>
        <v>0</v>
      </c>
      <c r="K96" s="36">
        <f>'дод 2'!L122</f>
        <v>0</v>
      </c>
      <c r="L96" s="192" t="e">
        <f t="shared" si="40"/>
        <v>#DIV/0!</v>
      </c>
      <c r="M96" s="36">
        <f>'дод 2'!N122</f>
        <v>22533600</v>
      </c>
      <c r="N96" s="36">
        <f>'дод 2'!O122</f>
        <v>0</v>
      </c>
      <c r="O96" s="36">
        <f>'дод 2'!P122</f>
        <v>22533600</v>
      </c>
      <c r="P96" s="36">
        <f>'дод 2'!Q122</f>
        <v>0</v>
      </c>
      <c r="Q96" s="36">
        <f>'дод 2'!R122</f>
        <v>0</v>
      </c>
      <c r="R96" s="36">
        <f>'дод 2'!S122</f>
        <v>0</v>
      </c>
      <c r="S96" s="36">
        <f>'дод 2'!T122</f>
        <v>12419141.67</v>
      </c>
      <c r="T96" s="36">
        <f>'дод 2'!U122</f>
        <v>0</v>
      </c>
      <c r="U96" s="36">
        <f>'дод 2'!V122</f>
        <v>12419141.67</v>
      </c>
      <c r="V96" s="36">
        <f>'дод 2'!W122</f>
        <v>0</v>
      </c>
      <c r="W96" s="36">
        <f>'дод 2'!X122</f>
        <v>0</v>
      </c>
      <c r="X96" s="36">
        <f>'дод 2'!Y122</f>
        <v>0</v>
      </c>
      <c r="Y96" s="192">
        <f t="shared" si="41"/>
        <v>55.113881803173925</v>
      </c>
      <c r="Z96" s="36">
        <f>'дод 2'!AA122</f>
        <v>12419141.67</v>
      </c>
      <c r="AA96" s="36">
        <f>'дод 2'!AB122</f>
        <v>22533600</v>
      </c>
      <c r="AB96" s="239"/>
      <c r="AC96" s="244"/>
    </row>
    <row r="97" spans="1:29" s="62" customFormat="1" ht="47.65" customHeight="1" x14ac:dyDescent="0.25">
      <c r="A97" s="20"/>
      <c r="B97" s="20"/>
      <c r="C97" s="24" t="s">
        <v>435</v>
      </c>
      <c r="D97" s="41">
        <f>'дод 2'!E123</f>
        <v>0</v>
      </c>
      <c r="E97" s="41">
        <f>'дод 2'!F123</f>
        <v>0</v>
      </c>
      <c r="F97" s="41">
        <f>'дод 2'!G123</f>
        <v>0</v>
      </c>
      <c r="G97" s="41">
        <f>'дод 2'!H123</f>
        <v>0</v>
      </c>
      <c r="H97" s="41">
        <f>'дод 2'!I123</f>
        <v>0</v>
      </c>
      <c r="I97" s="41">
        <f>'дод 2'!J123</f>
        <v>0</v>
      </c>
      <c r="J97" s="41">
        <f>'дод 2'!K123</f>
        <v>0</v>
      </c>
      <c r="K97" s="41">
        <f>'дод 2'!L123</f>
        <v>0</v>
      </c>
      <c r="L97" s="194" t="e">
        <f t="shared" si="40"/>
        <v>#DIV/0!</v>
      </c>
      <c r="M97" s="41">
        <f>'дод 2'!N123</f>
        <v>22533600</v>
      </c>
      <c r="N97" s="41">
        <f>'дод 2'!O123</f>
        <v>0</v>
      </c>
      <c r="O97" s="41">
        <f>'дод 2'!P123</f>
        <v>22533600</v>
      </c>
      <c r="P97" s="41">
        <f>'дод 2'!Q123</f>
        <v>0</v>
      </c>
      <c r="Q97" s="41">
        <f>'дод 2'!R123</f>
        <v>0</v>
      </c>
      <c r="R97" s="41">
        <f>'дод 2'!S123</f>
        <v>0</v>
      </c>
      <c r="S97" s="41">
        <f>'дод 2'!T123</f>
        <v>12419141.67</v>
      </c>
      <c r="T97" s="41">
        <f>'дод 2'!U123</f>
        <v>0</v>
      </c>
      <c r="U97" s="41">
        <f>'дод 2'!V123</f>
        <v>12419141.67</v>
      </c>
      <c r="V97" s="41">
        <f>'дод 2'!W123</f>
        <v>0</v>
      </c>
      <c r="W97" s="41">
        <f>'дод 2'!X123</f>
        <v>0</v>
      </c>
      <c r="X97" s="41">
        <f>'дод 2'!Y123</f>
        <v>0</v>
      </c>
      <c r="Y97" s="194">
        <f t="shared" si="41"/>
        <v>55.113881803173925</v>
      </c>
      <c r="Z97" s="41">
        <f>'дод 2'!AA123</f>
        <v>12419141.67</v>
      </c>
      <c r="AA97" s="41">
        <f>'дод 2'!AB123</f>
        <v>22533600</v>
      </c>
      <c r="AB97" s="239"/>
      <c r="AC97" s="244"/>
    </row>
    <row r="98" spans="1:29" ht="88.5" customHeight="1" x14ac:dyDescent="0.25">
      <c r="A98" s="12" t="s">
        <v>555</v>
      </c>
      <c r="B98" s="12" t="s">
        <v>47</v>
      </c>
      <c r="C98" s="16" t="s">
        <v>556</v>
      </c>
      <c r="D98" s="36">
        <f>'дод 2'!E124</f>
        <v>0</v>
      </c>
      <c r="E98" s="36">
        <f>'дод 2'!F124</f>
        <v>0</v>
      </c>
      <c r="F98" s="36">
        <f>'дод 2'!G124</f>
        <v>0</v>
      </c>
      <c r="G98" s="36">
        <f>'дод 2'!H124</f>
        <v>0</v>
      </c>
      <c r="H98" s="36">
        <f>'дод 2'!I124</f>
        <v>0</v>
      </c>
      <c r="I98" s="36">
        <f>'дод 2'!J124</f>
        <v>0</v>
      </c>
      <c r="J98" s="36">
        <f>'дод 2'!K124</f>
        <v>0</v>
      </c>
      <c r="K98" s="36">
        <f>'дод 2'!L124</f>
        <v>0</v>
      </c>
      <c r="L98" s="192" t="e">
        <f t="shared" si="40"/>
        <v>#DIV/0!</v>
      </c>
      <c r="M98" s="36">
        <f>'дод 2'!N124</f>
        <v>1511800</v>
      </c>
      <c r="N98" s="36">
        <f>'дод 2'!O124</f>
        <v>0</v>
      </c>
      <c r="O98" s="36">
        <f>'дод 2'!P124</f>
        <v>1511800</v>
      </c>
      <c r="P98" s="36">
        <f>'дод 2'!Q124</f>
        <v>1239180</v>
      </c>
      <c r="Q98" s="36">
        <f>'дод 2'!R124</f>
        <v>0</v>
      </c>
      <c r="R98" s="36">
        <f>'дод 2'!S124</f>
        <v>0</v>
      </c>
      <c r="S98" s="36">
        <f>'дод 2'!T124</f>
        <v>1511800</v>
      </c>
      <c r="T98" s="36">
        <f>'дод 2'!U124</f>
        <v>0</v>
      </c>
      <c r="U98" s="36">
        <f>'дод 2'!V124</f>
        <v>1511800</v>
      </c>
      <c r="V98" s="36">
        <f>'дод 2'!W124</f>
        <v>1239180</v>
      </c>
      <c r="W98" s="36">
        <f>'дод 2'!X124</f>
        <v>0</v>
      </c>
      <c r="X98" s="36">
        <f>'дод 2'!Y124</f>
        <v>0</v>
      </c>
      <c r="Y98" s="192">
        <f t="shared" si="41"/>
        <v>100</v>
      </c>
      <c r="Z98" s="36">
        <f>'дод 2'!AA124</f>
        <v>1511800</v>
      </c>
      <c r="AA98" s="36">
        <f>'дод 2'!AB124</f>
        <v>1511800</v>
      </c>
      <c r="AB98" s="239">
        <v>54</v>
      </c>
      <c r="AC98" s="244"/>
    </row>
    <row r="99" spans="1:29" s="62" customFormat="1" ht="47.25" x14ac:dyDescent="0.25">
      <c r="A99" s="20"/>
      <c r="B99" s="20"/>
      <c r="C99" s="24" t="s">
        <v>557</v>
      </c>
      <c r="D99" s="41">
        <f>'дод 2'!E125</f>
        <v>0</v>
      </c>
      <c r="E99" s="41">
        <f>'дод 2'!F125</f>
        <v>0</v>
      </c>
      <c r="F99" s="41">
        <f>'дод 2'!G125</f>
        <v>0</v>
      </c>
      <c r="G99" s="41">
        <f>'дод 2'!H125</f>
        <v>0</v>
      </c>
      <c r="H99" s="41">
        <f>'дод 2'!I125</f>
        <v>0</v>
      </c>
      <c r="I99" s="41">
        <f>'дод 2'!J125</f>
        <v>0</v>
      </c>
      <c r="J99" s="41">
        <f>'дод 2'!K125</f>
        <v>0</v>
      </c>
      <c r="K99" s="41">
        <f>'дод 2'!L125</f>
        <v>0</v>
      </c>
      <c r="L99" s="194" t="e">
        <f t="shared" si="40"/>
        <v>#DIV/0!</v>
      </c>
      <c r="M99" s="41">
        <f>'дод 2'!N125</f>
        <v>1511800</v>
      </c>
      <c r="N99" s="41">
        <f>'дод 2'!O125</f>
        <v>0</v>
      </c>
      <c r="O99" s="41">
        <f>'дод 2'!P125</f>
        <v>1511800</v>
      </c>
      <c r="P99" s="41">
        <f>'дод 2'!Q125</f>
        <v>1239180</v>
      </c>
      <c r="Q99" s="41">
        <f>'дод 2'!R125</f>
        <v>0</v>
      </c>
      <c r="R99" s="41">
        <f>'дод 2'!S125</f>
        <v>0</v>
      </c>
      <c r="S99" s="41">
        <f>'дод 2'!T125</f>
        <v>1511800</v>
      </c>
      <c r="T99" s="41">
        <f>'дод 2'!U125</f>
        <v>0</v>
      </c>
      <c r="U99" s="41">
        <f>'дод 2'!V125</f>
        <v>1511800</v>
      </c>
      <c r="V99" s="41">
        <f>'дод 2'!W125</f>
        <v>1239180</v>
      </c>
      <c r="W99" s="41">
        <f>'дод 2'!X125</f>
        <v>0</v>
      </c>
      <c r="X99" s="41">
        <f>'дод 2'!Y125</f>
        <v>0</v>
      </c>
      <c r="Y99" s="194">
        <f t="shared" si="41"/>
        <v>100</v>
      </c>
      <c r="Z99" s="41">
        <f>'дод 2'!AA125</f>
        <v>1511800</v>
      </c>
      <c r="AA99" s="41">
        <f>'дод 2'!AB125</f>
        <v>1511800</v>
      </c>
      <c r="AB99" s="239"/>
      <c r="AC99" s="244"/>
    </row>
    <row r="100" spans="1:29" ht="47.25" x14ac:dyDescent="0.25">
      <c r="A100" s="12" t="s">
        <v>426</v>
      </c>
      <c r="B100" s="12" t="s">
        <v>47</v>
      </c>
      <c r="C100" s="16" t="s">
        <v>427</v>
      </c>
      <c r="D100" s="36">
        <f>'дод 2'!E126</f>
        <v>93946200</v>
      </c>
      <c r="E100" s="36">
        <f>'дод 2'!F126</f>
        <v>93946200</v>
      </c>
      <c r="F100" s="36">
        <f>'дод 2'!G126</f>
        <v>77069710</v>
      </c>
      <c r="G100" s="36">
        <f>'дод 2'!H126</f>
        <v>0</v>
      </c>
      <c r="H100" s="36">
        <f>'дод 2'!I126</f>
        <v>0</v>
      </c>
      <c r="I100" s="36">
        <f>'дод 2'!J126</f>
        <v>85461031.459999993</v>
      </c>
      <c r="J100" s="36">
        <f>'дод 2'!K126</f>
        <v>70340992.209999993</v>
      </c>
      <c r="K100" s="36">
        <f>'дод 2'!L126</f>
        <v>0</v>
      </c>
      <c r="L100" s="192">
        <f t="shared" si="40"/>
        <v>90.968055610551573</v>
      </c>
      <c r="M100" s="36">
        <f>'дод 2'!N126</f>
        <v>0</v>
      </c>
      <c r="N100" s="36">
        <f>'дод 2'!O126</f>
        <v>0</v>
      </c>
      <c r="O100" s="36">
        <f>'дод 2'!P126</f>
        <v>0</v>
      </c>
      <c r="P100" s="36">
        <f>'дод 2'!Q126</f>
        <v>0</v>
      </c>
      <c r="Q100" s="36">
        <f>'дод 2'!R126</f>
        <v>0</v>
      </c>
      <c r="R100" s="36">
        <f>'дод 2'!S126</f>
        <v>0</v>
      </c>
      <c r="S100" s="36">
        <f>'дод 2'!T126</f>
        <v>0</v>
      </c>
      <c r="T100" s="36">
        <f>'дод 2'!U126</f>
        <v>0</v>
      </c>
      <c r="U100" s="36">
        <f>'дод 2'!V126</f>
        <v>0</v>
      </c>
      <c r="V100" s="36">
        <f>'дод 2'!W126</f>
        <v>0</v>
      </c>
      <c r="W100" s="36">
        <f>'дод 2'!X126</f>
        <v>0</v>
      </c>
      <c r="X100" s="36">
        <f>'дод 2'!Y126</f>
        <v>0</v>
      </c>
      <c r="Y100" s="192" t="e">
        <f t="shared" si="41"/>
        <v>#DIV/0!</v>
      </c>
      <c r="Z100" s="36">
        <f>'дод 2'!AA126</f>
        <v>85461031.459999993</v>
      </c>
      <c r="AA100" s="36">
        <f>'дод 2'!AB126</f>
        <v>93946200</v>
      </c>
      <c r="AB100" s="239"/>
      <c r="AC100" s="244"/>
    </row>
    <row r="101" spans="1:29" s="62" customFormat="1" ht="47.65" customHeight="1" x14ac:dyDescent="0.25">
      <c r="A101" s="20"/>
      <c r="B101" s="20"/>
      <c r="C101" s="22" t="s">
        <v>428</v>
      </c>
      <c r="D101" s="41">
        <f>'дод 2'!E127</f>
        <v>93946200</v>
      </c>
      <c r="E101" s="41">
        <f>'дод 2'!F127</f>
        <v>93946200</v>
      </c>
      <c r="F101" s="41">
        <f>'дод 2'!G127</f>
        <v>77069710</v>
      </c>
      <c r="G101" s="41">
        <f>'дод 2'!H127</f>
        <v>0</v>
      </c>
      <c r="H101" s="41">
        <f>'дод 2'!I127</f>
        <v>0</v>
      </c>
      <c r="I101" s="41">
        <f>'дод 2'!J127</f>
        <v>85461031.459999993</v>
      </c>
      <c r="J101" s="41">
        <f>'дод 2'!K127</f>
        <v>70340992.209999993</v>
      </c>
      <c r="K101" s="41">
        <f>'дод 2'!L127</f>
        <v>0</v>
      </c>
      <c r="L101" s="194">
        <f t="shared" si="40"/>
        <v>90.968055610551573</v>
      </c>
      <c r="M101" s="41">
        <f>'дод 2'!N127</f>
        <v>0</v>
      </c>
      <c r="N101" s="41">
        <f>'дод 2'!O127</f>
        <v>0</v>
      </c>
      <c r="O101" s="41">
        <f>'дод 2'!P127</f>
        <v>0</v>
      </c>
      <c r="P101" s="41">
        <f>'дод 2'!Q127</f>
        <v>0</v>
      </c>
      <c r="Q101" s="41">
        <f>'дод 2'!R127</f>
        <v>0</v>
      </c>
      <c r="R101" s="41">
        <f>'дод 2'!S127</f>
        <v>0</v>
      </c>
      <c r="S101" s="41">
        <f>'дод 2'!T127</f>
        <v>0</v>
      </c>
      <c r="T101" s="41">
        <f>'дод 2'!U127</f>
        <v>0</v>
      </c>
      <c r="U101" s="41">
        <f>'дод 2'!V127</f>
        <v>0</v>
      </c>
      <c r="V101" s="41">
        <f>'дод 2'!W127</f>
        <v>0</v>
      </c>
      <c r="W101" s="41">
        <f>'дод 2'!X127</f>
        <v>0</v>
      </c>
      <c r="X101" s="41">
        <f>'дод 2'!Y127</f>
        <v>0</v>
      </c>
      <c r="Y101" s="194" t="e">
        <f t="shared" si="41"/>
        <v>#DIV/0!</v>
      </c>
      <c r="Z101" s="41">
        <f>'дод 2'!AA127</f>
        <v>85461031.459999993</v>
      </c>
      <c r="AA101" s="41">
        <f>'дод 2'!AB127</f>
        <v>93946200</v>
      </c>
      <c r="AB101" s="239"/>
      <c r="AC101" s="244"/>
    </row>
    <row r="102" spans="1:29" ht="66.400000000000006" customHeight="1" x14ac:dyDescent="0.25">
      <c r="A102" s="12" t="s">
        <v>437</v>
      </c>
      <c r="B102" s="12" t="s">
        <v>47</v>
      </c>
      <c r="C102" s="16" t="s">
        <v>552</v>
      </c>
      <c r="D102" s="36">
        <f>'дод 2'!E128</f>
        <v>0</v>
      </c>
      <c r="E102" s="36">
        <f>'дод 2'!F128</f>
        <v>0</v>
      </c>
      <c r="F102" s="36">
        <f>'дод 2'!G128</f>
        <v>0</v>
      </c>
      <c r="G102" s="36">
        <f>'дод 2'!H128</f>
        <v>0</v>
      </c>
      <c r="H102" s="36">
        <f>'дод 2'!I128</f>
        <v>0</v>
      </c>
      <c r="I102" s="36">
        <f>'дод 2'!J128</f>
        <v>0</v>
      </c>
      <c r="J102" s="36">
        <f>'дод 2'!K128</f>
        <v>0</v>
      </c>
      <c r="K102" s="36">
        <f>'дод 2'!L128</f>
        <v>0</v>
      </c>
      <c r="L102" s="192" t="e">
        <f t="shared" si="40"/>
        <v>#DIV/0!</v>
      </c>
      <c r="M102" s="36">
        <f>'дод 2'!N128</f>
        <v>10792700</v>
      </c>
      <c r="N102" s="36">
        <f>'дод 2'!O128</f>
        <v>0</v>
      </c>
      <c r="O102" s="36">
        <f>'дод 2'!P128</f>
        <v>10792700</v>
      </c>
      <c r="P102" s="36">
        <f>'дод 2'!Q128</f>
        <v>0</v>
      </c>
      <c r="Q102" s="36">
        <f>'дод 2'!R128</f>
        <v>0</v>
      </c>
      <c r="R102" s="36">
        <f>'дод 2'!S128</f>
        <v>0</v>
      </c>
      <c r="S102" s="36">
        <f>'дод 2'!T128</f>
        <v>5754810.4000000004</v>
      </c>
      <c r="T102" s="36">
        <f>'дод 2'!U128</f>
        <v>0</v>
      </c>
      <c r="U102" s="36">
        <f>'дод 2'!V128</f>
        <v>5754810.4000000004</v>
      </c>
      <c r="V102" s="36">
        <f>'дод 2'!W128</f>
        <v>0</v>
      </c>
      <c r="W102" s="36">
        <f>'дод 2'!X128</f>
        <v>0</v>
      </c>
      <c r="X102" s="36">
        <f>'дод 2'!Y128</f>
        <v>0</v>
      </c>
      <c r="Y102" s="192">
        <f t="shared" si="41"/>
        <v>53.321322745930125</v>
      </c>
      <c r="Z102" s="36">
        <f>'дод 2'!AA128</f>
        <v>5754810.4000000004</v>
      </c>
      <c r="AA102" s="36">
        <f>'дод 2'!AB128</f>
        <v>10792700</v>
      </c>
      <c r="AB102" s="239"/>
      <c r="AC102" s="244"/>
    </row>
    <row r="103" spans="1:29" s="62" customFormat="1" ht="63" x14ac:dyDescent="0.25">
      <c r="A103" s="20"/>
      <c r="B103" s="20"/>
      <c r="C103" s="22" t="s">
        <v>440</v>
      </c>
      <c r="D103" s="41">
        <f>'дод 2'!E129</f>
        <v>0</v>
      </c>
      <c r="E103" s="41">
        <f>'дод 2'!F129</f>
        <v>0</v>
      </c>
      <c r="F103" s="41">
        <f>'дод 2'!G129</f>
        <v>0</v>
      </c>
      <c r="G103" s="41">
        <f>'дод 2'!H129</f>
        <v>0</v>
      </c>
      <c r="H103" s="41">
        <f>'дод 2'!I129</f>
        <v>0</v>
      </c>
      <c r="I103" s="41">
        <f>'дод 2'!J129</f>
        <v>0</v>
      </c>
      <c r="J103" s="41">
        <f>'дод 2'!K129</f>
        <v>0</v>
      </c>
      <c r="K103" s="41">
        <f>'дод 2'!L129</f>
        <v>0</v>
      </c>
      <c r="L103" s="194" t="e">
        <f t="shared" si="40"/>
        <v>#DIV/0!</v>
      </c>
      <c r="M103" s="41">
        <f>'дод 2'!N129</f>
        <v>2892900</v>
      </c>
      <c r="N103" s="41">
        <f>'дод 2'!O129</f>
        <v>0</v>
      </c>
      <c r="O103" s="41">
        <f>'дод 2'!P129</f>
        <v>2892900</v>
      </c>
      <c r="P103" s="41">
        <f>'дод 2'!Q129</f>
        <v>0</v>
      </c>
      <c r="Q103" s="41">
        <f>'дод 2'!R129</f>
        <v>0</v>
      </c>
      <c r="R103" s="41">
        <f>'дод 2'!S129</f>
        <v>0</v>
      </c>
      <c r="S103" s="41">
        <f>'дод 2'!T129</f>
        <v>2892900</v>
      </c>
      <c r="T103" s="41">
        <f>'дод 2'!U129</f>
        <v>0</v>
      </c>
      <c r="U103" s="41">
        <f>'дод 2'!V129</f>
        <v>2892900</v>
      </c>
      <c r="V103" s="41">
        <f>'дод 2'!W129</f>
        <v>0</v>
      </c>
      <c r="W103" s="41">
        <f>'дод 2'!X129</f>
        <v>0</v>
      </c>
      <c r="X103" s="41">
        <f>'дод 2'!Y129</f>
        <v>0</v>
      </c>
      <c r="Y103" s="194">
        <f t="shared" si="41"/>
        <v>100</v>
      </c>
      <c r="Z103" s="41">
        <f>'дод 2'!AA129</f>
        <v>2892900</v>
      </c>
      <c r="AA103" s="41">
        <f>'дод 2'!AB129</f>
        <v>2892900</v>
      </c>
      <c r="AB103" s="239"/>
      <c r="AC103" s="244"/>
    </row>
    <row r="104" spans="1:29" s="62" customFormat="1" ht="63" x14ac:dyDescent="0.25">
      <c r="A104" s="20"/>
      <c r="B104" s="20"/>
      <c r="C104" s="22" t="s">
        <v>560</v>
      </c>
      <c r="D104" s="41">
        <f>'дод 2'!E130</f>
        <v>0</v>
      </c>
      <c r="E104" s="41">
        <f>'дод 2'!F130</f>
        <v>0</v>
      </c>
      <c r="F104" s="41">
        <f>'дод 2'!G130</f>
        <v>0</v>
      </c>
      <c r="G104" s="41">
        <f>'дод 2'!H130</f>
        <v>0</v>
      </c>
      <c r="H104" s="41">
        <f>'дод 2'!I130</f>
        <v>0</v>
      </c>
      <c r="I104" s="41">
        <f>'дод 2'!J130</f>
        <v>0</v>
      </c>
      <c r="J104" s="41">
        <f>'дод 2'!K130</f>
        <v>0</v>
      </c>
      <c r="K104" s="41">
        <f>'дод 2'!L130</f>
        <v>0</v>
      </c>
      <c r="L104" s="194" t="e">
        <f t="shared" si="40"/>
        <v>#DIV/0!</v>
      </c>
      <c r="M104" s="41">
        <f>'дод 2'!N130</f>
        <v>7899800</v>
      </c>
      <c r="N104" s="41">
        <f>'дод 2'!O130</f>
        <v>0</v>
      </c>
      <c r="O104" s="41">
        <f>'дод 2'!P130</f>
        <v>7899800</v>
      </c>
      <c r="P104" s="41">
        <f>'дод 2'!Q130</f>
        <v>0</v>
      </c>
      <c r="Q104" s="41">
        <f>'дод 2'!R130</f>
        <v>0</v>
      </c>
      <c r="R104" s="41">
        <f>'дод 2'!S130</f>
        <v>0</v>
      </c>
      <c r="S104" s="41">
        <f>'дод 2'!T130</f>
        <v>2861910.4</v>
      </c>
      <c r="T104" s="41">
        <f>'дод 2'!U130</f>
        <v>0</v>
      </c>
      <c r="U104" s="41">
        <f>'дод 2'!V130</f>
        <v>2861910.4</v>
      </c>
      <c r="V104" s="41">
        <f>'дод 2'!W130</f>
        <v>0</v>
      </c>
      <c r="W104" s="41">
        <f>'дод 2'!X130</f>
        <v>0</v>
      </c>
      <c r="X104" s="41">
        <f>'дод 2'!Y130</f>
        <v>0</v>
      </c>
      <c r="Y104" s="194">
        <f t="shared" si="41"/>
        <v>36.22763107926783</v>
      </c>
      <c r="Z104" s="41">
        <f>'дод 2'!AA130</f>
        <v>2861910.4</v>
      </c>
      <c r="AA104" s="41">
        <f>'дод 2'!AB130</f>
        <v>7899800</v>
      </c>
      <c r="AB104" s="239"/>
      <c r="AC104" s="244"/>
    </row>
    <row r="105" spans="1:29" ht="47.25" x14ac:dyDescent="0.25">
      <c r="A105" s="12" t="s">
        <v>562</v>
      </c>
      <c r="B105" s="12" t="s">
        <v>47</v>
      </c>
      <c r="C105" s="16" t="s">
        <v>563</v>
      </c>
      <c r="D105" s="36">
        <f>'дод 2'!E131</f>
        <v>12808000</v>
      </c>
      <c r="E105" s="36">
        <f>'дод 2'!F131</f>
        <v>12808000</v>
      </c>
      <c r="F105" s="36">
        <f>'дод 2'!G131</f>
        <v>0</v>
      </c>
      <c r="G105" s="36">
        <f>'дод 2'!H131</f>
        <v>0</v>
      </c>
      <c r="H105" s="36">
        <f>'дод 2'!I131</f>
        <v>0</v>
      </c>
      <c r="I105" s="36">
        <f>'дод 2'!J131</f>
        <v>2161021.58</v>
      </c>
      <c r="J105" s="36">
        <f>'дод 2'!K131</f>
        <v>0</v>
      </c>
      <c r="K105" s="36">
        <f>'дод 2'!L131</f>
        <v>0</v>
      </c>
      <c r="L105" s="192">
        <f t="shared" si="40"/>
        <v>16.872435821361652</v>
      </c>
      <c r="M105" s="36">
        <f>'дод 2'!N131</f>
        <v>0</v>
      </c>
      <c r="N105" s="36">
        <f>'дод 2'!O131</f>
        <v>0</v>
      </c>
      <c r="O105" s="36">
        <f>'дод 2'!P131</f>
        <v>0</v>
      </c>
      <c r="P105" s="36">
        <f>'дод 2'!Q131</f>
        <v>0</v>
      </c>
      <c r="Q105" s="36">
        <f>'дод 2'!R131</f>
        <v>0</v>
      </c>
      <c r="R105" s="36">
        <f>'дод 2'!S131</f>
        <v>0</v>
      </c>
      <c r="S105" s="36">
        <f>'дод 2'!T131</f>
        <v>0</v>
      </c>
      <c r="T105" s="36">
        <f>'дод 2'!U131</f>
        <v>0</v>
      </c>
      <c r="U105" s="36">
        <f>'дод 2'!V131</f>
        <v>0</v>
      </c>
      <c r="V105" s="36">
        <f>'дод 2'!W131</f>
        <v>0</v>
      </c>
      <c r="W105" s="36">
        <f>'дод 2'!X131</f>
        <v>0</v>
      </c>
      <c r="X105" s="36">
        <f>'дод 2'!Y131</f>
        <v>0</v>
      </c>
      <c r="Y105" s="192" t="e">
        <f t="shared" si="41"/>
        <v>#DIV/0!</v>
      </c>
      <c r="Z105" s="36">
        <f>'дод 2'!AA131</f>
        <v>2161021.58</v>
      </c>
      <c r="AA105" s="36">
        <f>'дод 2'!AB131</f>
        <v>12808000</v>
      </c>
      <c r="AB105" s="239"/>
      <c r="AC105" s="244"/>
    </row>
    <row r="106" spans="1:29" s="62" customFormat="1" ht="47.65" customHeight="1" x14ac:dyDescent="0.25">
      <c r="A106" s="20"/>
      <c r="B106" s="20"/>
      <c r="C106" s="22" t="s">
        <v>564</v>
      </c>
      <c r="D106" s="41">
        <f>'дод 2'!E132</f>
        <v>12808000</v>
      </c>
      <c r="E106" s="41">
        <f>'дод 2'!F132</f>
        <v>12808000</v>
      </c>
      <c r="F106" s="41">
        <f>'дод 2'!G132</f>
        <v>0</v>
      </c>
      <c r="G106" s="41">
        <f>'дод 2'!H132</f>
        <v>0</v>
      </c>
      <c r="H106" s="41">
        <f>'дод 2'!I132</f>
        <v>0</v>
      </c>
      <c r="I106" s="41">
        <f>'дод 2'!J132</f>
        <v>2161021.58</v>
      </c>
      <c r="J106" s="41">
        <f>'дод 2'!K132</f>
        <v>0</v>
      </c>
      <c r="K106" s="41">
        <f>'дод 2'!L132</f>
        <v>0</v>
      </c>
      <c r="L106" s="194">
        <f t="shared" si="40"/>
        <v>16.872435821361652</v>
      </c>
      <c r="M106" s="41">
        <f>'дод 2'!N132</f>
        <v>0</v>
      </c>
      <c r="N106" s="41">
        <f>'дод 2'!O132</f>
        <v>0</v>
      </c>
      <c r="O106" s="41">
        <f>'дод 2'!P132</f>
        <v>0</v>
      </c>
      <c r="P106" s="41">
        <f>'дод 2'!Q132</f>
        <v>0</v>
      </c>
      <c r="Q106" s="41">
        <f>'дод 2'!R132</f>
        <v>0</v>
      </c>
      <c r="R106" s="41">
        <f>'дод 2'!S132</f>
        <v>0</v>
      </c>
      <c r="S106" s="41">
        <f>'дод 2'!T132</f>
        <v>0</v>
      </c>
      <c r="T106" s="41">
        <f>'дод 2'!U132</f>
        <v>0</v>
      </c>
      <c r="U106" s="41">
        <f>'дод 2'!V132</f>
        <v>0</v>
      </c>
      <c r="V106" s="41">
        <f>'дод 2'!W132</f>
        <v>0</v>
      </c>
      <c r="W106" s="41">
        <f>'дод 2'!X132</f>
        <v>0</v>
      </c>
      <c r="X106" s="41">
        <f>'дод 2'!Y132</f>
        <v>0</v>
      </c>
      <c r="Y106" s="194" t="e">
        <f t="shared" si="41"/>
        <v>#DIV/0!</v>
      </c>
      <c r="Z106" s="41">
        <f>'дод 2'!AA132</f>
        <v>2161021.58</v>
      </c>
      <c r="AA106" s="41">
        <f>'дод 2'!AB132</f>
        <v>12808000</v>
      </c>
      <c r="AB106" s="239"/>
      <c r="AC106" s="244"/>
    </row>
    <row r="107" spans="1:29" s="61" customFormat="1" ht="24.75" customHeight="1" x14ac:dyDescent="0.25">
      <c r="A107" s="37" t="s">
        <v>48</v>
      </c>
      <c r="B107" s="17"/>
      <c r="C107" s="32" t="s">
        <v>367</v>
      </c>
      <c r="D107" s="33">
        <f>D108+D109+D110+D111+D112+D113+D114+D115</f>
        <v>143534394</v>
      </c>
      <c r="E107" s="33">
        <f t="shared" ref="E107:Z107" si="42">E108+E109+E110+E111+E112+E113+E114+E115</f>
        <v>143534394</v>
      </c>
      <c r="F107" s="33">
        <f t="shared" si="42"/>
        <v>3335100</v>
      </c>
      <c r="G107" s="33">
        <f t="shared" si="42"/>
        <v>170000</v>
      </c>
      <c r="H107" s="33">
        <f t="shared" si="42"/>
        <v>0</v>
      </c>
      <c r="I107" s="33">
        <f t="shared" si="42"/>
        <v>136966644.84</v>
      </c>
      <c r="J107" s="33">
        <f t="shared" si="42"/>
        <v>3155013.68</v>
      </c>
      <c r="K107" s="33">
        <f t="shared" si="42"/>
        <v>127517.08</v>
      </c>
      <c r="L107" s="191">
        <f t="shared" si="40"/>
        <v>95.42426802596178</v>
      </c>
      <c r="M107" s="33">
        <f t="shared" si="42"/>
        <v>20282991</v>
      </c>
      <c r="N107" s="33">
        <f t="shared" si="42"/>
        <v>20282991</v>
      </c>
      <c r="O107" s="33">
        <f t="shared" si="42"/>
        <v>0</v>
      </c>
      <c r="P107" s="33">
        <f t="shared" si="42"/>
        <v>0</v>
      </c>
      <c r="Q107" s="33">
        <f t="shared" si="42"/>
        <v>0</v>
      </c>
      <c r="R107" s="33">
        <f t="shared" si="42"/>
        <v>20282991</v>
      </c>
      <c r="S107" s="33">
        <f t="shared" si="42"/>
        <v>19021652.16</v>
      </c>
      <c r="T107" s="33">
        <f t="shared" si="42"/>
        <v>15181271.119999999</v>
      </c>
      <c r="U107" s="33">
        <f t="shared" si="42"/>
        <v>3158040.6</v>
      </c>
      <c r="V107" s="33">
        <f t="shared" si="42"/>
        <v>0</v>
      </c>
      <c r="W107" s="33">
        <f t="shared" si="42"/>
        <v>0</v>
      </c>
      <c r="X107" s="33">
        <f t="shared" si="42"/>
        <v>15863611.559999999</v>
      </c>
      <c r="Y107" s="191">
        <f t="shared" si="41"/>
        <v>93.781297639978249</v>
      </c>
      <c r="Z107" s="33">
        <f t="shared" si="42"/>
        <v>155988297</v>
      </c>
      <c r="AA107" s="33">
        <f t="shared" ref="AA107" si="43">AA108+AA109+AA110+AA111+AA112+AA113+AA114+AA115</f>
        <v>163817385</v>
      </c>
      <c r="AB107" s="239"/>
      <c r="AC107" s="244"/>
    </row>
    <row r="108" spans="1:29" ht="25.5" customHeight="1" x14ac:dyDescent="0.25">
      <c r="A108" s="34" t="s">
        <v>49</v>
      </c>
      <c r="B108" s="34" t="s">
        <v>50</v>
      </c>
      <c r="C108" s="35" t="s">
        <v>321</v>
      </c>
      <c r="D108" s="36">
        <f>'дод 2'!E144+'дод 2'!E279</f>
        <v>87711198</v>
      </c>
      <c r="E108" s="36">
        <f>'дод 2'!F144+'дод 2'!F279</f>
        <v>87711198</v>
      </c>
      <c r="F108" s="36">
        <f>'дод 2'!G144+'дод 2'!G279</f>
        <v>0</v>
      </c>
      <c r="G108" s="36">
        <f>'дод 2'!H144+'дод 2'!H279</f>
        <v>0</v>
      </c>
      <c r="H108" s="36">
        <f>'дод 2'!I144+'дод 2'!I279</f>
        <v>0</v>
      </c>
      <c r="I108" s="36">
        <f>'дод 2'!J144+'дод 2'!J279</f>
        <v>84244881.900000006</v>
      </c>
      <c r="J108" s="36">
        <f>'дод 2'!K144+'дод 2'!K279</f>
        <v>0</v>
      </c>
      <c r="K108" s="36">
        <f>'дод 2'!L144+'дод 2'!L279</f>
        <v>0</v>
      </c>
      <c r="L108" s="192">
        <f t="shared" si="40"/>
        <v>96.048034710459675</v>
      </c>
      <c r="M108" s="36">
        <f>'дод 2'!N144+'дод 2'!N279</f>
        <v>15026915</v>
      </c>
      <c r="N108" s="36">
        <f>'дод 2'!O144+'дод 2'!O279</f>
        <v>15026915</v>
      </c>
      <c r="O108" s="36">
        <f>'дод 2'!P144+'дод 2'!P279</f>
        <v>0</v>
      </c>
      <c r="P108" s="36">
        <f>'дод 2'!Q144+'дод 2'!Q279</f>
        <v>0</v>
      </c>
      <c r="Q108" s="36">
        <f>'дод 2'!R144+'дод 2'!R279</f>
        <v>0</v>
      </c>
      <c r="R108" s="36">
        <f>'дод 2'!S144+'дод 2'!S279</f>
        <v>15026915</v>
      </c>
      <c r="S108" s="36">
        <f>'дод 2'!T144+'дод 2'!T279</f>
        <v>11643106.529999999</v>
      </c>
      <c r="T108" s="36">
        <f>'дод 2'!U144+'дод 2'!U279</f>
        <v>11643106.529999999</v>
      </c>
      <c r="U108" s="36">
        <f>'дод 2'!V144+'дод 2'!V279</f>
        <v>0</v>
      </c>
      <c r="V108" s="36">
        <f>'дод 2'!W144+'дод 2'!W279</f>
        <v>0</v>
      </c>
      <c r="W108" s="36">
        <f>'дод 2'!X144+'дод 2'!X279</f>
        <v>0</v>
      </c>
      <c r="X108" s="36">
        <f>'дод 2'!Y144+'дод 2'!Y279</f>
        <v>11643106.529999999</v>
      </c>
      <c r="Y108" s="192">
        <f t="shared" si="41"/>
        <v>77.481682234843277</v>
      </c>
      <c r="Z108" s="36">
        <f>'дод 2'!AA144+'дод 2'!AA279</f>
        <v>95887988.430000007</v>
      </c>
      <c r="AA108" s="36">
        <f>'дод 2'!AB144+'дод 2'!AB279</f>
        <v>102738113</v>
      </c>
      <c r="AB108" s="239"/>
      <c r="AC108" s="244"/>
    </row>
    <row r="109" spans="1:29" ht="36.75" customHeight="1" x14ac:dyDescent="0.25">
      <c r="A109" s="34" t="s">
        <v>99</v>
      </c>
      <c r="B109" s="34" t="s">
        <v>51</v>
      </c>
      <c r="C109" s="35" t="s">
        <v>291</v>
      </c>
      <c r="D109" s="36">
        <f>'дод 2'!E145</f>
        <v>5941862</v>
      </c>
      <c r="E109" s="36">
        <f>'дод 2'!F145</f>
        <v>5941862</v>
      </c>
      <c r="F109" s="36">
        <f>'дод 2'!G145</f>
        <v>0</v>
      </c>
      <c r="G109" s="36">
        <f>'дод 2'!H145</f>
        <v>0</v>
      </c>
      <c r="H109" s="36">
        <f>'дод 2'!I145</f>
        <v>0</v>
      </c>
      <c r="I109" s="36">
        <f>'дод 2'!J145</f>
        <v>5196525.37</v>
      </c>
      <c r="J109" s="36">
        <f>'дод 2'!K145</f>
        <v>0</v>
      </c>
      <c r="K109" s="36">
        <f>'дод 2'!L145</f>
        <v>0</v>
      </c>
      <c r="L109" s="192">
        <f t="shared" si="40"/>
        <v>87.456177373355359</v>
      </c>
      <c r="M109" s="36">
        <f>'дод 2'!N145</f>
        <v>0</v>
      </c>
      <c r="N109" s="36">
        <f>'дод 2'!O145</f>
        <v>0</v>
      </c>
      <c r="O109" s="36">
        <f>'дод 2'!P145</f>
        <v>0</v>
      </c>
      <c r="P109" s="36">
        <f>'дод 2'!Q145</f>
        <v>0</v>
      </c>
      <c r="Q109" s="36">
        <f>'дод 2'!R145</f>
        <v>0</v>
      </c>
      <c r="R109" s="36">
        <f>'дод 2'!S145</f>
        <v>0</v>
      </c>
      <c r="S109" s="36">
        <f>'дод 2'!T145</f>
        <v>0</v>
      </c>
      <c r="T109" s="36">
        <f>'дод 2'!U145</f>
        <v>0</v>
      </c>
      <c r="U109" s="36">
        <f>'дод 2'!V145</f>
        <v>0</v>
      </c>
      <c r="V109" s="36">
        <f>'дод 2'!W145</f>
        <v>0</v>
      </c>
      <c r="W109" s="36">
        <f>'дод 2'!X145</f>
        <v>0</v>
      </c>
      <c r="X109" s="36">
        <f>'дод 2'!Y145</f>
        <v>0</v>
      </c>
      <c r="Y109" s="192" t="e">
        <f t="shared" si="41"/>
        <v>#DIV/0!</v>
      </c>
      <c r="Z109" s="36">
        <f>'дод 2'!AA145</f>
        <v>5196525.37</v>
      </c>
      <c r="AA109" s="36">
        <f>'дод 2'!AB145</f>
        <v>5941862</v>
      </c>
      <c r="AB109" s="239"/>
      <c r="AC109" s="244"/>
    </row>
    <row r="110" spans="1:29" ht="19.5" customHeight="1" x14ac:dyDescent="0.25">
      <c r="A110" s="34" t="s">
        <v>100</v>
      </c>
      <c r="B110" s="34" t="s">
        <v>52</v>
      </c>
      <c r="C110" s="35" t="s">
        <v>292</v>
      </c>
      <c r="D110" s="36">
        <f>'дод 2'!E146</f>
        <v>3090800</v>
      </c>
      <c r="E110" s="36">
        <f>'дод 2'!F146</f>
        <v>3090800</v>
      </c>
      <c r="F110" s="36">
        <f>'дод 2'!G146</f>
        <v>0</v>
      </c>
      <c r="G110" s="36">
        <f>'дод 2'!H146</f>
        <v>0</v>
      </c>
      <c r="H110" s="36">
        <f>'дод 2'!I146</f>
        <v>0</v>
      </c>
      <c r="I110" s="36">
        <f>'дод 2'!J146</f>
        <v>3090799.49</v>
      </c>
      <c r="J110" s="36">
        <f>'дод 2'!K146</f>
        <v>0</v>
      </c>
      <c r="K110" s="36">
        <f>'дод 2'!L146</f>
        <v>0</v>
      </c>
      <c r="L110" s="192">
        <f t="shared" si="40"/>
        <v>99.999983499417638</v>
      </c>
      <c r="M110" s="36">
        <f>'дод 2'!N146</f>
        <v>0</v>
      </c>
      <c r="N110" s="36">
        <f>'дод 2'!O146</f>
        <v>0</v>
      </c>
      <c r="O110" s="36">
        <f>'дод 2'!P146</f>
        <v>0</v>
      </c>
      <c r="P110" s="36">
        <f>'дод 2'!Q146</f>
        <v>0</v>
      </c>
      <c r="Q110" s="36">
        <f>'дод 2'!R146</f>
        <v>0</v>
      </c>
      <c r="R110" s="36">
        <f>'дод 2'!S146</f>
        <v>0</v>
      </c>
      <c r="S110" s="36">
        <f>'дод 2'!T146</f>
        <v>0</v>
      </c>
      <c r="T110" s="36">
        <f>'дод 2'!U146</f>
        <v>0</v>
      </c>
      <c r="U110" s="36">
        <f>'дод 2'!V146</f>
        <v>0</v>
      </c>
      <c r="V110" s="36">
        <f>'дод 2'!W146</f>
        <v>0</v>
      </c>
      <c r="W110" s="36">
        <f>'дод 2'!X146</f>
        <v>0</v>
      </c>
      <c r="X110" s="36">
        <f>'дод 2'!Y146</f>
        <v>0</v>
      </c>
      <c r="Y110" s="192" t="e">
        <f t="shared" si="41"/>
        <v>#DIV/0!</v>
      </c>
      <c r="Z110" s="36">
        <f>'дод 2'!AA146</f>
        <v>3090799.49</v>
      </c>
      <c r="AA110" s="36">
        <f>'дод 2'!AB146</f>
        <v>3090800</v>
      </c>
      <c r="AB110" s="239"/>
      <c r="AC110" s="244"/>
    </row>
    <row r="111" spans="1:29" ht="38.25" customHeight="1" x14ac:dyDescent="0.25">
      <c r="A111" s="34" t="s">
        <v>101</v>
      </c>
      <c r="B111" s="34" t="s">
        <v>241</v>
      </c>
      <c r="C111" s="35" t="s">
        <v>293</v>
      </c>
      <c r="D111" s="36">
        <f>'дод 2'!E147</f>
        <v>6034800</v>
      </c>
      <c r="E111" s="36">
        <f>'дод 2'!F147</f>
        <v>6034800</v>
      </c>
      <c r="F111" s="36">
        <f>'дод 2'!G147</f>
        <v>0</v>
      </c>
      <c r="G111" s="36">
        <f>'дод 2'!H147</f>
        <v>0</v>
      </c>
      <c r="H111" s="36">
        <f>'дод 2'!I147</f>
        <v>0</v>
      </c>
      <c r="I111" s="36">
        <f>'дод 2'!J147</f>
        <v>5347922.8600000003</v>
      </c>
      <c r="J111" s="36">
        <f>'дод 2'!K147</f>
        <v>0</v>
      </c>
      <c r="K111" s="36">
        <f>'дод 2'!L147</f>
        <v>0</v>
      </c>
      <c r="L111" s="192">
        <f t="shared" si="40"/>
        <v>88.618062901836026</v>
      </c>
      <c r="M111" s="36">
        <f>'дод 2'!N147</f>
        <v>0</v>
      </c>
      <c r="N111" s="36">
        <f>'дод 2'!O147</f>
        <v>0</v>
      </c>
      <c r="O111" s="36">
        <f>'дод 2'!P147</f>
        <v>0</v>
      </c>
      <c r="P111" s="36">
        <f>'дод 2'!Q147</f>
        <v>0</v>
      </c>
      <c r="Q111" s="36">
        <f>'дод 2'!R147</f>
        <v>0</v>
      </c>
      <c r="R111" s="36">
        <f>'дод 2'!S147</f>
        <v>0</v>
      </c>
      <c r="S111" s="36">
        <f>'дод 2'!T147</f>
        <v>0</v>
      </c>
      <c r="T111" s="36">
        <f>'дод 2'!U147</f>
        <v>0</v>
      </c>
      <c r="U111" s="36">
        <f>'дод 2'!V147</f>
        <v>0</v>
      </c>
      <c r="V111" s="36">
        <f>'дод 2'!W147</f>
        <v>0</v>
      </c>
      <c r="W111" s="36">
        <f>'дод 2'!X147</f>
        <v>0</v>
      </c>
      <c r="X111" s="36">
        <f>'дод 2'!Y147</f>
        <v>0</v>
      </c>
      <c r="Y111" s="192" t="e">
        <f t="shared" si="41"/>
        <v>#DIV/0!</v>
      </c>
      <c r="Z111" s="36">
        <f>'дод 2'!AA147</f>
        <v>5347922.8600000003</v>
      </c>
      <c r="AA111" s="36">
        <f>'дод 2'!AB147</f>
        <v>6034800</v>
      </c>
      <c r="AB111" s="239"/>
      <c r="AC111" s="244"/>
    </row>
    <row r="112" spans="1:29" ht="31.5" x14ac:dyDescent="0.25">
      <c r="A112" s="34" t="s">
        <v>221</v>
      </c>
      <c r="B112" s="34" t="s">
        <v>53</v>
      </c>
      <c r="C112" s="25" t="s">
        <v>324</v>
      </c>
      <c r="D112" s="36">
        <f>'дод 2'!E148</f>
        <v>4456000</v>
      </c>
      <c r="E112" s="36">
        <f>'дод 2'!F148</f>
        <v>4456000</v>
      </c>
      <c r="F112" s="36">
        <f>'дод 2'!G148</f>
        <v>3335100</v>
      </c>
      <c r="G112" s="36">
        <f>'дод 2'!H148</f>
        <v>170000</v>
      </c>
      <c r="H112" s="36">
        <f>'дод 2'!I148</f>
        <v>0</v>
      </c>
      <c r="I112" s="36">
        <f>'дод 2'!J148</f>
        <v>4187733.07</v>
      </c>
      <c r="J112" s="36">
        <f>'дод 2'!K148</f>
        <v>3155013.68</v>
      </c>
      <c r="K112" s="36">
        <f>'дод 2'!L148</f>
        <v>127517.08</v>
      </c>
      <c r="L112" s="192">
        <f t="shared" si="40"/>
        <v>93.979646992818672</v>
      </c>
      <c r="M112" s="36">
        <f>'дод 2'!N148</f>
        <v>0</v>
      </c>
      <c r="N112" s="36">
        <f>'дод 2'!O148</f>
        <v>0</v>
      </c>
      <c r="O112" s="36">
        <f>'дод 2'!P148</f>
        <v>0</v>
      </c>
      <c r="P112" s="36">
        <f>'дод 2'!Q148</f>
        <v>0</v>
      </c>
      <c r="Q112" s="36">
        <f>'дод 2'!R148</f>
        <v>0</v>
      </c>
      <c r="R112" s="36">
        <f>'дод 2'!S148</f>
        <v>0</v>
      </c>
      <c r="S112" s="36">
        <f>'дод 2'!T148</f>
        <v>32945.9</v>
      </c>
      <c r="T112" s="36">
        <f>'дод 2'!U148</f>
        <v>0</v>
      </c>
      <c r="U112" s="36">
        <f>'дод 2'!V148</f>
        <v>125</v>
      </c>
      <c r="V112" s="36">
        <f>'дод 2'!W148</f>
        <v>0</v>
      </c>
      <c r="W112" s="36">
        <f>'дод 2'!X148</f>
        <v>0</v>
      </c>
      <c r="X112" s="36">
        <f>'дод 2'!Y148</f>
        <v>32820.9</v>
      </c>
      <c r="Y112" s="192" t="e">
        <f t="shared" si="41"/>
        <v>#DIV/0!</v>
      </c>
      <c r="Z112" s="36">
        <f>'дод 2'!AA148</f>
        <v>4220678.97</v>
      </c>
      <c r="AA112" s="36">
        <f>'дод 2'!AB148</f>
        <v>4456000</v>
      </c>
      <c r="AB112" s="239"/>
    </row>
    <row r="113" spans="1:28" ht="21.75" customHeight="1" x14ac:dyDescent="0.25">
      <c r="A113" s="34" t="s">
        <v>222</v>
      </c>
      <c r="B113" s="34" t="s">
        <v>53</v>
      </c>
      <c r="C113" s="25" t="s">
        <v>325</v>
      </c>
      <c r="D113" s="36">
        <f>'дод 2'!E149</f>
        <v>36149734</v>
      </c>
      <c r="E113" s="36">
        <f>'дод 2'!F149</f>
        <v>36149734</v>
      </c>
      <c r="F113" s="36">
        <f>'дод 2'!G149</f>
        <v>0</v>
      </c>
      <c r="G113" s="36">
        <f>'дод 2'!H149</f>
        <v>0</v>
      </c>
      <c r="H113" s="36">
        <f>'дод 2'!I149</f>
        <v>0</v>
      </c>
      <c r="I113" s="36">
        <f>'дод 2'!J149</f>
        <v>34830604.149999999</v>
      </c>
      <c r="J113" s="36">
        <f>'дод 2'!K149</f>
        <v>0</v>
      </c>
      <c r="K113" s="36">
        <f>'дод 2'!L149</f>
        <v>0</v>
      </c>
      <c r="L113" s="192">
        <f t="shared" si="40"/>
        <v>96.350927921074046</v>
      </c>
      <c r="M113" s="36">
        <f>'дод 2'!N149</f>
        <v>0</v>
      </c>
      <c r="N113" s="36">
        <f>'дод 2'!O149</f>
        <v>0</v>
      </c>
      <c r="O113" s="36">
        <f>'дод 2'!P149</f>
        <v>0</v>
      </c>
      <c r="P113" s="36">
        <f>'дод 2'!Q149</f>
        <v>0</v>
      </c>
      <c r="Q113" s="36">
        <f>'дод 2'!R149</f>
        <v>0</v>
      </c>
      <c r="R113" s="36">
        <f>'дод 2'!S149</f>
        <v>0</v>
      </c>
      <c r="S113" s="36">
        <f>'дод 2'!T149</f>
        <v>3807435.14</v>
      </c>
      <c r="T113" s="36">
        <f>'дод 2'!U149</f>
        <v>0</v>
      </c>
      <c r="U113" s="36">
        <f>'дод 2'!V149</f>
        <v>3157915.6</v>
      </c>
      <c r="V113" s="36">
        <f>'дод 2'!W149</f>
        <v>0</v>
      </c>
      <c r="W113" s="36">
        <f>'дод 2'!X149</f>
        <v>0</v>
      </c>
      <c r="X113" s="36">
        <f>'дод 2'!Y149</f>
        <v>649519.54</v>
      </c>
      <c r="Y113" s="192" t="e">
        <f t="shared" si="41"/>
        <v>#DIV/0!</v>
      </c>
      <c r="Z113" s="36">
        <f>'дод 2'!AA149</f>
        <v>38638039.289999999</v>
      </c>
      <c r="AA113" s="36">
        <f>'дод 2'!AB149</f>
        <v>36149734</v>
      </c>
      <c r="AB113" s="239"/>
    </row>
    <row r="114" spans="1:28" ht="21.75" customHeight="1" x14ac:dyDescent="0.25">
      <c r="A114" s="34">
        <v>2170</v>
      </c>
      <c r="B114" s="34" t="s">
        <v>53</v>
      </c>
      <c r="C114" s="25" t="s">
        <v>457</v>
      </c>
      <c r="D114" s="36">
        <f>'дод 2'!E280+'дод 2'!E150</f>
        <v>0</v>
      </c>
      <c r="E114" s="36">
        <f>'дод 2'!F280+'дод 2'!F150</f>
        <v>0</v>
      </c>
      <c r="F114" s="36">
        <f>'дод 2'!G280+'дод 2'!G150</f>
        <v>0</v>
      </c>
      <c r="G114" s="36">
        <f>'дод 2'!H280+'дод 2'!H150</f>
        <v>0</v>
      </c>
      <c r="H114" s="36">
        <f>'дод 2'!I280+'дод 2'!I150</f>
        <v>0</v>
      </c>
      <c r="I114" s="36">
        <f>'дод 2'!J280+'дод 2'!J150</f>
        <v>0</v>
      </c>
      <c r="J114" s="36">
        <f>'дод 2'!K280+'дод 2'!K150</f>
        <v>0</v>
      </c>
      <c r="K114" s="36">
        <f>'дод 2'!L280+'дод 2'!L150</f>
        <v>0</v>
      </c>
      <c r="L114" s="192" t="e">
        <f t="shared" si="40"/>
        <v>#DIV/0!</v>
      </c>
      <c r="M114" s="36">
        <f>'дод 2'!N280+'дод 2'!N150</f>
        <v>5256076</v>
      </c>
      <c r="N114" s="36">
        <f>'дод 2'!O280+'дод 2'!O150</f>
        <v>5256076</v>
      </c>
      <c r="O114" s="36">
        <f>'дод 2'!P280+'дод 2'!P150</f>
        <v>0</v>
      </c>
      <c r="P114" s="36">
        <f>'дод 2'!Q280+'дод 2'!Q150</f>
        <v>0</v>
      </c>
      <c r="Q114" s="36">
        <f>'дод 2'!R280+'дод 2'!R150</f>
        <v>0</v>
      </c>
      <c r="R114" s="36">
        <f>'дод 2'!S280+'дод 2'!S150</f>
        <v>5256076</v>
      </c>
      <c r="S114" s="36">
        <f>'дод 2'!T280+'дод 2'!T150</f>
        <v>3538164.59</v>
      </c>
      <c r="T114" s="36">
        <f>'дод 2'!U280+'дод 2'!U150</f>
        <v>3538164.59</v>
      </c>
      <c r="U114" s="36">
        <f>'дод 2'!V280+'дод 2'!V150</f>
        <v>0</v>
      </c>
      <c r="V114" s="36">
        <f>'дод 2'!W280+'дод 2'!W150</f>
        <v>0</v>
      </c>
      <c r="W114" s="36">
        <f>'дод 2'!X280+'дод 2'!X150</f>
        <v>0</v>
      </c>
      <c r="X114" s="36">
        <f>'дод 2'!Y280+'дод 2'!Y150</f>
        <v>3538164.59</v>
      </c>
      <c r="Y114" s="192">
        <f t="shared" si="41"/>
        <v>67.315704529386551</v>
      </c>
      <c r="Z114" s="36">
        <f>'дод 2'!AA280+'дод 2'!AA150</f>
        <v>3538164.59</v>
      </c>
      <c r="AA114" s="36">
        <f>'дод 2'!AB280+'дод 2'!AB150</f>
        <v>5256076</v>
      </c>
      <c r="AB114" s="239"/>
    </row>
    <row r="115" spans="1:28" ht="47.25" customHeight="1" x14ac:dyDescent="0.25">
      <c r="A115" s="34">
        <v>2171</v>
      </c>
      <c r="B115" s="34" t="s">
        <v>53</v>
      </c>
      <c r="C115" s="16" t="s">
        <v>570</v>
      </c>
      <c r="D115" s="36">
        <f>'дод 2'!E151</f>
        <v>150000</v>
      </c>
      <c r="E115" s="36">
        <f>'дод 2'!F151</f>
        <v>150000</v>
      </c>
      <c r="F115" s="36">
        <f>'дод 2'!G151</f>
        <v>0</v>
      </c>
      <c r="G115" s="36">
        <f>'дод 2'!H151</f>
        <v>0</v>
      </c>
      <c r="H115" s="36">
        <f>'дод 2'!I151</f>
        <v>0</v>
      </c>
      <c r="I115" s="36">
        <f>'дод 2'!J151</f>
        <v>68178</v>
      </c>
      <c r="J115" s="36">
        <f>'дод 2'!K151</f>
        <v>0</v>
      </c>
      <c r="K115" s="36">
        <f>'дод 2'!L151</f>
        <v>0</v>
      </c>
      <c r="L115" s="192">
        <f t="shared" si="40"/>
        <v>45.451999999999998</v>
      </c>
      <c r="M115" s="36">
        <f>'дод 2'!N151</f>
        <v>0</v>
      </c>
      <c r="N115" s="36">
        <f>'дод 2'!O151</f>
        <v>0</v>
      </c>
      <c r="O115" s="36">
        <f>'дод 2'!P151</f>
        <v>0</v>
      </c>
      <c r="P115" s="36">
        <f>'дод 2'!Q151</f>
        <v>0</v>
      </c>
      <c r="Q115" s="36">
        <f>'дод 2'!R151</f>
        <v>0</v>
      </c>
      <c r="R115" s="36">
        <f>'дод 2'!S151</f>
        <v>0</v>
      </c>
      <c r="S115" s="36">
        <f>'дод 2'!T151</f>
        <v>0</v>
      </c>
      <c r="T115" s="36">
        <f>'дод 2'!U151</f>
        <v>0</v>
      </c>
      <c r="U115" s="36">
        <f>'дод 2'!V151</f>
        <v>0</v>
      </c>
      <c r="V115" s="36">
        <f>'дод 2'!W151</f>
        <v>0</v>
      </c>
      <c r="W115" s="36">
        <f>'дод 2'!X151</f>
        <v>0</v>
      </c>
      <c r="X115" s="36">
        <f>'дод 2'!Y151</f>
        <v>0</v>
      </c>
      <c r="Y115" s="192" t="e">
        <f t="shared" si="41"/>
        <v>#DIV/0!</v>
      </c>
      <c r="Z115" s="36">
        <f>'дод 2'!AA151</f>
        <v>68178</v>
      </c>
      <c r="AA115" s="36">
        <f>'дод 2'!AB151</f>
        <v>150000</v>
      </c>
      <c r="AB115" s="239"/>
    </row>
    <row r="116" spans="1:28" s="61" customFormat="1" ht="33" customHeight="1" x14ac:dyDescent="0.25">
      <c r="A116" s="37" t="s">
        <v>54</v>
      </c>
      <c r="B116" s="47"/>
      <c r="C116" s="48" t="s">
        <v>342</v>
      </c>
      <c r="D116" s="33">
        <f>D122+D123+D124+D126+D127+D132+D133+D134+D136+D138+D141+D145+D147+D150+D153+D154+D155+D139+D140+D128+D143+D130+D135+D148+D151</f>
        <v>431114212.52999997</v>
      </c>
      <c r="E116" s="33">
        <f t="shared" ref="E116:Z116" si="44">E122+E123+E124+E126+E127+E132+E133+E134+E136+E138+E141+E145+E147+E150+E153+E154+E155+E139+E140+E128+E143+E130+E135+E148+E151</f>
        <v>431114212.52999997</v>
      </c>
      <c r="F116" s="33">
        <f t="shared" si="44"/>
        <v>33034762</v>
      </c>
      <c r="G116" s="33">
        <f t="shared" si="44"/>
        <v>3061000</v>
      </c>
      <c r="H116" s="33">
        <f t="shared" si="44"/>
        <v>0</v>
      </c>
      <c r="I116" s="33">
        <f t="shared" si="44"/>
        <v>427742370.37000006</v>
      </c>
      <c r="J116" s="33">
        <f t="shared" si="44"/>
        <v>32690734.670000006</v>
      </c>
      <c r="K116" s="33">
        <f t="shared" si="44"/>
        <v>2500113.2400000002</v>
      </c>
      <c r="L116" s="191">
        <f t="shared" si="40"/>
        <v>99.217877290518402</v>
      </c>
      <c r="M116" s="33">
        <f t="shared" si="44"/>
        <v>24874001.789999999</v>
      </c>
      <c r="N116" s="33">
        <f t="shared" si="44"/>
        <v>24805401.789999999</v>
      </c>
      <c r="O116" s="33">
        <f t="shared" si="44"/>
        <v>68600</v>
      </c>
      <c r="P116" s="33">
        <f t="shared" si="44"/>
        <v>50000</v>
      </c>
      <c r="Q116" s="33">
        <f t="shared" si="44"/>
        <v>3810</v>
      </c>
      <c r="R116" s="33">
        <f t="shared" si="44"/>
        <v>24805401.789999999</v>
      </c>
      <c r="S116" s="33">
        <f t="shared" si="44"/>
        <v>32670295.16</v>
      </c>
      <c r="T116" s="33">
        <f t="shared" si="44"/>
        <v>24686413.789999999</v>
      </c>
      <c r="U116" s="33">
        <f t="shared" si="44"/>
        <v>3212962.16</v>
      </c>
      <c r="V116" s="33">
        <f t="shared" si="44"/>
        <v>75678.89</v>
      </c>
      <c r="W116" s="33">
        <f t="shared" si="44"/>
        <v>0</v>
      </c>
      <c r="X116" s="33">
        <f t="shared" si="44"/>
        <v>29457333</v>
      </c>
      <c r="Y116" s="191">
        <f t="shared" si="41"/>
        <v>131.34314066478163</v>
      </c>
      <c r="Z116" s="33">
        <f t="shared" si="44"/>
        <v>460412665.53000009</v>
      </c>
      <c r="AA116" s="33">
        <f t="shared" ref="AA116" si="45">AA122+AA123+AA124+AA126+AA127+AA132+AA133+AA134+AA136+AA138+AA141+AA145+AA147+AA150+AA153+AA154+AA155+AA139+AA140+AA128+AA143+AA130+AA135+AA148+AA151</f>
        <v>455988214.31999999</v>
      </c>
      <c r="AB116" s="239"/>
    </row>
    <row r="117" spans="1:28" s="61" customFormat="1" x14ac:dyDescent="0.25">
      <c r="A117" s="37"/>
      <c r="B117" s="47"/>
      <c r="C117" s="49" t="s">
        <v>281</v>
      </c>
      <c r="D117" s="39">
        <f>D129+D131+D144+D156+D125+D137</f>
        <v>1763755.99</v>
      </c>
      <c r="E117" s="39">
        <f t="shared" ref="E117:Z117" si="46">E129+E131+E144+E156+E125+E137</f>
        <v>1763755.99</v>
      </c>
      <c r="F117" s="39">
        <f t="shared" si="46"/>
        <v>0</v>
      </c>
      <c r="G117" s="39">
        <f t="shared" si="46"/>
        <v>0</v>
      </c>
      <c r="H117" s="39">
        <f t="shared" si="46"/>
        <v>0</v>
      </c>
      <c r="I117" s="39">
        <f t="shared" si="46"/>
        <v>1605160.21</v>
      </c>
      <c r="J117" s="39">
        <f t="shared" si="46"/>
        <v>0</v>
      </c>
      <c r="K117" s="39">
        <f t="shared" si="46"/>
        <v>0</v>
      </c>
      <c r="L117" s="193">
        <f t="shared" si="40"/>
        <v>91.008065690538061</v>
      </c>
      <c r="M117" s="39">
        <f t="shared" si="46"/>
        <v>0</v>
      </c>
      <c r="N117" s="39">
        <f t="shared" si="46"/>
        <v>0</v>
      </c>
      <c r="O117" s="39">
        <f t="shared" si="46"/>
        <v>0</v>
      </c>
      <c r="P117" s="39">
        <f t="shared" si="46"/>
        <v>0</v>
      </c>
      <c r="Q117" s="39">
        <f t="shared" si="46"/>
        <v>0</v>
      </c>
      <c r="R117" s="39">
        <f t="shared" si="46"/>
        <v>0</v>
      </c>
      <c r="S117" s="39">
        <f t="shared" si="46"/>
        <v>0</v>
      </c>
      <c r="T117" s="39">
        <f t="shared" si="46"/>
        <v>0</v>
      </c>
      <c r="U117" s="39">
        <f t="shared" si="46"/>
        <v>0</v>
      </c>
      <c r="V117" s="39">
        <f t="shared" si="46"/>
        <v>0</v>
      </c>
      <c r="W117" s="39">
        <f t="shared" si="46"/>
        <v>0</v>
      </c>
      <c r="X117" s="39">
        <f t="shared" si="46"/>
        <v>0</v>
      </c>
      <c r="Y117" s="193" t="e">
        <f t="shared" si="41"/>
        <v>#DIV/0!</v>
      </c>
      <c r="Z117" s="39">
        <f t="shared" si="46"/>
        <v>1605160.21</v>
      </c>
      <c r="AA117" s="39">
        <f t="shared" ref="AA117" si="47">AA129+AA131+AA144+AA156+AA125+AA137</f>
        <v>1763755.99</v>
      </c>
      <c r="AB117" s="239"/>
    </row>
    <row r="118" spans="1:28" s="61" customFormat="1" ht="84" customHeight="1" x14ac:dyDescent="0.25">
      <c r="A118" s="37"/>
      <c r="B118" s="47"/>
      <c r="C118" s="131" t="s">
        <v>385</v>
      </c>
      <c r="D118" s="39">
        <f>D157+D142+D146</f>
        <v>89324300</v>
      </c>
      <c r="E118" s="39">
        <f t="shared" ref="E118:Z118" si="48">E157+E142+E146</f>
        <v>89324300</v>
      </c>
      <c r="F118" s="39">
        <f t="shared" si="48"/>
        <v>0</v>
      </c>
      <c r="G118" s="39">
        <f t="shared" si="48"/>
        <v>0</v>
      </c>
      <c r="H118" s="39">
        <f t="shared" si="48"/>
        <v>0</v>
      </c>
      <c r="I118" s="39">
        <f t="shared" si="48"/>
        <v>89099575.579999998</v>
      </c>
      <c r="J118" s="39">
        <f t="shared" si="48"/>
        <v>0</v>
      </c>
      <c r="K118" s="39">
        <f t="shared" si="48"/>
        <v>0</v>
      </c>
      <c r="L118" s="193">
        <f t="shared" si="40"/>
        <v>99.748417373547852</v>
      </c>
      <c r="M118" s="39">
        <f t="shared" si="48"/>
        <v>0</v>
      </c>
      <c r="N118" s="39">
        <f t="shared" si="48"/>
        <v>0</v>
      </c>
      <c r="O118" s="39">
        <f t="shared" si="48"/>
        <v>0</v>
      </c>
      <c r="P118" s="39">
        <f t="shared" si="48"/>
        <v>0</v>
      </c>
      <c r="Q118" s="39">
        <f t="shared" si="48"/>
        <v>0</v>
      </c>
      <c r="R118" s="39">
        <f t="shared" si="48"/>
        <v>0</v>
      </c>
      <c r="S118" s="39">
        <f t="shared" si="48"/>
        <v>0</v>
      </c>
      <c r="T118" s="39">
        <f t="shared" si="48"/>
        <v>0</v>
      </c>
      <c r="U118" s="39">
        <f t="shared" si="48"/>
        <v>0</v>
      </c>
      <c r="V118" s="39">
        <f t="shared" si="48"/>
        <v>0</v>
      </c>
      <c r="W118" s="39">
        <f t="shared" si="48"/>
        <v>0</v>
      </c>
      <c r="X118" s="39">
        <f t="shared" si="48"/>
        <v>0</v>
      </c>
      <c r="Y118" s="193" t="e">
        <f t="shared" si="41"/>
        <v>#DIV/0!</v>
      </c>
      <c r="Z118" s="39">
        <f t="shared" si="48"/>
        <v>89099575.579999998</v>
      </c>
      <c r="AA118" s="39">
        <f t="shared" ref="AA118" si="49">AA157+AA142+AA146</f>
        <v>89324300</v>
      </c>
      <c r="AB118" s="239"/>
    </row>
    <row r="119" spans="1:28" s="61" customFormat="1" ht="101.25" customHeight="1" x14ac:dyDescent="0.25">
      <c r="A119" s="37"/>
      <c r="B119" s="47"/>
      <c r="C119" s="131" t="str">
        <f>C158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D119" s="39">
        <f>D158</f>
        <v>2868232.83</v>
      </c>
      <c r="E119" s="39">
        <f t="shared" ref="E119:Z119" si="50">E158</f>
        <v>2868232.83</v>
      </c>
      <c r="F119" s="39">
        <f t="shared" si="50"/>
        <v>0</v>
      </c>
      <c r="G119" s="39">
        <f t="shared" si="50"/>
        <v>0</v>
      </c>
      <c r="H119" s="39">
        <f t="shared" si="50"/>
        <v>0</v>
      </c>
      <c r="I119" s="39">
        <f t="shared" si="50"/>
        <v>2868232.83</v>
      </c>
      <c r="J119" s="39">
        <f t="shared" si="50"/>
        <v>0</v>
      </c>
      <c r="K119" s="39">
        <f t="shared" si="50"/>
        <v>0</v>
      </c>
      <c r="L119" s="193">
        <f t="shared" si="40"/>
        <v>100</v>
      </c>
      <c r="M119" s="39">
        <f t="shared" si="50"/>
        <v>0</v>
      </c>
      <c r="N119" s="39">
        <f t="shared" si="50"/>
        <v>0</v>
      </c>
      <c r="O119" s="39">
        <f t="shared" si="50"/>
        <v>0</v>
      </c>
      <c r="P119" s="39">
        <f t="shared" si="50"/>
        <v>0</v>
      </c>
      <c r="Q119" s="39">
        <f t="shared" si="50"/>
        <v>0</v>
      </c>
      <c r="R119" s="39">
        <f t="shared" si="50"/>
        <v>0</v>
      </c>
      <c r="S119" s="39">
        <f t="shared" si="50"/>
        <v>0</v>
      </c>
      <c r="T119" s="39">
        <f t="shared" si="50"/>
        <v>0</v>
      </c>
      <c r="U119" s="39">
        <f t="shared" si="50"/>
        <v>0</v>
      </c>
      <c r="V119" s="39">
        <f t="shared" si="50"/>
        <v>0</v>
      </c>
      <c r="W119" s="39">
        <f t="shared" si="50"/>
        <v>0</v>
      </c>
      <c r="X119" s="39">
        <f t="shared" si="50"/>
        <v>0</v>
      </c>
      <c r="Y119" s="193" t="e">
        <f t="shared" si="41"/>
        <v>#DIV/0!</v>
      </c>
      <c r="Z119" s="39">
        <f t="shared" si="50"/>
        <v>2868232.83</v>
      </c>
      <c r="AA119" s="39">
        <f t="shared" ref="AA119" si="51">AA158</f>
        <v>2868232.83</v>
      </c>
      <c r="AB119" s="239"/>
    </row>
    <row r="120" spans="1:28" s="61" customFormat="1" ht="91.9" customHeight="1" x14ac:dyDescent="0.25">
      <c r="A120" s="37"/>
      <c r="B120" s="47"/>
      <c r="C120" s="131" t="str">
        <f>C149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D120" s="39">
        <f>D149</f>
        <v>1799383</v>
      </c>
      <c r="E120" s="39">
        <f t="shared" ref="E120:Z120" si="52">E149</f>
        <v>1799383</v>
      </c>
      <c r="F120" s="39">
        <f t="shared" si="52"/>
        <v>996562</v>
      </c>
      <c r="G120" s="39">
        <f t="shared" si="52"/>
        <v>0</v>
      </c>
      <c r="H120" s="39">
        <f t="shared" si="52"/>
        <v>0</v>
      </c>
      <c r="I120" s="39">
        <f t="shared" si="52"/>
        <v>1151296.6399999999</v>
      </c>
      <c r="J120" s="39">
        <f t="shared" si="52"/>
        <v>796325.89</v>
      </c>
      <c r="K120" s="39">
        <f t="shared" si="52"/>
        <v>0</v>
      </c>
      <c r="L120" s="193">
        <f t="shared" si="40"/>
        <v>63.982856345758506</v>
      </c>
      <c r="M120" s="39">
        <f t="shared" si="52"/>
        <v>0</v>
      </c>
      <c r="N120" s="39">
        <f t="shared" si="52"/>
        <v>0</v>
      </c>
      <c r="O120" s="39">
        <f t="shared" si="52"/>
        <v>0</v>
      </c>
      <c r="P120" s="39">
        <f t="shared" si="52"/>
        <v>0</v>
      </c>
      <c r="Q120" s="39">
        <f t="shared" si="52"/>
        <v>0</v>
      </c>
      <c r="R120" s="39">
        <f t="shared" si="52"/>
        <v>0</v>
      </c>
      <c r="S120" s="39">
        <f t="shared" si="52"/>
        <v>0</v>
      </c>
      <c r="T120" s="39">
        <f t="shared" si="52"/>
        <v>0</v>
      </c>
      <c r="U120" s="39">
        <f t="shared" si="52"/>
        <v>0</v>
      </c>
      <c r="V120" s="39">
        <f t="shared" si="52"/>
        <v>0</v>
      </c>
      <c r="W120" s="39">
        <f t="shared" si="52"/>
        <v>0</v>
      </c>
      <c r="X120" s="39">
        <f t="shared" si="52"/>
        <v>0</v>
      </c>
      <c r="Y120" s="193" t="e">
        <f t="shared" si="41"/>
        <v>#DIV/0!</v>
      </c>
      <c r="Z120" s="39">
        <f t="shared" si="52"/>
        <v>1151296.6399999999</v>
      </c>
      <c r="AA120" s="39">
        <f t="shared" ref="AA120" si="53">AA149</f>
        <v>1799383</v>
      </c>
      <c r="AB120" s="239"/>
    </row>
    <row r="121" spans="1:28" s="61" customFormat="1" ht="285" customHeight="1" x14ac:dyDescent="0.25">
      <c r="A121" s="37"/>
      <c r="B121" s="47"/>
      <c r="C121" s="131" t="str">
        <f>C152</f>
        <v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v>
      </c>
      <c r="D121" s="39">
        <f>D152</f>
        <v>0</v>
      </c>
      <c r="E121" s="39">
        <f t="shared" ref="E121:Z121" si="54">E152</f>
        <v>0</v>
      </c>
      <c r="F121" s="39">
        <f t="shared" si="54"/>
        <v>0</v>
      </c>
      <c r="G121" s="39">
        <f t="shared" si="54"/>
        <v>0</v>
      </c>
      <c r="H121" s="39">
        <f t="shared" si="54"/>
        <v>0</v>
      </c>
      <c r="I121" s="39">
        <f t="shared" si="54"/>
        <v>0</v>
      </c>
      <c r="J121" s="39">
        <f t="shared" si="54"/>
        <v>0</v>
      </c>
      <c r="K121" s="39">
        <f t="shared" si="54"/>
        <v>0</v>
      </c>
      <c r="L121" s="193" t="e">
        <f t="shared" si="40"/>
        <v>#DIV/0!</v>
      </c>
      <c r="M121" s="39">
        <f t="shared" si="54"/>
        <v>24578417.789999999</v>
      </c>
      <c r="N121" s="39">
        <f t="shared" si="54"/>
        <v>24578417.789999999</v>
      </c>
      <c r="O121" s="39">
        <f t="shared" si="54"/>
        <v>0</v>
      </c>
      <c r="P121" s="39">
        <f t="shared" si="54"/>
        <v>0</v>
      </c>
      <c r="Q121" s="39">
        <f t="shared" si="54"/>
        <v>0</v>
      </c>
      <c r="R121" s="39">
        <f t="shared" si="54"/>
        <v>24578417.789999999</v>
      </c>
      <c r="S121" s="39">
        <f t="shared" si="54"/>
        <v>24578417.789999999</v>
      </c>
      <c r="T121" s="39">
        <f t="shared" si="54"/>
        <v>24578417.789999999</v>
      </c>
      <c r="U121" s="39">
        <f t="shared" si="54"/>
        <v>0</v>
      </c>
      <c r="V121" s="39">
        <f t="shared" si="54"/>
        <v>0</v>
      </c>
      <c r="W121" s="39">
        <f t="shared" si="54"/>
        <v>0</v>
      </c>
      <c r="X121" s="39">
        <f t="shared" si="54"/>
        <v>24578417.789999999</v>
      </c>
      <c r="Y121" s="193">
        <f t="shared" si="41"/>
        <v>100</v>
      </c>
      <c r="Z121" s="39">
        <f t="shared" si="54"/>
        <v>24578417.789999999</v>
      </c>
      <c r="AA121" s="39">
        <f t="shared" ref="AA121" si="55">AA152</f>
        <v>24578417.789999999</v>
      </c>
      <c r="AB121" s="239"/>
    </row>
    <row r="122" spans="1:28" ht="38.25" customHeight="1" x14ac:dyDescent="0.25">
      <c r="A122" s="34" t="s">
        <v>83</v>
      </c>
      <c r="B122" s="34" t="s">
        <v>42</v>
      </c>
      <c r="C122" s="25" t="s">
        <v>102</v>
      </c>
      <c r="D122" s="36">
        <f>'дод 2'!E164</f>
        <v>372635</v>
      </c>
      <c r="E122" s="36">
        <f>'дод 2'!F164</f>
        <v>372635</v>
      </c>
      <c r="F122" s="36">
        <f>'дод 2'!G164</f>
        <v>0</v>
      </c>
      <c r="G122" s="36">
        <f>'дод 2'!H164</f>
        <v>0</v>
      </c>
      <c r="H122" s="36">
        <f>'дод 2'!I164</f>
        <v>0</v>
      </c>
      <c r="I122" s="36">
        <f>'дод 2'!J164</f>
        <v>367199.37</v>
      </c>
      <c r="J122" s="36">
        <f>'дод 2'!K164</f>
        <v>0</v>
      </c>
      <c r="K122" s="36">
        <f>'дод 2'!L164</f>
        <v>0</v>
      </c>
      <c r="L122" s="192">
        <f t="shared" si="40"/>
        <v>98.541299126491069</v>
      </c>
      <c r="M122" s="36">
        <f>'дод 2'!N164</f>
        <v>0</v>
      </c>
      <c r="N122" s="36">
        <f>'дод 2'!O164</f>
        <v>0</v>
      </c>
      <c r="O122" s="36">
        <f>'дод 2'!P164</f>
        <v>0</v>
      </c>
      <c r="P122" s="36">
        <f>'дод 2'!Q164</f>
        <v>0</v>
      </c>
      <c r="Q122" s="36">
        <f>'дод 2'!R164</f>
        <v>0</v>
      </c>
      <c r="R122" s="36">
        <f>'дод 2'!S164</f>
        <v>0</v>
      </c>
      <c r="S122" s="36">
        <f>'дод 2'!T164</f>
        <v>0</v>
      </c>
      <c r="T122" s="36">
        <f>'дод 2'!U164</f>
        <v>0</v>
      </c>
      <c r="U122" s="36">
        <f>'дод 2'!V164</f>
        <v>0</v>
      </c>
      <c r="V122" s="36">
        <f>'дод 2'!W164</f>
        <v>0</v>
      </c>
      <c r="W122" s="36">
        <f>'дод 2'!X164</f>
        <v>0</v>
      </c>
      <c r="X122" s="36">
        <f>'дод 2'!Y164</f>
        <v>0</v>
      </c>
      <c r="Y122" s="192" t="e">
        <f t="shared" si="41"/>
        <v>#DIV/0!</v>
      </c>
      <c r="Z122" s="36">
        <f>'дод 2'!AA164</f>
        <v>367199.37</v>
      </c>
      <c r="AA122" s="36">
        <f>'дод 2'!AB164</f>
        <v>372635</v>
      </c>
      <c r="AB122" s="239"/>
    </row>
    <row r="123" spans="1:28" ht="30" customHeight="1" x14ac:dyDescent="0.25">
      <c r="A123" s="34" t="s">
        <v>103</v>
      </c>
      <c r="B123" s="34" t="s">
        <v>43</v>
      </c>
      <c r="C123" s="25" t="s">
        <v>276</v>
      </c>
      <c r="D123" s="36">
        <f>'дод 2'!E165</f>
        <v>409634</v>
      </c>
      <c r="E123" s="36">
        <f>'дод 2'!F165</f>
        <v>409634</v>
      </c>
      <c r="F123" s="36">
        <f>'дод 2'!G165</f>
        <v>0</v>
      </c>
      <c r="G123" s="36">
        <f>'дод 2'!H165</f>
        <v>0</v>
      </c>
      <c r="H123" s="36">
        <f>'дод 2'!I165</f>
        <v>0</v>
      </c>
      <c r="I123" s="36">
        <f>'дод 2'!J165</f>
        <v>404909.84</v>
      </c>
      <c r="J123" s="36">
        <f>'дод 2'!K165</f>
        <v>0</v>
      </c>
      <c r="K123" s="36">
        <f>'дод 2'!L165</f>
        <v>0</v>
      </c>
      <c r="L123" s="192">
        <f t="shared" si="40"/>
        <v>98.846736354892414</v>
      </c>
      <c r="M123" s="36">
        <f>'дод 2'!N165</f>
        <v>0</v>
      </c>
      <c r="N123" s="36">
        <f>'дод 2'!O165</f>
        <v>0</v>
      </c>
      <c r="O123" s="36">
        <f>'дод 2'!P165</f>
        <v>0</v>
      </c>
      <c r="P123" s="36">
        <f>'дод 2'!Q165</f>
        <v>0</v>
      </c>
      <c r="Q123" s="36">
        <f>'дод 2'!R165</f>
        <v>0</v>
      </c>
      <c r="R123" s="36">
        <f>'дод 2'!S165</f>
        <v>0</v>
      </c>
      <c r="S123" s="36">
        <f>'дод 2'!T165</f>
        <v>0</v>
      </c>
      <c r="T123" s="36">
        <f>'дод 2'!U165</f>
        <v>0</v>
      </c>
      <c r="U123" s="36">
        <f>'дод 2'!V165</f>
        <v>0</v>
      </c>
      <c r="V123" s="36">
        <f>'дод 2'!W165</f>
        <v>0</v>
      </c>
      <c r="W123" s="36">
        <f>'дод 2'!X165</f>
        <v>0</v>
      </c>
      <c r="X123" s="36">
        <f>'дод 2'!Y165</f>
        <v>0</v>
      </c>
      <c r="Y123" s="192" t="e">
        <f t="shared" si="41"/>
        <v>#DIV/0!</v>
      </c>
      <c r="Z123" s="36">
        <f>'дод 2'!AA165</f>
        <v>404909.84</v>
      </c>
      <c r="AA123" s="36">
        <f>'дод 2'!AB165</f>
        <v>409634</v>
      </c>
      <c r="AB123" s="239"/>
    </row>
    <row r="124" spans="1:28" ht="38.25" customHeight="1" x14ac:dyDescent="0.25">
      <c r="A124" s="34" t="s">
        <v>84</v>
      </c>
      <c r="B124" s="34" t="s">
        <v>43</v>
      </c>
      <c r="C124" s="25" t="s">
        <v>368</v>
      </c>
      <c r="D124" s="36">
        <f>'дод 2'!E166+'дод 2'!E21</f>
        <v>25485920.989999998</v>
      </c>
      <c r="E124" s="36">
        <f>'дод 2'!F166+'дод 2'!F21</f>
        <v>25485920.989999998</v>
      </c>
      <c r="F124" s="36">
        <f>'дод 2'!G166+'дод 2'!G21</f>
        <v>0</v>
      </c>
      <c r="G124" s="36">
        <f>'дод 2'!H166+'дод 2'!H21</f>
        <v>0</v>
      </c>
      <c r="H124" s="36">
        <f>'дод 2'!I166+'дод 2'!I21</f>
        <v>0</v>
      </c>
      <c r="I124" s="36">
        <f>'дод 2'!J166+'дод 2'!J21</f>
        <v>25189828.27</v>
      </c>
      <c r="J124" s="36">
        <f>'дод 2'!K166+'дод 2'!K21</f>
        <v>0</v>
      </c>
      <c r="K124" s="36">
        <f>'дод 2'!L166+'дод 2'!L21</f>
        <v>0</v>
      </c>
      <c r="L124" s="192">
        <f t="shared" si="40"/>
        <v>98.838210633564387</v>
      </c>
      <c r="M124" s="36">
        <f>'дод 2'!N166+'дод 2'!N21</f>
        <v>0</v>
      </c>
      <c r="N124" s="36">
        <f>'дод 2'!O166+'дод 2'!O21</f>
        <v>0</v>
      </c>
      <c r="O124" s="36">
        <f>'дод 2'!P166+'дод 2'!P21</f>
        <v>0</v>
      </c>
      <c r="P124" s="36">
        <f>'дод 2'!Q166+'дод 2'!Q21</f>
        <v>0</v>
      </c>
      <c r="Q124" s="36">
        <f>'дод 2'!R166+'дод 2'!R21</f>
        <v>0</v>
      </c>
      <c r="R124" s="36">
        <f>'дод 2'!S166+'дод 2'!S21</f>
        <v>0</v>
      </c>
      <c r="S124" s="36">
        <f>'дод 2'!T166+'дод 2'!T21</f>
        <v>0</v>
      </c>
      <c r="T124" s="36">
        <f>'дод 2'!U166+'дод 2'!U21</f>
        <v>0</v>
      </c>
      <c r="U124" s="36">
        <f>'дод 2'!V166+'дод 2'!V21</f>
        <v>0</v>
      </c>
      <c r="V124" s="36">
        <f>'дод 2'!W166+'дод 2'!W21</f>
        <v>0</v>
      </c>
      <c r="W124" s="36">
        <f>'дод 2'!X166+'дод 2'!X21</f>
        <v>0</v>
      </c>
      <c r="X124" s="36">
        <f>'дод 2'!Y166+'дод 2'!Y21</f>
        <v>0</v>
      </c>
      <c r="Y124" s="192" t="e">
        <f t="shared" si="41"/>
        <v>#DIV/0!</v>
      </c>
      <c r="Z124" s="36">
        <f>'дод 2'!AA166+'дод 2'!AA21</f>
        <v>25189828.27</v>
      </c>
      <c r="AA124" s="36">
        <f>'дод 2'!AB166+'дод 2'!AB21</f>
        <v>25485920.989999998</v>
      </c>
      <c r="AB124" s="239"/>
    </row>
    <row r="125" spans="1:28" ht="30" customHeight="1" x14ac:dyDescent="0.25">
      <c r="A125" s="34"/>
      <c r="B125" s="34"/>
      <c r="C125" s="22" t="s">
        <v>281</v>
      </c>
      <c r="D125" s="41">
        <f>'дод 2'!E167</f>
        <v>380238.99</v>
      </c>
      <c r="E125" s="41">
        <f>'дод 2'!F167</f>
        <v>380238.99</v>
      </c>
      <c r="F125" s="41">
        <f>'дод 2'!G167</f>
        <v>0</v>
      </c>
      <c r="G125" s="41">
        <f>'дод 2'!H167</f>
        <v>0</v>
      </c>
      <c r="H125" s="41">
        <f>'дод 2'!I167</f>
        <v>0</v>
      </c>
      <c r="I125" s="41">
        <f>'дод 2'!J167</f>
        <v>281555.40000000002</v>
      </c>
      <c r="J125" s="41">
        <f>'дод 2'!K167</f>
        <v>0</v>
      </c>
      <c r="K125" s="41">
        <f>'дод 2'!L167</f>
        <v>0</v>
      </c>
      <c r="L125" s="194">
        <f t="shared" si="40"/>
        <v>74.046956625884164</v>
      </c>
      <c r="M125" s="41">
        <f>'дод 2'!N167</f>
        <v>0</v>
      </c>
      <c r="N125" s="41">
        <f>'дод 2'!O167</f>
        <v>0</v>
      </c>
      <c r="O125" s="41">
        <f>'дод 2'!P167</f>
        <v>0</v>
      </c>
      <c r="P125" s="41">
        <f>'дод 2'!Q167</f>
        <v>0</v>
      </c>
      <c r="Q125" s="41">
        <f>'дод 2'!R167</f>
        <v>0</v>
      </c>
      <c r="R125" s="41">
        <f>'дод 2'!S167</f>
        <v>0</v>
      </c>
      <c r="S125" s="41">
        <f>'дод 2'!T167</f>
        <v>0</v>
      </c>
      <c r="T125" s="41">
        <f>'дод 2'!U167</f>
        <v>0</v>
      </c>
      <c r="U125" s="41">
        <f>'дод 2'!V167</f>
        <v>0</v>
      </c>
      <c r="V125" s="41">
        <f>'дод 2'!W167</f>
        <v>0</v>
      </c>
      <c r="W125" s="41">
        <f>'дод 2'!X167</f>
        <v>0</v>
      </c>
      <c r="X125" s="41">
        <f>'дод 2'!Y167</f>
        <v>0</v>
      </c>
      <c r="Y125" s="194" t="e">
        <f t="shared" si="41"/>
        <v>#DIV/0!</v>
      </c>
      <c r="Z125" s="41">
        <f>'дод 2'!AA167</f>
        <v>281555.40000000002</v>
      </c>
      <c r="AA125" s="41">
        <f>'дод 2'!AB167</f>
        <v>380238.99</v>
      </c>
      <c r="AB125" s="239"/>
    </row>
    <row r="126" spans="1:28" ht="47.25" customHeight="1" x14ac:dyDescent="0.25">
      <c r="A126" s="34" t="s">
        <v>247</v>
      </c>
      <c r="B126" s="34" t="s">
        <v>43</v>
      </c>
      <c r="C126" s="25" t="s">
        <v>246</v>
      </c>
      <c r="D126" s="36">
        <f>'дод 2'!E168</f>
        <v>1000000</v>
      </c>
      <c r="E126" s="36">
        <f>'дод 2'!F168</f>
        <v>1000000</v>
      </c>
      <c r="F126" s="36">
        <f>'дод 2'!G168</f>
        <v>0</v>
      </c>
      <c r="G126" s="36">
        <f>'дод 2'!H168</f>
        <v>0</v>
      </c>
      <c r="H126" s="36">
        <f>'дод 2'!I168</f>
        <v>0</v>
      </c>
      <c r="I126" s="36">
        <f>'дод 2'!J168</f>
        <v>1000000</v>
      </c>
      <c r="J126" s="36">
        <f>'дод 2'!K168</f>
        <v>0</v>
      </c>
      <c r="K126" s="36">
        <f>'дод 2'!L168</f>
        <v>0</v>
      </c>
      <c r="L126" s="192">
        <f t="shared" si="40"/>
        <v>100</v>
      </c>
      <c r="M126" s="36">
        <f>'дод 2'!N168</f>
        <v>0</v>
      </c>
      <c r="N126" s="36">
        <f>'дод 2'!O168</f>
        <v>0</v>
      </c>
      <c r="O126" s="36">
        <f>'дод 2'!P168</f>
        <v>0</v>
      </c>
      <c r="P126" s="36">
        <f>'дод 2'!Q168</f>
        <v>0</v>
      </c>
      <c r="Q126" s="36">
        <f>'дод 2'!R168</f>
        <v>0</v>
      </c>
      <c r="R126" s="36">
        <f>'дод 2'!S168</f>
        <v>0</v>
      </c>
      <c r="S126" s="36">
        <f>'дод 2'!T168</f>
        <v>0</v>
      </c>
      <c r="T126" s="36">
        <f>'дод 2'!U168</f>
        <v>0</v>
      </c>
      <c r="U126" s="36">
        <f>'дод 2'!V168</f>
        <v>0</v>
      </c>
      <c r="V126" s="36">
        <f>'дод 2'!W168</f>
        <v>0</v>
      </c>
      <c r="W126" s="36">
        <f>'дод 2'!X168</f>
        <v>0</v>
      </c>
      <c r="X126" s="36">
        <f>'дод 2'!Y168</f>
        <v>0</v>
      </c>
      <c r="Y126" s="192" t="e">
        <f t="shared" si="41"/>
        <v>#DIV/0!</v>
      </c>
      <c r="Z126" s="36">
        <f>'дод 2'!AA168</f>
        <v>1000000</v>
      </c>
      <c r="AA126" s="36">
        <f>'дод 2'!AB168</f>
        <v>1000000</v>
      </c>
      <c r="AB126" s="239"/>
    </row>
    <row r="127" spans="1:28" ht="36.75" customHeight="1" x14ac:dyDescent="0.25">
      <c r="A127" s="34" t="s">
        <v>104</v>
      </c>
      <c r="B127" s="34" t="s">
        <v>43</v>
      </c>
      <c r="C127" s="25" t="s">
        <v>16</v>
      </c>
      <c r="D127" s="36">
        <f>'дод 2'!E169+'дод 2'!E22</f>
        <v>50359628</v>
      </c>
      <c r="E127" s="36">
        <f>'дод 2'!F169+'дод 2'!F22</f>
        <v>50359628</v>
      </c>
      <c r="F127" s="36">
        <f>'дод 2'!G169+'дод 2'!G22</f>
        <v>0</v>
      </c>
      <c r="G127" s="36">
        <f>'дод 2'!H169+'дод 2'!H22</f>
        <v>0</v>
      </c>
      <c r="H127" s="36">
        <f>'дод 2'!I169+'дод 2'!I22</f>
        <v>0</v>
      </c>
      <c r="I127" s="36">
        <f>'дод 2'!J169+'дод 2'!J22</f>
        <v>50355264</v>
      </c>
      <c r="J127" s="36">
        <f>'дод 2'!K169+'дод 2'!K22</f>
        <v>0</v>
      </c>
      <c r="K127" s="36">
        <f>'дод 2'!L169+'дод 2'!L22</f>
        <v>0</v>
      </c>
      <c r="L127" s="192">
        <f t="shared" si="40"/>
        <v>99.991334328363195</v>
      </c>
      <c r="M127" s="36">
        <f>'дод 2'!N169+'дод 2'!N22</f>
        <v>0</v>
      </c>
      <c r="N127" s="36">
        <f>'дод 2'!O169+'дод 2'!O22</f>
        <v>0</v>
      </c>
      <c r="O127" s="36">
        <f>'дод 2'!P169+'дод 2'!P22</f>
        <v>0</v>
      </c>
      <c r="P127" s="36">
        <f>'дод 2'!Q169+'дод 2'!Q22</f>
        <v>0</v>
      </c>
      <c r="Q127" s="36">
        <f>'дод 2'!R169+'дод 2'!R22</f>
        <v>0</v>
      </c>
      <c r="R127" s="36">
        <f>'дод 2'!S169+'дод 2'!S22</f>
        <v>0</v>
      </c>
      <c r="S127" s="36">
        <f>'дод 2'!T169+'дод 2'!T22</f>
        <v>0</v>
      </c>
      <c r="T127" s="36">
        <f>'дод 2'!U169+'дод 2'!U22</f>
        <v>0</v>
      </c>
      <c r="U127" s="36">
        <f>'дод 2'!V169+'дод 2'!V22</f>
        <v>0</v>
      </c>
      <c r="V127" s="36">
        <f>'дод 2'!W169+'дод 2'!W22</f>
        <v>0</v>
      </c>
      <c r="W127" s="36">
        <f>'дод 2'!X169+'дод 2'!X22</f>
        <v>0</v>
      </c>
      <c r="X127" s="36">
        <f>'дод 2'!Y169+'дод 2'!Y22</f>
        <v>0</v>
      </c>
      <c r="Y127" s="192" t="e">
        <f t="shared" si="41"/>
        <v>#DIV/0!</v>
      </c>
      <c r="Z127" s="36">
        <f>'дод 2'!AA169+'дод 2'!AA22</f>
        <v>50355264</v>
      </c>
      <c r="AA127" s="36">
        <f>'дод 2'!AB169+'дод 2'!AB22</f>
        <v>50359628</v>
      </c>
      <c r="AB127" s="239"/>
    </row>
    <row r="128" spans="1:28" ht="34.5" customHeight="1" x14ac:dyDescent="0.25">
      <c r="A128" s="34" t="s">
        <v>406</v>
      </c>
      <c r="B128" s="34" t="s">
        <v>43</v>
      </c>
      <c r="C128" s="25" t="s">
        <v>407</v>
      </c>
      <c r="D128" s="36">
        <f>'дод 2'!E170</f>
        <v>856600</v>
      </c>
      <c r="E128" s="36">
        <f>'дод 2'!F170</f>
        <v>856600</v>
      </c>
      <c r="F128" s="36">
        <f>'дод 2'!G170</f>
        <v>0</v>
      </c>
      <c r="G128" s="36">
        <f>'дод 2'!H170</f>
        <v>0</v>
      </c>
      <c r="H128" s="36">
        <f>'дод 2'!I170</f>
        <v>0</v>
      </c>
      <c r="I128" s="36">
        <f>'дод 2'!J170</f>
        <v>856056.08</v>
      </c>
      <c r="J128" s="36">
        <f>'дод 2'!K170</f>
        <v>0</v>
      </c>
      <c r="K128" s="36">
        <f>'дод 2'!L170</f>
        <v>0</v>
      </c>
      <c r="L128" s="192">
        <f t="shared" si="40"/>
        <v>99.936502451552641</v>
      </c>
      <c r="M128" s="36">
        <f>'дод 2'!N170</f>
        <v>0</v>
      </c>
      <c r="N128" s="36">
        <f>'дод 2'!O170</f>
        <v>0</v>
      </c>
      <c r="O128" s="36">
        <f>'дод 2'!P170</f>
        <v>0</v>
      </c>
      <c r="P128" s="36">
        <f>'дод 2'!Q170</f>
        <v>0</v>
      </c>
      <c r="Q128" s="36">
        <f>'дод 2'!R170</f>
        <v>0</v>
      </c>
      <c r="R128" s="36">
        <f>'дод 2'!S170</f>
        <v>0</v>
      </c>
      <c r="S128" s="36">
        <f>'дод 2'!T170</f>
        <v>0</v>
      </c>
      <c r="T128" s="36">
        <f>'дод 2'!U170</f>
        <v>0</v>
      </c>
      <c r="U128" s="36">
        <f>'дод 2'!V170</f>
        <v>0</v>
      </c>
      <c r="V128" s="36">
        <f>'дод 2'!W170</f>
        <v>0</v>
      </c>
      <c r="W128" s="36">
        <f>'дод 2'!X170</f>
        <v>0</v>
      </c>
      <c r="X128" s="36">
        <f>'дод 2'!Y170</f>
        <v>0</v>
      </c>
      <c r="Y128" s="192" t="e">
        <f t="shared" si="41"/>
        <v>#DIV/0!</v>
      </c>
      <c r="Z128" s="36">
        <f>'дод 2'!AA170</f>
        <v>856056.08</v>
      </c>
      <c r="AA128" s="36">
        <f>'дод 2'!AB170</f>
        <v>856600</v>
      </c>
      <c r="AB128" s="239"/>
    </row>
    <row r="129" spans="1:28" s="62" customFormat="1" ht="21" customHeight="1" x14ac:dyDescent="0.25">
      <c r="A129" s="40"/>
      <c r="B129" s="40"/>
      <c r="C129" s="50" t="s">
        <v>281</v>
      </c>
      <c r="D129" s="41">
        <f>'дод 2'!E171</f>
        <v>856600</v>
      </c>
      <c r="E129" s="41">
        <f>'дод 2'!F171</f>
        <v>856600</v>
      </c>
      <c r="F129" s="41">
        <f>'дод 2'!G171</f>
        <v>0</v>
      </c>
      <c r="G129" s="41">
        <f>'дод 2'!H171</f>
        <v>0</v>
      </c>
      <c r="H129" s="41">
        <f>'дод 2'!I171</f>
        <v>0</v>
      </c>
      <c r="I129" s="41">
        <f>'дод 2'!J171</f>
        <v>856056.08</v>
      </c>
      <c r="J129" s="41">
        <f>'дод 2'!K171</f>
        <v>0</v>
      </c>
      <c r="K129" s="41">
        <f>'дод 2'!L171</f>
        <v>0</v>
      </c>
      <c r="L129" s="194">
        <f t="shared" si="40"/>
        <v>99.936502451552641</v>
      </c>
      <c r="M129" s="41">
        <f>'дод 2'!N171</f>
        <v>0</v>
      </c>
      <c r="N129" s="41">
        <f>'дод 2'!O171</f>
        <v>0</v>
      </c>
      <c r="O129" s="41">
        <f>'дод 2'!P171</f>
        <v>0</v>
      </c>
      <c r="P129" s="41">
        <f>'дод 2'!Q171</f>
        <v>0</v>
      </c>
      <c r="Q129" s="41">
        <f>'дод 2'!R171</f>
        <v>0</v>
      </c>
      <c r="R129" s="41">
        <f>'дод 2'!S171</f>
        <v>0</v>
      </c>
      <c r="S129" s="41">
        <f>'дод 2'!T171</f>
        <v>0</v>
      </c>
      <c r="T129" s="41">
        <f>'дод 2'!U171</f>
        <v>0</v>
      </c>
      <c r="U129" s="41">
        <f>'дод 2'!V171</f>
        <v>0</v>
      </c>
      <c r="V129" s="41">
        <f>'дод 2'!W171</f>
        <v>0</v>
      </c>
      <c r="W129" s="41">
        <f>'дод 2'!X171</f>
        <v>0</v>
      </c>
      <c r="X129" s="41">
        <f>'дод 2'!Y171</f>
        <v>0</v>
      </c>
      <c r="Y129" s="194" t="e">
        <f t="shared" si="41"/>
        <v>#DIV/0!</v>
      </c>
      <c r="Z129" s="41">
        <f>'дод 2'!AA171</f>
        <v>856056.08</v>
      </c>
      <c r="AA129" s="41">
        <f>'дод 2'!AB171</f>
        <v>856600</v>
      </c>
      <c r="AB129" s="239"/>
    </row>
    <row r="130" spans="1:28" ht="34.5" customHeight="1" x14ac:dyDescent="0.25">
      <c r="A130" s="34" t="s">
        <v>408</v>
      </c>
      <c r="B130" s="34" t="s">
        <v>42</v>
      </c>
      <c r="C130" s="25" t="s">
        <v>409</v>
      </c>
      <c r="D130" s="36">
        <f>'дод 2'!E172</f>
        <v>104000</v>
      </c>
      <c r="E130" s="36">
        <f>'дод 2'!F172</f>
        <v>104000</v>
      </c>
      <c r="F130" s="36">
        <f>'дод 2'!G172</f>
        <v>0</v>
      </c>
      <c r="G130" s="36">
        <f>'дод 2'!H172</f>
        <v>0</v>
      </c>
      <c r="H130" s="36">
        <f>'дод 2'!I172</f>
        <v>0</v>
      </c>
      <c r="I130" s="36">
        <f>'дод 2'!J172</f>
        <v>80306.75</v>
      </c>
      <c r="J130" s="36">
        <f>'дод 2'!K172</f>
        <v>0</v>
      </c>
      <c r="K130" s="36">
        <f>'дод 2'!L172</f>
        <v>0</v>
      </c>
      <c r="L130" s="192">
        <f t="shared" si="40"/>
        <v>77.218028846153842</v>
      </c>
      <c r="M130" s="36">
        <f>'дод 2'!N172</f>
        <v>0</v>
      </c>
      <c r="N130" s="36">
        <f>'дод 2'!O172</f>
        <v>0</v>
      </c>
      <c r="O130" s="36">
        <f>'дод 2'!P172</f>
        <v>0</v>
      </c>
      <c r="P130" s="36">
        <f>'дод 2'!Q172</f>
        <v>0</v>
      </c>
      <c r="Q130" s="36">
        <f>'дод 2'!R172</f>
        <v>0</v>
      </c>
      <c r="R130" s="36">
        <f>'дод 2'!S172</f>
        <v>0</v>
      </c>
      <c r="S130" s="36">
        <f>'дод 2'!T172</f>
        <v>0</v>
      </c>
      <c r="T130" s="36">
        <f>'дод 2'!U172</f>
        <v>0</v>
      </c>
      <c r="U130" s="36">
        <f>'дод 2'!V172</f>
        <v>0</v>
      </c>
      <c r="V130" s="36">
        <f>'дод 2'!W172</f>
        <v>0</v>
      </c>
      <c r="W130" s="36">
        <f>'дод 2'!X172</f>
        <v>0</v>
      </c>
      <c r="X130" s="36">
        <f>'дод 2'!Y172</f>
        <v>0</v>
      </c>
      <c r="Y130" s="192" t="e">
        <f t="shared" si="41"/>
        <v>#DIV/0!</v>
      </c>
      <c r="Z130" s="36">
        <f>'дод 2'!AA172</f>
        <v>80306.75</v>
      </c>
      <c r="AA130" s="36">
        <f>'дод 2'!AB172</f>
        <v>104000</v>
      </c>
      <c r="AB130" s="239">
        <v>55</v>
      </c>
    </row>
    <row r="131" spans="1:28" s="62" customFormat="1" ht="21" customHeight="1" x14ac:dyDescent="0.25">
      <c r="A131" s="40"/>
      <c r="B131" s="40"/>
      <c r="C131" s="50" t="s">
        <v>281</v>
      </c>
      <c r="D131" s="41">
        <f>'дод 2'!E173</f>
        <v>104000</v>
      </c>
      <c r="E131" s="41">
        <f>'дод 2'!F173</f>
        <v>104000</v>
      </c>
      <c r="F131" s="41">
        <f>'дод 2'!G173</f>
        <v>0</v>
      </c>
      <c r="G131" s="41">
        <f>'дод 2'!H173</f>
        <v>0</v>
      </c>
      <c r="H131" s="41">
        <f>'дод 2'!I173</f>
        <v>0</v>
      </c>
      <c r="I131" s="41">
        <f>'дод 2'!J173</f>
        <v>80306.75</v>
      </c>
      <c r="J131" s="41">
        <f>'дод 2'!K173</f>
        <v>0</v>
      </c>
      <c r="K131" s="41">
        <f>'дод 2'!L173</f>
        <v>0</v>
      </c>
      <c r="L131" s="194">
        <f t="shared" si="40"/>
        <v>77.218028846153842</v>
      </c>
      <c r="M131" s="41">
        <f>'дод 2'!N173</f>
        <v>0</v>
      </c>
      <c r="N131" s="41">
        <f>'дод 2'!O173</f>
        <v>0</v>
      </c>
      <c r="O131" s="41">
        <f>'дод 2'!P173</f>
        <v>0</v>
      </c>
      <c r="P131" s="41">
        <f>'дод 2'!Q173</f>
        <v>0</v>
      </c>
      <c r="Q131" s="41">
        <f>'дод 2'!R173</f>
        <v>0</v>
      </c>
      <c r="R131" s="41">
        <f>'дод 2'!S173</f>
        <v>0</v>
      </c>
      <c r="S131" s="41">
        <f>'дод 2'!T173</f>
        <v>0</v>
      </c>
      <c r="T131" s="41">
        <f>'дод 2'!U173</f>
        <v>0</v>
      </c>
      <c r="U131" s="41">
        <f>'дод 2'!V173</f>
        <v>0</v>
      </c>
      <c r="V131" s="41">
        <f>'дод 2'!W173</f>
        <v>0</v>
      </c>
      <c r="W131" s="41">
        <f>'дод 2'!X173</f>
        <v>0</v>
      </c>
      <c r="X131" s="41">
        <f>'дод 2'!Y173</f>
        <v>0</v>
      </c>
      <c r="Y131" s="194" t="e">
        <f t="shared" si="41"/>
        <v>#DIV/0!</v>
      </c>
      <c r="Z131" s="41">
        <f>'дод 2'!AA173</f>
        <v>80306.75</v>
      </c>
      <c r="AA131" s="41">
        <f>'дод 2'!AB173</f>
        <v>104000</v>
      </c>
      <c r="AB131" s="239"/>
    </row>
    <row r="132" spans="1:28" ht="45.75" customHeight="1" x14ac:dyDescent="0.25">
      <c r="A132" s="34" t="s">
        <v>86</v>
      </c>
      <c r="B132" s="34" t="s">
        <v>40</v>
      </c>
      <c r="C132" s="25" t="s">
        <v>24</v>
      </c>
      <c r="D132" s="36">
        <f>'дод 2'!E174</f>
        <v>27561400</v>
      </c>
      <c r="E132" s="36">
        <f>'дод 2'!F174</f>
        <v>27561400</v>
      </c>
      <c r="F132" s="36">
        <f>'дод 2'!G174</f>
        <v>20425300</v>
      </c>
      <c r="G132" s="36">
        <f>'дод 2'!H174</f>
        <v>1317500</v>
      </c>
      <c r="H132" s="36">
        <f>'дод 2'!I174</f>
        <v>0</v>
      </c>
      <c r="I132" s="36">
        <f>'дод 2'!J174</f>
        <v>26989391.140000001</v>
      </c>
      <c r="J132" s="36">
        <f>'дод 2'!K174</f>
        <v>20282216.07</v>
      </c>
      <c r="K132" s="36">
        <f>'дод 2'!L174</f>
        <v>1007654.17</v>
      </c>
      <c r="L132" s="192">
        <f t="shared" si="40"/>
        <v>97.924601580471233</v>
      </c>
      <c r="M132" s="36">
        <f>'дод 2'!N174</f>
        <v>58600</v>
      </c>
      <c r="N132" s="36">
        <f>'дод 2'!O174</f>
        <v>0</v>
      </c>
      <c r="O132" s="36">
        <f>'дод 2'!P174</f>
        <v>58600</v>
      </c>
      <c r="P132" s="36">
        <f>'дод 2'!Q174</f>
        <v>48000</v>
      </c>
      <c r="Q132" s="36">
        <f>'дод 2'!R174</f>
        <v>0</v>
      </c>
      <c r="R132" s="36">
        <f>'дод 2'!S174</f>
        <v>0</v>
      </c>
      <c r="S132" s="36">
        <f>'дод 2'!T174</f>
        <v>4042080.6799999997</v>
      </c>
      <c r="T132" s="36">
        <f>'дод 2'!U174</f>
        <v>0</v>
      </c>
      <c r="U132" s="36">
        <f>'дод 2'!V174</f>
        <v>1660320.68</v>
      </c>
      <c r="V132" s="36">
        <f>'дод 2'!W174</f>
        <v>34695.29</v>
      </c>
      <c r="W132" s="36">
        <f>'дод 2'!X174</f>
        <v>0</v>
      </c>
      <c r="X132" s="36">
        <f>'дод 2'!Y174</f>
        <v>2381760</v>
      </c>
      <c r="Y132" s="192">
        <f t="shared" si="41"/>
        <v>6897.748600682593</v>
      </c>
      <c r="Z132" s="36">
        <f>'дод 2'!AA174</f>
        <v>31031471.82</v>
      </c>
      <c r="AA132" s="36">
        <f>'дод 2'!AB174</f>
        <v>27620000</v>
      </c>
      <c r="AB132" s="239"/>
    </row>
    <row r="133" spans="1:28" ht="76.5" hidden="1" customHeight="1" x14ac:dyDescent="0.25">
      <c r="A133" s="34" t="s">
        <v>255</v>
      </c>
      <c r="B133" s="34" t="s">
        <v>85</v>
      </c>
      <c r="C133" s="14" t="s">
        <v>412</v>
      </c>
      <c r="D133" s="36">
        <f>SUM('дод 2'!E199)</f>
        <v>0</v>
      </c>
      <c r="E133" s="36">
        <f>SUM('дод 2'!F199)</f>
        <v>0</v>
      </c>
      <c r="F133" s="36">
        <f>SUM('дод 2'!G199)</f>
        <v>0</v>
      </c>
      <c r="G133" s="36">
        <f>SUM('дод 2'!H199)</f>
        <v>0</v>
      </c>
      <c r="H133" s="36">
        <f>SUM('дод 2'!I199)</f>
        <v>0</v>
      </c>
      <c r="I133" s="36">
        <f>SUM('дод 2'!J199)</f>
        <v>0</v>
      </c>
      <c r="J133" s="36">
        <f>SUM('дод 2'!K199)</f>
        <v>0</v>
      </c>
      <c r="K133" s="36">
        <f>SUM('дод 2'!L199)</f>
        <v>0</v>
      </c>
      <c r="L133" s="192" t="e">
        <f t="shared" si="40"/>
        <v>#DIV/0!</v>
      </c>
      <c r="M133" s="36">
        <f>SUM('дод 2'!N199)</f>
        <v>0</v>
      </c>
      <c r="N133" s="36">
        <f>SUM('дод 2'!O199)</f>
        <v>0</v>
      </c>
      <c r="O133" s="36">
        <f>SUM('дод 2'!P199)</f>
        <v>0</v>
      </c>
      <c r="P133" s="36">
        <f>SUM('дод 2'!Q199)</f>
        <v>0</v>
      </c>
      <c r="Q133" s="36">
        <f>SUM('дод 2'!R199)</f>
        <v>0</v>
      </c>
      <c r="R133" s="36">
        <f>SUM('дод 2'!S199)</f>
        <v>0</v>
      </c>
      <c r="S133" s="36">
        <f>SUM('дод 2'!T199)</f>
        <v>0</v>
      </c>
      <c r="T133" s="36">
        <f>SUM('дод 2'!U199)</f>
        <v>0</v>
      </c>
      <c r="U133" s="36">
        <f>SUM('дод 2'!V199)</f>
        <v>0</v>
      </c>
      <c r="V133" s="36">
        <f>SUM('дод 2'!W199)</f>
        <v>0</v>
      </c>
      <c r="W133" s="36">
        <f>SUM('дод 2'!X199)</f>
        <v>0</v>
      </c>
      <c r="X133" s="36">
        <f>SUM('дод 2'!Y199)</f>
        <v>0</v>
      </c>
      <c r="Y133" s="192" t="e">
        <f t="shared" si="41"/>
        <v>#DIV/0!</v>
      </c>
      <c r="Z133" s="36">
        <f>SUM('дод 2'!AA199)</f>
        <v>0</v>
      </c>
      <c r="AA133" s="36">
        <f>SUM('дод 2'!AB199)</f>
        <v>0</v>
      </c>
      <c r="AB133" s="239"/>
    </row>
    <row r="134" spans="1:28" s="62" customFormat="1" ht="31.35" customHeight="1" x14ac:dyDescent="0.25">
      <c r="A134" s="34" t="s">
        <v>87</v>
      </c>
      <c r="B134" s="34" t="s">
        <v>85</v>
      </c>
      <c r="C134" s="25" t="s">
        <v>25</v>
      </c>
      <c r="D134" s="36">
        <f>'дод 2'!E200</f>
        <v>141200</v>
      </c>
      <c r="E134" s="36">
        <f>'дод 2'!F200</f>
        <v>141200</v>
      </c>
      <c r="F134" s="36">
        <f>'дод 2'!G200</f>
        <v>0</v>
      </c>
      <c r="G134" s="36">
        <f>'дод 2'!H200</f>
        <v>0</v>
      </c>
      <c r="H134" s="36">
        <f>'дод 2'!I200</f>
        <v>0</v>
      </c>
      <c r="I134" s="36">
        <f>'дод 2'!J200</f>
        <v>126638.56</v>
      </c>
      <c r="J134" s="36">
        <f>'дод 2'!K200</f>
        <v>0</v>
      </c>
      <c r="K134" s="36">
        <f>'дод 2'!L200</f>
        <v>0</v>
      </c>
      <c r="L134" s="192">
        <f t="shared" si="40"/>
        <v>89.687365439093483</v>
      </c>
      <c r="M134" s="36">
        <f>'дод 2'!N200</f>
        <v>0</v>
      </c>
      <c r="N134" s="36">
        <f>'дод 2'!O200</f>
        <v>0</v>
      </c>
      <c r="O134" s="36">
        <f>'дод 2'!P200</f>
        <v>0</v>
      </c>
      <c r="P134" s="36">
        <f>'дод 2'!Q200</f>
        <v>0</v>
      </c>
      <c r="Q134" s="36">
        <f>'дод 2'!R200</f>
        <v>0</v>
      </c>
      <c r="R134" s="36">
        <f>'дод 2'!S200</f>
        <v>0</v>
      </c>
      <c r="S134" s="36">
        <f>'дод 2'!T200</f>
        <v>884016.45</v>
      </c>
      <c r="T134" s="36">
        <f>'дод 2'!U200</f>
        <v>0</v>
      </c>
      <c r="U134" s="36">
        <f>'дод 2'!V200</f>
        <v>884016.45</v>
      </c>
      <c r="V134" s="36">
        <f>'дод 2'!W200</f>
        <v>0</v>
      </c>
      <c r="W134" s="36">
        <f>'дод 2'!X200</f>
        <v>0</v>
      </c>
      <c r="X134" s="36">
        <f>'дод 2'!Y200</f>
        <v>0</v>
      </c>
      <c r="Y134" s="192" t="e">
        <f t="shared" si="41"/>
        <v>#DIV/0!</v>
      </c>
      <c r="Z134" s="36">
        <f>'дод 2'!AA200</f>
        <v>1010655.01</v>
      </c>
      <c r="AA134" s="36">
        <f>'дод 2'!AB200</f>
        <v>141200</v>
      </c>
      <c r="AB134" s="239"/>
    </row>
    <row r="135" spans="1:28" s="62" customFormat="1" ht="47.25" x14ac:dyDescent="0.25">
      <c r="A135" s="34">
        <v>3114</v>
      </c>
      <c r="B135" s="34">
        <v>1040</v>
      </c>
      <c r="C135" s="25" t="s">
        <v>431</v>
      </c>
      <c r="D135" s="36">
        <f>'дод 2'!E201</f>
        <v>151000</v>
      </c>
      <c r="E135" s="36">
        <f>'дод 2'!F201</f>
        <v>151000</v>
      </c>
      <c r="F135" s="36">
        <f>'дод 2'!G201</f>
        <v>0</v>
      </c>
      <c r="G135" s="36">
        <f>'дод 2'!H201</f>
        <v>0</v>
      </c>
      <c r="H135" s="36">
        <f>'дод 2'!I201</f>
        <v>0</v>
      </c>
      <c r="I135" s="36">
        <f>'дод 2'!J201</f>
        <v>77036.429999999993</v>
      </c>
      <c r="J135" s="36">
        <f>'дод 2'!K201</f>
        <v>0</v>
      </c>
      <c r="K135" s="36">
        <f>'дод 2'!L201</f>
        <v>0</v>
      </c>
      <c r="L135" s="192">
        <f t="shared" si="40"/>
        <v>51.017503311258274</v>
      </c>
      <c r="M135" s="36">
        <f>'дод 2'!N201</f>
        <v>0</v>
      </c>
      <c r="N135" s="36">
        <f>'дод 2'!O201</f>
        <v>0</v>
      </c>
      <c r="O135" s="36">
        <f>'дод 2'!P201</f>
        <v>0</v>
      </c>
      <c r="P135" s="36">
        <f>'дод 2'!Q201</f>
        <v>0</v>
      </c>
      <c r="Q135" s="36">
        <f>'дод 2'!R201</f>
        <v>0</v>
      </c>
      <c r="R135" s="36">
        <f>'дод 2'!S201</f>
        <v>0</v>
      </c>
      <c r="S135" s="36">
        <f>'дод 2'!T201</f>
        <v>0</v>
      </c>
      <c r="T135" s="36">
        <f>'дод 2'!U201</f>
        <v>0</v>
      </c>
      <c r="U135" s="36">
        <f>'дод 2'!V201</f>
        <v>0</v>
      </c>
      <c r="V135" s="36">
        <f>'дод 2'!W201</f>
        <v>0</v>
      </c>
      <c r="W135" s="36">
        <f>'дод 2'!X201</f>
        <v>0</v>
      </c>
      <c r="X135" s="36">
        <f>'дод 2'!Y201</f>
        <v>0</v>
      </c>
      <c r="Y135" s="192" t="e">
        <f t="shared" si="41"/>
        <v>#DIV/0!</v>
      </c>
      <c r="Z135" s="36">
        <f>'дод 2'!AA201</f>
        <v>77036.429999999993</v>
      </c>
      <c r="AA135" s="36">
        <f>'дод 2'!AB201</f>
        <v>151000</v>
      </c>
      <c r="AB135" s="239"/>
    </row>
    <row r="136" spans="1:28" s="62" customFormat="1" ht="78.75" x14ac:dyDescent="0.25">
      <c r="A136" s="34" t="s">
        <v>105</v>
      </c>
      <c r="B136" s="34" t="s">
        <v>85</v>
      </c>
      <c r="C136" s="51" t="s">
        <v>548</v>
      </c>
      <c r="D136" s="36">
        <f>'дод 2'!E175</f>
        <v>6515590</v>
      </c>
      <c r="E136" s="36">
        <f>'дод 2'!F175</f>
        <v>6515590</v>
      </c>
      <c r="F136" s="36">
        <f>'дод 2'!G175</f>
        <v>4446400</v>
      </c>
      <c r="G136" s="36">
        <f>'дод 2'!H175</f>
        <v>402100</v>
      </c>
      <c r="H136" s="36">
        <f>'дод 2'!I175</f>
        <v>0</v>
      </c>
      <c r="I136" s="36">
        <f>'дод 2'!J175</f>
        <v>6323355.0300000003</v>
      </c>
      <c r="J136" s="36">
        <f>'дод 2'!K175</f>
        <v>4446332.92</v>
      </c>
      <c r="K136" s="36">
        <f>'дод 2'!L175</f>
        <v>329398.5</v>
      </c>
      <c r="L136" s="192">
        <f t="shared" si="40"/>
        <v>97.049615307286061</v>
      </c>
      <c r="M136" s="36">
        <f>'дод 2'!N175</f>
        <v>0</v>
      </c>
      <c r="N136" s="36">
        <f>'дод 2'!O175</f>
        <v>0</v>
      </c>
      <c r="O136" s="36">
        <f>'дод 2'!P175</f>
        <v>0</v>
      </c>
      <c r="P136" s="36">
        <f>'дод 2'!Q175</f>
        <v>0</v>
      </c>
      <c r="Q136" s="36">
        <f>'дод 2'!R175</f>
        <v>0</v>
      </c>
      <c r="R136" s="36">
        <f>'дод 2'!S175</f>
        <v>0</v>
      </c>
      <c r="S136" s="36">
        <f>'дод 2'!T175</f>
        <v>2813457.91</v>
      </c>
      <c r="T136" s="36">
        <f>'дод 2'!U175</f>
        <v>0</v>
      </c>
      <c r="U136" s="36">
        <f>'дод 2'!V175</f>
        <v>424298.7</v>
      </c>
      <c r="V136" s="36">
        <f>'дод 2'!W175</f>
        <v>0</v>
      </c>
      <c r="W136" s="36">
        <f>'дод 2'!X175</f>
        <v>0</v>
      </c>
      <c r="X136" s="36">
        <f>'дод 2'!Y175</f>
        <v>2389159.21</v>
      </c>
      <c r="Y136" s="192" t="e">
        <f t="shared" si="41"/>
        <v>#DIV/0!</v>
      </c>
      <c r="Z136" s="36">
        <f>'дод 2'!AA175</f>
        <v>9136812.9400000013</v>
      </c>
      <c r="AA136" s="36">
        <f>'дод 2'!AB175</f>
        <v>6515590</v>
      </c>
      <c r="AB136" s="239"/>
    </row>
    <row r="137" spans="1:28" s="62" customFormat="1" ht="22.5" customHeight="1" x14ac:dyDescent="0.25">
      <c r="A137" s="34"/>
      <c r="B137" s="34"/>
      <c r="C137" s="50" t="s">
        <v>281</v>
      </c>
      <c r="D137" s="41">
        <f>'дод 2'!E176</f>
        <v>1200</v>
      </c>
      <c r="E137" s="41">
        <f>'дод 2'!F176</f>
        <v>1200</v>
      </c>
      <c r="F137" s="41">
        <f>'дод 2'!G176</f>
        <v>0</v>
      </c>
      <c r="G137" s="41">
        <f>'дод 2'!H176</f>
        <v>0</v>
      </c>
      <c r="H137" s="41">
        <f>'дод 2'!I176</f>
        <v>0</v>
      </c>
      <c r="I137" s="41">
        <f>'дод 2'!J176</f>
        <v>1050</v>
      </c>
      <c r="J137" s="41">
        <f>'дод 2'!K176</f>
        <v>0</v>
      </c>
      <c r="K137" s="41">
        <f>'дод 2'!L176</f>
        <v>0</v>
      </c>
      <c r="L137" s="194">
        <f t="shared" si="40"/>
        <v>87.5</v>
      </c>
      <c r="M137" s="41">
        <f>'дод 2'!N176</f>
        <v>0</v>
      </c>
      <c r="N137" s="41">
        <f>'дод 2'!O176</f>
        <v>0</v>
      </c>
      <c r="O137" s="41">
        <f>'дод 2'!P176</f>
        <v>0</v>
      </c>
      <c r="P137" s="41">
        <f>'дод 2'!Q176</f>
        <v>0</v>
      </c>
      <c r="Q137" s="41">
        <f>'дод 2'!R176</f>
        <v>0</v>
      </c>
      <c r="R137" s="41">
        <f>'дод 2'!S176</f>
        <v>0</v>
      </c>
      <c r="S137" s="41">
        <f>'дод 2'!T176</f>
        <v>0</v>
      </c>
      <c r="T137" s="41">
        <f>'дод 2'!U176</f>
        <v>0</v>
      </c>
      <c r="U137" s="41">
        <f>'дод 2'!V176</f>
        <v>0</v>
      </c>
      <c r="V137" s="41">
        <f>'дод 2'!W176</f>
        <v>0</v>
      </c>
      <c r="W137" s="41">
        <f>'дод 2'!X176</f>
        <v>0</v>
      </c>
      <c r="X137" s="41">
        <f>'дод 2'!Y176</f>
        <v>0</v>
      </c>
      <c r="Y137" s="194" t="e">
        <f t="shared" si="41"/>
        <v>#DIV/0!</v>
      </c>
      <c r="Z137" s="41">
        <f>'дод 2'!AA176</f>
        <v>1050</v>
      </c>
      <c r="AA137" s="41">
        <f>'дод 2'!AB176</f>
        <v>1200</v>
      </c>
      <c r="AB137" s="239"/>
    </row>
    <row r="138" spans="1:28" s="62" customFormat="1" ht="44.65" customHeight="1" x14ac:dyDescent="0.25">
      <c r="A138" s="34" t="s">
        <v>90</v>
      </c>
      <c r="B138" s="34" t="s">
        <v>85</v>
      </c>
      <c r="C138" s="25" t="s">
        <v>262</v>
      </c>
      <c r="D138" s="36">
        <f>'дод 2'!E23</f>
        <v>410000</v>
      </c>
      <c r="E138" s="36">
        <f>'дод 2'!F23</f>
        <v>410000</v>
      </c>
      <c r="F138" s="36">
        <f>'дод 2'!G23</f>
        <v>0</v>
      </c>
      <c r="G138" s="36">
        <f>'дод 2'!H23</f>
        <v>0</v>
      </c>
      <c r="H138" s="36">
        <f>'дод 2'!I23</f>
        <v>0</v>
      </c>
      <c r="I138" s="36">
        <f>'дод 2'!J23</f>
        <v>356693.69</v>
      </c>
      <c r="J138" s="36">
        <f>'дод 2'!K23</f>
        <v>0</v>
      </c>
      <c r="K138" s="36">
        <f>'дод 2'!L23</f>
        <v>0</v>
      </c>
      <c r="L138" s="192">
        <f t="shared" si="40"/>
        <v>86.99846097560976</v>
      </c>
      <c r="M138" s="36">
        <f>'дод 2'!N23</f>
        <v>0</v>
      </c>
      <c r="N138" s="36">
        <f>'дод 2'!O23</f>
        <v>0</v>
      </c>
      <c r="O138" s="36">
        <f>'дод 2'!P23</f>
        <v>0</v>
      </c>
      <c r="P138" s="36">
        <f>'дод 2'!Q23</f>
        <v>0</v>
      </c>
      <c r="Q138" s="36">
        <f>'дод 2'!R23</f>
        <v>0</v>
      </c>
      <c r="R138" s="36">
        <f>'дод 2'!S23</f>
        <v>0</v>
      </c>
      <c r="S138" s="36">
        <f>'дод 2'!T23</f>
        <v>0</v>
      </c>
      <c r="T138" s="36">
        <f>'дод 2'!U23</f>
        <v>0</v>
      </c>
      <c r="U138" s="36">
        <f>'дод 2'!V23</f>
        <v>0</v>
      </c>
      <c r="V138" s="36">
        <f>'дод 2'!W23</f>
        <v>0</v>
      </c>
      <c r="W138" s="36">
        <f>'дод 2'!X23</f>
        <v>0</v>
      </c>
      <c r="X138" s="36">
        <f>'дод 2'!Y23</f>
        <v>0</v>
      </c>
      <c r="Y138" s="192" t="e">
        <f t="shared" si="41"/>
        <v>#DIV/0!</v>
      </c>
      <c r="Z138" s="36">
        <f>'дод 2'!AA23</f>
        <v>356693.69</v>
      </c>
      <c r="AA138" s="36">
        <f>'дод 2'!AB23</f>
        <v>410000</v>
      </c>
      <c r="AB138" s="239"/>
    </row>
    <row r="139" spans="1:28" s="62" customFormat="1" ht="47.25" x14ac:dyDescent="0.25">
      <c r="A139" s="34">
        <v>3133</v>
      </c>
      <c r="B139" s="34">
        <v>1040</v>
      </c>
      <c r="C139" s="25" t="s">
        <v>413</v>
      </c>
      <c r="D139" s="36">
        <f>'дод 2'!E24</f>
        <v>5797716</v>
      </c>
      <c r="E139" s="36">
        <f>'дод 2'!F24</f>
        <v>5797716</v>
      </c>
      <c r="F139" s="36">
        <f>'дод 2'!G24</f>
        <v>3321700</v>
      </c>
      <c r="G139" s="36">
        <f>'дод 2'!H24</f>
        <v>778500</v>
      </c>
      <c r="H139" s="36">
        <f>'дод 2'!I24</f>
        <v>0</v>
      </c>
      <c r="I139" s="36">
        <f>'дод 2'!J24</f>
        <v>5598592.1600000001</v>
      </c>
      <c r="J139" s="36">
        <f>'дод 2'!K24</f>
        <v>3321065.6</v>
      </c>
      <c r="K139" s="36">
        <f>'дод 2'!L24</f>
        <v>685965.93</v>
      </c>
      <c r="L139" s="192">
        <f t="shared" si="40"/>
        <v>96.565477853692727</v>
      </c>
      <c r="M139" s="36">
        <f>'дод 2'!N24</f>
        <v>126984</v>
      </c>
      <c r="N139" s="36">
        <f>'дод 2'!O24</f>
        <v>116984</v>
      </c>
      <c r="O139" s="36">
        <f>'дод 2'!P24</f>
        <v>10000</v>
      </c>
      <c r="P139" s="36">
        <f>'дод 2'!Q24</f>
        <v>2000</v>
      </c>
      <c r="Q139" s="36">
        <f>'дод 2'!R24</f>
        <v>3810</v>
      </c>
      <c r="R139" s="36">
        <f>'дод 2'!S24</f>
        <v>116984</v>
      </c>
      <c r="S139" s="36">
        <f>'дод 2'!T24</f>
        <v>8685</v>
      </c>
      <c r="T139" s="36">
        <f>'дод 2'!U24</f>
        <v>0</v>
      </c>
      <c r="U139" s="36">
        <f>'дод 2'!V24</f>
        <v>8685</v>
      </c>
      <c r="V139" s="36">
        <f>'дод 2'!W24</f>
        <v>0</v>
      </c>
      <c r="W139" s="36">
        <f>'дод 2'!X24</f>
        <v>0</v>
      </c>
      <c r="X139" s="36">
        <f>'дод 2'!Y24</f>
        <v>0</v>
      </c>
      <c r="Y139" s="192">
        <f t="shared" si="41"/>
        <v>6.8394443394443396</v>
      </c>
      <c r="Z139" s="36">
        <f>'дод 2'!AA24</f>
        <v>5607277.1600000001</v>
      </c>
      <c r="AA139" s="36">
        <f>'дод 2'!AB24</f>
        <v>5924700</v>
      </c>
      <c r="AB139" s="239"/>
    </row>
    <row r="140" spans="1:28" s="63" customFormat="1" ht="54.75" customHeight="1" x14ac:dyDescent="0.25">
      <c r="A140" s="34">
        <v>3140</v>
      </c>
      <c r="B140" s="34">
        <v>1040</v>
      </c>
      <c r="C140" s="25" t="s">
        <v>370</v>
      </c>
      <c r="D140" s="36">
        <f>'дод 2'!E177</f>
        <v>2000000</v>
      </c>
      <c r="E140" s="36">
        <f>'дод 2'!F177</f>
        <v>2000000</v>
      </c>
      <c r="F140" s="36">
        <f>'дод 2'!G177</f>
        <v>0</v>
      </c>
      <c r="G140" s="36">
        <f>'дод 2'!H177</f>
        <v>0</v>
      </c>
      <c r="H140" s="36">
        <f>'дод 2'!I177</f>
        <v>0</v>
      </c>
      <c r="I140" s="36">
        <f>'дод 2'!J177</f>
        <v>1999200</v>
      </c>
      <c r="J140" s="36">
        <f>'дод 2'!K177</f>
        <v>0</v>
      </c>
      <c r="K140" s="36">
        <f>'дод 2'!L177</f>
        <v>0</v>
      </c>
      <c r="L140" s="192">
        <f t="shared" si="40"/>
        <v>99.960000000000008</v>
      </c>
      <c r="M140" s="36">
        <f>'дод 2'!N177</f>
        <v>0</v>
      </c>
      <c r="N140" s="36">
        <f>'дод 2'!O177</f>
        <v>0</v>
      </c>
      <c r="O140" s="36">
        <f>'дод 2'!P177</f>
        <v>0</v>
      </c>
      <c r="P140" s="36">
        <f>'дод 2'!Q177</f>
        <v>0</v>
      </c>
      <c r="Q140" s="36">
        <f>'дод 2'!R177</f>
        <v>0</v>
      </c>
      <c r="R140" s="36">
        <f>'дод 2'!S177</f>
        <v>0</v>
      </c>
      <c r="S140" s="36">
        <f>'дод 2'!T177</f>
        <v>0</v>
      </c>
      <c r="T140" s="36">
        <f>'дод 2'!U177</f>
        <v>0</v>
      </c>
      <c r="U140" s="36">
        <f>'дод 2'!V177</f>
        <v>0</v>
      </c>
      <c r="V140" s="36">
        <f>'дод 2'!W177</f>
        <v>0</v>
      </c>
      <c r="W140" s="36">
        <f>'дод 2'!X177</f>
        <v>0</v>
      </c>
      <c r="X140" s="36">
        <f>'дод 2'!Y177</f>
        <v>0</v>
      </c>
      <c r="Y140" s="192" t="e">
        <f t="shared" si="41"/>
        <v>#DIV/0!</v>
      </c>
      <c r="Z140" s="36">
        <f>'дод 2'!AA177</f>
        <v>1999200</v>
      </c>
      <c r="AA140" s="36">
        <f>'дод 2'!AB177</f>
        <v>2000000</v>
      </c>
      <c r="AB140" s="239"/>
    </row>
    <row r="141" spans="1:28" ht="66" customHeight="1" x14ac:dyDescent="0.25">
      <c r="A141" s="34" t="s">
        <v>91</v>
      </c>
      <c r="B141" s="34">
        <v>1010</v>
      </c>
      <c r="C141" s="25" t="s">
        <v>366</v>
      </c>
      <c r="D141" s="36">
        <f>'дод 2'!E178</f>
        <v>18194129</v>
      </c>
      <c r="E141" s="36">
        <f>'дод 2'!F178</f>
        <v>18194129</v>
      </c>
      <c r="F141" s="36">
        <f>'дод 2'!G178</f>
        <v>0</v>
      </c>
      <c r="G141" s="36">
        <f>'дод 2'!H178</f>
        <v>0</v>
      </c>
      <c r="H141" s="36">
        <f>'дод 2'!I178</f>
        <v>0</v>
      </c>
      <c r="I141" s="36">
        <f>'дод 2'!J178</f>
        <v>18131540.300000001</v>
      </c>
      <c r="J141" s="36">
        <f>'дод 2'!K178</f>
        <v>0</v>
      </c>
      <c r="K141" s="36">
        <f>'дод 2'!L178</f>
        <v>0</v>
      </c>
      <c r="L141" s="192">
        <f t="shared" si="40"/>
        <v>99.655995074015365</v>
      </c>
      <c r="M141" s="36">
        <f>'дод 2'!N178</f>
        <v>0</v>
      </c>
      <c r="N141" s="36">
        <f>'дод 2'!O178</f>
        <v>0</v>
      </c>
      <c r="O141" s="36">
        <f>'дод 2'!P178</f>
        <v>0</v>
      </c>
      <c r="P141" s="36">
        <f>'дод 2'!Q178</f>
        <v>0</v>
      </c>
      <c r="Q141" s="36">
        <f>'дод 2'!R178</f>
        <v>0</v>
      </c>
      <c r="R141" s="36">
        <f>'дод 2'!S178</f>
        <v>0</v>
      </c>
      <c r="S141" s="36">
        <f>'дод 2'!T178</f>
        <v>0</v>
      </c>
      <c r="T141" s="36">
        <f>'дод 2'!U178</f>
        <v>0</v>
      </c>
      <c r="U141" s="36">
        <f>'дод 2'!V178</f>
        <v>0</v>
      </c>
      <c r="V141" s="36">
        <f>'дод 2'!W178</f>
        <v>0</v>
      </c>
      <c r="W141" s="36">
        <f>'дод 2'!X178</f>
        <v>0</v>
      </c>
      <c r="X141" s="36">
        <f>'дод 2'!Y178</f>
        <v>0</v>
      </c>
      <c r="Y141" s="192" t="e">
        <f t="shared" si="41"/>
        <v>#DIV/0!</v>
      </c>
      <c r="Z141" s="36">
        <f>'дод 2'!AA178</f>
        <v>18131540.300000001</v>
      </c>
      <c r="AA141" s="36">
        <f>'дод 2'!AB178</f>
        <v>18194129</v>
      </c>
      <c r="AB141" s="239"/>
    </row>
    <row r="142" spans="1:28" ht="78.75" x14ac:dyDescent="0.25">
      <c r="A142" s="34"/>
      <c r="B142" s="34"/>
      <c r="C142" s="24" t="s">
        <v>385</v>
      </c>
      <c r="D142" s="36">
        <f>'дод 2'!E179</f>
        <v>18184929</v>
      </c>
      <c r="E142" s="36">
        <f>'дод 2'!F179</f>
        <v>18184929</v>
      </c>
      <c r="F142" s="36">
        <f>'дод 2'!G179</f>
        <v>0</v>
      </c>
      <c r="G142" s="36">
        <f>'дод 2'!H179</f>
        <v>0</v>
      </c>
      <c r="H142" s="36">
        <f>'дод 2'!I179</f>
        <v>0</v>
      </c>
      <c r="I142" s="36">
        <f>'дод 2'!J179</f>
        <v>18122860.280000001</v>
      </c>
      <c r="J142" s="36">
        <f>'дод 2'!K179</f>
        <v>0</v>
      </c>
      <c r="K142" s="36">
        <f>'дод 2'!L179</f>
        <v>0</v>
      </c>
      <c r="L142" s="192">
        <f t="shared" si="40"/>
        <v>99.658680438070462</v>
      </c>
      <c r="M142" s="36">
        <f>'дод 2'!N179</f>
        <v>0</v>
      </c>
      <c r="N142" s="36">
        <f>'дод 2'!O179</f>
        <v>0</v>
      </c>
      <c r="O142" s="36">
        <f>'дод 2'!P179</f>
        <v>0</v>
      </c>
      <c r="P142" s="36">
        <f>'дод 2'!Q179</f>
        <v>0</v>
      </c>
      <c r="Q142" s="36">
        <f>'дод 2'!R179</f>
        <v>0</v>
      </c>
      <c r="R142" s="36">
        <f>'дод 2'!S179</f>
        <v>0</v>
      </c>
      <c r="S142" s="36">
        <f>'дод 2'!T179</f>
        <v>0</v>
      </c>
      <c r="T142" s="36">
        <f>'дод 2'!U179</f>
        <v>0</v>
      </c>
      <c r="U142" s="36">
        <f>'дод 2'!V179</f>
        <v>0</v>
      </c>
      <c r="V142" s="36">
        <f>'дод 2'!W179</f>
        <v>0</v>
      </c>
      <c r="W142" s="36">
        <f>'дод 2'!X179</f>
        <v>0</v>
      </c>
      <c r="X142" s="36">
        <f>'дод 2'!Y179</f>
        <v>0</v>
      </c>
      <c r="Y142" s="192" t="e">
        <f t="shared" si="41"/>
        <v>#DIV/0!</v>
      </c>
      <c r="Z142" s="36">
        <f>'дод 2'!AA179</f>
        <v>18122860.280000001</v>
      </c>
      <c r="AA142" s="36">
        <f>'дод 2'!AB179</f>
        <v>18184929</v>
      </c>
      <c r="AB142" s="239"/>
    </row>
    <row r="143" spans="1:28" ht="51.75" customHeight="1" x14ac:dyDescent="0.25">
      <c r="A143" s="34" t="s">
        <v>410</v>
      </c>
      <c r="B143" s="34">
        <v>1010</v>
      </c>
      <c r="C143" s="25" t="s">
        <v>411</v>
      </c>
      <c r="D143" s="36">
        <f>'дод 2'!E180</f>
        <v>190117</v>
      </c>
      <c r="E143" s="36">
        <f>'дод 2'!F180</f>
        <v>190117</v>
      </c>
      <c r="F143" s="36">
        <f>'дод 2'!G180</f>
        <v>0</v>
      </c>
      <c r="G143" s="36">
        <f>'дод 2'!H180</f>
        <v>0</v>
      </c>
      <c r="H143" s="36">
        <f>'дод 2'!I180</f>
        <v>0</v>
      </c>
      <c r="I143" s="36">
        <f>'дод 2'!J180</f>
        <v>178591.98</v>
      </c>
      <c r="J143" s="36">
        <f>'дод 2'!K180</f>
        <v>0</v>
      </c>
      <c r="K143" s="36">
        <f>'дод 2'!L180</f>
        <v>0</v>
      </c>
      <c r="L143" s="192">
        <f t="shared" si="40"/>
        <v>93.937932957073812</v>
      </c>
      <c r="M143" s="36">
        <f>'дод 2'!N180</f>
        <v>0</v>
      </c>
      <c r="N143" s="36">
        <f>'дод 2'!O180</f>
        <v>0</v>
      </c>
      <c r="O143" s="36">
        <f>'дод 2'!P180</f>
        <v>0</v>
      </c>
      <c r="P143" s="36">
        <f>'дод 2'!Q180</f>
        <v>0</v>
      </c>
      <c r="Q143" s="36">
        <f>'дод 2'!R180</f>
        <v>0</v>
      </c>
      <c r="R143" s="36">
        <f>'дод 2'!S180</f>
        <v>0</v>
      </c>
      <c r="S143" s="36">
        <f>'дод 2'!T180</f>
        <v>0</v>
      </c>
      <c r="T143" s="36">
        <f>'дод 2'!U180</f>
        <v>0</v>
      </c>
      <c r="U143" s="36">
        <f>'дод 2'!V180</f>
        <v>0</v>
      </c>
      <c r="V143" s="36">
        <f>'дод 2'!W180</f>
        <v>0</v>
      </c>
      <c r="W143" s="36">
        <f>'дод 2'!X180</f>
        <v>0</v>
      </c>
      <c r="X143" s="36">
        <f>'дод 2'!Y180</f>
        <v>0</v>
      </c>
      <c r="Y143" s="192" t="e">
        <f t="shared" si="41"/>
        <v>#DIV/0!</v>
      </c>
      <c r="Z143" s="36">
        <f>'дод 2'!AA180</f>
        <v>178591.98</v>
      </c>
      <c r="AA143" s="36">
        <f>'дод 2'!AB180</f>
        <v>190117</v>
      </c>
      <c r="AB143" s="239"/>
    </row>
    <row r="144" spans="1:28" s="62" customFormat="1" ht="18.75" customHeight="1" x14ac:dyDescent="0.25">
      <c r="A144" s="40"/>
      <c r="B144" s="40"/>
      <c r="C144" s="50" t="s">
        <v>281</v>
      </c>
      <c r="D144" s="41">
        <f>'дод 2'!E181</f>
        <v>190117</v>
      </c>
      <c r="E144" s="41">
        <f>'дод 2'!F181</f>
        <v>190117</v>
      </c>
      <c r="F144" s="41">
        <f>'дод 2'!G181</f>
        <v>0</v>
      </c>
      <c r="G144" s="41">
        <f>'дод 2'!H181</f>
        <v>0</v>
      </c>
      <c r="H144" s="41">
        <f>'дод 2'!I181</f>
        <v>0</v>
      </c>
      <c r="I144" s="41">
        <f>'дод 2'!J181</f>
        <v>178591.98</v>
      </c>
      <c r="J144" s="41">
        <f>'дод 2'!K181</f>
        <v>0</v>
      </c>
      <c r="K144" s="41">
        <f>'дод 2'!L181</f>
        <v>0</v>
      </c>
      <c r="L144" s="194">
        <f t="shared" si="40"/>
        <v>93.937932957073812</v>
      </c>
      <c r="M144" s="41">
        <f>'дод 2'!N181</f>
        <v>0</v>
      </c>
      <c r="N144" s="41">
        <f>'дод 2'!O181</f>
        <v>0</v>
      </c>
      <c r="O144" s="41">
        <f>'дод 2'!P181</f>
        <v>0</v>
      </c>
      <c r="P144" s="41">
        <f>'дод 2'!Q181</f>
        <v>0</v>
      </c>
      <c r="Q144" s="41">
        <f>'дод 2'!R181</f>
        <v>0</v>
      </c>
      <c r="R144" s="41">
        <f>'дод 2'!S181</f>
        <v>0</v>
      </c>
      <c r="S144" s="41">
        <f>'дод 2'!T181</f>
        <v>0</v>
      </c>
      <c r="T144" s="41">
        <f>'дод 2'!U181</f>
        <v>0</v>
      </c>
      <c r="U144" s="41">
        <f>'дод 2'!V181</f>
        <v>0</v>
      </c>
      <c r="V144" s="41">
        <f>'дод 2'!W181</f>
        <v>0</v>
      </c>
      <c r="W144" s="41">
        <f>'дод 2'!X181</f>
        <v>0</v>
      </c>
      <c r="X144" s="41">
        <f>'дод 2'!Y181</f>
        <v>0</v>
      </c>
      <c r="Y144" s="194" t="e">
        <f t="shared" si="41"/>
        <v>#DIV/0!</v>
      </c>
      <c r="Z144" s="41">
        <f>'дод 2'!AA181</f>
        <v>178591.98</v>
      </c>
      <c r="AA144" s="41">
        <f>'дод 2'!AB181</f>
        <v>190117</v>
      </c>
      <c r="AB144" s="239"/>
    </row>
    <row r="145" spans="1:28" s="62" customFormat="1" ht="31.5" x14ac:dyDescent="0.25">
      <c r="A145" s="34" t="s">
        <v>223</v>
      </c>
      <c r="B145" s="34" t="s">
        <v>42</v>
      </c>
      <c r="C145" s="14" t="s">
        <v>589</v>
      </c>
      <c r="D145" s="36">
        <f>'дод 2'!E182</f>
        <v>34920307</v>
      </c>
      <c r="E145" s="36">
        <f>'дод 2'!F182</f>
        <v>34920307</v>
      </c>
      <c r="F145" s="36">
        <f>'дод 2'!G182</f>
        <v>0</v>
      </c>
      <c r="G145" s="36">
        <f>'дод 2'!H182</f>
        <v>0</v>
      </c>
      <c r="H145" s="36">
        <f>'дод 2'!I182</f>
        <v>0</v>
      </c>
      <c r="I145" s="36">
        <f>'дод 2'!J182</f>
        <v>34878511.630000003</v>
      </c>
      <c r="J145" s="36">
        <f>'дод 2'!K182</f>
        <v>0</v>
      </c>
      <c r="K145" s="36">
        <f>'дод 2'!L182</f>
        <v>0</v>
      </c>
      <c r="L145" s="192">
        <f t="shared" si="40"/>
        <v>99.880312134712909</v>
      </c>
      <c r="M145" s="36">
        <f>'дод 2'!N182</f>
        <v>0</v>
      </c>
      <c r="N145" s="36">
        <f>'дод 2'!O182</f>
        <v>0</v>
      </c>
      <c r="O145" s="36">
        <f>'дод 2'!P182</f>
        <v>0</v>
      </c>
      <c r="P145" s="36">
        <f>'дод 2'!Q182</f>
        <v>0</v>
      </c>
      <c r="Q145" s="36">
        <f>'дод 2'!R182</f>
        <v>0</v>
      </c>
      <c r="R145" s="36">
        <f>'дод 2'!S182</f>
        <v>0</v>
      </c>
      <c r="S145" s="36">
        <f>'дод 2'!T182</f>
        <v>0</v>
      </c>
      <c r="T145" s="36">
        <f>'дод 2'!U182</f>
        <v>0</v>
      </c>
      <c r="U145" s="36">
        <f>'дод 2'!V182</f>
        <v>0</v>
      </c>
      <c r="V145" s="36">
        <f>'дод 2'!W182</f>
        <v>0</v>
      </c>
      <c r="W145" s="36">
        <f>'дод 2'!X182</f>
        <v>0</v>
      </c>
      <c r="X145" s="36">
        <f>'дод 2'!Y182</f>
        <v>0</v>
      </c>
      <c r="Y145" s="192" t="e">
        <f t="shared" si="41"/>
        <v>#DIV/0!</v>
      </c>
      <c r="Z145" s="36">
        <f>'дод 2'!AA182</f>
        <v>34878511.630000003</v>
      </c>
      <c r="AA145" s="36">
        <f>'дод 2'!AB182</f>
        <v>34920307</v>
      </c>
      <c r="AB145" s="239"/>
    </row>
    <row r="146" spans="1:28" s="62" customFormat="1" ht="78.75" x14ac:dyDescent="0.25">
      <c r="A146" s="34"/>
      <c r="B146" s="34"/>
      <c r="C146" s="24" t="s">
        <v>385</v>
      </c>
      <c r="D146" s="41">
        <f>'дод 2'!E183</f>
        <v>1517729</v>
      </c>
      <c r="E146" s="41">
        <f>'дод 2'!F183</f>
        <v>1517729</v>
      </c>
      <c r="F146" s="41">
        <f>'дод 2'!G183</f>
        <v>0</v>
      </c>
      <c r="G146" s="41">
        <f>'дод 2'!H183</f>
        <v>0</v>
      </c>
      <c r="H146" s="41">
        <f>'дод 2'!I183</f>
        <v>0</v>
      </c>
      <c r="I146" s="41">
        <f>'дод 2'!J183</f>
        <v>1517729</v>
      </c>
      <c r="J146" s="41">
        <f>'дод 2'!K183</f>
        <v>0</v>
      </c>
      <c r="K146" s="41">
        <f>'дод 2'!L183</f>
        <v>0</v>
      </c>
      <c r="L146" s="194">
        <f t="shared" si="40"/>
        <v>100</v>
      </c>
      <c r="M146" s="41">
        <f>'дод 2'!N183</f>
        <v>0</v>
      </c>
      <c r="N146" s="41">
        <f>'дод 2'!O183</f>
        <v>0</v>
      </c>
      <c r="O146" s="41">
        <f>'дод 2'!P183</f>
        <v>0</v>
      </c>
      <c r="P146" s="41">
        <f>'дод 2'!Q183</f>
        <v>0</v>
      </c>
      <c r="Q146" s="41">
        <f>'дод 2'!R183</f>
        <v>0</v>
      </c>
      <c r="R146" s="41">
        <f>'дод 2'!S183</f>
        <v>0</v>
      </c>
      <c r="S146" s="41">
        <f>'дод 2'!T183</f>
        <v>0</v>
      </c>
      <c r="T146" s="41">
        <f>'дод 2'!U183</f>
        <v>0</v>
      </c>
      <c r="U146" s="41">
        <f>'дод 2'!V183</f>
        <v>0</v>
      </c>
      <c r="V146" s="41">
        <f>'дод 2'!W183</f>
        <v>0</v>
      </c>
      <c r="W146" s="41">
        <f>'дод 2'!X183</f>
        <v>0</v>
      </c>
      <c r="X146" s="41">
        <f>'дод 2'!Y183</f>
        <v>0</v>
      </c>
      <c r="Y146" s="194" t="e">
        <f t="shared" si="41"/>
        <v>#DIV/0!</v>
      </c>
      <c r="Z146" s="41">
        <f>'дод 2'!AA183</f>
        <v>1517729</v>
      </c>
      <c r="AA146" s="41">
        <f>'дод 2'!AB183</f>
        <v>1517729</v>
      </c>
      <c r="AB146" s="239"/>
    </row>
    <row r="147" spans="1:28" s="62" customFormat="1" ht="45" customHeight="1" x14ac:dyDescent="0.25">
      <c r="A147" s="34" t="s">
        <v>224</v>
      </c>
      <c r="B147" s="34" t="s">
        <v>42</v>
      </c>
      <c r="C147" s="14" t="s">
        <v>311</v>
      </c>
      <c r="D147" s="36">
        <f>'дод 2'!E184</f>
        <v>1998216</v>
      </c>
      <c r="E147" s="36">
        <f>'дод 2'!F184</f>
        <v>1998216</v>
      </c>
      <c r="F147" s="36">
        <f>'дод 2'!G184</f>
        <v>0</v>
      </c>
      <c r="G147" s="36">
        <f>'дод 2'!H184</f>
        <v>0</v>
      </c>
      <c r="H147" s="36">
        <f>'дод 2'!I184</f>
        <v>0</v>
      </c>
      <c r="I147" s="36">
        <f>'дод 2'!J184</f>
        <v>1994766.76</v>
      </c>
      <c r="J147" s="36">
        <f>'дод 2'!K184</f>
        <v>0</v>
      </c>
      <c r="K147" s="36">
        <f>'дод 2'!L184</f>
        <v>0</v>
      </c>
      <c r="L147" s="192">
        <f t="shared" ref="L147:L210" si="56">I147/D147*100</f>
        <v>99.827384026551684</v>
      </c>
      <c r="M147" s="36">
        <f>'дод 2'!N184</f>
        <v>0</v>
      </c>
      <c r="N147" s="36">
        <f>'дод 2'!O184</f>
        <v>0</v>
      </c>
      <c r="O147" s="36">
        <f>'дод 2'!P184</f>
        <v>0</v>
      </c>
      <c r="P147" s="36">
        <f>'дод 2'!Q184</f>
        <v>0</v>
      </c>
      <c r="Q147" s="36">
        <f>'дод 2'!R184</f>
        <v>0</v>
      </c>
      <c r="R147" s="36">
        <f>'дод 2'!S184</f>
        <v>0</v>
      </c>
      <c r="S147" s="36">
        <f>'дод 2'!T184</f>
        <v>0</v>
      </c>
      <c r="T147" s="36">
        <f>'дод 2'!U184</f>
        <v>0</v>
      </c>
      <c r="U147" s="36">
        <f>'дод 2'!V184</f>
        <v>0</v>
      </c>
      <c r="V147" s="36">
        <f>'дод 2'!W184</f>
        <v>0</v>
      </c>
      <c r="W147" s="36">
        <f>'дод 2'!X184</f>
        <v>0</v>
      </c>
      <c r="X147" s="36">
        <f>'дод 2'!Y184</f>
        <v>0</v>
      </c>
      <c r="Y147" s="192" t="e">
        <f t="shared" ref="Y147:Y210" si="57">S147/M147*100</f>
        <v>#DIV/0!</v>
      </c>
      <c r="Z147" s="36">
        <f>'дод 2'!AA184</f>
        <v>1994766.76</v>
      </c>
      <c r="AA147" s="36">
        <f>'дод 2'!AB184</f>
        <v>1998216</v>
      </c>
      <c r="AB147" s="239"/>
    </row>
    <row r="148" spans="1:28" s="62" customFormat="1" ht="61.5" customHeight="1" x14ac:dyDescent="0.25">
      <c r="A148" s="34">
        <v>3193</v>
      </c>
      <c r="B148" s="34">
        <v>1030</v>
      </c>
      <c r="C148" s="14" t="s">
        <v>459</v>
      </c>
      <c r="D148" s="36">
        <f>'дод 2'!E185+'дод 2'!E152</f>
        <v>1799383</v>
      </c>
      <c r="E148" s="36">
        <f>'дод 2'!F185+'дод 2'!F152</f>
        <v>1799383</v>
      </c>
      <c r="F148" s="36">
        <f>'дод 2'!G185+'дод 2'!G152</f>
        <v>996562</v>
      </c>
      <c r="G148" s="36">
        <f>'дод 2'!H185+'дод 2'!H152</f>
        <v>0</v>
      </c>
      <c r="H148" s="36">
        <f>'дод 2'!I185+'дод 2'!I152</f>
        <v>0</v>
      </c>
      <c r="I148" s="36">
        <f>'дод 2'!J185+'дод 2'!J152</f>
        <v>1151297.24</v>
      </c>
      <c r="J148" s="36">
        <f>'дод 2'!K185+'дод 2'!K152</f>
        <v>796325.89</v>
      </c>
      <c r="K148" s="36">
        <f>'дод 2'!L185+'дод 2'!L152</f>
        <v>0</v>
      </c>
      <c r="L148" s="192">
        <f t="shared" si="56"/>
        <v>63.982889690521695</v>
      </c>
      <c r="M148" s="36">
        <f>'дод 2'!N185+'дод 2'!N152</f>
        <v>0</v>
      </c>
      <c r="N148" s="36">
        <f>'дод 2'!O185+'дод 2'!O152</f>
        <v>0</v>
      </c>
      <c r="O148" s="36">
        <f>'дод 2'!P185+'дод 2'!P152</f>
        <v>0</v>
      </c>
      <c r="P148" s="36">
        <f>'дод 2'!Q185+'дод 2'!Q152</f>
        <v>0</v>
      </c>
      <c r="Q148" s="36">
        <f>'дод 2'!R185+'дод 2'!R152</f>
        <v>0</v>
      </c>
      <c r="R148" s="36">
        <f>'дод 2'!S185+'дод 2'!S152</f>
        <v>0</v>
      </c>
      <c r="S148" s="36">
        <f>'дод 2'!T185+'дод 2'!T152</f>
        <v>0</v>
      </c>
      <c r="T148" s="36">
        <f>'дод 2'!U185+'дод 2'!U152</f>
        <v>0</v>
      </c>
      <c r="U148" s="36">
        <f>'дод 2'!V185+'дод 2'!V152</f>
        <v>0</v>
      </c>
      <c r="V148" s="36">
        <f>'дод 2'!W185+'дод 2'!W152</f>
        <v>0</v>
      </c>
      <c r="W148" s="36">
        <f>'дод 2'!X185+'дод 2'!X152</f>
        <v>0</v>
      </c>
      <c r="X148" s="36">
        <f>'дод 2'!Y185+'дод 2'!Y152</f>
        <v>0</v>
      </c>
      <c r="Y148" s="192" t="e">
        <f t="shared" si="57"/>
        <v>#DIV/0!</v>
      </c>
      <c r="Z148" s="36">
        <f>'дод 2'!AA185+'дод 2'!AA152</f>
        <v>1151297.24</v>
      </c>
      <c r="AA148" s="36">
        <f>'дод 2'!AB185+'дод 2'!AB152</f>
        <v>1799383</v>
      </c>
      <c r="AB148" s="239"/>
    </row>
    <row r="149" spans="1:28" s="62" customFormat="1" ht="94.5" x14ac:dyDescent="0.25">
      <c r="A149" s="40"/>
      <c r="B149" s="40"/>
      <c r="C149" s="24" t="s">
        <v>460</v>
      </c>
      <c r="D149" s="41">
        <f>'дод 2'!E186+'дод 2'!E153</f>
        <v>1799383</v>
      </c>
      <c r="E149" s="41">
        <f>'дод 2'!F186+'дод 2'!F153</f>
        <v>1799383</v>
      </c>
      <c r="F149" s="41">
        <f>'дод 2'!G186+'дод 2'!G153</f>
        <v>996562</v>
      </c>
      <c r="G149" s="41">
        <f>'дод 2'!H186+'дод 2'!H153</f>
        <v>0</v>
      </c>
      <c r="H149" s="41">
        <f>'дод 2'!I186+'дод 2'!I153</f>
        <v>0</v>
      </c>
      <c r="I149" s="41">
        <f>'дод 2'!J186+'дод 2'!J153</f>
        <v>1151296.6399999999</v>
      </c>
      <c r="J149" s="41">
        <f>'дод 2'!K186+'дод 2'!K153</f>
        <v>796325.89</v>
      </c>
      <c r="K149" s="41">
        <f>'дод 2'!L186+'дод 2'!L153</f>
        <v>0</v>
      </c>
      <c r="L149" s="194">
        <f t="shared" si="56"/>
        <v>63.982856345758506</v>
      </c>
      <c r="M149" s="41">
        <f>'дод 2'!N186+'дод 2'!N153</f>
        <v>0</v>
      </c>
      <c r="N149" s="41">
        <f>'дод 2'!O186+'дод 2'!O153</f>
        <v>0</v>
      </c>
      <c r="O149" s="41">
        <f>'дод 2'!P186+'дод 2'!P153</f>
        <v>0</v>
      </c>
      <c r="P149" s="41">
        <f>'дод 2'!Q186+'дод 2'!Q153</f>
        <v>0</v>
      </c>
      <c r="Q149" s="41">
        <f>'дод 2'!R186+'дод 2'!R153</f>
        <v>0</v>
      </c>
      <c r="R149" s="41">
        <f>'дод 2'!S186+'дод 2'!S153</f>
        <v>0</v>
      </c>
      <c r="S149" s="41">
        <f>'дод 2'!T186+'дод 2'!T153</f>
        <v>0</v>
      </c>
      <c r="T149" s="41">
        <f>'дод 2'!U186+'дод 2'!U153</f>
        <v>0</v>
      </c>
      <c r="U149" s="41">
        <f>'дод 2'!V186+'дод 2'!V153</f>
        <v>0</v>
      </c>
      <c r="V149" s="41">
        <f>'дод 2'!W186+'дод 2'!W153</f>
        <v>0</v>
      </c>
      <c r="W149" s="41">
        <f>'дод 2'!X186+'дод 2'!X153</f>
        <v>0</v>
      </c>
      <c r="X149" s="41">
        <f>'дод 2'!Y186+'дод 2'!Y153</f>
        <v>0</v>
      </c>
      <c r="Y149" s="194" t="e">
        <f t="shared" si="57"/>
        <v>#DIV/0!</v>
      </c>
      <c r="Z149" s="41">
        <f>'дод 2'!AA186+'дод 2'!AA153</f>
        <v>1151296.6399999999</v>
      </c>
      <c r="AA149" s="41">
        <f>'дод 2'!AB186+'дод 2'!AB153</f>
        <v>1799383</v>
      </c>
      <c r="AB149" s="239"/>
    </row>
    <row r="150" spans="1:28" ht="36.75" customHeight="1" x14ac:dyDescent="0.25">
      <c r="A150" s="34" t="s">
        <v>88</v>
      </c>
      <c r="B150" s="34" t="s">
        <v>45</v>
      </c>
      <c r="C150" s="25" t="s">
        <v>263</v>
      </c>
      <c r="D150" s="36">
        <f>'дод 2'!E187</f>
        <v>107000</v>
      </c>
      <c r="E150" s="36">
        <f>'дод 2'!F187</f>
        <v>107000</v>
      </c>
      <c r="F150" s="36">
        <f>'дод 2'!G187</f>
        <v>0</v>
      </c>
      <c r="G150" s="36">
        <f>'дод 2'!H187</f>
        <v>0</v>
      </c>
      <c r="H150" s="36">
        <f>'дод 2'!I187</f>
        <v>0</v>
      </c>
      <c r="I150" s="36">
        <f>'дод 2'!J187</f>
        <v>106944.84</v>
      </c>
      <c r="J150" s="36">
        <f>'дод 2'!K187</f>
        <v>0</v>
      </c>
      <c r="K150" s="36">
        <f>'дод 2'!L187</f>
        <v>0</v>
      </c>
      <c r="L150" s="192">
        <f t="shared" si="56"/>
        <v>99.948448598130838</v>
      </c>
      <c r="M150" s="36">
        <f>'дод 2'!N187</f>
        <v>0</v>
      </c>
      <c r="N150" s="36">
        <f>'дод 2'!O187</f>
        <v>0</v>
      </c>
      <c r="O150" s="36">
        <f>'дод 2'!P187</f>
        <v>0</v>
      </c>
      <c r="P150" s="36">
        <f>'дод 2'!Q187</f>
        <v>0</v>
      </c>
      <c r="Q150" s="36">
        <f>'дод 2'!R187</f>
        <v>0</v>
      </c>
      <c r="R150" s="36">
        <f>'дод 2'!S187</f>
        <v>0</v>
      </c>
      <c r="S150" s="36">
        <f>'дод 2'!T187</f>
        <v>0</v>
      </c>
      <c r="T150" s="36">
        <f>'дод 2'!U187</f>
        <v>0</v>
      </c>
      <c r="U150" s="36">
        <f>'дод 2'!V187</f>
        <v>0</v>
      </c>
      <c r="V150" s="36">
        <f>'дод 2'!W187</f>
        <v>0</v>
      </c>
      <c r="W150" s="36">
        <f>'дод 2'!X187</f>
        <v>0</v>
      </c>
      <c r="X150" s="36">
        <f>'дод 2'!Y187</f>
        <v>0</v>
      </c>
      <c r="Y150" s="192" t="e">
        <f t="shared" si="57"/>
        <v>#DIV/0!</v>
      </c>
      <c r="Z150" s="36">
        <f>'дод 2'!AA187</f>
        <v>106944.84</v>
      </c>
      <c r="AA150" s="36">
        <f>'дод 2'!AB187</f>
        <v>107000</v>
      </c>
      <c r="AB150" s="239"/>
    </row>
    <row r="151" spans="1:28" ht="283.5" x14ac:dyDescent="0.25">
      <c r="A151" s="13">
        <v>3225</v>
      </c>
      <c r="B151" s="13">
        <v>1060</v>
      </c>
      <c r="C151" s="14" t="s">
        <v>533</v>
      </c>
      <c r="D151" s="36">
        <f>'дод 2'!E188</f>
        <v>0</v>
      </c>
      <c r="E151" s="36">
        <f>'дод 2'!F188</f>
        <v>0</v>
      </c>
      <c r="F151" s="36">
        <f>'дод 2'!G188</f>
        <v>0</v>
      </c>
      <c r="G151" s="36">
        <f>'дод 2'!H188</f>
        <v>0</v>
      </c>
      <c r="H151" s="36">
        <f>'дод 2'!I188</f>
        <v>0</v>
      </c>
      <c r="I151" s="36">
        <f>'дод 2'!J188</f>
        <v>0</v>
      </c>
      <c r="J151" s="36">
        <f>'дод 2'!K188</f>
        <v>0</v>
      </c>
      <c r="K151" s="36">
        <f>'дод 2'!L188</f>
        <v>0</v>
      </c>
      <c r="L151" s="192" t="e">
        <f t="shared" si="56"/>
        <v>#DIV/0!</v>
      </c>
      <c r="M151" s="36">
        <f>'дод 2'!N188</f>
        <v>24578417.789999999</v>
      </c>
      <c r="N151" s="36">
        <f>'дод 2'!O188</f>
        <v>24578417.789999999</v>
      </c>
      <c r="O151" s="36">
        <f>'дод 2'!P188</f>
        <v>0</v>
      </c>
      <c r="P151" s="36">
        <f>'дод 2'!Q188</f>
        <v>0</v>
      </c>
      <c r="Q151" s="36">
        <f>'дод 2'!R188</f>
        <v>0</v>
      </c>
      <c r="R151" s="36">
        <f>'дод 2'!S188</f>
        <v>24578417.789999999</v>
      </c>
      <c r="S151" s="36">
        <f>'дод 2'!T188</f>
        <v>24578417.789999999</v>
      </c>
      <c r="T151" s="36">
        <f>'дод 2'!U188</f>
        <v>24578417.789999999</v>
      </c>
      <c r="U151" s="36">
        <f>'дод 2'!V188</f>
        <v>0</v>
      </c>
      <c r="V151" s="36">
        <f>'дод 2'!W188</f>
        <v>0</v>
      </c>
      <c r="W151" s="36">
        <f>'дод 2'!X188</f>
        <v>0</v>
      </c>
      <c r="X151" s="36">
        <f>'дод 2'!Y188</f>
        <v>24578417.789999999</v>
      </c>
      <c r="Y151" s="192">
        <f t="shared" si="57"/>
        <v>100</v>
      </c>
      <c r="Z151" s="36">
        <f>'дод 2'!AA188</f>
        <v>24578417.789999999</v>
      </c>
      <c r="AA151" s="36">
        <f>'дод 2'!AB188</f>
        <v>24578417.789999999</v>
      </c>
      <c r="AB151" s="239"/>
    </row>
    <row r="152" spans="1:28" s="62" customFormat="1" ht="278.64999999999998" customHeight="1" x14ac:dyDescent="0.25">
      <c r="A152" s="21"/>
      <c r="B152" s="21"/>
      <c r="C152" s="24" t="s">
        <v>534</v>
      </c>
      <c r="D152" s="41">
        <f>'дод 2'!E189</f>
        <v>0</v>
      </c>
      <c r="E152" s="41">
        <f>'дод 2'!F189</f>
        <v>0</v>
      </c>
      <c r="F152" s="41">
        <f>'дод 2'!G189</f>
        <v>0</v>
      </c>
      <c r="G152" s="41">
        <f>'дод 2'!H189</f>
        <v>0</v>
      </c>
      <c r="H152" s="41">
        <f>'дод 2'!I189</f>
        <v>0</v>
      </c>
      <c r="I152" s="41">
        <f>'дод 2'!J189</f>
        <v>0</v>
      </c>
      <c r="J152" s="41">
        <f>'дод 2'!K189</f>
        <v>0</v>
      </c>
      <c r="K152" s="41">
        <f>'дод 2'!L189</f>
        <v>0</v>
      </c>
      <c r="L152" s="194" t="e">
        <f t="shared" si="56"/>
        <v>#DIV/0!</v>
      </c>
      <c r="M152" s="41">
        <f>'дод 2'!N189</f>
        <v>24578417.789999999</v>
      </c>
      <c r="N152" s="41">
        <f>'дод 2'!O189</f>
        <v>24578417.789999999</v>
      </c>
      <c r="O152" s="41">
        <f>'дод 2'!P189</f>
        <v>0</v>
      </c>
      <c r="P152" s="41">
        <f>'дод 2'!Q189</f>
        <v>0</v>
      </c>
      <c r="Q152" s="41">
        <f>'дод 2'!R189</f>
        <v>0</v>
      </c>
      <c r="R152" s="41">
        <f>'дод 2'!S189</f>
        <v>24578417.789999999</v>
      </c>
      <c r="S152" s="41">
        <f>'дод 2'!T189</f>
        <v>24578417.789999999</v>
      </c>
      <c r="T152" s="41">
        <f>'дод 2'!U189</f>
        <v>24578417.789999999</v>
      </c>
      <c r="U152" s="41">
        <f>'дод 2'!V189</f>
        <v>0</v>
      </c>
      <c r="V152" s="41">
        <f>'дод 2'!W189</f>
        <v>0</v>
      </c>
      <c r="W152" s="41">
        <f>'дод 2'!X189</f>
        <v>0</v>
      </c>
      <c r="X152" s="41">
        <f>'дод 2'!Y189</f>
        <v>24578417.789999999</v>
      </c>
      <c r="Y152" s="194">
        <f t="shared" si="57"/>
        <v>100</v>
      </c>
      <c r="Z152" s="41">
        <f>'дод 2'!AA189</f>
        <v>24578417.789999999</v>
      </c>
      <c r="AA152" s="41">
        <f>'дод 2'!AB189</f>
        <v>24578417.789999999</v>
      </c>
      <c r="AB152" s="239"/>
    </row>
    <row r="153" spans="1:28" ht="27" customHeight="1" x14ac:dyDescent="0.25">
      <c r="A153" s="34" t="s">
        <v>225</v>
      </c>
      <c r="B153" s="34" t="s">
        <v>89</v>
      </c>
      <c r="C153" s="25" t="s">
        <v>30</v>
      </c>
      <c r="D153" s="36">
        <f>'дод 2'!E222</f>
        <v>0</v>
      </c>
      <c r="E153" s="36">
        <f>'дод 2'!F222</f>
        <v>0</v>
      </c>
      <c r="F153" s="36">
        <f>'дод 2'!G222</f>
        <v>0</v>
      </c>
      <c r="G153" s="36">
        <f>'дод 2'!H222</f>
        <v>0</v>
      </c>
      <c r="H153" s="36">
        <f>'дод 2'!I222</f>
        <v>0</v>
      </c>
      <c r="I153" s="36">
        <f>'дод 2'!J222</f>
        <v>0</v>
      </c>
      <c r="J153" s="36">
        <f>'дод 2'!K222</f>
        <v>0</v>
      </c>
      <c r="K153" s="36">
        <f>'дод 2'!L222</f>
        <v>0</v>
      </c>
      <c r="L153" s="192" t="e">
        <f t="shared" si="56"/>
        <v>#DIV/0!</v>
      </c>
      <c r="M153" s="36">
        <f>'дод 2'!N222</f>
        <v>0</v>
      </c>
      <c r="N153" s="36">
        <f>'дод 2'!O222</f>
        <v>0</v>
      </c>
      <c r="O153" s="36">
        <f>'дод 2'!P222</f>
        <v>0</v>
      </c>
      <c r="P153" s="36">
        <f>'дод 2'!Q222</f>
        <v>0</v>
      </c>
      <c r="Q153" s="36">
        <f>'дод 2'!R222</f>
        <v>0</v>
      </c>
      <c r="R153" s="36">
        <f>'дод 2'!S222</f>
        <v>0</v>
      </c>
      <c r="S153" s="36">
        <f>'дод 2'!T222</f>
        <v>50000</v>
      </c>
      <c r="T153" s="36">
        <f>'дод 2'!U222</f>
        <v>0</v>
      </c>
      <c r="U153" s="36">
        <f>'дод 2'!V222</f>
        <v>50000</v>
      </c>
      <c r="V153" s="36">
        <f>'дод 2'!W222</f>
        <v>40983.599999999999</v>
      </c>
      <c r="W153" s="36">
        <f>'дод 2'!X222</f>
        <v>0</v>
      </c>
      <c r="X153" s="36">
        <f>'дод 2'!Y222</f>
        <v>0</v>
      </c>
      <c r="Y153" s="192" t="e">
        <f t="shared" si="57"/>
        <v>#DIV/0!</v>
      </c>
      <c r="Z153" s="36">
        <f>'дод 2'!AA222</f>
        <v>50000</v>
      </c>
      <c r="AA153" s="36">
        <f>'дод 2'!AB222</f>
        <v>0</v>
      </c>
      <c r="AB153" s="239"/>
    </row>
    <row r="154" spans="1:28" s="62" customFormat="1" ht="47.25" x14ac:dyDescent="0.25">
      <c r="A154" s="34" t="s">
        <v>226</v>
      </c>
      <c r="B154" s="34" t="s">
        <v>45</v>
      </c>
      <c r="C154" s="25" t="s">
        <v>454</v>
      </c>
      <c r="D154" s="36">
        <f>'дод 2'!E190</f>
        <v>7109400</v>
      </c>
      <c r="E154" s="36">
        <f>'дод 2'!F190</f>
        <v>7109400</v>
      </c>
      <c r="F154" s="36">
        <f>'дод 2'!G190</f>
        <v>3844800</v>
      </c>
      <c r="G154" s="36">
        <f>'дод 2'!H190</f>
        <v>562900</v>
      </c>
      <c r="H154" s="36">
        <f>'дод 2'!I190</f>
        <v>0</v>
      </c>
      <c r="I154" s="36">
        <f>'дод 2'!J190</f>
        <v>6420885.9000000004</v>
      </c>
      <c r="J154" s="36">
        <f>'дод 2'!K190</f>
        <v>3844794.19</v>
      </c>
      <c r="K154" s="36">
        <f>'дод 2'!L190</f>
        <v>477094.64</v>
      </c>
      <c r="L154" s="192">
        <f t="shared" si="56"/>
        <v>90.315440121529249</v>
      </c>
      <c r="M154" s="36">
        <f>'дод 2'!N190</f>
        <v>110000</v>
      </c>
      <c r="N154" s="36">
        <f>'дод 2'!O190</f>
        <v>110000</v>
      </c>
      <c r="O154" s="36">
        <f>'дод 2'!P190</f>
        <v>0</v>
      </c>
      <c r="P154" s="36">
        <f>'дод 2'!Q190</f>
        <v>0</v>
      </c>
      <c r="Q154" s="36">
        <f>'дод 2'!R190</f>
        <v>0</v>
      </c>
      <c r="R154" s="36">
        <f>'дод 2'!S190</f>
        <v>110000</v>
      </c>
      <c r="S154" s="36">
        <f>'дод 2'!T190</f>
        <v>293637.32999999996</v>
      </c>
      <c r="T154" s="36">
        <f>'дод 2'!U190</f>
        <v>107996</v>
      </c>
      <c r="U154" s="36">
        <f>'дод 2'!V190</f>
        <v>185641.33</v>
      </c>
      <c r="V154" s="36">
        <f>'дод 2'!W190</f>
        <v>0</v>
      </c>
      <c r="W154" s="36">
        <f>'дод 2'!X190</f>
        <v>0</v>
      </c>
      <c r="X154" s="36">
        <f>'дод 2'!Y190</f>
        <v>107996</v>
      </c>
      <c r="Y154" s="192">
        <f t="shared" si="57"/>
        <v>266.94302727272725</v>
      </c>
      <c r="Z154" s="36">
        <f>'дод 2'!AA190</f>
        <v>6714523.2300000004</v>
      </c>
      <c r="AA154" s="36">
        <f>'дод 2'!AB190</f>
        <v>7219400</v>
      </c>
      <c r="AB154" s="239"/>
    </row>
    <row r="155" spans="1:28" s="62" customFormat="1" ht="31.5" customHeight="1" x14ac:dyDescent="0.25">
      <c r="A155" s="34" t="s">
        <v>227</v>
      </c>
      <c r="B155" s="34" t="s">
        <v>45</v>
      </c>
      <c r="C155" s="25" t="s">
        <v>355</v>
      </c>
      <c r="D155" s="36">
        <f>'дод 2'!E25+'дод 2'!E133+'дод 2'!E191</f>
        <v>245630336.53999999</v>
      </c>
      <c r="E155" s="36">
        <f>'дод 2'!F25+'дод 2'!F133+'дод 2'!F191</f>
        <v>245630336.53999999</v>
      </c>
      <c r="F155" s="36">
        <f>'дод 2'!G25+'дод 2'!G133+'дод 2'!G191</f>
        <v>0</v>
      </c>
      <c r="G155" s="36">
        <f>'дод 2'!H25+'дод 2'!H133+'дод 2'!H191</f>
        <v>0</v>
      </c>
      <c r="H155" s="36">
        <f>'дод 2'!I25+'дод 2'!I133+'дод 2'!I191</f>
        <v>0</v>
      </c>
      <c r="I155" s="36">
        <f>'дод 2'!J25+'дод 2'!J133+'дод 2'!J191</f>
        <v>245155360.40000001</v>
      </c>
      <c r="J155" s="36">
        <f>'дод 2'!K25+'дод 2'!K133+'дод 2'!K191</f>
        <v>0</v>
      </c>
      <c r="K155" s="36">
        <f>'дод 2'!L25+'дод 2'!L133+'дод 2'!L191</f>
        <v>0</v>
      </c>
      <c r="L155" s="192">
        <f t="shared" si="56"/>
        <v>99.806629691311514</v>
      </c>
      <c r="M155" s="36">
        <f>'дод 2'!N25+'дод 2'!N133+'дод 2'!N191</f>
        <v>0</v>
      </c>
      <c r="N155" s="36">
        <f>'дод 2'!O25+'дод 2'!O133+'дод 2'!O191</f>
        <v>0</v>
      </c>
      <c r="O155" s="36">
        <f>'дод 2'!P25+'дод 2'!P133+'дод 2'!P191</f>
        <v>0</v>
      </c>
      <c r="P155" s="36">
        <f>'дод 2'!Q25+'дод 2'!Q133+'дод 2'!Q191</f>
        <v>0</v>
      </c>
      <c r="Q155" s="36">
        <f>'дод 2'!R25+'дод 2'!R133+'дод 2'!R191</f>
        <v>0</v>
      </c>
      <c r="R155" s="36">
        <f>'дод 2'!S25+'дод 2'!S133+'дод 2'!S191</f>
        <v>0</v>
      </c>
      <c r="S155" s="36">
        <f>'дод 2'!T25+'дод 2'!T133+'дод 2'!T191</f>
        <v>0</v>
      </c>
      <c r="T155" s="36">
        <f>'дод 2'!U25+'дод 2'!U133+'дод 2'!U191</f>
        <v>0</v>
      </c>
      <c r="U155" s="36">
        <f>'дод 2'!V25+'дод 2'!V133+'дод 2'!V191</f>
        <v>0</v>
      </c>
      <c r="V155" s="36">
        <f>'дод 2'!W25+'дод 2'!W133+'дод 2'!W191</f>
        <v>0</v>
      </c>
      <c r="W155" s="36">
        <f>'дод 2'!X25+'дод 2'!X133+'дод 2'!X191</f>
        <v>0</v>
      </c>
      <c r="X155" s="36">
        <f>'дод 2'!Y25+'дод 2'!Y133+'дод 2'!Y191</f>
        <v>0</v>
      </c>
      <c r="Y155" s="192" t="e">
        <f t="shared" si="57"/>
        <v>#DIV/0!</v>
      </c>
      <c r="Z155" s="36">
        <f>'дод 2'!AA25+'дод 2'!AA133+'дод 2'!AA191</f>
        <v>245155360.40000001</v>
      </c>
      <c r="AA155" s="36">
        <f>'дод 2'!AB25+'дод 2'!AB133+'дод 2'!AB191</f>
        <v>245630336.53999999</v>
      </c>
      <c r="AB155" s="239"/>
    </row>
    <row r="156" spans="1:28" s="62" customFormat="1" ht="21" customHeight="1" x14ac:dyDescent="0.25">
      <c r="A156" s="40"/>
      <c r="B156" s="40"/>
      <c r="C156" s="50" t="s">
        <v>281</v>
      </c>
      <c r="D156" s="41">
        <f>'дод 2'!E192</f>
        <v>231600</v>
      </c>
      <c r="E156" s="41">
        <f>'дод 2'!F192</f>
        <v>231600</v>
      </c>
      <c r="F156" s="41">
        <f>'дод 2'!G192</f>
        <v>0</v>
      </c>
      <c r="G156" s="41">
        <f>'дод 2'!H192</f>
        <v>0</v>
      </c>
      <c r="H156" s="41">
        <f>'дод 2'!I192</f>
        <v>0</v>
      </c>
      <c r="I156" s="41">
        <f>'дод 2'!J192</f>
        <v>207600</v>
      </c>
      <c r="J156" s="41">
        <f>'дод 2'!K192</f>
        <v>0</v>
      </c>
      <c r="K156" s="41">
        <f>'дод 2'!L192</f>
        <v>0</v>
      </c>
      <c r="L156" s="194">
        <f t="shared" si="56"/>
        <v>89.637305699481857</v>
      </c>
      <c r="M156" s="41">
        <f>'дод 2'!N192</f>
        <v>0</v>
      </c>
      <c r="N156" s="41">
        <f>'дод 2'!O192</f>
        <v>0</v>
      </c>
      <c r="O156" s="41">
        <f>'дод 2'!P192</f>
        <v>0</v>
      </c>
      <c r="P156" s="41">
        <f>'дод 2'!Q192</f>
        <v>0</v>
      </c>
      <c r="Q156" s="41">
        <f>'дод 2'!R192</f>
        <v>0</v>
      </c>
      <c r="R156" s="41">
        <f>'дод 2'!S192</f>
        <v>0</v>
      </c>
      <c r="S156" s="41">
        <f>'дод 2'!T192</f>
        <v>0</v>
      </c>
      <c r="T156" s="41">
        <f>'дод 2'!U192</f>
        <v>0</v>
      </c>
      <c r="U156" s="41">
        <f>'дод 2'!V192</f>
        <v>0</v>
      </c>
      <c r="V156" s="41">
        <f>'дод 2'!W192</f>
        <v>0</v>
      </c>
      <c r="W156" s="41">
        <f>'дод 2'!X192</f>
        <v>0</v>
      </c>
      <c r="X156" s="41">
        <f>'дод 2'!Y192</f>
        <v>0</v>
      </c>
      <c r="Y156" s="194" t="e">
        <f t="shared" si="57"/>
        <v>#DIV/0!</v>
      </c>
      <c r="Z156" s="41">
        <f>'дод 2'!AA192</f>
        <v>207600</v>
      </c>
      <c r="AA156" s="41">
        <f>'дод 2'!AB192</f>
        <v>231600</v>
      </c>
      <c r="AB156" s="239">
        <v>56</v>
      </c>
    </row>
    <row r="157" spans="1:28" s="62" customFormat="1" ht="69" customHeight="1" x14ac:dyDescent="0.25">
      <c r="A157" s="34"/>
      <c r="B157" s="34"/>
      <c r="C157" s="24" t="s">
        <v>385</v>
      </c>
      <c r="D157" s="36">
        <f>'дод 2'!E193</f>
        <v>69621642</v>
      </c>
      <c r="E157" s="36">
        <f>'дод 2'!F193</f>
        <v>69621642</v>
      </c>
      <c r="F157" s="36">
        <f>'дод 2'!G193</f>
        <v>0</v>
      </c>
      <c r="G157" s="36">
        <f>'дод 2'!H193</f>
        <v>0</v>
      </c>
      <c r="H157" s="36">
        <f>'дод 2'!I193</f>
        <v>0</v>
      </c>
      <c r="I157" s="36">
        <f>'дод 2'!J193</f>
        <v>69458986.299999997</v>
      </c>
      <c r="J157" s="36">
        <f>'дод 2'!K193</f>
        <v>0</v>
      </c>
      <c r="K157" s="36">
        <f>'дод 2'!L193</f>
        <v>0</v>
      </c>
      <c r="L157" s="192">
        <f t="shared" si="56"/>
        <v>99.766371927855417</v>
      </c>
      <c r="M157" s="36">
        <f>'дод 2'!N193</f>
        <v>0</v>
      </c>
      <c r="N157" s="36">
        <f>'дод 2'!O193</f>
        <v>0</v>
      </c>
      <c r="O157" s="36">
        <f>'дод 2'!P193</f>
        <v>0</v>
      </c>
      <c r="P157" s="36">
        <f>'дод 2'!Q193</f>
        <v>0</v>
      </c>
      <c r="Q157" s="36">
        <f>'дод 2'!R193</f>
        <v>0</v>
      </c>
      <c r="R157" s="36">
        <f>'дод 2'!S193</f>
        <v>0</v>
      </c>
      <c r="S157" s="36">
        <f>'дод 2'!T193</f>
        <v>0</v>
      </c>
      <c r="T157" s="36">
        <f>'дод 2'!U193</f>
        <v>0</v>
      </c>
      <c r="U157" s="36">
        <f>'дод 2'!V193</f>
        <v>0</v>
      </c>
      <c r="V157" s="36">
        <f>'дод 2'!W193</f>
        <v>0</v>
      </c>
      <c r="W157" s="36">
        <f>'дод 2'!X193</f>
        <v>0</v>
      </c>
      <c r="X157" s="36">
        <f>'дод 2'!Y193</f>
        <v>0</v>
      </c>
      <c r="Y157" s="192" t="e">
        <f t="shared" si="57"/>
        <v>#DIV/0!</v>
      </c>
      <c r="Z157" s="36">
        <f>'дод 2'!AA193</f>
        <v>69458986.299999997</v>
      </c>
      <c r="AA157" s="36">
        <f>'дод 2'!AB193</f>
        <v>69621642</v>
      </c>
      <c r="AB157" s="239"/>
    </row>
    <row r="158" spans="1:28" s="62" customFormat="1" ht="99" customHeight="1" x14ac:dyDescent="0.25">
      <c r="A158" s="34"/>
      <c r="B158" s="34"/>
      <c r="C158" s="22" t="s">
        <v>439</v>
      </c>
      <c r="D158" s="41">
        <f>'дод 2'!E194</f>
        <v>2868232.83</v>
      </c>
      <c r="E158" s="41">
        <f>'дод 2'!F194</f>
        <v>2868232.83</v>
      </c>
      <c r="F158" s="41">
        <f>'дод 2'!G194</f>
        <v>0</v>
      </c>
      <c r="G158" s="41">
        <f>'дод 2'!H194</f>
        <v>0</v>
      </c>
      <c r="H158" s="41">
        <f>'дод 2'!I194</f>
        <v>0</v>
      </c>
      <c r="I158" s="41">
        <f>'дод 2'!J194</f>
        <v>2868232.83</v>
      </c>
      <c r="J158" s="41">
        <f>'дод 2'!K194</f>
        <v>0</v>
      </c>
      <c r="K158" s="41">
        <f>'дод 2'!L194</f>
        <v>0</v>
      </c>
      <c r="L158" s="194">
        <f t="shared" si="56"/>
        <v>100</v>
      </c>
      <c r="M158" s="41">
        <f>'дод 2'!N194</f>
        <v>0</v>
      </c>
      <c r="N158" s="41">
        <f>'дод 2'!O194</f>
        <v>0</v>
      </c>
      <c r="O158" s="41">
        <f>'дод 2'!P194</f>
        <v>0</v>
      </c>
      <c r="P158" s="41">
        <f>'дод 2'!Q194</f>
        <v>0</v>
      </c>
      <c r="Q158" s="41">
        <f>'дод 2'!R194</f>
        <v>0</v>
      </c>
      <c r="R158" s="41">
        <f>'дод 2'!S194</f>
        <v>0</v>
      </c>
      <c r="S158" s="41">
        <f>'дод 2'!T194</f>
        <v>0</v>
      </c>
      <c r="T158" s="41">
        <f>'дод 2'!U194</f>
        <v>0</v>
      </c>
      <c r="U158" s="41">
        <f>'дод 2'!V194</f>
        <v>0</v>
      </c>
      <c r="V158" s="41">
        <f>'дод 2'!W194</f>
        <v>0</v>
      </c>
      <c r="W158" s="41">
        <f>'дод 2'!X194</f>
        <v>0</v>
      </c>
      <c r="X158" s="41">
        <f>'дод 2'!Y194</f>
        <v>0</v>
      </c>
      <c r="Y158" s="194" t="e">
        <f t="shared" si="57"/>
        <v>#DIV/0!</v>
      </c>
      <c r="Z158" s="41">
        <f>'дод 2'!AA194</f>
        <v>2868232.83</v>
      </c>
      <c r="AA158" s="41">
        <f>'дод 2'!AB194</f>
        <v>2868232.83</v>
      </c>
      <c r="AB158" s="239"/>
    </row>
    <row r="159" spans="1:28" s="61" customFormat="1" ht="19.5" customHeight="1" x14ac:dyDescent="0.25">
      <c r="A159" s="37" t="s">
        <v>59</v>
      </c>
      <c r="B159" s="47"/>
      <c r="C159" s="48" t="s">
        <v>60</v>
      </c>
      <c r="D159" s="33">
        <f>D160+D161+D162+D163+D164+D165</f>
        <v>39496808</v>
      </c>
      <c r="E159" s="33">
        <f t="shared" ref="E159:Z159" si="58">E160+E161+E162+E163+E164+E165</f>
        <v>39496808</v>
      </c>
      <c r="F159" s="33">
        <f t="shared" si="58"/>
        <v>26655363</v>
      </c>
      <c r="G159" s="33">
        <f t="shared" si="58"/>
        <v>3678058</v>
      </c>
      <c r="H159" s="33">
        <f t="shared" si="58"/>
        <v>0</v>
      </c>
      <c r="I159" s="33">
        <f t="shared" si="58"/>
        <v>37790880.43</v>
      </c>
      <c r="J159" s="33">
        <f t="shared" si="58"/>
        <v>26112662.069999997</v>
      </c>
      <c r="K159" s="33">
        <f t="shared" si="58"/>
        <v>3251130.24</v>
      </c>
      <c r="L159" s="191">
        <f t="shared" si="56"/>
        <v>95.680846994015312</v>
      </c>
      <c r="M159" s="33">
        <f t="shared" si="58"/>
        <v>1100760</v>
      </c>
      <c r="N159" s="33">
        <f t="shared" si="58"/>
        <v>1090760</v>
      </c>
      <c r="O159" s="33">
        <f t="shared" si="58"/>
        <v>10000</v>
      </c>
      <c r="P159" s="33">
        <f t="shared" si="58"/>
        <v>0</v>
      </c>
      <c r="Q159" s="33">
        <f t="shared" si="58"/>
        <v>0</v>
      </c>
      <c r="R159" s="33">
        <f t="shared" si="58"/>
        <v>1090760</v>
      </c>
      <c r="S159" s="33">
        <f t="shared" si="58"/>
        <v>2022729.9500000002</v>
      </c>
      <c r="T159" s="33">
        <f t="shared" si="58"/>
        <v>888450.53</v>
      </c>
      <c r="U159" s="33">
        <f t="shared" si="58"/>
        <v>290164.46999999997</v>
      </c>
      <c r="V159" s="33">
        <f t="shared" si="58"/>
        <v>0</v>
      </c>
      <c r="W159" s="33">
        <f t="shared" si="58"/>
        <v>0</v>
      </c>
      <c r="X159" s="33">
        <f t="shared" si="58"/>
        <v>1732565.48</v>
      </c>
      <c r="Y159" s="191">
        <f t="shared" si="57"/>
        <v>183.75758112576767</v>
      </c>
      <c r="Z159" s="33">
        <f t="shared" si="58"/>
        <v>39813610.380000003</v>
      </c>
      <c r="AA159" s="33">
        <f t="shared" ref="AA159" si="59">AA160+AA161+AA162+AA163+AA164+AA165</f>
        <v>40597568</v>
      </c>
      <c r="AB159" s="239"/>
    </row>
    <row r="160" spans="1:28" ht="22.5" customHeight="1" x14ac:dyDescent="0.25">
      <c r="A160" s="34" t="s">
        <v>61</v>
      </c>
      <c r="B160" s="34" t="s">
        <v>62</v>
      </c>
      <c r="C160" s="25" t="s">
        <v>13</v>
      </c>
      <c r="D160" s="36">
        <f>'дод 2'!E206</f>
        <v>26951264</v>
      </c>
      <c r="E160" s="36">
        <f>'дод 2'!F206</f>
        <v>26951264</v>
      </c>
      <c r="F160" s="36">
        <f>'дод 2'!G206</f>
        <v>18563700</v>
      </c>
      <c r="G160" s="36">
        <f>'дод 2'!H206</f>
        <v>2877800</v>
      </c>
      <c r="H160" s="36">
        <f>'дод 2'!I206</f>
        <v>0</v>
      </c>
      <c r="I160" s="36">
        <f>'дод 2'!J206</f>
        <v>26328719.34</v>
      </c>
      <c r="J160" s="36">
        <f>'дод 2'!K206</f>
        <v>18508979.629999999</v>
      </c>
      <c r="K160" s="36">
        <f>'дод 2'!L206</f>
        <v>2624093.2999999998</v>
      </c>
      <c r="L160" s="192">
        <f t="shared" si="56"/>
        <v>97.690109599312308</v>
      </c>
      <c r="M160" s="36">
        <f>'дод 2'!N206</f>
        <v>510000</v>
      </c>
      <c r="N160" s="36">
        <f>'дод 2'!O206</f>
        <v>500000</v>
      </c>
      <c r="O160" s="36">
        <f>'дод 2'!P206</f>
        <v>10000</v>
      </c>
      <c r="P160" s="36">
        <f>'дод 2'!Q206</f>
        <v>0</v>
      </c>
      <c r="Q160" s="36">
        <f>'дод 2'!R206</f>
        <v>0</v>
      </c>
      <c r="R160" s="36">
        <f>'дод 2'!S206</f>
        <v>500000</v>
      </c>
      <c r="S160" s="36">
        <f>'дод 2'!T206</f>
        <v>1379718.1500000001</v>
      </c>
      <c r="T160" s="36">
        <f>'дод 2'!U206</f>
        <v>338920.9</v>
      </c>
      <c r="U160" s="36">
        <f>'дод 2'!V206</f>
        <v>196682.3</v>
      </c>
      <c r="V160" s="36">
        <f>'дод 2'!W206</f>
        <v>0</v>
      </c>
      <c r="W160" s="36">
        <f>'дод 2'!X206</f>
        <v>0</v>
      </c>
      <c r="X160" s="36">
        <f>'дод 2'!Y206</f>
        <v>1183035.8500000001</v>
      </c>
      <c r="Y160" s="192">
        <f t="shared" si="57"/>
        <v>270.53297058823534</v>
      </c>
      <c r="Z160" s="36">
        <f>'дод 2'!AA206</f>
        <v>27708437.489999998</v>
      </c>
      <c r="AA160" s="36">
        <f>'дод 2'!AB206</f>
        <v>27461264</v>
      </c>
      <c r="AB160" s="239"/>
    </row>
    <row r="161" spans="1:28" ht="33.75" customHeight="1" x14ac:dyDescent="0.25">
      <c r="A161" s="34" t="s">
        <v>243</v>
      </c>
      <c r="B161" s="34" t="s">
        <v>244</v>
      </c>
      <c r="C161" s="25" t="s">
        <v>245</v>
      </c>
      <c r="D161" s="36">
        <f>'дод 2'!E207</f>
        <v>5553400</v>
      </c>
      <c r="E161" s="36">
        <f>'дод 2'!F207</f>
        <v>5553400</v>
      </c>
      <c r="F161" s="36">
        <f>'дод 2'!G207</f>
        <v>3498000</v>
      </c>
      <c r="G161" s="36">
        <f>'дод 2'!H207</f>
        <v>413000</v>
      </c>
      <c r="H161" s="36">
        <f>'дод 2'!I207</f>
        <v>0</v>
      </c>
      <c r="I161" s="36">
        <f>'дод 2'!J207</f>
        <v>4709359.66</v>
      </c>
      <c r="J161" s="36">
        <f>'дод 2'!K207</f>
        <v>3010024.49</v>
      </c>
      <c r="K161" s="36">
        <f>'дод 2'!L207</f>
        <v>272846.40999999997</v>
      </c>
      <c r="L161" s="192">
        <f t="shared" si="56"/>
        <v>84.801376814203905</v>
      </c>
      <c r="M161" s="36">
        <f>'дод 2'!N207</f>
        <v>200000</v>
      </c>
      <c r="N161" s="36">
        <f>'дод 2'!O207</f>
        <v>200000</v>
      </c>
      <c r="O161" s="36">
        <f>'дод 2'!P207</f>
        <v>0</v>
      </c>
      <c r="P161" s="36">
        <f>'дод 2'!Q207</f>
        <v>0</v>
      </c>
      <c r="Q161" s="36">
        <f>'дод 2'!R207</f>
        <v>0</v>
      </c>
      <c r="R161" s="36">
        <f>'дод 2'!S207</f>
        <v>200000</v>
      </c>
      <c r="S161" s="36">
        <f>'дод 2'!T207</f>
        <v>258482.16999999998</v>
      </c>
      <c r="T161" s="36">
        <f>'дод 2'!U207</f>
        <v>165000</v>
      </c>
      <c r="U161" s="36">
        <f>'дод 2'!V207</f>
        <v>93482.17</v>
      </c>
      <c r="V161" s="36">
        <f>'дод 2'!W207</f>
        <v>0</v>
      </c>
      <c r="W161" s="36">
        <f>'дод 2'!X207</f>
        <v>0</v>
      </c>
      <c r="X161" s="36">
        <f>'дод 2'!Y207</f>
        <v>165000</v>
      </c>
      <c r="Y161" s="192">
        <f t="shared" si="57"/>
        <v>129.241085</v>
      </c>
      <c r="Z161" s="36">
        <f>'дод 2'!AA207</f>
        <v>4967841.83</v>
      </c>
      <c r="AA161" s="36">
        <f>'дод 2'!AB207</f>
        <v>5753400</v>
      </c>
      <c r="AB161" s="239"/>
    </row>
    <row r="162" spans="1:28" s="62" customFormat="1" ht="31.5" x14ac:dyDescent="0.25">
      <c r="A162" s="34" t="s">
        <v>228</v>
      </c>
      <c r="B162" s="34" t="s">
        <v>63</v>
      </c>
      <c r="C162" s="25" t="s">
        <v>264</v>
      </c>
      <c r="D162" s="36">
        <f>'дод 2'!E26+'дод 2'!E208</f>
        <v>6555000</v>
      </c>
      <c r="E162" s="36">
        <f>'дод 2'!F26+'дод 2'!F208</f>
        <v>6555000</v>
      </c>
      <c r="F162" s="36">
        <f>'дод 2'!G26+'дод 2'!G208</f>
        <v>4593663</v>
      </c>
      <c r="G162" s="36">
        <f>'дод 2'!H26+'дод 2'!H208</f>
        <v>387258</v>
      </c>
      <c r="H162" s="36">
        <f>'дод 2'!I26+'дод 2'!I208</f>
        <v>0</v>
      </c>
      <c r="I162" s="36">
        <f>'дод 2'!J26+'дод 2'!J208</f>
        <v>6378519.5999999996</v>
      </c>
      <c r="J162" s="36">
        <f>'дод 2'!K26+'дод 2'!K208</f>
        <v>4593657.95</v>
      </c>
      <c r="K162" s="36">
        <f>'дод 2'!L26+'дод 2'!L208</f>
        <v>354190.53</v>
      </c>
      <c r="L162" s="192">
        <f t="shared" si="56"/>
        <v>97.307697940503431</v>
      </c>
      <c r="M162" s="36">
        <f>'дод 2'!N26+'дод 2'!N208</f>
        <v>0</v>
      </c>
      <c r="N162" s="36">
        <f>'дод 2'!O26+'дод 2'!O208</f>
        <v>0</v>
      </c>
      <c r="O162" s="36">
        <f>'дод 2'!P26+'дод 2'!P208</f>
        <v>0</v>
      </c>
      <c r="P162" s="36">
        <f>'дод 2'!Q26+'дод 2'!Q208</f>
        <v>0</v>
      </c>
      <c r="Q162" s="36">
        <f>'дод 2'!R26+'дод 2'!R208</f>
        <v>0</v>
      </c>
      <c r="R162" s="36">
        <f>'дод 2'!S26+'дод 2'!S208</f>
        <v>0</v>
      </c>
      <c r="S162" s="36">
        <f>'дод 2'!T26+'дод 2'!T208</f>
        <v>0</v>
      </c>
      <c r="T162" s="36">
        <f>'дод 2'!U26+'дод 2'!U208</f>
        <v>0</v>
      </c>
      <c r="U162" s="36">
        <f>'дод 2'!V26+'дод 2'!V208</f>
        <v>0</v>
      </c>
      <c r="V162" s="36">
        <f>'дод 2'!W26+'дод 2'!W208</f>
        <v>0</v>
      </c>
      <c r="W162" s="36">
        <f>'дод 2'!X26+'дод 2'!X208</f>
        <v>0</v>
      </c>
      <c r="X162" s="36">
        <f>'дод 2'!Y26+'дод 2'!Y208</f>
        <v>0</v>
      </c>
      <c r="Y162" s="192" t="e">
        <f t="shared" si="57"/>
        <v>#DIV/0!</v>
      </c>
      <c r="Z162" s="36">
        <f>'дод 2'!AA26+'дод 2'!AA208</f>
        <v>6378519.5999999996</v>
      </c>
      <c r="AA162" s="36">
        <f>'дод 2'!AB26+'дод 2'!AB208</f>
        <v>6555000</v>
      </c>
      <c r="AB162" s="239"/>
    </row>
    <row r="163" spans="1:28" s="62" customFormat="1" ht="22.5" customHeight="1" x14ac:dyDescent="0.25">
      <c r="A163" s="34" t="s">
        <v>229</v>
      </c>
      <c r="B163" s="34" t="s">
        <v>63</v>
      </c>
      <c r="C163" s="25" t="s">
        <v>230</v>
      </c>
      <c r="D163" s="36">
        <f>'дод 2'!E209</f>
        <v>437144</v>
      </c>
      <c r="E163" s="36">
        <f>'дод 2'!F209</f>
        <v>437144</v>
      </c>
      <c r="F163" s="36">
        <f>'дод 2'!G209</f>
        <v>0</v>
      </c>
      <c r="G163" s="36">
        <f>'дод 2'!H209</f>
        <v>0</v>
      </c>
      <c r="H163" s="36">
        <f>'дод 2'!I209</f>
        <v>0</v>
      </c>
      <c r="I163" s="36">
        <f>'дод 2'!J209</f>
        <v>374281.83</v>
      </c>
      <c r="J163" s="36">
        <f>'дод 2'!K209</f>
        <v>0</v>
      </c>
      <c r="K163" s="36">
        <f>'дод 2'!L209</f>
        <v>0</v>
      </c>
      <c r="L163" s="192">
        <f t="shared" si="56"/>
        <v>85.61980262796699</v>
      </c>
      <c r="M163" s="36">
        <f>'дод 2'!N209</f>
        <v>0</v>
      </c>
      <c r="N163" s="36">
        <f>'дод 2'!O209</f>
        <v>0</v>
      </c>
      <c r="O163" s="36">
        <f>'дод 2'!P209</f>
        <v>0</v>
      </c>
      <c r="P163" s="36">
        <f>'дод 2'!Q209</f>
        <v>0</v>
      </c>
      <c r="Q163" s="36">
        <f>'дод 2'!R209</f>
        <v>0</v>
      </c>
      <c r="R163" s="36">
        <f>'дод 2'!S209</f>
        <v>0</v>
      </c>
      <c r="S163" s="36">
        <f>'дод 2'!T209</f>
        <v>0</v>
      </c>
      <c r="T163" s="36">
        <f>'дод 2'!U209</f>
        <v>0</v>
      </c>
      <c r="U163" s="36">
        <f>'дод 2'!V209</f>
        <v>0</v>
      </c>
      <c r="V163" s="36">
        <f>'дод 2'!W209</f>
        <v>0</v>
      </c>
      <c r="W163" s="36">
        <f>'дод 2'!X209</f>
        <v>0</v>
      </c>
      <c r="X163" s="36">
        <f>'дод 2'!Y209</f>
        <v>0</v>
      </c>
      <c r="Y163" s="192" t="e">
        <f t="shared" si="57"/>
        <v>#DIV/0!</v>
      </c>
      <c r="Z163" s="36">
        <f>'дод 2'!AA209</f>
        <v>374281.83</v>
      </c>
      <c r="AA163" s="36">
        <f>'дод 2'!AB209</f>
        <v>437144</v>
      </c>
      <c r="AB163" s="239"/>
    </row>
    <row r="164" spans="1:28" s="62" customFormat="1" ht="22.5" customHeight="1" x14ac:dyDescent="0.25">
      <c r="A164" s="34">
        <v>4083</v>
      </c>
      <c r="B164" s="34" t="s">
        <v>63</v>
      </c>
      <c r="C164" s="25" t="s">
        <v>493</v>
      </c>
      <c r="D164" s="36">
        <f>'дод 2'!E210</f>
        <v>0</v>
      </c>
      <c r="E164" s="36">
        <f>'дод 2'!F210</f>
        <v>0</v>
      </c>
      <c r="F164" s="36">
        <f>'дод 2'!G210</f>
        <v>0</v>
      </c>
      <c r="G164" s="36">
        <f>'дод 2'!H210</f>
        <v>0</v>
      </c>
      <c r="H164" s="36">
        <f>'дод 2'!I210</f>
        <v>0</v>
      </c>
      <c r="I164" s="36">
        <f>'дод 2'!J210</f>
        <v>0</v>
      </c>
      <c r="J164" s="36">
        <f>'дод 2'!K210</f>
        <v>0</v>
      </c>
      <c r="K164" s="36">
        <f>'дод 2'!L210</f>
        <v>0</v>
      </c>
      <c r="L164" s="192" t="e">
        <f t="shared" si="56"/>
        <v>#DIV/0!</v>
      </c>
      <c r="M164" s="36">
        <f>'дод 2'!N210</f>
        <v>200000</v>
      </c>
      <c r="N164" s="36">
        <f>'дод 2'!O210</f>
        <v>200000</v>
      </c>
      <c r="O164" s="36">
        <f>'дод 2'!P210</f>
        <v>0</v>
      </c>
      <c r="P164" s="36">
        <f>'дод 2'!Q210</f>
        <v>0</v>
      </c>
      <c r="Q164" s="36">
        <f>'дод 2'!R210</f>
        <v>0</v>
      </c>
      <c r="R164" s="36">
        <f>'дод 2'!S210</f>
        <v>200000</v>
      </c>
      <c r="S164" s="36">
        <f>'дод 2'!T210</f>
        <v>193769.63</v>
      </c>
      <c r="T164" s="36">
        <f>'дод 2'!U210</f>
        <v>193769.63</v>
      </c>
      <c r="U164" s="36">
        <f>'дод 2'!V210</f>
        <v>0</v>
      </c>
      <c r="V164" s="36">
        <f>'дод 2'!W210</f>
        <v>0</v>
      </c>
      <c r="W164" s="36">
        <f>'дод 2'!X210</f>
        <v>0</v>
      </c>
      <c r="X164" s="36">
        <f>'дод 2'!Y210</f>
        <v>193769.63</v>
      </c>
      <c r="Y164" s="192">
        <f t="shared" si="57"/>
        <v>96.884815000000003</v>
      </c>
      <c r="Z164" s="36">
        <f>'дод 2'!AA210</f>
        <v>193769.63</v>
      </c>
      <c r="AA164" s="36">
        <f>'дод 2'!AB210</f>
        <v>200000</v>
      </c>
      <c r="AB164" s="239"/>
    </row>
    <row r="165" spans="1:28" s="62" customFormat="1" ht="31.5" x14ac:dyDescent="0.25">
      <c r="A165" s="34">
        <v>4084</v>
      </c>
      <c r="B165" s="34" t="s">
        <v>63</v>
      </c>
      <c r="C165" s="25" t="s">
        <v>546</v>
      </c>
      <c r="D165" s="36">
        <f>'дод 2'!E223</f>
        <v>0</v>
      </c>
      <c r="E165" s="36">
        <f>'дод 2'!F223</f>
        <v>0</v>
      </c>
      <c r="F165" s="36">
        <f>'дод 2'!G223</f>
        <v>0</v>
      </c>
      <c r="G165" s="36">
        <f>'дод 2'!H223</f>
        <v>0</v>
      </c>
      <c r="H165" s="36">
        <f>'дод 2'!I223</f>
        <v>0</v>
      </c>
      <c r="I165" s="36">
        <f>'дод 2'!J223</f>
        <v>0</v>
      </c>
      <c r="J165" s="36">
        <f>'дод 2'!K223</f>
        <v>0</v>
      </c>
      <c r="K165" s="36">
        <f>'дод 2'!L223</f>
        <v>0</v>
      </c>
      <c r="L165" s="192" t="e">
        <f t="shared" si="56"/>
        <v>#DIV/0!</v>
      </c>
      <c r="M165" s="36">
        <f>'дод 2'!N223</f>
        <v>190760</v>
      </c>
      <c r="N165" s="36">
        <f>'дод 2'!O223</f>
        <v>190760</v>
      </c>
      <c r="O165" s="36">
        <f>'дод 2'!P223</f>
        <v>0</v>
      </c>
      <c r="P165" s="36">
        <f>'дод 2'!Q223</f>
        <v>0</v>
      </c>
      <c r="Q165" s="36">
        <f>'дод 2'!R223</f>
        <v>0</v>
      </c>
      <c r="R165" s="36">
        <f>'дод 2'!S223</f>
        <v>190760</v>
      </c>
      <c r="S165" s="36">
        <f>'дод 2'!T223</f>
        <v>190760</v>
      </c>
      <c r="T165" s="36">
        <f>'дод 2'!U223</f>
        <v>190760</v>
      </c>
      <c r="U165" s="36">
        <f>'дод 2'!V223</f>
        <v>0</v>
      </c>
      <c r="V165" s="36">
        <f>'дод 2'!W223</f>
        <v>0</v>
      </c>
      <c r="W165" s="36">
        <f>'дод 2'!X223</f>
        <v>0</v>
      </c>
      <c r="X165" s="36">
        <f>'дод 2'!Y223</f>
        <v>190760</v>
      </c>
      <c r="Y165" s="192">
        <f t="shared" si="57"/>
        <v>100</v>
      </c>
      <c r="Z165" s="36">
        <f>'дод 2'!AA223</f>
        <v>190760</v>
      </c>
      <c r="AA165" s="36">
        <f>'дод 2'!AB223</f>
        <v>190760</v>
      </c>
      <c r="AB165" s="239"/>
    </row>
    <row r="166" spans="1:28" s="61" customFormat="1" ht="21.75" customHeight="1" x14ac:dyDescent="0.25">
      <c r="A166" s="37" t="s">
        <v>64</v>
      </c>
      <c r="B166" s="47"/>
      <c r="C166" s="48" t="s">
        <v>322</v>
      </c>
      <c r="D166" s="33">
        <f>D167+D168+D170+D171+D172+D173+D169</f>
        <v>94174010</v>
      </c>
      <c r="E166" s="33">
        <f t="shared" ref="E166:Z166" si="60">E167+E168+E170+E171+E172+E173+E169</f>
        <v>94174010</v>
      </c>
      <c r="F166" s="33">
        <f t="shared" si="60"/>
        <v>33477100</v>
      </c>
      <c r="G166" s="33">
        <f t="shared" si="60"/>
        <v>3389300</v>
      </c>
      <c r="H166" s="33">
        <f t="shared" si="60"/>
        <v>0</v>
      </c>
      <c r="I166" s="33">
        <f t="shared" si="60"/>
        <v>92465900.090000004</v>
      </c>
      <c r="J166" s="33">
        <f t="shared" si="60"/>
        <v>33359195.209999997</v>
      </c>
      <c r="K166" s="33">
        <f t="shared" si="60"/>
        <v>2767506.05</v>
      </c>
      <c r="L166" s="191">
        <f t="shared" si="56"/>
        <v>98.186219414464787</v>
      </c>
      <c r="M166" s="33">
        <f t="shared" si="60"/>
        <v>633800</v>
      </c>
      <c r="N166" s="33">
        <f t="shared" si="60"/>
        <v>50000</v>
      </c>
      <c r="O166" s="33">
        <f t="shared" si="60"/>
        <v>583800</v>
      </c>
      <c r="P166" s="33">
        <f t="shared" si="60"/>
        <v>352800</v>
      </c>
      <c r="Q166" s="33">
        <f t="shared" si="60"/>
        <v>48438</v>
      </c>
      <c r="R166" s="33">
        <f t="shared" si="60"/>
        <v>50000</v>
      </c>
      <c r="S166" s="33">
        <f t="shared" si="60"/>
        <v>862733.57</v>
      </c>
      <c r="T166" s="33">
        <f t="shared" si="60"/>
        <v>0</v>
      </c>
      <c r="U166" s="33">
        <f t="shared" si="60"/>
        <v>788827.57</v>
      </c>
      <c r="V166" s="33">
        <f t="shared" si="60"/>
        <v>273441.33</v>
      </c>
      <c r="W166" s="33">
        <f t="shared" si="60"/>
        <v>2616.9699999999998</v>
      </c>
      <c r="X166" s="33">
        <f t="shared" si="60"/>
        <v>73906</v>
      </c>
      <c r="Y166" s="191">
        <f t="shared" si="57"/>
        <v>136.12079047017986</v>
      </c>
      <c r="Z166" s="33">
        <f t="shared" si="60"/>
        <v>93328633.659999996</v>
      </c>
      <c r="AA166" s="33">
        <f t="shared" ref="AA166" si="61">AA167+AA168+AA170+AA171+AA172+AA173+AA169</f>
        <v>94807810</v>
      </c>
      <c r="AB166" s="239"/>
    </row>
    <row r="167" spans="1:28" s="62" customFormat="1" ht="37.5" customHeight="1" x14ac:dyDescent="0.25">
      <c r="A167" s="34" t="s">
        <v>65</v>
      </c>
      <c r="B167" s="34" t="s">
        <v>66</v>
      </c>
      <c r="C167" s="25" t="s">
        <v>17</v>
      </c>
      <c r="D167" s="36">
        <f>'дод 2'!E27</f>
        <v>1120000</v>
      </c>
      <c r="E167" s="36">
        <f>'дод 2'!F27</f>
        <v>1120000</v>
      </c>
      <c r="F167" s="36">
        <f>'дод 2'!G27</f>
        <v>0</v>
      </c>
      <c r="G167" s="36">
        <f>'дод 2'!H27</f>
        <v>0</v>
      </c>
      <c r="H167" s="36">
        <f>'дод 2'!I27</f>
        <v>0</v>
      </c>
      <c r="I167" s="36">
        <f>'дод 2'!J27</f>
        <v>1102674.6399999999</v>
      </c>
      <c r="J167" s="36">
        <f>'дод 2'!K27</f>
        <v>0</v>
      </c>
      <c r="K167" s="36">
        <f>'дод 2'!L27</f>
        <v>0</v>
      </c>
      <c r="L167" s="192">
        <f t="shared" si="56"/>
        <v>98.453092857142849</v>
      </c>
      <c r="M167" s="36">
        <f>'дод 2'!N27</f>
        <v>0</v>
      </c>
      <c r="N167" s="36">
        <f>'дод 2'!O27</f>
        <v>0</v>
      </c>
      <c r="O167" s="36">
        <f>'дод 2'!P27</f>
        <v>0</v>
      </c>
      <c r="P167" s="36">
        <f>'дод 2'!Q27</f>
        <v>0</v>
      </c>
      <c r="Q167" s="36">
        <f>'дод 2'!R27</f>
        <v>0</v>
      </c>
      <c r="R167" s="36">
        <f>'дод 2'!S27</f>
        <v>0</v>
      </c>
      <c r="S167" s="36">
        <f>'дод 2'!T27</f>
        <v>0</v>
      </c>
      <c r="T167" s="36">
        <f>'дод 2'!U27</f>
        <v>0</v>
      </c>
      <c r="U167" s="36">
        <f>'дод 2'!V27</f>
        <v>0</v>
      </c>
      <c r="V167" s="36">
        <f>'дод 2'!W27</f>
        <v>0</v>
      </c>
      <c r="W167" s="36">
        <f>'дод 2'!X27</f>
        <v>0</v>
      </c>
      <c r="X167" s="36">
        <f>'дод 2'!Y27</f>
        <v>0</v>
      </c>
      <c r="Y167" s="192" t="e">
        <f t="shared" si="57"/>
        <v>#DIV/0!</v>
      </c>
      <c r="Z167" s="36">
        <f>'дод 2'!AA27</f>
        <v>1102674.6399999999</v>
      </c>
      <c r="AA167" s="36">
        <f>'дод 2'!AB27</f>
        <v>1120000</v>
      </c>
      <c r="AB167" s="239"/>
    </row>
    <row r="168" spans="1:28" s="62" customFormat="1" ht="34.5" customHeight="1" x14ac:dyDescent="0.25">
      <c r="A168" s="34" t="s">
        <v>67</v>
      </c>
      <c r="B168" s="34" t="s">
        <v>66</v>
      </c>
      <c r="C168" s="25" t="s">
        <v>14</v>
      </c>
      <c r="D168" s="36">
        <f>'дод 2'!E28</f>
        <v>924850</v>
      </c>
      <c r="E168" s="36">
        <f>'дод 2'!F28</f>
        <v>924850</v>
      </c>
      <c r="F168" s="36">
        <f>'дод 2'!G28</f>
        <v>0</v>
      </c>
      <c r="G168" s="36">
        <f>'дод 2'!H28</f>
        <v>0</v>
      </c>
      <c r="H168" s="36">
        <f>'дод 2'!I28</f>
        <v>0</v>
      </c>
      <c r="I168" s="36">
        <f>'дод 2'!J28</f>
        <v>832086.88</v>
      </c>
      <c r="J168" s="36">
        <f>'дод 2'!K28</f>
        <v>0</v>
      </c>
      <c r="K168" s="36">
        <f>'дод 2'!L28</f>
        <v>0</v>
      </c>
      <c r="L168" s="192">
        <f t="shared" si="56"/>
        <v>89.969928096448072</v>
      </c>
      <c r="M168" s="36">
        <f>'дод 2'!N28</f>
        <v>0</v>
      </c>
      <c r="N168" s="36">
        <f>'дод 2'!O28</f>
        <v>0</v>
      </c>
      <c r="O168" s="36">
        <f>'дод 2'!P28</f>
        <v>0</v>
      </c>
      <c r="P168" s="36">
        <f>'дод 2'!Q28</f>
        <v>0</v>
      </c>
      <c r="Q168" s="36">
        <f>'дод 2'!R28</f>
        <v>0</v>
      </c>
      <c r="R168" s="36">
        <f>'дод 2'!S28</f>
        <v>0</v>
      </c>
      <c r="S168" s="36">
        <f>'дод 2'!T28</f>
        <v>0</v>
      </c>
      <c r="T168" s="36">
        <f>'дод 2'!U28</f>
        <v>0</v>
      </c>
      <c r="U168" s="36">
        <f>'дод 2'!V28</f>
        <v>0</v>
      </c>
      <c r="V168" s="36">
        <f>'дод 2'!W28</f>
        <v>0</v>
      </c>
      <c r="W168" s="36">
        <f>'дод 2'!X28</f>
        <v>0</v>
      </c>
      <c r="X168" s="36">
        <f>'дод 2'!Y28</f>
        <v>0</v>
      </c>
      <c r="Y168" s="192" t="e">
        <f t="shared" si="57"/>
        <v>#DIV/0!</v>
      </c>
      <c r="Z168" s="36">
        <f>'дод 2'!AA28</f>
        <v>832086.88</v>
      </c>
      <c r="AA168" s="36">
        <f>'дод 2'!AB28</f>
        <v>924850</v>
      </c>
      <c r="AB168" s="239"/>
    </row>
    <row r="169" spans="1:28" s="62" customFormat="1" ht="34.5" customHeight="1" x14ac:dyDescent="0.25">
      <c r="A169" s="34">
        <v>5022</v>
      </c>
      <c r="B169" s="34" t="s">
        <v>66</v>
      </c>
      <c r="C169" s="25" t="s">
        <v>525</v>
      </c>
      <c r="D169" s="36">
        <f>'дод 2'!E29</f>
        <v>137200</v>
      </c>
      <c r="E169" s="36">
        <f>'дод 2'!F29</f>
        <v>137200</v>
      </c>
      <c r="F169" s="36">
        <f>'дод 2'!G29</f>
        <v>0</v>
      </c>
      <c r="G169" s="36">
        <f>'дод 2'!H29</f>
        <v>0</v>
      </c>
      <c r="H169" s="36">
        <f>'дод 2'!I29</f>
        <v>0</v>
      </c>
      <c r="I169" s="36">
        <f>'дод 2'!J29</f>
        <v>136010.31</v>
      </c>
      <c r="J169" s="36">
        <f>'дод 2'!K29</f>
        <v>0</v>
      </c>
      <c r="K169" s="36">
        <f>'дод 2'!L29</f>
        <v>0</v>
      </c>
      <c r="L169" s="192">
        <f t="shared" si="56"/>
        <v>99.132879008746357</v>
      </c>
      <c r="M169" s="36">
        <f>'дод 2'!N29</f>
        <v>0</v>
      </c>
      <c r="N169" s="36">
        <f>'дод 2'!O29</f>
        <v>0</v>
      </c>
      <c r="O169" s="36">
        <f>'дод 2'!P29</f>
        <v>0</v>
      </c>
      <c r="P169" s="36">
        <f>'дод 2'!Q29</f>
        <v>0</v>
      </c>
      <c r="Q169" s="36">
        <f>'дод 2'!R29</f>
        <v>0</v>
      </c>
      <c r="R169" s="36">
        <f>'дод 2'!S29</f>
        <v>0</v>
      </c>
      <c r="S169" s="36">
        <f>'дод 2'!T29</f>
        <v>0</v>
      </c>
      <c r="T169" s="36">
        <f>'дод 2'!U29</f>
        <v>0</v>
      </c>
      <c r="U169" s="36">
        <f>'дод 2'!V29</f>
        <v>0</v>
      </c>
      <c r="V169" s="36">
        <f>'дод 2'!W29</f>
        <v>0</v>
      </c>
      <c r="W169" s="36">
        <f>'дод 2'!X29</f>
        <v>0</v>
      </c>
      <c r="X169" s="36">
        <f>'дод 2'!Y29</f>
        <v>0</v>
      </c>
      <c r="Y169" s="192" t="e">
        <f t="shared" si="57"/>
        <v>#DIV/0!</v>
      </c>
      <c r="Z169" s="36">
        <f>'дод 2'!AA29</f>
        <v>136010.31</v>
      </c>
      <c r="AA169" s="36">
        <f>'дод 2'!AB29</f>
        <v>137200</v>
      </c>
      <c r="AB169" s="239"/>
    </row>
    <row r="170" spans="1:28" s="62" customFormat="1" ht="47.25" x14ac:dyDescent="0.25">
      <c r="A170" s="34" t="s">
        <v>96</v>
      </c>
      <c r="B170" s="34" t="s">
        <v>66</v>
      </c>
      <c r="C170" s="25" t="s">
        <v>414</v>
      </c>
      <c r="D170" s="36">
        <f>'дод 2'!E30+'дод 2'!E134</f>
        <v>42699430</v>
      </c>
      <c r="E170" s="36">
        <f>'дод 2'!F30+'дод 2'!F134</f>
        <v>42699430</v>
      </c>
      <c r="F170" s="36">
        <f>'дод 2'!G30+'дод 2'!G134</f>
        <v>28715400</v>
      </c>
      <c r="G170" s="36">
        <f>'дод 2'!H30+'дод 2'!H134</f>
        <v>2441200</v>
      </c>
      <c r="H170" s="36">
        <f>'дод 2'!I30+'дод 2'!I134</f>
        <v>0</v>
      </c>
      <c r="I170" s="36">
        <f>'дод 2'!J30+'дод 2'!J134</f>
        <v>41717566.850000001</v>
      </c>
      <c r="J170" s="36">
        <f>'дод 2'!K30+'дод 2'!K134</f>
        <v>28597495.759999998</v>
      </c>
      <c r="K170" s="36">
        <f>'дод 2'!L30+'дод 2'!L134</f>
        <v>1971498.78</v>
      </c>
      <c r="L170" s="192">
        <f t="shared" si="56"/>
        <v>97.700523988259334</v>
      </c>
      <c r="M170" s="36">
        <f>'дод 2'!N30+'дод 2'!N134</f>
        <v>0</v>
      </c>
      <c r="N170" s="36">
        <f>'дод 2'!O30+'дод 2'!O134</f>
        <v>0</v>
      </c>
      <c r="O170" s="36">
        <f>'дод 2'!P30+'дод 2'!P134</f>
        <v>0</v>
      </c>
      <c r="P170" s="36">
        <f>'дод 2'!Q30+'дод 2'!Q134</f>
        <v>0</v>
      </c>
      <c r="Q170" s="36">
        <f>'дод 2'!R30+'дод 2'!R134</f>
        <v>0</v>
      </c>
      <c r="R170" s="36">
        <f>'дод 2'!S30+'дод 2'!S134</f>
        <v>0</v>
      </c>
      <c r="S170" s="36">
        <f>'дод 2'!T30+'дод 2'!T134</f>
        <v>133620.86000000002</v>
      </c>
      <c r="T170" s="36">
        <f>'дод 2'!U30+'дод 2'!U134</f>
        <v>0</v>
      </c>
      <c r="U170" s="36">
        <f>'дод 2'!V30+'дод 2'!V134</f>
        <v>113622.86</v>
      </c>
      <c r="V170" s="36">
        <f>'дод 2'!W30+'дод 2'!W134</f>
        <v>0</v>
      </c>
      <c r="W170" s="36">
        <f>'дод 2'!X30+'дод 2'!X134</f>
        <v>0</v>
      </c>
      <c r="X170" s="36">
        <f>'дод 2'!Y30+'дод 2'!Y134</f>
        <v>19998</v>
      </c>
      <c r="Y170" s="192" t="e">
        <f t="shared" si="57"/>
        <v>#DIV/0!</v>
      </c>
      <c r="Z170" s="36">
        <f>'дод 2'!AA30+'дод 2'!AA134</f>
        <v>41851187.710000001</v>
      </c>
      <c r="AA170" s="36">
        <f>'дод 2'!AB30+'дод 2'!AB134</f>
        <v>42699430</v>
      </c>
      <c r="AB170" s="239"/>
    </row>
    <row r="171" spans="1:28" s="62" customFormat="1" ht="38.25" customHeight="1" x14ac:dyDescent="0.25">
      <c r="A171" s="34" t="s">
        <v>97</v>
      </c>
      <c r="B171" s="34" t="s">
        <v>66</v>
      </c>
      <c r="C171" s="25" t="s">
        <v>18</v>
      </c>
      <c r="D171" s="36">
        <f>'дод 2'!E31</f>
        <v>22209910</v>
      </c>
      <c r="E171" s="36">
        <f>'дод 2'!F31</f>
        <v>22209910</v>
      </c>
      <c r="F171" s="36">
        <f>'дод 2'!G31</f>
        <v>0</v>
      </c>
      <c r="G171" s="36">
        <f>'дод 2'!H31</f>
        <v>0</v>
      </c>
      <c r="H171" s="36">
        <f>'дод 2'!I31</f>
        <v>0</v>
      </c>
      <c r="I171" s="36">
        <f>'дод 2'!J31</f>
        <v>22166289.059999999</v>
      </c>
      <c r="J171" s="36">
        <f>'дод 2'!K31</f>
        <v>0</v>
      </c>
      <c r="K171" s="36">
        <f>'дод 2'!L31</f>
        <v>0</v>
      </c>
      <c r="L171" s="192">
        <f t="shared" si="56"/>
        <v>99.803596952891752</v>
      </c>
      <c r="M171" s="36">
        <f>'дод 2'!N31</f>
        <v>0</v>
      </c>
      <c r="N171" s="36">
        <f>'дод 2'!O31</f>
        <v>0</v>
      </c>
      <c r="O171" s="36">
        <f>'дод 2'!P31</f>
        <v>0</v>
      </c>
      <c r="P171" s="36">
        <f>'дод 2'!Q31</f>
        <v>0</v>
      </c>
      <c r="Q171" s="36">
        <f>'дод 2'!R31</f>
        <v>0</v>
      </c>
      <c r="R171" s="36">
        <f>'дод 2'!S31</f>
        <v>0</v>
      </c>
      <c r="S171" s="36">
        <f>'дод 2'!T31</f>
        <v>0</v>
      </c>
      <c r="T171" s="36">
        <f>'дод 2'!U31</f>
        <v>0</v>
      </c>
      <c r="U171" s="36">
        <f>'дод 2'!V31</f>
        <v>0</v>
      </c>
      <c r="V171" s="36">
        <f>'дод 2'!W31</f>
        <v>0</v>
      </c>
      <c r="W171" s="36">
        <f>'дод 2'!X31</f>
        <v>0</v>
      </c>
      <c r="X171" s="36">
        <f>'дод 2'!Y31</f>
        <v>0</v>
      </c>
      <c r="Y171" s="192" t="e">
        <f t="shared" si="57"/>
        <v>#DIV/0!</v>
      </c>
      <c r="Z171" s="36">
        <f>'дод 2'!AA31</f>
        <v>22166289.059999999</v>
      </c>
      <c r="AA171" s="36">
        <f>'дод 2'!AB31</f>
        <v>22209910</v>
      </c>
      <c r="AB171" s="239"/>
    </row>
    <row r="172" spans="1:28" s="62" customFormat="1" ht="47.25" x14ac:dyDescent="0.25">
      <c r="A172" s="34" t="s">
        <v>93</v>
      </c>
      <c r="B172" s="34" t="s">
        <v>66</v>
      </c>
      <c r="C172" s="25" t="s">
        <v>326</v>
      </c>
      <c r="D172" s="36">
        <f>'дод 2'!E32</f>
        <v>8603377</v>
      </c>
      <c r="E172" s="36">
        <f>'дод 2'!F32</f>
        <v>8603377</v>
      </c>
      <c r="F172" s="36">
        <f>'дод 2'!G32</f>
        <v>4761700</v>
      </c>
      <c r="G172" s="36">
        <f>'дод 2'!H32</f>
        <v>948100</v>
      </c>
      <c r="H172" s="36">
        <f>'дод 2'!I32</f>
        <v>0</v>
      </c>
      <c r="I172" s="36">
        <f>'дод 2'!J32</f>
        <v>8255225.7199999997</v>
      </c>
      <c r="J172" s="36">
        <f>'дод 2'!K32</f>
        <v>4761699.45</v>
      </c>
      <c r="K172" s="36">
        <f>'дод 2'!L32</f>
        <v>796007.27</v>
      </c>
      <c r="L172" s="192">
        <f t="shared" si="56"/>
        <v>95.953318330697343</v>
      </c>
      <c r="M172" s="36">
        <f>'дод 2'!N32</f>
        <v>633800</v>
      </c>
      <c r="N172" s="36">
        <f>'дод 2'!O32</f>
        <v>50000</v>
      </c>
      <c r="O172" s="36">
        <f>'дод 2'!P32</f>
        <v>583800</v>
      </c>
      <c r="P172" s="36">
        <f>'дод 2'!Q32</f>
        <v>352800</v>
      </c>
      <c r="Q172" s="36">
        <f>'дод 2'!R32</f>
        <v>48438</v>
      </c>
      <c r="R172" s="36">
        <f>'дод 2'!S32</f>
        <v>50000</v>
      </c>
      <c r="S172" s="36">
        <f>'дод 2'!T32</f>
        <v>729112.71</v>
      </c>
      <c r="T172" s="36">
        <f>'дод 2'!U32</f>
        <v>0</v>
      </c>
      <c r="U172" s="36">
        <f>'дод 2'!V32</f>
        <v>675204.71</v>
      </c>
      <c r="V172" s="36">
        <f>'дод 2'!W32</f>
        <v>273441.33</v>
      </c>
      <c r="W172" s="36">
        <f>'дод 2'!X32</f>
        <v>2616.9699999999998</v>
      </c>
      <c r="X172" s="36">
        <f>'дод 2'!Y32</f>
        <v>53908</v>
      </c>
      <c r="Y172" s="192">
        <f t="shared" si="57"/>
        <v>115.03829441464184</v>
      </c>
      <c r="Z172" s="36">
        <f>'дод 2'!AA32</f>
        <v>8984338.4299999997</v>
      </c>
      <c r="AA172" s="36">
        <f>'дод 2'!AB32</f>
        <v>9237177</v>
      </c>
      <c r="AB172" s="239"/>
    </row>
    <row r="173" spans="1:28" s="62" customFormat="1" ht="38.25" customHeight="1" x14ac:dyDescent="0.25">
      <c r="A173" s="34" t="s">
        <v>95</v>
      </c>
      <c r="B173" s="34" t="s">
        <v>66</v>
      </c>
      <c r="C173" s="25" t="s">
        <v>94</v>
      </c>
      <c r="D173" s="36">
        <f>'дод 2'!E33</f>
        <v>18479243</v>
      </c>
      <c r="E173" s="36">
        <f>'дод 2'!F33</f>
        <v>18479243</v>
      </c>
      <c r="F173" s="36">
        <f>'дод 2'!G33</f>
        <v>0</v>
      </c>
      <c r="G173" s="36">
        <f>'дод 2'!H33</f>
        <v>0</v>
      </c>
      <c r="H173" s="36">
        <f>'дод 2'!I33</f>
        <v>0</v>
      </c>
      <c r="I173" s="36">
        <f>'дод 2'!J33</f>
        <v>18256046.629999999</v>
      </c>
      <c r="J173" s="36">
        <f>'дод 2'!K33</f>
        <v>0</v>
      </c>
      <c r="K173" s="36">
        <f>'дод 2'!L33</f>
        <v>0</v>
      </c>
      <c r="L173" s="192">
        <f t="shared" si="56"/>
        <v>98.792177958804899</v>
      </c>
      <c r="M173" s="36">
        <f>'дод 2'!N33</f>
        <v>0</v>
      </c>
      <c r="N173" s="36">
        <f>'дод 2'!O33</f>
        <v>0</v>
      </c>
      <c r="O173" s="36">
        <f>'дод 2'!P33</f>
        <v>0</v>
      </c>
      <c r="P173" s="36">
        <f>'дод 2'!Q33</f>
        <v>0</v>
      </c>
      <c r="Q173" s="36">
        <f>'дод 2'!R33</f>
        <v>0</v>
      </c>
      <c r="R173" s="36">
        <f>'дод 2'!S33</f>
        <v>0</v>
      </c>
      <c r="S173" s="36">
        <f>'дод 2'!T33</f>
        <v>0</v>
      </c>
      <c r="T173" s="36">
        <f>'дод 2'!U33</f>
        <v>0</v>
      </c>
      <c r="U173" s="36">
        <f>'дод 2'!V33</f>
        <v>0</v>
      </c>
      <c r="V173" s="36">
        <f>'дод 2'!W33</f>
        <v>0</v>
      </c>
      <c r="W173" s="36">
        <f>'дод 2'!X33</f>
        <v>0</v>
      </c>
      <c r="X173" s="36">
        <f>'дод 2'!Y33</f>
        <v>0</v>
      </c>
      <c r="Y173" s="192" t="e">
        <f t="shared" si="57"/>
        <v>#DIV/0!</v>
      </c>
      <c r="Z173" s="36">
        <f>'дод 2'!AA33</f>
        <v>18256046.629999999</v>
      </c>
      <c r="AA173" s="36">
        <f>'дод 2'!AB33</f>
        <v>18479243</v>
      </c>
      <c r="AB173" s="239"/>
    </row>
    <row r="174" spans="1:28" s="61" customFormat="1" ht="26.25" customHeight="1" x14ac:dyDescent="0.25">
      <c r="A174" s="37" t="s">
        <v>55</v>
      </c>
      <c r="B174" s="47"/>
      <c r="C174" s="48" t="s">
        <v>476</v>
      </c>
      <c r="D174" s="33">
        <f>D179+D182+D183+D184+D186+D187+D185+D180+D188+D194+D192+D181</f>
        <v>415571070</v>
      </c>
      <c r="E174" s="33">
        <f t="shared" ref="E174:Z174" si="62">E179+E182+E183+E184+E186+E187+E185+E180+E188+E194+E192+E181</f>
        <v>317350069</v>
      </c>
      <c r="F174" s="33">
        <f t="shared" si="62"/>
        <v>0</v>
      </c>
      <c r="G174" s="33">
        <f t="shared" si="62"/>
        <v>33353175</v>
      </c>
      <c r="H174" s="33">
        <f t="shared" si="62"/>
        <v>98221001</v>
      </c>
      <c r="I174" s="33">
        <f t="shared" si="62"/>
        <v>391392390.45999998</v>
      </c>
      <c r="J174" s="33">
        <f t="shared" si="62"/>
        <v>0</v>
      </c>
      <c r="K174" s="33">
        <f t="shared" si="62"/>
        <v>27383365.709999997</v>
      </c>
      <c r="L174" s="191">
        <f t="shared" si="56"/>
        <v>94.1818183975126</v>
      </c>
      <c r="M174" s="33">
        <f t="shared" si="62"/>
        <v>193519799.99000001</v>
      </c>
      <c r="N174" s="33">
        <f t="shared" si="62"/>
        <v>103390026.44</v>
      </c>
      <c r="O174" s="33">
        <f t="shared" si="62"/>
        <v>0</v>
      </c>
      <c r="P174" s="33">
        <f t="shared" si="62"/>
        <v>0</v>
      </c>
      <c r="Q174" s="33">
        <f t="shared" si="62"/>
        <v>0</v>
      </c>
      <c r="R174" s="33">
        <f t="shared" si="62"/>
        <v>193519799.99000001</v>
      </c>
      <c r="S174" s="33">
        <f t="shared" si="62"/>
        <v>173343032.21000001</v>
      </c>
      <c r="T174" s="33">
        <f t="shared" si="62"/>
        <v>65849952.339999996</v>
      </c>
      <c r="U174" s="33">
        <f t="shared" si="62"/>
        <v>4197593.5199999996</v>
      </c>
      <c r="V174" s="33">
        <f t="shared" si="62"/>
        <v>0</v>
      </c>
      <c r="W174" s="33">
        <f t="shared" si="62"/>
        <v>0</v>
      </c>
      <c r="X174" s="33">
        <f t="shared" si="62"/>
        <v>169145438.68999997</v>
      </c>
      <c r="Y174" s="191">
        <f t="shared" si="57"/>
        <v>89.573796696233345</v>
      </c>
      <c r="Z174" s="33">
        <f t="shared" si="62"/>
        <v>564735422.66999996</v>
      </c>
      <c r="AA174" s="33">
        <f t="shared" ref="AA174" si="63">AA179+AA182+AA183+AA184+AA186+AA187+AA185+AA180+AA188+AA194+AA192+AA181</f>
        <v>609090869.99000001</v>
      </c>
      <c r="AB174" s="239"/>
    </row>
    <row r="175" spans="1:28" s="64" customFormat="1" ht="78" customHeight="1" x14ac:dyDescent="0.25">
      <c r="A175" s="38"/>
      <c r="B175" s="19"/>
      <c r="C175" s="49" t="str">
        <f>C195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D175" s="39">
        <f>D195</f>
        <v>0</v>
      </c>
      <c r="E175" s="39">
        <f t="shared" ref="E175:Z175" si="64">E195</f>
        <v>0</v>
      </c>
      <c r="F175" s="39">
        <f t="shared" si="64"/>
        <v>0</v>
      </c>
      <c r="G175" s="39">
        <f t="shared" si="64"/>
        <v>0</v>
      </c>
      <c r="H175" s="39">
        <f t="shared" si="64"/>
        <v>0</v>
      </c>
      <c r="I175" s="39">
        <f t="shared" si="64"/>
        <v>0</v>
      </c>
      <c r="J175" s="39">
        <f t="shared" si="64"/>
        <v>0</v>
      </c>
      <c r="K175" s="39">
        <f t="shared" si="64"/>
        <v>0</v>
      </c>
      <c r="L175" s="193" t="e">
        <f t="shared" si="56"/>
        <v>#DIV/0!</v>
      </c>
      <c r="M175" s="39">
        <f t="shared" si="64"/>
        <v>89775000</v>
      </c>
      <c r="N175" s="39">
        <f t="shared" si="64"/>
        <v>0</v>
      </c>
      <c r="O175" s="39">
        <f t="shared" si="64"/>
        <v>0</v>
      </c>
      <c r="P175" s="39">
        <f t="shared" si="64"/>
        <v>0</v>
      </c>
      <c r="Q175" s="39">
        <f t="shared" si="64"/>
        <v>0</v>
      </c>
      <c r="R175" s="39">
        <f t="shared" si="64"/>
        <v>89775000</v>
      </c>
      <c r="S175" s="39">
        <f t="shared" si="64"/>
        <v>82331671.959999993</v>
      </c>
      <c r="T175" s="39">
        <f t="shared" si="64"/>
        <v>0</v>
      </c>
      <c r="U175" s="39">
        <f t="shared" si="64"/>
        <v>0</v>
      </c>
      <c r="V175" s="39">
        <f t="shared" si="64"/>
        <v>0</v>
      </c>
      <c r="W175" s="39">
        <f t="shared" si="64"/>
        <v>0</v>
      </c>
      <c r="X175" s="39">
        <f t="shared" si="64"/>
        <v>82331671.959999993</v>
      </c>
      <c r="Y175" s="193">
        <f t="shared" si="57"/>
        <v>91.708907780562512</v>
      </c>
      <c r="Z175" s="39">
        <f t="shared" si="64"/>
        <v>82331671.959999993</v>
      </c>
      <c r="AA175" s="39">
        <f t="shared" ref="AA175" si="65">AA195</f>
        <v>89775000</v>
      </c>
      <c r="AB175" s="239"/>
    </row>
    <row r="176" spans="1:28" s="64" customFormat="1" ht="83.25" customHeight="1" x14ac:dyDescent="0.25">
      <c r="A176" s="38"/>
      <c r="B176" s="19"/>
      <c r="C176" s="19" t="str">
        <f>C193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176" s="39">
        <f>D193+D191</f>
        <v>313360</v>
      </c>
      <c r="E176" s="39">
        <f t="shared" ref="E176:Z176" si="66">E193+E191</f>
        <v>313360</v>
      </c>
      <c r="F176" s="39">
        <f t="shared" si="66"/>
        <v>0</v>
      </c>
      <c r="G176" s="39">
        <f t="shared" si="66"/>
        <v>0</v>
      </c>
      <c r="H176" s="39">
        <f t="shared" si="66"/>
        <v>0</v>
      </c>
      <c r="I176" s="39">
        <f t="shared" si="66"/>
        <v>313302.40000000002</v>
      </c>
      <c r="J176" s="39">
        <f t="shared" si="66"/>
        <v>0</v>
      </c>
      <c r="K176" s="39">
        <f t="shared" si="66"/>
        <v>0</v>
      </c>
      <c r="L176" s="193">
        <f t="shared" si="56"/>
        <v>99.981618585652285</v>
      </c>
      <c r="M176" s="39">
        <f t="shared" si="66"/>
        <v>20068440</v>
      </c>
      <c r="N176" s="39">
        <f t="shared" si="66"/>
        <v>20068440</v>
      </c>
      <c r="O176" s="39">
        <f t="shared" si="66"/>
        <v>0</v>
      </c>
      <c r="P176" s="39">
        <f t="shared" si="66"/>
        <v>0</v>
      </c>
      <c r="Q176" s="39">
        <f t="shared" si="66"/>
        <v>0</v>
      </c>
      <c r="R176" s="39">
        <f t="shared" si="66"/>
        <v>20068440</v>
      </c>
      <c r="S176" s="39">
        <f t="shared" si="66"/>
        <v>16982694.280000001</v>
      </c>
      <c r="T176" s="39">
        <f t="shared" si="66"/>
        <v>16982694.280000001</v>
      </c>
      <c r="U176" s="39">
        <f t="shared" si="66"/>
        <v>0</v>
      </c>
      <c r="V176" s="39">
        <f t="shared" si="66"/>
        <v>0</v>
      </c>
      <c r="W176" s="39">
        <f t="shared" si="66"/>
        <v>0</v>
      </c>
      <c r="X176" s="39">
        <f t="shared" si="66"/>
        <v>16982694.280000001</v>
      </c>
      <c r="Y176" s="193">
        <f t="shared" si="57"/>
        <v>84.623888453711402</v>
      </c>
      <c r="Z176" s="39">
        <f t="shared" si="66"/>
        <v>17295996.68</v>
      </c>
      <c r="AA176" s="39">
        <f t="shared" ref="AA176" si="67">AA193+AA191</f>
        <v>20381800</v>
      </c>
      <c r="AB176" s="239"/>
    </row>
    <row r="177" spans="1:28" s="64" customFormat="1" ht="31.5" x14ac:dyDescent="0.25">
      <c r="A177" s="38"/>
      <c r="B177" s="19"/>
      <c r="C177" s="19" t="str">
        <f>C189</f>
        <v>залишку коштів інших субвенцій з місцевого бюджету,  що склався станом на 01.01.2025 року</v>
      </c>
      <c r="D177" s="39">
        <f>D189</f>
        <v>0</v>
      </c>
      <c r="E177" s="39">
        <f t="shared" ref="E177:Z177" si="68">E189</f>
        <v>0</v>
      </c>
      <c r="F177" s="39">
        <f t="shared" si="68"/>
        <v>0</v>
      </c>
      <c r="G177" s="39">
        <f t="shared" si="68"/>
        <v>0</v>
      </c>
      <c r="H177" s="39">
        <f t="shared" si="68"/>
        <v>0</v>
      </c>
      <c r="I177" s="39">
        <f t="shared" si="68"/>
        <v>0</v>
      </c>
      <c r="J177" s="39">
        <f t="shared" si="68"/>
        <v>0</v>
      </c>
      <c r="K177" s="39">
        <f t="shared" si="68"/>
        <v>0</v>
      </c>
      <c r="L177" s="193" t="e">
        <f t="shared" si="56"/>
        <v>#DIV/0!</v>
      </c>
      <c r="M177" s="39">
        <f t="shared" si="68"/>
        <v>4380600</v>
      </c>
      <c r="N177" s="39">
        <f t="shared" si="68"/>
        <v>4380600</v>
      </c>
      <c r="O177" s="39">
        <f t="shared" si="68"/>
        <v>0</v>
      </c>
      <c r="P177" s="39">
        <f t="shared" si="68"/>
        <v>0</v>
      </c>
      <c r="Q177" s="39">
        <f t="shared" si="68"/>
        <v>0</v>
      </c>
      <c r="R177" s="39">
        <f t="shared" si="68"/>
        <v>4380600</v>
      </c>
      <c r="S177" s="39">
        <f t="shared" si="68"/>
        <v>4374246.3899999997</v>
      </c>
      <c r="T177" s="39">
        <f t="shared" si="68"/>
        <v>4374246.3899999997</v>
      </c>
      <c r="U177" s="39">
        <f t="shared" si="68"/>
        <v>0</v>
      </c>
      <c r="V177" s="39">
        <f t="shared" si="68"/>
        <v>0</v>
      </c>
      <c r="W177" s="39">
        <f t="shared" si="68"/>
        <v>0</v>
      </c>
      <c r="X177" s="39">
        <f t="shared" si="68"/>
        <v>4374246.3899999997</v>
      </c>
      <c r="Y177" s="193">
        <f t="shared" si="57"/>
        <v>99.854960279413774</v>
      </c>
      <c r="Z177" s="39">
        <f t="shared" si="68"/>
        <v>4374246.3899999997</v>
      </c>
      <c r="AA177" s="39">
        <f t="shared" ref="AA177" si="69">AA189</f>
        <v>4380600</v>
      </c>
      <c r="AB177" s="239"/>
    </row>
    <row r="178" spans="1:28" s="64" customFormat="1" ht="23.45" customHeight="1" x14ac:dyDescent="0.25">
      <c r="A178" s="38"/>
      <c r="B178" s="19"/>
      <c r="C178" s="19" t="str">
        <f>C190</f>
        <v>іншої субвенції з місцевого бюджету</v>
      </c>
      <c r="D178" s="39">
        <f>D190</f>
        <v>0</v>
      </c>
      <c r="E178" s="39">
        <f t="shared" ref="E178:Z178" si="70">E190</f>
        <v>0</v>
      </c>
      <c r="F178" s="39">
        <f t="shared" si="70"/>
        <v>0</v>
      </c>
      <c r="G178" s="39">
        <f t="shared" si="70"/>
        <v>0</v>
      </c>
      <c r="H178" s="39">
        <f t="shared" si="70"/>
        <v>0</v>
      </c>
      <c r="I178" s="39">
        <f t="shared" si="70"/>
        <v>0</v>
      </c>
      <c r="J178" s="39">
        <f t="shared" si="70"/>
        <v>0</v>
      </c>
      <c r="K178" s="39">
        <f t="shared" si="70"/>
        <v>0</v>
      </c>
      <c r="L178" s="193" t="e">
        <f t="shared" si="56"/>
        <v>#DIV/0!</v>
      </c>
      <c r="M178" s="39">
        <f t="shared" si="70"/>
        <v>2016277.44</v>
      </c>
      <c r="N178" s="39">
        <f t="shared" si="70"/>
        <v>2016277.44</v>
      </c>
      <c r="O178" s="39">
        <f t="shared" si="70"/>
        <v>0</v>
      </c>
      <c r="P178" s="39">
        <f t="shared" si="70"/>
        <v>0</v>
      </c>
      <c r="Q178" s="39">
        <f t="shared" si="70"/>
        <v>0</v>
      </c>
      <c r="R178" s="39">
        <f t="shared" si="70"/>
        <v>2016277.44</v>
      </c>
      <c r="S178" s="39">
        <f t="shared" si="70"/>
        <v>1031845.66</v>
      </c>
      <c r="T178" s="39">
        <f t="shared" si="70"/>
        <v>1031845.66</v>
      </c>
      <c r="U178" s="39">
        <f t="shared" si="70"/>
        <v>0</v>
      </c>
      <c r="V178" s="39">
        <f t="shared" si="70"/>
        <v>0</v>
      </c>
      <c r="W178" s="39">
        <f t="shared" si="70"/>
        <v>0</v>
      </c>
      <c r="X178" s="39">
        <f t="shared" si="70"/>
        <v>1031845.66</v>
      </c>
      <c r="Y178" s="193">
        <f t="shared" si="57"/>
        <v>51.175777674723179</v>
      </c>
      <c r="Z178" s="39">
        <f t="shared" si="70"/>
        <v>1031845.66</v>
      </c>
      <c r="AA178" s="39">
        <f t="shared" ref="AA178" si="71">AA190</f>
        <v>2016277.44</v>
      </c>
      <c r="AB178" s="239"/>
    </row>
    <row r="179" spans="1:28" s="62" customFormat="1" ht="31.5" x14ac:dyDescent="0.25">
      <c r="A179" s="34" t="s">
        <v>106</v>
      </c>
      <c r="B179" s="34" t="s">
        <v>58</v>
      </c>
      <c r="C179" s="25" t="s">
        <v>119</v>
      </c>
      <c r="D179" s="36">
        <f>'дод 2'!E224</f>
        <v>91585838</v>
      </c>
      <c r="E179" s="36">
        <f>'дод 2'!F224</f>
        <v>759773</v>
      </c>
      <c r="F179" s="36">
        <f>'дод 2'!G224</f>
        <v>0</v>
      </c>
      <c r="G179" s="36">
        <f>'дод 2'!H224</f>
        <v>0</v>
      </c>
      <c r="H179" s="36">
        <f>'дод 2'!I224</f>
        <v>90826065</v>
      </c>
      <c r="I179" s="36">
        <f>'дод 2'!J224</f>
        <v>91578133.030000001</v>
      </c>
      <c r="J179" s="36">
        <f>'дод 2'!K224</f>
        <v>0</v>
      </c>
      <c r="K179" s="36">
        <f>'дод 2'!L224</f>
        <v>0</v>
      </c>
      <c r="L179" s="192">
        <f t="shared" si="56"/>
        <v>99.991587160014845</v>
      </c>
      <c r="M179" s="36">
        <f>'дод 2'!N224</f>
        <v>43000</v>
      </c>
      <c r="N179" s="36">
        <f>'дод 2'!O224</f>
        <v>43000</v>
      </c>
      <c r="O179" s="36">
        <f>'дод 2'!P224</f>
        <v>0</v>
      </c>
      <c r="P179" s="36">
        <f>'дод 2'!Q224</f>
        <v>0</v>
      </c>
      <c r="Q179" s="36">
        <f>'дод 2'!R224</f>
        <v>0</v>
      </c>
      <c r="R179" s="36">
        <f>'дод 2'!S224</f>
        <v>43000</v>
      </c>
      <c r="S179" s="36">
        <f>'дод 2'!T224</f>
        <v>43000</v>
      </c>
      <c r="T179" s="36">
        <f>'дод 2'!U224</f>
        <v>43000</v>
      </c>
      <c r="U179" s="36">
        <f>'дод 2'!V224</f>
        <v>0</v>
      </c>
      <c r="V179" s="36">
        <f>'дод 2'!W224</f>
        <v>0</v>
      </c>
      <c r="W179" s="36">
        <f>'дод 2'!X224</f>
        <v>0</v>
      </c>
      <c r="X179" s="36">
        <f>'дод 2'!Y224</f>
        <v>43000</v>
      </c>
      <c r="Y179" s="192">
        <f t="shared" si="57"/>
        <v>100</v>
      </c>
      <c r="Z179" s="36">
        <f>'дод 2'!AA224</f>
        <v>91621133.030000001</v>
      </c>
      <c r="AA179" s="36">
        <f>'дод 2'!AB224</f>
        <v>91628838</v>
      </c>
      <c r="AB179" s="239"/>
    </row>
    <row r="180" spans="1:28" s="62" customFormat="1" ht="22.5" customHeight="1" x14ac:dyDescent="0.25">
      <c r="A180" s="34">
        <v>6014</v>
      </c>
      <c r="B180" s="52" t="s">
        <v>58</v>
      </c>
      <c r="C180" s="25" t="s">
        <v>371</v>
      </c>
      <c r="D180" s="36">
        <f>'дод 2'!E225</f>
        <v>7815206</v>
      </c>
      <c r="E180" s="36">
        <f>'дод 2'!F225</f>
        <v>7815206</v>
      </c>
      <c r="F180" s="36">
        <f>'дод 2'!G225</f>
        <v>0</v>
      </c>
      <c r="G180" s="36">
        <f>'дод 2'!H225</f>
        <v>0</v>
      </c>
      <c r="H180" s="36">
        <f>'дод 2'!I225</f>
        <v>0</v>
      </c>
      <c r="I180" s="36">
        <f>'дод 2'!J225</f>
        <v>6295631.4000000004</v>
      </c>
      <c r="J180" s="36">
        <f>'дод 2'!K225</f>
        <v>0</v>
      </c>
      <c r="K180" s="36">
        <f>'дод 2'!L225</f>
        <v>0</v>
      </c>
      <c r="L180" s="192">
        <f t="shared" si="56"/>
        <v>80.556179837102178</v>
      </c>
      <c r="M180" s="36">
        <f>'дод 2'!N225</f>
        <v>0</v>
      </c>
      <c r="N180" s="36">
        <f>'дод 2'!O225</f>
        <v>0</v>
      </c>
      <c r="O180" s="36">
        <f>'дод 2'!P225</f>
        <v>0</v>
      </c>
      <c r="P180" s="36">
        <f>'дод 2'!Q225</f>
        <v>0</v>
      </c>
      <c r="Q180" s="36">
        <f>'дод 2'!R225</f>
        <v>0</v>
      </c>
      <c r="R180" s="36">
        <f>'дод 2'!S225</f>
        <v>0</v>
      </c>
      <c r="S180" s="36">
        <f>'дод 2'!T225</f>
        <v>0</v>
      </c>
      <c r="T180" s="36">
        <f>'дод 2'!U225</f>
        <v>0</v>
      </c>
      <c r="U180" s="36">
        <f>'дод 2'!V225</f>
        <v>0</v>
      </c>
      <c r="V180" s="36">
        <f>'дод 2'!W225</f>
        <v>0</v>
      </c>
      <c r="W180" s="36">
        <f>'дод 2'!X225</f>
        <v>0</v>
      </c>
      <c r="X180" s="36">
        <f>'дод 2'!Y225</f>
        <v>0</v>
      </c>
      <c r="Y180" s="192" t="e">
        <f t="shared" si="57"/>
        <v>#DIV/0!</v>
      </c>
      <c r="Z180" s="36">
        <f>'дод 2'!AA225</f>
        <v>6295631.4000000004</v>
      </c>
      <c r="AA180" s="36">
        <f>'дод 2'!AB225</f>
        <v>7815206</v>
      </c>
      <c r="AB180" s="239"/>
    </row>
    <row r="181" spans="1:28" s="62" customFormat="1" ht="22.5" customHeight="1" x14ac:dyDescent="0.25">
      <c r="A181" s="34">
        <v>6015</v>
      </c>
      <c r="B181" s="52" t="s">
        <v>58</v>
      </c>
      <c r="C181" s="25" t="s">
        <v>567</v>
      </c>
      <c r="D181" s="36">
        <f>'дод 2'!E226</f>
        <v>0</v>
      </c>
      <c r="E181" s="36">
        <f>'дод 2'!F226</f>
        <v>0</v>
      </c>
      <c r="F181" s="36">
        <f>'дод 2'!G226</f>
        <v>0</v>
      </c>
      <c r="G181" s="36">
        <f>'дод 2'!H226</f>
        <v>0</v>
      </c>
      <c r="H181" s="36">
        <f>'дод 2'!I226</f>
        <v>0</v>
      </c>
      <c r="I181" s="36">
        <f>'дод 2'!J226</f>
        <v>0</v>
      </c>
      <c r="J181" s="36">
        <f>'дод 2'!K226</f>
        <v>0</v>
      </c>
      <c r="K181" s="36">
        <f>'дод 2'!L226</f>
        <v>0</v>
      </c>
      <c r="L181" s="192" t="e">
        <f t="shared" si="56"/>
        <v>#DIV/0!</v>
      </c>
      <c r="M181" s="36">
        <f>'дод 2'!N226</f>
        <v>55000</v>
      </c>
      <c r="N181" s="36">
        <f>'дод 2'!O226</f>
        <v>55000</v>
      </c>
      <c r="O181" s="36">
        <f>'дод 2'!P226</f>
        <v>0</v>
      </c>
      <c r="P181" s="36">
        <f>'дод 2'!Q226</f>
        <v>0</v>
      </c>
      <c r="Q181" s="36">
        <f>'дод 2'!R226</f>
        <v>0</v>
      </c>
      <c r="R181" s="36">
        <f>'дод 2'!S226</f>
        <v>55000</v>
      </c>
      <c r="S181" s="36">
        <f>'дод 2'!T226</f>
        <v>53268.66</v>
      </c>
      <c r="T181" s="36">
        <f>'дод 2'!U226</f>
        <v>53268.66</v>
      </c>
      <c r="U181" s="36">
        <f>'дод 2'!V226</f>
        <v>0</v>
      </c>
      <c r="V181" s="36">
        <f>'дод 2'!W226</f>
        <v>0</v>
      </c>
      <c r="W181" s="36">
        <f>'дод 2'!X226</f>
        <v>0</v>
      </c>
      <c r="X181" s="36">
        <f>'дод 2'!Y226</f>
        <v>53268.66</v>
      </c>
      <c r="Y181" s="192">
        <f t="shared" si="57"/>
        <v>96.852109090909096</v>
      </c>
      <c r="Z181" s="36">
        <f>'дод 2'!AA226</f>
        <v>53268.66</v>
      </c>
      <c r="AA181" s="36">
        <f>'дод 2'!AB226</f>
        <v>55000</v>
      </c>
      <c r="AB181" s="239"/>
    </row>
    <row r="182" spans="1:28" s="62" customFormat="1" ht="33" customHeight="1" x14ac:dyDescent="0.25">
      <c r="A182" s="34" t="s">
        <v>212</v>
      </c>
      <c r="B182" s="34" t="s">
        <v>58</v>
      </c>
      <c r="C182" s="25" t="s">
        <v>265</v>
      </c>
      <c r="D182" s="36">
        <f>'дод 2'!E227</f>
        <v>907500</v>
      </c>
      <c r="E182" s="36">
        <f>'дод 2'!F227</f>
        <v>907500</v>
      </c>
      <c r="F182" s="36">
        <f>'дод 2'!G227</f>
        <v>0</v>
      </c>
      <c r="G182" s="36">
        <f>'дод 2'!H227</f>
        <v>0</v>
      </c>
      <c r="H182" s="36">
        <f>'дод 2'!I227</f>
        <v>0</v>
      </c>
      <c r="I182" s="36">
        <f>'дод 2'!J227</f>
        <v>903860.64</v>
      </c>
      <c r="J182" s="36">
        <f>'дод 2'!K227</f>
        <v>0</v>
      </c>
      <c r="K182" s="36">
        <f>'дод 2'!L227</f>
        <v>0</v>
      </c>
      <c r="L182" s="192">
        <f t="shared" si="56"/>
        <v>99.598968595041327</v>
      </c>
      <c r="M182" s="36">
        <f>'дод 2'!N227</f>
        <v>0</v>
      </c>
      <c r="N182" s="36">
        <f>'дод 2'!O227</f>
        <v>0</v>
      </c>
      <c r="O182" s="36">
        <f>'дод 2'!P227</f>
        <v>0</v>
      </c>
      <c r="P182" s="36">
        <f>'дод 2'!Q227</f>
        <v>0</v>
      </c>
      <c r="Q182" s="36">
        <f>'дод 2'!R227</f>
        <v>0</v>
      </c>
      <c r="R182" s="36">
        <f>'дод 2'!S227</f>
        <v>0</v>
      </c>
      <c r="S182" s="36">
        <f>'дод 2'!T227</f>
        <v>0</v>
      </c>
      <c r="T182" s="36">
        <f>'дод 2'!U227</f>
        <v>0</v>
      </c>
      <c r="U182" s="36">
        <f>'дод 2'!V227</f>
        <v>0</v>
      </c>
      <c r="V182" s="36">
        <f>'дод 2'!W227</f>
        <v>0</v>
      </c>
      <c r="W182" s="36">
        <f>'дод 2'!X227</f>
        <v>0</v>
      </c>
      <c r="X182" s="36">
        <f>'дод 2'!Y227</f>
        <v>0</v>
      </c>
      <c r="Y182" s="192" t="e">
        <f t="shared" si="57"/>
        <v>#DIV/0!</v>
      </c>
      <c r="Z182" s="36">
        <f>'дод 2'!AA227</f>
        <v>903860.64</v>
      </c>
      <c r="AA182" s="36">
        <f>'дод 2'!AB227</f>
        <v>907500</v>
      </c>
      <c r="AB182" s="239"/>
    </row>
    <row r="183" spans="1:28" s="62" customFormat="1" ht="55.5" customHeight="1" x14ac:dyDescent="0.25">
      <c r="A183" s="34" t="s">
        <v>57</v>
      </c>
      <c r="B183" s="34" t="s">
        <v>58</v>
      </c>
      <c r="C183" s="25" t="s">
        <v>109</v>
      </c>
      <c r="D183" s="36">
        <f>'дод 2'!E228</f>
        <v>5435598</v>
      </c>
      <c r="E183" s="36">
        <f>'дод 2'!F228</f>
        <v>0</v>
      </c>
      <c r="F183" s="36">
        <f>'дод 2'!G228</f>
        <v>0</v>
      </c>
      <c r="G183" s="36">
        <f>'дод 2'!H228</f>
        <v>0</v>
      </c>
      <c r="H183" s="36">
        <f>'дод 2'!I228</f>
        <v>5435598</v>
      </c>
      <c r="I183" s="36">
        <f>'дод 2'!J228</f>
        <v>4109474.88</v>
      </c>
      <c r="J183" s="36">
        <f>'дод 2'!K228</f>
        <v>0</v>
      </c>
      <c r="K183" s="36">
        <f>'дод 2'!L228</f>
        <v>0</v>
      </c>
      <c r="L183" s="192">
        <f t="shared" si="56"/>
        <v>75.602994923465644</v>
      </c>
      <c r="M183" s="36">
        <f>'дод 2'!N228</f>
        <v>0</v>
      </c>
      <c r="N183" s="36">
        <f>'дод 2'!O228</f>
        <v>0</v>
      </c>
      <c r="O183" s="36">
        <f>'дод 2'!P228</f>
        <v>0</v>
      </c>
      <c r="P183" s="36">
        <f>'дод 2'!Q228</f>
        <v>0</v>
      </c>
      <c r="Q183" s="36">
        <f>'дод 2'!R228</f>
        <v>0</v>
      </c>
      <c r="R183" s="36">
        <f>'дод 2'!S228</f>
        <v>0</v>
      </c>
      <c r="S183" s="36">
        <f>'дод 2'!T228</f>
        <v>0</v>
      </c>
      <c r="T183" s="36">
        <f>'дод 2'!U228</f>
        <v>0</v>
      </c>
      <c r="U183" s="36">
        <f>'дод 2'!V228</f>
        <v>0</v>
      </c>
      <c r="V183" s="36">
        <f>'дод 2'!W228</f>
        <v>0</v>
      </c>
      <c r="W183" s="36">
        <f>'дод 2'!X228</f>
        <v>0</v>
      </c>
      <c r="X183" s="36">
        <f>'дод 2'!Y228</f>
        <v>0</v>
      </c>
      <c r="Y183" s="192" t="e">
        <f t="shared" si="57"/>
        <v>#DIV/0!</v>
      </c>
      <c r="Z183" s="36">
        <f>'дод 2'!AA228</f>
        <v>4109474.88</v>
      </c>
      <c r="AA183" s="36">
        <f>'дод 2'!AB228</f>
        <v>5435598</v>
      </c>
      <c r="AB183" s="239"/>
    </row>
    <row r="184" spans="1:28" ht="24" customHeight="1" x14ac:dyDescent="0.25">
      <c r="A184" s="34" t="s">
        <v>107</v>
      </c>
      <c r="B184" s="34" t="s">
        <v>58</v>
      </c>
      <c r="C184" s="25" t="s">
        <v>108</v>
      </c>
      <c r="D184" s="36">
        <f>'дод 2'!E229+'дод 2'!E281</f>
        <v>302547960</v>
      </c>
      <c r="E184" s="36">
        <f>'дод 2'!F229+'дод 2'!F281</f>
        <v>301447960</v>
      </c>
      <c r="F184" s="36">
        <f>'дод 2'!G229+'дод 2'!G281</f>
        <v>0</v>
      </c>
      <c r="G184" s="36">
        <f>'дод 2'!H229+'дод 2'!H281</f>
        <v>33347175</v>
      </c>
      <c r="H184" s="36">
        <f>'дод 2'!I229+'дод 2'!I281</f>
        <v>1100000</v>
      </c>
      <c r="I184" s="36">
        <f>'дод 2'!J229+'дод 2'!J281</f>
        <v>283311698.23000002</v>
      </c>
      <c r="J184" s="36">
        <f>'дод 2'!K229+'дод 2'!K281</f>
        <v>0</v>
      </c>
      <c r="K184" s="36">
        <f>'дод 2'!L229+'дод 2'!L281</f>
        <v>27382860.829999998</v>
      </c>
      <c r="L184" s="192">
        <f t="shared" si="56"/>
        <v>93.641913245754495</v>
      </c>
      <c r="M184" s="36">
        <f>'дод 2'!N229+'дод 2'!N281</f>
        <v>292269</v>
      </c>
      <c r="N184" s="36">
        <f>'дод 2'!O229+'дод 2'!O281</f>
        <v>292269</v>
      </c>
      <c r="O184" s="36">
        <f>'дод 2'!P229+'дод 2'!P281</f>
        <v>0</v>
      </c>
      <c r="P184" s="36">
        <f>'дод 2'!Q229+'дод 2'!Q281</f>
        <v>0</v>
      </c>
      <c r="Q184" s="36">
        <f>'дод 2'!R229+'дод 2'!R281</f>
        <v>0</v>
      </c>
      <c r="R184" s="36">
        <f>'дод 2'!S229+'дод 2'!S281</f>
        <v>292269</v>
      </c>
      <c r="S184" s="36">
        <f>'дод 2'!T229+'дод 2'!T281</f>
        <v>207900.05</v>
      </c>
      <c r="T184" s="36">
        <f>'дод 2'!U229+'дод 2'!U281</f>
        <v>207900.05</v>
      </c>
      <c r="U184" s="36">
        <f>'дод 2'!V229+'дод 2'!V281</f>
        <v>0</v>
      </c>
      <c r="V184" s="36">
        <f>'дод 2'!W229+'дод 2'!W281</f>
        <v>0</v>
      </c>
      <c r="W184" s="36">
        <f>'дод 2'!X229+'дод 2'!X281</f>
        <v>0</v>
      </c>
      <c r="X184" s="36">
        <f>'дод 2'!Y229+'дод 2'!Y281</f>
        <v>207900.05</v>
      </c>
      <c r="Y184" s="192">
        <f t="shared" si="57"/>
        <v>71.133117094183788</v>
      </c>
      <c r="Z184" s="36">
        <f>'дод 2'!AA229+'дод 2'!AA281</f>
        <v>283519598.28000003</v>
      </c>
      <c r="AA184" s="36">
        <f>'дод 2'!AB229+'дод 2'!AB281</f>
        <v>302840229</v>
      </c>
      <c r="AB184" s="239"/>
    </row>
    <row r="185" spans="1:28" ht="47.25" x14ac:dyDescent="0.25">
      <c r="A185" s="34">
        <v>6084</v>
      </c>
      <c r="B185" s="52" t="s">
        <v>56</v>
      </c>
      <c r="C185" s="25" t="s">
        <v>507</v>
      </c>
      <c r="D185" s="36">
        <f>'дод 2'!E282</f>
        <v>0</v>
      </c>
      <c r="E185" s="36">
        <f>'дод 2'!F282</f>
        <v>0</v>
      </c>
      <c r="F185" s="36">
        <f>'дод 2'!G282</f>
        <v>0</v>
      </c>
      <c r="G185" s="36">
        <f>'дод 2'!H282</f>
        <v>0</v>
      </c>
      <c r="H185" s="36">
        <f>'дод 2'!I282</f>
        <v>0</v>
      </c>
      <c r="I185" s="36">
        <f>'дод 2'!J282</f>
        <v>0</v>
      </c>
      <c r="J185" s="36">
        <f>'дод 2'!K282</f>
        <v>0</v>
      </c>
      <c r="K185" s="36">
        <f>'дод 2'!L282</f>
        <v>0</v>
      </c>
      <c r="L185" s="192" t="e">
        <f t="shared" si="56"/>
        <v>#DIV/0!</v>
      </c>
      <c r="M185" s="36">
        <f>'дод 2'!N282</f>
        <v>354773.55</v>
      </c>
      <c r="N185" s="36">
        <f>'дод 2'!O282</f>
        <v>0</v>
      </c>
      <c r="O185" s="36">
        <f>'дод 2'!P282</f>
        <v>0</v>
      </c>
      <c r="P185" s="36">
        <f>'дод 2'!Q282</f>
        <v>0</v>
      </c>
      <c r="Q185" s="36">
        <f>'дод 2'!R282</f>
        <v>0</v>
      </c>
      <c r="R185" s="36">
        <f>'дод 2'!S282</f>
        <v>354773.55</v>
      </c>
      <c r="S185" s="36">
        <f>'дод 2'!T282</f>
        <v>346244.2</v>
      </c>
      <c r="T185" s="36">
        <f>'дод 2'!U282</f>
        <v>0</v>
      </c>
      <c r="U185" s="36">
        <f>'дод 2'!V282</f>
        <v>0</v>
      </c>
      <c r="V185" s="36">
        <f>'дод 2'!W282</f>
        <v>0</v>
      </c>
      <c r="W185" s="36">
        <f>'дод 2'!X282</f>
        <v>0</v>
      </c>
      <c r="X185" s="36">
        <f>'дод 2'!Y282</f>
        <v>346244.2</v>
      </c>
      <c r="Y185" s="192">
        <f t="shared" si="57"/>
        <v>97.595832609279938</v>
      </c>
      <c r="Z185" s="36">
        <f>'дод 2'!AA282</f>
        <v>346244.2</v>
      </c>
      <c r="AA185" s="36">
        <f>'дод 2'!AB282</f>
        <v>354773.55</v>
      </c>
      <c r="AB185" s="239"/>
    </row>
    <row r="186" spans="1:28" ht="21.75" customHeight="1" x14ac:dyDescent="0.25">
      <c r="A186" s="34" t="s">
        <v>114</v>
      </c>
      <c r="B186" s="13" t="s">
        <v>240</v>
      </c>
      <c r="C186" s="25" t="s">
        <v>115</v>
      </c>
      <c r="D186" s="36">
        <f>'дод 2'!E230</f>
        <v>2965608</v>
      </c>
      <c r="E186" s="36">
        <f>'дод 2'!F230</f>
        <v>2106270</v>
      </c>
      <c r="F186" s="36">
        <f>'дод 2'!G230</f>
        <v>0</v>
      </c>
      <c r="G186" s="36">
        <f>'дод 2'!H230</f>
        <v>6000</v>
      </c>
      <c r="H186" s="36">
        <f>'дод 2'!I230</f>
        <v>859338</v>
      </c>
      <c r="I186" s="36">
        <f>'дод 2'!J230</f>
        <v>2096187.53</v>
      </c>
      <c r="J186" s="36">
        <f>'дод 2'!K230</f>
        <v>0</v>
      </c>
      <c r="K186" s="36">
        <f>'дод 2'!L230</f>
        <v>504.88</v>
      </c>
      <c r="L186" s="192">
        <f t="shared" si="56"/>
        <v>70.6832302178845</v>
      </c>
      <c r="M186" s="36">
        <f>'дод 2'!N230</f>
        <v>0</v>
      </c>
      <c r="N186" s="36">
        <f>'дод 2'!O230</f>
        <v>0</v>
      </c>
      <c r="O186" s="36">
        <f>'дод 2'!P230</f>
        <v>0</v>
      </c>
      <c r="P186" s="36">
        <f>'дод 2'!Q230</f>
        <v>0</v>
      </c>
      <c r="Q186" s="36">
        <f>'дод 2'!R230</f>
        <v>0</v>
      </c>
      <c r="R186" s="36">
        <f>'дод 2'!S230</f>
        <v>0</v>
      </c>
      <c r="S186" s="36">
        <f>'дод 2'!T230</f>
        <v>24815163.710000001</v>
      </c>
      <c r="T186" s="36">
        <f>'дод 2'!U230</f>
        <v>0</v>
      </c>
      <c r="U186" s="36">
        <f>'дод 2'!V230</f>
        <v>4197593.5199999996</v>
      </c>
      <c r="V186" s="36">
        <f>'дод 2'!W230</f>
        <v>0</v>
      </c>
      <c r="W186" s="36">
        <f>'дод 2'!X230</f>
        <v>0</v>
      </c>
      <c r="X186" s="36">
        <f>'дод 2'!Y230</f>
        <v>20617570.190000001</v>
      </c>
      <c r="Y186" s="192" t="e">
        <f t="shared" si="57"/>
        <v>#DIV/0!</v>
      </c>
      <c r="Z186" s="36">
        <f>'дод 2'!AA230</f>
        <v>26911351.240000002</v>
      </c>
      <c r="AA186" s="36">
        <f>'дод 2'!AB230</f>
        <v>2965608</v>
      </c>
      <c r="AB186" s="239"/>
    </row>
    <row r="187" spans="1:28" ht="20.25" customHeight="1" x14ac:dyDescent="0.25">
      <c r="A187" s="34">
        <v>6091</v>
      </c>
      <c r="B187" s="52" t="s">
        <v>240</v>
      </c>
      <c r="C187" s="25" t="s">
        <v>354</v>
      </c>
      <c r="D187" s="36">
        <f>'дод 2'!E231+'дод 2'!E283</f>
        <v>0</v>
      </c>
      <c r="E187" s="36">
        <f>'дод 2'!F231+'дод 2'!F283</f>
        <v>0</v>
      </c>
      <c r="F187" s="36">
        <f>'дод 2'!G231+'дод 2'!G283</f>
        <v>0</v>
      </c>
      <c r="G187" s="36">
        <f>'дод 2'!H231+'дод 2'!H283</f>
        <v>0</v>
      </c>
      <c r="H187" s="36">
        <f>'дод 2'!I231+'дод 2'!I283</f>
        <v>0</v>
      </c>
      <c r="I187" s="36">
        <f>'дод 2'!J231+'дод 2'!J283</f>
        <v>0</v>
      </c>
      <c r="J187" s="36">
        <f>'дод 2'!K231+'дод 2'!K283</f>
        <v>0</v>
      </c>
      <c r="K187" s="36">
        <f>'дод 2'!L231+'дод 2'!L283</f>
        <v>0</v>
      </c>
      <c r="L187" s="192" t="e">
        <f t="shared" si="56"/>
        <v>#DIV/0!</v>
      </c>
      <c r="M187" s="36">
        <f>'дод 2'!N231+'дод 2'!N283</f>
        <v>32901140.999999996</v>
      </c>
      <c r="N187" s="36">
        <f>'дод 2'!O231+'дод 2'!O283</f>
        <v>32901140.999999996</v>
      </c>
      <c r="O187" s="36">
        <f>'дод 2'!P231+'дод 2'!P283</f>
        <v>0</v>
      </c>
      <c r="P187" s="36">
        <f>'дод 2'!Q231+'дод 2'!Q283</f>
        <v>0</v>
      </c>
      <c r="Q187" s="36">
        <f>'дод 2'!R231+'дод 2'!R283</f>
        <v>0</v>
      </c>
      <c r="R187" s="36">
        <f>'дод 2'!S231+'дод 2'!S283</f>
        <v>32901140.999999996</v>
      </c>
      <c r="S187" s="36">
        <f>'дод 2'!T231+'дод 2'!T283</f>
        <v>13989729.419999998</v>
      </c>
      <c r="T187" s="36">
        <f>'дод 2'!U231+'дод 2'!U283</f>
        <v>13989729.419999998</v>
      </c>
      <c r="U187" s="36">
        <f>'дод 2'!V231+'дод 2'!V283</f>
        <v>0</v>
      </c>
      <c r="V187" s="36">
        <f>'дод 2'!W231+'дод 2'!W283</f>
        <v>0</v>
      </c>
      <c r="W187" s="36">
        <f>'дод 2'!X231+'дод 2'!X283</f>
        <v>0</v>
      </c>
      <c r="X187" s="36">
        <f>'дод 2'!Y231+'дод 2'!Y283</f>
        <v>13989729.419999998</v>
      </c>
      <c r="Y187" s="192">
        <f t="shared" si="57"/>
        <v>42.520499273870165</v>
      </c>
      <c r="Z187" s="36">
        <f>'дод 2'!AA231+'дод 2'!AA283</f>
        <v>13989729.419999998</v>
      </c>
      <c r="AA187" s="36">
        <f>'дод 2'!AB231+'дод 2'!AB283</f>
        <v>32901140.999999996</v>
      </c>
      <c r="AB187" s="239"/>
    </row>
    <row r="188" spans="1:28" ht="47.25" x14ac:dyDescent="0.25">
      <c r="A188" s="34">
        <v>6092</v>
      </c>
      <c r="B188" s="52" t="s">
        <v>56</v>
      </c>
      <c r="C188" s="76" t="s">
        <v>514</v>
      </c>
      <c r="D188" s="36">
        <f>'дод 2'!E232+'дод 2'!E284</f>
        <v>4000000</v>
      </c>
      <c r="E188" s="36">
        <f>'дод 2'!F232+'дод 2'!F284</f>
        <v>4000000</v>
      </c>
      <c r="F188" s="36">
        <f>'дод 2'!G232+'дод 2'!G284</f>
        <v>0</v>
      </c>
      <c r="G188" s="36">
        <f>'дод 2'!H232+'дод 2'!H284</f>
        <v>0</v>
      </c>
      <c r="H188" s="36">
        <f>'дод 2'!I232+'дод 2'!I284</f>
        <v>0</v>
      </c>
      <c r="I188" s="36">
        <f>'дод 2'!J232+'дод 2'!J284</f>
        <v>2784102.35</v>
      </c>
      <c r="J188" s="36">
        <f>'дод 2'!K232+'дод 2'!K284</f>
        <v>0</v>
      </c>
      <c r="K188" s="36">
        <f>'дод 2'!L232+'дод 2'!L284</f>
        <v>0</v>
      </c>
      <c r="L188" s="192">
        <f t="shared" si="56"/>
        <v>69.60255875</v>
      </c>
      <c r="M188" s="36">
        <f>'дод 2'!N232+'дод 2'!N284</f>
        <v>70098616.439999998</v>
      </c>
      <c r="N188" s="36">
        <f>'дод 2'!O232+'дод 2'!O284</f>
        <v>70098616.439999998</v>
      </c>
      <c r="O188" s="36">
        <f>'дод 2'!P232+'дод 2'!P284</f>
        <v>0</v>
      </c>
      <c r="P188" s="36">
        <f>'дод 2'!Q232+'дод 2'!Q284</f>
        <v>0</v>
      </c>
      <c r="Q188" s="36">
        <f>'дод 2'!R232+'дод 2'!R284</f>
        <v>0</v>
      </c>
      <c r="R188" s="36">
        <f>'дод 2'!S232+'дод 2'!S284</f>
        <v>70098616.439999998</v>
      </c>
      <c r="S188" s="36">
        <f>'дод 2'!T232+'дод 2'!T284</f>
        <v>51556054.210000001</v>
      </c>
      <c r="T188" s="36">
        <f>'дод 2'!U232+'дод 2'!U284</f>
        <v>51556054.210000001</v>
      </c>
      <c r="U188" s="36">
        <f>'дод 2'!V232+'дод 2'!V284</f>
        <v>0</v>
      </c>
      <c r="V188" s="36">
        <f>'дод 2'!W232+'дод 2'!W284</f>
        <v>0</v>
      </c>
      <c r="W188" s="36">
        <f>'дод 2'!X232+'дод 2'!X284</f>
        <v>0</v>
      </c>
      <c r="X188" s="36">
        <f>'дод 2'!Y232+'дод 2'!Y284</f>
        <v>51556054.210000001</v>
      </c>
      <c r="Y188" s="192">
        <f t="shared" si="57"/>
        <v>73.547891282745553</v>
      </c>
      <c r="Z188" s="36">
        <f>'дод 2'!AA232+'дод 2'!AA284</f>
        <v>54340156.560000002</v>
      </c>
      <c r="AA188" s="36">
        <f>'дод 2'!AB232+'дод 2'!AB284</f>
        <v>74098616.439999998</v>
      </c>
      <c r="AB188" s="239"/>
    </row>
    <row r="189" spans="1:28" ht="36" customHeight="1" x14ac:dyDescent="0.25">
      <c r="A189" s="34"/>
      <c r="B189" s="52"/>
      <c r="C189" s="22" t="s">
        <v>515</v>
      </c>
      <c r="D189" s="41">
        <f>'дод 2'!E234</f>
        <v>0</v>
      </c>
      <c r="E189" s="41">
        <f>'дод 2'!F234</f>
        <v>0</v>
      </c>
      <c r="F189" s="41">
        <f>'дод 2'!G234</f>
        <v>0</v>
      </c>
      <c r="G189" s="41">
        <f>'дод 2'!H234</f>
        <v>0</v>
      </c>
      <c r="H189" s="41">
        <f>'дод 2'!I234</f>
        <v>0</v>
      </c>
      <c r="I189" s="41">
        <f>'дод 2'!J234</f>
        <v>0</v>
      </c>
      <c r="J189" s="41">
        <f>'дод 2'!K234</f>
        <v>0</v>
      </c>
      <c r="K189" s="41">
        <f>'дод 2'!L234</f>
        <v>0</v>
      </c>
      <c r="L189" s="194" t="e">
        <f t="shared" si="56"/>
        <v>#DIV/0!</v>
      </c>
      <c r="M189" s="41">
        <f>'дод 2'!N234</f>
        <v>4380600</v>
      </c>
      <c r="N189" s="41">
        <f>'дод 2'!O234</f>
        <v>4380600</v>
      </c>
      <c r="O189" s="41">
        <f>'дод 2'!P234</f>
        <v>0</v>
      </c>
      <c r="P189" s="41">
        <f>'дод 2'!Q234</f>
        <v>0</v>
      </c>
      <c r="Q189" s="41">
        <f>'дод 2'!R234</f>
        <v>0</v>
      </c>
      <c r="R189" s="41">
        <f>'дод 2'!S234</f>
        <v>4380600</v>
      </c>
      <c r="S189" s="41">
        <f>'дод 2'!T234</f>
        <v>4374246.3899999997</v>
      </c>
      <c r="T189" s="41">
        <f>'дод 2'!U234</f>
        <v>4374246.3899999997</v>
      </c>
      <c r="U189" s="41">
        <f>'дод 2'!V234</f>
        <v>0</v>
      </c>
      <c r="V189" s="41">
        <f>'дод 2'!W234</f>
        <v>0</v>
      </c>
      <c r="W189" s="41">
        <f>'дод 2'!X234</f>
        <v>0</v>
      </c>
      <c r="X189" s="41">
        <f>'дод 2'!Y234</f>
        <v>4374246.3899999997</v>
      </c>
      <c r="Y189" s="194">
        <f t="shared" si="57"/>
        <v>99.854960279413774</v>
      </c>
      <c r="Z189" s="41">
        <f>'дод 2'!AA234</f>
        <v>4374246.3899999997</v>
      </c>
      <c r="AA189" s="41">
        <f>'дод 2'!AB234</f>
        <v>4380600</v>
      </c>
      <c r="AB189" s="239"/>
    </row>
    <row r="190" spans="1:28" ht="19.5" customHeight="1" x14ac:dyDescent="0.25">
      <c r="A190" s="34"/>
      <c r="B190" s="52"/>
      <c r="C190" s="22" t="s">
        <v>281</v>
      </c>
      <c r="D190" s="41">
        <f>'дод 2'!E235</f>
        <v>0</v>
      </c>
      <c r="E190" s="41">
        <f>'дод 2'!F235</f>
        <v>0</v>
      </c>
      <c r="F190" s="41">
        <f>'дод 2'!G235</f>
        <v>0</v>
      </c>
      <c r="G190" s="41">
        <f>'дод 2'!H235</f>
        <v>0</v>
      </c>
      <c r="H190" s="41">
        <f>'дод 2'!I235</f>
        <v>0</v>
      </c>
      <c r="I190" s="41">
        <f>'дод 2'!J235</f>
        <v>0</v>
      </c>
      <c r="J190" s="41">
        <f>'дод 2'!K235</f>
        <v>0</v>
      </c>
      <c r="K190" s="41">
        <f>'дод 2'!L235</f>
        <v>0</v>
      </c>
      <c r="L190" s="194" t="e">
        <f t="shared" si="56"/>
        <v>#DIV/0!</v>
      </c>
      <c r="M190" s="41">
        <f>'дод 2'!N235</f>
        <v>2016277.44</v>
      </c>
      <c r="N190" s="41">
        <f>'дод 2'!O235</f>
        <v>2016277.44</v>
      </c>
      <c r="O190" s="41">
        <f>'дод 2'!P235</f>
        <v>0</v>
      </c>
      <c r="P190" s="41">
        <f>'дод 2'!Q235</f>
        <v>0</v>
      </c>
      <c r="Q190" s="41">
        <f>'дод 2'!R235</f>
        <v>0</v>
      </c>
      <c r="R190" s="41">
        <f>'дод 2'!S235</f>
        <v>2016277.44</v>
      </c>
      <c r="S190" s="41">
        <f>'дод 2'!T235</f>
        <v>1031845.66</v>
      </c>
      <c r="T190" s="41">
        <f>'дод 2'!U235</f>
        <v>1031845.66</v>
      </c>
      <c r="U190" s="41">
        <f>'дод 2'!V235</f>
        <v>0</v>
      </c>
      <c r="V190" s="41">
        <f>'дод 2'!W235</f>
        <v>0</v>
      </c>
      <c r="W190" s="41">
        <f>'дод 2'!X235</f>
        <v>0</v>
      </c>
      <c r="X190" s="41">
        <f>'дод 2'!Y235</f>
        <v>1031845.66</v>
      </c>
      <c r="Y190" s="194">
        <f t="shared" si="57"/>
        <v>51.175777674723179</v>
      </c>
      <c r="Z190" s="41">
        <f>'дод 2'!AA235</f>
        <v>1031845.66</v>
      </c>
      <c r="AA190" s="41">
        <f>'дод 2'!AB235</f>
        <v>2016277.44</v>
      </c>
      <c r="AB190" s="239"/>
    </row>
    <row r="191" spans="1:28" ht="78.75" x14ac:dyDescent="0.25">
      <c r="A191" s="34"/>
      <c r="B191" s="52"/>
      <c r="C191" s="22" t="s">
        <v>385</v>
      </c>
      <c r="D191" s="41">
        <f>'дод 2'!E285+'дод 2'!E233</f>
        <v>0</v>
      </c>
      <c r="E191" s="41">
        <f>'дод 2'!F285+'дод 2'!F233</f>
        <v>0</v>
      </c>
      <c r="F191" s="41">
        <f>'дод 2'!G285+'дод 2'!G233</f>
        <v>0</v>
      </c>
      <c r="G191" s="41">
        <f>'дод 2'!H285+'дод 2'!H233</f>
        <v>0</v>
      </c>
      <c r="H191" s="41">
        <f>'дод 2'!I285+'дод 2'!I233</f>
        <v>0</v>
      </c>
      <c r="I191" s="41">
        <f>'дод 2'!J285+'дод 2'!J233</f>
        <v>0</v>
      </c>
      <c r="J191" s="41">
        <f>'дод 2'!K285+'дод 2'!K233</f>
        <v>0</v>
      </c>
      <c r="K191" s="41">
        <f>'дод 2'!L285+'дод 2'!L233</f>
        <v>0</v>
      </c>
      <c r="L191" s="194" t="e">
        <f t="shared" si="56"/>
        <v>#DIV/0!</v>
      </c>
      <c r="M191" s="41">
        <f>'дод 2'!N285+'дод 2'!N233</f>
        <v>20068440</v>
      </c>
      <c r="N191" s="41">
        <f>'дод 2'!O285+'дод 2'!O233</f>
        <v>20068440</v>
      </c>
      <c r="O191" s="41">
        <f>'дод 2'!P285+'дод 2'!P233</f>
        <v>0</v>
      </c>
      <c r="P191" s="41">
        <f>'дод 2'!Q285+'дод 2'!Q233</f>
        <v>0</v>
      </c>
      <c r="Q191" s="41">
        <f>'дод 2'!R285+'дод 2'!R233</f>
        <v>0</v>
      </c>
      <c r="R191" s="41">
        <f>'дод 2'!S285+'дод 2'!S233</f>
        <v>20068440</v>
      </c>
      <c r="S191" s="41">
        <f>'дод 2'!T285+'дод 2'!T233</f>
        <v>16982694.280000001</v>
      </c>
      <c r="T191" s="41">
        <f>'дод 2'!U285+'дод 2'!U233</f>
        <v>16982694.280000001</v>
      </c>
      <c r="U191" s="41">
        <f>'дод 2'!V285+'дод 2'!V233</f>
        <v>0</v>
      </c>
      <c r="V191" s="41">
        <f>'дод 2'!W285+'дод 2'!W233</f>
        <v>0</v>
      </c>
      <c r="W191" s="41">
        <f>'дод 2'!X285+'дод 2'!X233</f>
        <v>0</v>
      </c>
      <c r="X191" s="41">
        <f>'дод 2'!Y285+'дод 2'!Y233</f>
        <v>16982694.280000001</v>
      </c>
      <c r="Y191" s="194">
        <f t="shared" si="57"/>
        <v>84.623888453711402</v>
      </c>
      <c r="Z191" s="41">
        <f>'дод 2'!AA285+'дод 2'!AA233</f>
        <v>16982694.280000001</v>
      </c>
      <c r="AA191" s="41">
        <f>'дод 2'!AB285+'дод 2'!AB233</f>
        <v>20068440</v>
      </c>
      <c r="AB191" s="239"/>
    </row>
    <row r="192" spans="1:28" ht="72" customHeight="1" x14ac:dyDescent="0.25">
      <c r="A192" s="34">
        <v>6093</v>
      </c>
      <c r="B192" s="52" t="s">
        <v>240</v>
      </c>
      <c r="C192" s="16" t="s">
        <v>510</v>
      </c>
      <c r="D192" s="36">
        <f>'дод 2'!E236</f>
        <v>313360</v>
      </c>
      <c r="E192" s="36">
        <f>'дод 2'!F236</f>
        <v>313360</v>
      </c>
      <c r="F192" s="36">
        <f>'дод 2'!G236</f>
        <v>0</v>
      </c>
      <c r="G192" s="36">
        <f>'дод 2'!H236</f>
        <v>0</v>
      </c>
      <c r="H192" s="36">
        <f>'дод 2'!I236</f>
        <v>0</v>
      </c>
      <c r="I192" s="36">
        <f>'дод 2'!J236</f>
        <v>313302.40000000002</v>
      </c>
      <c r="J192" s="36">
        <f>'дод 2'!K236</f>
        <v>0</v>
      </c>
      <c r="K192" s="36">
        <f>'дод 2'!L236</f>
        <v>0</v>
      </c>
      <c r="L192" s="192">
        <f t="shared" si="56"/>
        <v>99.981618585652285</v>
      </c>
      <c r="M192" s="36">
        <f>'дод 2'!N236</f>
        <v>0</v>
      </c>
      <c r="N192" s="36">
        <f>'дод 2'!O236</f>
        <v>0</v>
      </c>
      <c r="O192" s="36">
        <f>'дод 2'!P236</f>
        <v>0</v>
      </c>
      <c r="P192" s="36">
        <f>'дод 2'!Q236</f>
        <v>0</v>
      </c>
      <c r="Q192" s="36">
        <f>'дод 2'!R236</f>
        <v>0</v>
      </c>
      <c r="R192" s="36">
        <f>'дод 2'!S236</f>
        <v>0</v>
      </c>
      <c r="S192" s="36">
        <f>'дод 2'!T236</f>
        <v>0</v>
      </c>
      <c r="T192" s="36">
        <f>'дод 2'!U236</f>
        <v>0</v>
      </c>
      <c r="U192" s="36">
        <f>'дод 2'!V236</f>
        <v>0</v>
      </c>
      <c r="V192" s="36">
        <f>'дод 2'!W236</f>
        <v>0</v>
      </c>
      <c r="W192" s="36">
        <f>'дод 2'!X236</f>
        <v>0</v>
      </c>
      <c r="X192" s="36">
        <f>'дод 2'!Y236</f>
        <v>0</v>
      </c>
      <c r="Y192" s="192" t="e">
        <f t="shared" si="57"/>
        <v>#DIV/0!</v>
      </c>
      <c r="Z192" s="36">
        <f>'дод 2'!AA236</f>
        <v>313302.40000000002</v>
      </c>
      <c r="AA192" s="36">
        <f>'дод 2'!AB236</f>
        <v>313360</v>
      </c>
      <c r="AB192" s="239"/>
    </row>
    <row r="193" spans="1:28" ht="78" customHeight="1" x14ac:dyDescent="0.25">
      <c r="A193" s="34"/>
      <c r="B193" s="52"/>
      <c r="C193" s="22" t="s">
        <v>385</v>
      </c>
      <c r="D193" s="41">
        <f>'дод 2'!E237</f>
        <v>313360</v>
      </c>
      <c r="E193" s="41">
        <f>'дод 2'!F237</f>
        <v>313360</v>
      </c>
      <c r="F193" s="41">
        <f>'дод 2'!G237</f>
        <v>0</v>
      </c>
      <c r="G193" s="41">
        <f>'дод 2'!H237</f>
        <v>0</v>
      </c>
      <c r="H193" s="41">
        <f>'дод 2'!I237</f>
        <v>0</v>
      </c>
      <c r="I193" s="41">
        <f>'дод 2'!J237</f>
        <v>313302.40000000002</v>
      </c>
      <c r="J193" s="41">
        <f>'дод 2'!K237</f>
        <v>0</v>
      </c>
      <c r="K193" s="41">
        <f>'дод 2'!L237</f>
        <v>0</v>
      </c>
      <c r="L193" s="194">
        <f t="shared" si="56"/>
        <v>99.981618585652285</v>
      </c>
      <c r="M193" s="41">
        <f>'дод 2'!N237</f>
        <v>0</v>
      </c>
      <c r="N193" s="41">
        <f>'дод 2'!O237</f>
        <v>0</v>
      </c>
      <c r="O193" s="41">
        <f>'дод 2'!P237</f>
        <v>0</v>
      </c>
      <c r="P193" s="41">
        <f>'дод 2'!Q237</f>
        <v>0</v>
      </c>
      <c r="Q193" s="41">
        <f>'дод 2'!R237</f>
        <v>0</v>
      </c>
      <c r="R193" s="41">
        <f>'дод 2'!S237</f>
        <v>0</v>
      </c>
      <c r="S193" s="41">
        <f>'дод 2'!T237</f>
        <v>0</v>
      </c>
      <c r="T193" s="41">
        <f>'дод 2'!U237</f>
        <v>0</v>
      </c>
      <c r="U193" s="41">
        <f>'дод 2'!V237</f>
        <v>0</v>
      </c>
      <c r="V193" s="41">
        <f>'дод 2'!W237</f>
        <v>0</v>
      </c>
      <c r="W193" s="41">
        <f>'дод 2'!X237</f>
        <v>0</v>
      </c>
      <c r="X193" s="41">
        <f>'дод 2'!Y237</f>
        <v>0</v>
      </c>
      <c r="Y193" s="194" t="e">
        <f t="shared" si="57"/>
        <v>#DIV/0!</v>
      </c>
      <c r="Z193" s="41">
        <f>'дод 2'!AA237</f>
        <v>313302.40000000002</v>
      </c>
      <c r="AA193" s="41">
        <f>'дод 2'!AB237</f>
        <v>313360</v>
      </c>
      <c r="AB193" s="239"/>
    </row>
    <row r="194" spans="1:28" ht="75.75" customHeight="1" x14ac:dyDescent="0.25">
      <c r="A194" s="34">
        <v>6094</v>
      </c>
      <c r="B194" s="52" t="s">
        <v>58</v>
      </c>
      <c r="C194" s="35" t="s">
        <v>475</v>
      </c>
      <c r="D194" s="36">
        <f>'дод 2'!E238</f>
        <v>0</v>
      </c>
      <c r="E194" s="36">
        <f>'дод 2'!F238</f>
        <v>0</v>
      </c>
      <c r="F194" s="36">
        <f>'дод 2'!G238</f>
        <v>0</v>
      </c>
      <c r="G194" s="36">
        <f>'дод 2'!H238</f>
        <v>0</v>
      </c>
      <c r="H194" s="36">
        <f>'дод 2'!I238</f>
        <v>0</v>
      </c>
      <c r="I194" s="36">
        <f>'дод 2'!J238</f>
        <v>0</v>
      </c>
      <c r="J194" s="36">
        <f>'дод 2'!K238</f>
        <v>0</v>
      </c>
      <c r="K194" s="36">
        <f>'дод 2'!L238</f>
        <v>0</v>
      </c>
      <c r="L194" s="192" t="e">
        <f t="shared" si="56"/>
        <v>#DIV/0!</v>
      </c>
      <c r="M194" s="36">
        <f>'дод 2'!N238</f>
        <v>89775000</v>
      </c>
      <c r="N194" s="36">
        <f>'дод 2'!O238</f>
        <v>0</v>
      </c>
      <c r="O194" s="36">
        <f>'дод 2'!P238</f>
        <v>0</v>
      </c>
      <c r="P194" s="36">
        <f>'дод 2'!Q238</f>
        <v>0</v>
      </c>
      <c r="Q194" s="36">
        <f>'дод 2'!R238</f>
        <v>0</v>
      </c>
      <c r="R194" s="36">
        <f>'дод 2'!S238</f>
        <v>89775000</v>
      </c>
      <c r="S194" s="36">
        <f>'дод 2'!T238</f>
        <v>82331671.959999993</v>
      </c>
      <c r="T194" s="36">
        <f>'дод 2'!U238</f>
        <v>0</v>
      </c>
      <c r="U194" s="36">
        <f>'дод 2'!V238</f>
        <v>0</v>
      </c>
      <c r="V194" s="36">
        <f>'дод 2'!W238</f>
        <v>0</v>
      </c>
      <c r="W194" s="36">
        <f>'дод 2'!X238</f>
        <v>0</v>
      </c>
      <c r="X194" s="36">
        <f>'дод 2'!Y238</f>
        <v>82331671.959999993</v>
      </c>
      <c r="Y194" s="192">
        <f t="shared" si="57"/>
        <v>91.708907780562512</v>
      </c>
      <c r="Z194" s="36">
        <f>'дод 2'!AA238</f>
        <v>82331671.959999993</v>
      </c>
      <c r="AA194" s="36">
        <f>'дод 2'!AB238</f>
        <v>89775000</v>
      </c>
      <c r="AB194" s="239"/>
    </row>
    <row r="195" spans="1:28" s="62" customFormat="1" ht="70.5" customHeight="1" x14ac:dyDescent="0.25">
      <c r="A195" s="40"/>
      <c r="B195" s="70"/>
      <c r="C195" s="71" t="s">
        <v>474</v>
      </c>
      <c r="D195" s="41">
        <f>'дод 2'!E239</f>
        <v>0</v>
      </c>
      <c r="E195" s="41">
        <f>'дод 2'!F239</f>
        <v>0</v>
      </c>
      <c r="F195" s="41">
        <f>'дод 2'!G239</f>
        <v>0</v>
      </c>
      <c r="G195" s="41">
        <f>'дод 2'!H239</f>
        <v>0</v>
      </c>
      <c r="H195" s="41">
        <f>'дод 2'!I239</f>
        <v>0</v>
      </c>
      <c r="I195" s="41">
        <f>'дод 2'!J239</f>
        <v>0</v>
      </c>
      <c r="J195" s="41">
        <f>'дод 2'!K239</f>
        <v>0</v>
      </c>
      <c r="K195" s="41">
        <f>'дод 2'!L239</f>
        <v>0</v>
      </c>
      <c r="L195" s="194" t="e">
        <f t="shared" si="56"/>
        <v>#DIV/0!</v>
      </c>
      <c r="M195" s="41">
        <f>'дод 2'!N239</f>
        <v>89775000</v>
      </c>
      <c r="N195" s="41">
        <f>'дод 2'!O239</f>
        <v>0</v>
      </c>
      <c r="O195" s="41">
        <f>'дод 2'!P239</f>
        <v>0</v>
      </c>
      <c r="P195" s="41">
        <f>'дод 2'!Q239</f>
        <v>0</v>
      </c>
      <c r="Q195" s="41">
        <f>'дод 2'!R239</f>
        <v>0</v>
      </c>
      <c r="R195" s="41">
        <f>'дод 2'!S239</f>
        <v>89775000</v>
      </c>
      <c r="S195" s="41">
        <f>'дод 2'!T239</f>
        <v>82331671.959999993</v>
      </c>
      <c r="T195" s="41">
        <f>'дод 2'!U239</f>
        <v>0</v>
      </c>
      <c r="U195" s="41">
        <f>'дод 2'!V239</f>
        <v>0</v>
      </c>
      <c r="V195" s="41">
        <f>'дод 2'!W239</f>
        <v>0</v>
      </c>
      <c r="W195" s="41">
        <f>'дод 2'!X239</f>
        <v>0</v>
      </c>
      <c r="X195" s="41">
        <f>'дод 2'!Y239</f>
        <v>82331671.959999993</v>
      </c>
      <c r="Y195" s="194">
        <f t="shared" si="57"/>
        <v>91.708907780562512</v>
      </c>
      <c r="Z195" s="41">
        <f>'дод 2'!AA239</f>
        <v>82331671.959999993</v>
      </c>
      <c r="AA195" s="41">
        <f>'дод 2'!AB239</f>
        <v>89775000</v>
      </c>
      <c r="AB195" s="239"/>
    </row>
    <row r="196" spans="1:28" s="61" customFormat="1" ht="21.75" customHeight="1" x14ac:dyDescent="0.25">
      <c r="A196" s="37" t="s">
        <v>110</v>
      </c>
      <c r="B196" s="47"/>
      <c r="C196" s="48" t="s">
        <v>343</v>
      </c>
      <c r="D196" s="33">
        <f t="shared" ref="D196:AA196" si="72">D202+D204+D214+D220+D222</f>
        <v>118118153</v>
      </c>
      <c r="E196" s="33">
        <f t="shared" ref="E196:Z196" si="73">E202+E204+E214+E220+E222</f>
        <v>9953810</v>
      </c>
      <c r="F196" s="33">
        <f t="shared" si="73"/>
        <v>0</v>
      </c>
      <c r="G196" s="33">
        <f t="shared" si="73"/>
        <v>65500</v>
      </c>
      <c r="H196" s="33">
        <f t="shared" si="73"/>
        <v>108164343</v>
      </c>
      <c r="I196" s="33">
        <f t="shared" si="73"/>
        <v>114351522.49000001</v>
      </c>
      <c r="J196" s="33">
        <f t="shared" si="73"/>
        <v>0</v>
      </c>
      <c r="K196" s="33">
        <f t="shared" si="73"/>
        <v>21116.53</v>
      </c>
      <c r="L196" s="191">
        <f t="shared" si="56"/>
        <v>96.811133247232547</v>
      </c>
      <c r="M196" s="33">
        <f t="shared" si="73"/>
        <v>384659661.81999999</v>
      </c>
      <c r="N196" s="33">
        <f t="shared" si="73"/>
        <v>361553675.31999999</v>
      </c>
      <c r="O196" s="33">
        <f t="shared" si="73"/>
        <v>1160040</v>
      </c>
      <c r="P196" s="33">
        <f t="shared" si="73"/>
        <v>0</v>
      </c>
      <c r="Q196" s="33">
        <f t="shared" si="73"/>
        <v>0</v>
      </c>
      <c r="R196" s="33">
        <f t="shared" si="73"/>
        <v>383499621.81999999</v>
      </c>
      <c r="S196" s="33">
        <f t="shared" si="73"/>
        <v>155021979.62</v>
      </c>
      <c r="T196" s="33">
        <f t="shared" si="73"/>
        <v>154600794.08999997</v>
      </c>
      <c r="U196" s="33">
        <f t="shared" si="73"/>
        <v>294040</v>
      </c>
      <c r="V196" s="33">
        <f t="shared" si="73"/>
        <v>0</v>
      </c>
      <c r="W196" s="33">
        <f t="shared" si="73"/>
        <v>0</v>
      </c>
      <c r="X196" s="33">
        <f t="shared" si="73"/>
        <v>154727939.62</v>
      </c>
      <c r="Y196" s="191">
        <f t="shared" si="57"/>
        <v>40.301075211921216</v>
      </c>
      <c r="Z196" s="33">
        <f t="shared" si="73"/>
        <v>269373502.11000001</v>
      </c>
      <c r="AA196" s="33">
        <f t="shared" si="72"/>
        <v>502777814.81999999</v>
      </c>
      <c r="AB196" s="239">
        <v>57</v>
      </c>
    </row>
    <row r="197" spans="1:28" s="61" customFormat="1" ht="47.25" x14ac:dyDescent="0.25">
      <c r="A197" s="37"/>
      <c r="B197" s="47"/>
      <c r="C197" s="49" t="s">
        <v>545</v>
      </c>
      <c r="D197" s="39">
        <f>D205</f>
        <v>0</v>
      </c>
      <c r="E197" s="39">
        <f t="shared" ref="E197:Z197" si="74">E205</f>
        <v>0</v>
      </c>
      <c r="F197" s="39">
        <f t="shared" si="74"/>
        <v>0</v>
      </c>
      <c r="G197" s="39">
        <f t="shared" si="74"/>
        <v>0</v>
      </c>
      <c r="H197" s="39">
        <f t="shared" si="74"/>
        <v>0</v>
      </c>
      <c r="I197" s="39">
        <f t="shared" si="74"/>
        <v>0</v>
      </c>
      <c r="J197" s="39">
        <f t="shared" si="74"/>
        <v>0</v>
      </c>
      <c r="K197" s="39">
        <f t="shared" si="74"/>
        <v>0</v>
      </c>
      <c r="L197" s="193" t="e">
        <f t="shared" si="56"/>
        <v>#DIV/0!</v>
      </c>
      <c r="M197" s="39">
        <f t="shared" si="74"/>
        <v>15000000</v>
      </c>
      <c r="N197" s="39">
        <f t="shared" si="74"/>
        <v>0</v>
      </c>
      <c r="O197" s="39">
        <f t="shared" si="74"/>
        <v>0</v>
      </c>
      <c r="P197" s="39">
        <f t="shared" si="74"/>
        <v>0</v>
      </c>
      <c r="Q197" s="39">
        <f t="shared" si="74"/>
        <v>0</v>
      </c>
      <c r="R197" s="39">
        <f t="shared" si="74"/>
        <v>15000000</v>
      </c>
      <c r="S197" s="39">
        <f t="shared" si="74"/>
        <v>0</v>
      </c>
      <c r="T197" s="39">
        <f t="shared" si="74"/>
        <v>0</v>
      </c>
      <c r="U197" s="39">
        <f t="shared" si="74"/>
        <v>0</v>
      </c>
      <c r="V197" s="39">
        <f t="shared" si="74"/>
        <v>0</v>
      </c>
      <c r="W197" s="39">
        <f t="shared" si="74"/>
        <v>0</v>
      </c>
      <c r="X197" s="39">
        <f t="shared" si="74"/>
        <v>0</v>
      </c>
      <c r="Y197" s="193">
        <f t="shared" si="57"/>
        <v>0</v>
      </c>
      <c r="Z197" s="39">
        <f t="shared" si="74"/>
        <v>0</v>
      </c>
      <c r="AA197" s="39">
        <f t="shared" ref="AA197" si="75">AA205</f>
        <v>15000000</v>
      </c>
      <c r="AB197" s="239"/>
    </row>
    <row r="198" spans="1:28" s="64" customFormat="1" ht="78.75" x14ac:dyDescent="0.25">
      <c r="A198" s="38"/>
      <c r="B198" s="19"/>
      <c r="C198" s="19" t="str">
        <f>C223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198" s="39">
        <f>D223</f>
        <v>0</v>
      </c>
      <c r="E198" s="39">
        <f t="shared" ref="E198:Z198" si="76">E223</f>
        <v>0</v>
      </c>
      <c r="F198" s="39">
        <f t="shared" si="76"/>
        <v>0</v>
      </c>
      <c r="G198" s="39">
        <f t="shared" si="76"/>
        <v>0</v>
      </c>
      <c r="H198" s="39">
        <f t="shared" si="76"/>
        <v>0</v>
      </c>
      <c r="I198" s="39">
        <f t="shared" si="76"/>
        <v>0</v>
      </c>
      <c r="J198" s="39">
        <f t="shared" si="76"/>
        <v>0</v>
      </c>
      <c r="K198" s="39">
        <f t="shared" si="76"/>
        <v>0</v>
      </c>
      <c r="L198" s="193" t="e">
        <f t="shared" si="56"/>
        <v>#DIV/0!</v>
      </c>
      <c r="M198" s="39">
        <f t="shared" si="76"/>
        <v>5032800</v>
      </c>
      <c r="N198" s="39">
        <f t="shared" si="76"/>
        <v>5032800</v>
      </c>
      <c r="O198" s="39">
        <f t="shared" si="76"/>
        <v>0</v>
      </c>
      <c r="P198" s="39">
        <f t="shared" si="76"/>
        <v>0</v>
      </c>
      <c r="Q198" s="39">
        <f t="shared" si="76"/>
        <v>0</v>
      </c>
      <c r="R198" s="39">
        <f t="shared" si="76"/>
        <v>5032800</v>
      </c>
      <c r="S198" s="39">
        <f t="shared" si="76"/>
        <v>5032800</v>
      </c>
      <c r="T198" s="39">
        <f t="shared" si="76"/>
        <v>5032800</v>
      </c>
      <c r="U198" s="39">
        <f t="shared" si="76"/>
        <v>0</v>
      </c>
      <c r="V198" s="39">
        <f t="shared" si="76"/>
        <v>0</v>
      </c>
      <c r="W198" s="39">
        <f t="shared" si="76"/>
        <v>0</v>
      </c>
      <c r="X198" s="39">
        <f t="shared" si="76"/>
        <v>5032800</v>
      </c>
      <c r="Y198" s="193">
        <f t="shared" si="57"/>
        <v>100</v>
      </c>
      <c r="Z198" s="39">
        <f t="shared" si="76"/>
        <v>5032800</v>
      </c>
      <c r="AA198" s="39">
        <f t="shared" ref="AA198" si="77">AA223</f>
        <v>5032800</v>
      </c>
      <c r="AB198" s="239"/>
    </row>
    <row r="199" spans="1:28" s="61" customFormat="1" ht="110.25" x14ac:dyDescent="0.25">
      <c r="A199" s="37"/>
      <c r="B199" s="47"/>
      <c r="C199" s="131" t="s">
        <v>463</v>
      </c>
      <c r="D199" s="33">
        <f>D206</f>
        <v>0</v>
      </c>
      <c r="E199" s="33">
        <f t="shared" ref="E199:Z199" si="78">E206</f>
        <v>0</v>
      </c>
      <c r="F199" s="33">
        <f t="shared" si="78"/>
        <v>0</v>
      </c>
      <c r="G199" s="33">
        <f t="shared" si="78"/>
        <v>0</v>
      </c>
      <c r="H199" s="33">
        <f t="shared" si="78"/>
        <v>0</v>
      </c>
      <c r="I199" s="33">
        <f t="shared" si="78"/>
        <v>0</v>
      </c>
      <c r="J199" s="33">
        <f t="shared" si="78"/>
        <v>0</v>
      </c>
      <c r="K199" s="33">
        <f t="shared" si="78"/>
        <v>0</v>
      </c>
      <c r="L199" s="191" t="e">
        <f t="shared" si="56"/>
        <v>#DIV/0!</v>
      </c>
      <c r="M199" s="33">
        <f t="shared" si="78"/>
        <v>6564069.9000000004</v>
      </c>
      <c r="N199" s="33">
        <f t="shared" si="78"/>
        <v>0</v>
      </c>
      <c r="O199" s="33">
        <f t="shared" si="78"/>
        <v>0</v>
      </c>
      <c r="P199" s="33">
        <f t="shared" si="78"/>
        <v>0</v>
      </c>
      <c r="Q199" s="33">
        <f t="shared" si="78"/>
        <v>0</v>
      </c>
      <c r="R199" s="33">
        <f t="shared" si="78"/>
        <v>6564069.9000000004</v>
      </c>
      <c r="S199" s="33">
        <f t="shared" si="78"/>
        <v>0</v>
      </c>
      <c r="T199" s="33">
        <f t="shared" si="78"/>
        <v>0</v>
      </c>
      <c r="U199" s="33">
        <f t="shared" si="78"/>
        <v>0</v>
      </c>
      <c r="V199" s="33">
        <f t="shared" si="78"/>
        <v>0</v>
      </c>
      <c r="W199" s="33">
        <f t="shared" si="78"/>
        <v>0</v>
      </c>
      <c r="X199" s="33">
        <f t="shared" si="78"/>
        <v>0</v>
      </c>
      <c r="Y199" s="191">
        <f t="shared" si="57"/>
        <v>0</v>
      </c>
      <c r="Z199" s="33">
        <f t="shared" si="78"/>
        <v>0</v>
      </c>
      <c r="AA199" s="33">
        <f t="shared" ref="AA199" si="79">AA206</f>
        <v>6564069.9000000004</v>
      </c>
      <c r="AB199" s="239"/>
    </row>
    <row r="200" spans="1:28" s="64" customFormat="1" ht="18.75" customHeight="1" x14ac:dyDescent="0.25">
      <c r="A200" s="38"/>
      <c r="B200" s="38"/>
      <c r="C200" s="131" t="s">
        <v>285</v>
      </c>
      <c r="D200" s="39">
        <f>D224</f>
        <v>0</v>
      </c>
      <c r="E200" s="39">
        <f t="shared" ref="E200:Z200" si="80">E224</f>
        <v>0</v>
      </c>
      <c r="F200" s="39">
        <f t="shared" si="80"/>
        <v>0</v>
      </c>
      <c r="G200" s="39">
        <f t="shared" si="80"/>
        <v>0</v>
      </c>
      <c r="H200" s="39">
        <f t="shared" si="80"/>
        <v>0</v>
      </c>
      <c r="I200" s="39">
        <f t="shared" si="80"/>
        <v>0</v>
      </c>
      <c r="J200" s="39">
        <f t="shared" si="80"/>
        <v>0</v>
      </c>
      <c r="K200" s="39">
        <f t="shared" si="80"/>
        <v>0</v>
      </c>
      <c r="L200" s="193" t="e">
        <f t="shared" si="56"/>
        <v>#DIV/0!</v>
      </c>
      <c r="M200" s="39">
        <f t="shared" si="80"/>
        <v>209249640</v>
      </c>
      <c r="N200" s="39">
        <f t="shared" si="80"/>
        <v>209249640</v>
      </c>
      <c r="O200" s="39">
        <f t="shared" si="80"/>
        <v>0</v>
      </c>
      <c r="P200" s="39">
        <f t="shared" si="80"/>
        <v>0</v>
      </c>
      <c r="Q200" s="39">
        <f t="shared" si="80"/>
        <v>0</v>
      </c>
      <c r="R200" s="39">
        <f t="shared" si="80"/>
        <v>209249640</v>
      </c>
      <c r="S200" s="39">
        <f t="shared" si="80"/>
        <v>38915335.850000001</v>
      </c>
      <c r="T200" s="39">
        <f t="shared" si="80"/>
        <v>38915335.850000001</v>
      </c>
      <c r="U200" s="39">
        <f t="shared" si="80"/>
        <v>0</v>
      </c>
      <c r="V200" s="39">
        <f t="shared" si="80"/>
        <v>0</v>
      </c>
      <c r="W200" s="39">
        <f t="shared" si="80"/>
        <v>0</v>
      </c>
      <c r="X200" s="39">
        <f t="shared" si="80"/>
        <v>38915335.850000001</v>
      </c>
      <c r="Y200" s="193">
        <f t="shared" si="57"/>
        <v>18.597564062714756</v>
      </c>
      <c r="Z200" s="39">
        <f t="shared" si="80"/>
        <v>38915335.850000001</v>
      </c>
      <c r="AA200" s="39">
        <f t="shared" ref="AA200" si="81">AA224</f>
        <v>209249640</v>
      </c>
      <c r="AB200" s="239"/>
    </row>
    <row r="201" spans="1:28" s="64" customFormat="1" ht="63" x14ac:dyDescent="0.25">
      <c r="A201" s="38"/>
      <c r="B201" s="38"/>
      <c r="C201" s="131" t="str">
        <f>C225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D201" s="39">
        <f>D225</f>
        <v>0</v>
      </c>
      <c r="E201" s="39">
        <f t="shared" ref="E201:Z201" si="82">E225</f>
        <v>0</v>
      </c>
      <c r="F201" s="39">
        <f t="shared" si="82"/>
        <v>0</v>
      </c>
      <c r="G201" s="39">
        <f t="shared" si="82"/>
        <v>0</v>
      </c>
      <c r="H201" s="39">
        <f t="shared" si="82"/>
        <v>0</v>
      </c>
      <c r="I201" s="39">
        <f t="shared" si="82"/>
        <v>0</v>
      </c>
      <c r="J201" s="39">
        <f t="shared" si="82"/>
        <v>0</v>
      </c>
      <c r="K201" s="39">
        <f t="shared" si="82"/>
        <v>0</v>
      </c>
      <c r="L201" s="193" t="e">
        <f t="shared" si="56"/>
        <v>#DIV/0!</v>
      </c>
      <c r="M201" s="39">
        <f t="shared" si="82"/>
        <v>42813357.390000001</v>
      </c>
      <c r="N201" s="39">
        <f t="shared" si="82"/>
        <v>42813357.390000001</v>
      </c>
      <c r="O201" s="39">
        <f t="shared" si="82"/>
        <v>0</v>
      </c>
      <c r="P201" s="39">
        <f t="shared" si="82"/>
        <v>0</v>
      </c>
      <c r="Q201" s="39">
        <f t="shared" si="82"/>
        <v>0</v>
      </c>
      <c r="R201" s="39">
        <f t="shared" si="82"/>
        <v>42813357.390000001</v>
      </c>
      <c r="S201" s="39">
        <f t="shared" si="82"/>
        <v>42813356.659999996</v>
      </c>
      <c r="T201" s="39">
        <f t="shared" si="82"/>
        <v>42813356.659999996</v>
      </c>
      <c r="U201" s="39">
        <f t="shared" si="82"/>
        <v>0</v>
      </c>
      <c r="V201" s="39">
        <f t="shared" si="82"/>
        <v>0</v>
      </c>
      <c r="W201" s="39">
        <f t="shared" si="82"/>
        <v>0</v>
      </c>
      <c r="X201" s="39">
        <f t="shared" si="82"/>
        <v>42813356.659999996</v>
      </c>
      <c r="Y201" s="193">
        <f t="shared" si="57"/>
        <v>99.999998294924652</v>
      </c>
      <c r="Z201" s="39">
        <f t="shared" si="82"/>
        <v>42813356.659999996</v>
      </c>
      <c r="AA201" s="39">
        <f t="shared" ref="AA201" si="83">AA225</f>
        <v>42813357.390000001</v>
      </c>
      <c r="AB201" s="239"/>
    </row>
    <row r="202" spans="1:28" s="61" customFormat="1" x14ac:dyDescent="0.25">
      <c r="A202" s="37" t="s">
        <v>116</v>
      </c>
      <c r="B202" s="47"/>
      <c r="C202" s="48" t="s">
        <v>117</v>
      </c>
      <c r="D202" s="33">
        <f t="shared" ref="D202:AA202" si="84">D203</f>
        <v>1400000</v>
      </c>
      <c r="E202" s="33">
        <f t="shared" si="84"/>
        <v>1400000</v>
      </c>
      <c r="F202" s="33">
        <f t="shared" si="84"/>
        <v>0</v>
      </c>
      <c r="G202" s="33">
        <f t="shared" si="84"/>
        <v>0</v>
      </c>
      <c r="H202" s="33">
        <f t="shared" si="84"/>
        <v>0</v>
      </c>
      <c r="I202" s="33">
        <f t="shared" si="84"/>
        <v>1045341.47</v>
      </c>
      <c r="J202" s="33">
        <f t="shared" si="84"/>
        <v>0</v>
      </c>
      <c r="K202" s="33">
        <f t="shared" si="84"/>
        <v>0</v>
      </c>
      <c r="L202" s="191">
        <f t="shared" si="56"/>
        <v>74.667247857142854</v>
      </c>
      <c r="M202" s="33">
        <f t="shared" si="84"/>
        <v>0</v>
      </c>
      <c r="N202" s="33">
        <f t="shared" si="84"/>
        <v>0</v>
      </c>
      <c r="O202" s="33">
        <f t="shared" si="84"/>
        <v>0</v>
      </c>
      <c r="P202" s="33">
        <f t="shared" si="84"/>
        <v>0</v>
      </c>
      <c r="Q202" s="33">
        <f t="shared" si="84"/>
        <v>0</v>
      </c>
      <c r="R202" s="33">
        <f t="shared" si="84"/>
        <v>0</v>
      </c>
      <c r="S202" s="33">
        <f t="shared" si="84"/>
        <v>0</v>
      </c>
      <c r="T202" s="33">
        <f t="shared" si="84"/>
        <v>0</v>
      </c>
      <c r="U202" s="33">
        <f t="shared" si="84"/>
        <v>0</v>
      </c>
      <c r="V202" s="33">
        <f t="shared" si="84"/>
        <v>0</v>
      </c>
      <c r="W202" s="33">
        <f t="shared" si="84"/>
        <v>0</v>
      </c>
      <c r="X202" s="33">
        <f t="shared" si="84"/>
        <v>0</v>
      </c>
      <c r="Y202" s="191" t="e">
        <f t="shared" si="57"/>
        <v>#DIV/0!</v>
      </c>
      <c r="Z202" s="33">
        <f t="shared" si="84"/>
        <v>1045341.47</v>
      </c>
      <c r="AA202" s="33">
        <f t="shared" si="84"/>
        <v>1400000</v>
      </c>
      <c r="AB202" s="239"/>
    </row>
    <row r="203" spans="1:28" ht="16.5" customHeight="1" x14ac:dyDescent="0.25">
      <c r="A203" s="34" t="s">
        <v>111</v>
      </c>
      <c r="B203" s="34" t="s">
        <v>69</v>
      </c>
      <c r="C203" s="25" t="s">
        <v>266</v>
      </c>
      <c r="D203" s="36">
        <f>'дод 2'!E309</f>
        <v>1400000</v>
      </c>
      <c r="E203" s="36">
        <f>'дод 2'!F309</f>
        <v>1400000</v>
      </c>
      <c r="F203" s="36">
        <f>'дод 2'!G309</f>
        <v>0</v>
      </c>
      <c r="G203" s="36">
        <f>'дод 2'!H309</f>
        <v>0</v>
      </c>
      <c r="H203" s="36">
        <f>'дод 2'!I309</f>
        <v>0</v>
      </c>
      <c r="I203" s="36">
        <f>'дод 2'!J309</f>
        <v>1045341.47</v>
      </c>
      <c r="J203" s="36">
        <f>'дод 2'!K309</f>
        <v>0</v>
      </c>
      <c r="K203" s="36">
        <f>'дод 2'!L309</f>
        <v>0</v>
      </c>
      <c r="L203" s="192">
        <f t="shared" si="56"/>
        <v>74.667247857142854</v>
      </c>
      <c r="M203" s="36">
        <f>'дод 2'!N309</f>
        <v>0</v>
      </c>
      <c r="N203" s="36">
        <f>'дод 2'!O309</f>
        <v>0</v>
      </c>
      <c r="O203" s="36">
        <f>'дод 2'!P309</f>
        <v>0</v>
      </c>
      <c r="P203" s="36">
        <f>'дод 2'!Q309</f>
        <v>0</v>
      </c>
      <c r="Q203" s="36">
        <f>'дод 2'!R309</f>
        <v>0</v>
      </c>
      <c r="R203" s="36">
        <f>'дод 2'!S309</f>
        <v>0</v>
      </c>
      <c r="S203" s="36">
        <f>'дод 2'!T309</f>
        <v>0</v>
      </c>
      <c r="T203" s="36">
        <f>'дод 2'!U309</f>
        <v>0</v>
      </c>
      <c r="U203" s="36">
        <f>'дод 2'!V309</f>
        <v>0</v>
      </c>
      <c r="V203" s="36">
        <f>'дод 2'!W309</f>
        <v>0</v>
      </c>
      <c r="W203" s="36">
        <f>'дод 2'!X309</f>
        <v>0</v>
      </c>
      <c r="X203" s="36">
        <f>'дод 2'!Y309</f>
        <v>0</v>
      </c>
      <c r="Y203" s="192" t="e">
        <f t="shared" si="57"/>
        <v>#DIV/0!</v>
      </c>
      <c r="Z203" s="36">
        <f>'дод 2'!AA309</f>
        <v>1045341.47</v>
      </c>
      <c r="AA203" s="36">
        <f>'дод 2'!AB309</f>
        <v>1400000</v>
      </c>
      <c r="AB203" s="239"/>
    </row>
    <row r="204" spans="1:28" s="61" customFormat="1" ht="31.5" x14ac:dyDescent="0.25">
      <c r="A204" s="37" t="s">
        <v>82</v>
      </c>
      <c r="B204" s="37"/>
      <c r="C204" s="65" t="s">
        <v>451</v>
      </c>
      <c r="D204" s="33">
        <f>D207+D210+D212+D211+D208</f>
        <v>46000</v>
      </c>
      <c r="E204" s="33">
        <f t="shared" ref="E204:Z204" si="85">E207+E210+E212+E211+E208</f>
        <v>46000</v>
      </c>
      <c r="F204" s="33">
        <f t="shared" si="85"/>
        <v>0</v>
      </c>
      <c r="G204" s="33">
        <f t="shared" si="85"/>
        <v>0</v>
      </c>
      <c r="H204" s="33">
        <f t="shared" si="85"/>
        <v>0</v>
      </c>
      <c r="I204" s="33">
        <f t="shared" si="85"/>
        <v>46000</v>
      </c>
      <c r="J204" s="33">
        <f t="shared" si="85"/>
        <v>0</v>
      </c>
      <c r="K204" s="33">
        <f t="shared" si="85"/>
        <v>0</v>
      </c>
      <c r="L204" s="191">
        <f t="shared" si="56"/>
        <v>100</v>
      </c>
      <c r="M204" s="33">
        <f t="shared" si="85"/>
        <v>63001999.829999998</v>
      </c>
      <c r="N204" s="33">
        <f t="shared" si="85"/>
        <v>41437929.93</v>
      </c>
      <c r="O204" s="33">
        <f t="shared" si="85"/>
        <v>0</v>
      </c>
      <c r="P204" s="33">
        <f t="shared" si="85"/>
        <v>0</v>
      </c>
      <c r="Q204" s="33">
        <f t="shared" si="85"/>
        <v>0</v>
      </c>
      <c r="R204" s="33">
        <f t="shared" si="85"/>
        <v>63001999.829999998</v>
      </c>
      <c r="S204" s="33">
        <f t="shared" si="85"/>
        <v>24515542.349999998</v>
      </c>
      <c r="T204" s="33">
        <f t="shared" si="85"/>
        <v>24515542.349999998</v>
      </c>
      <c r="U204" s="33">
        <f t="shared" si="85"/>
        <v>0</v>
      </c>
      <c r="V204" s="33">
        <f t="shared" si="85"/>
        <v>0</v>
      </c>
      <c r="W204" s="33">
        <f t="shared" si="85"/>
        <v>0</v>
      </c>
      <c r="X204" s="33">
        <f t="shared" si="85"/>
        <v>24515542.349999998</v>
      </c>
      <c r="Y204" s="191">
        <f t="shared" si="57"/>
        <v>38.912324078840271</v>
      </c>
      <c r="Z204" s="33">
        <f t="shared" si="85"/>
        <v>24561542.349999998</v>
      </c>
      <c r="AA204" s="33">
        <f t="shared" ref="AA204" si="86">AA207+AA210+AA212+AA211+AA208</f>
        <v>63047999.829999998</v>
      </c>
      <c r="AB204" s="239"/>
    </row>
    <row r="205" spans="1:28" s="61" customFormat="1" ht="47.25" x14ac:dyDescent="0.25">
      <c r="A205" s="37"/>
      <c r="B205" s="37"/>
      <c r="C205" s="49" t="s">
        <v>545</v>
      </c>
      <c r="D205" s="39">
        <f>D209</f>
        <v>0</v>
      </c>
      <c r="E205" s="39">
        <f t="shared" ref="E205:Z205" si="87">E209</f>
        <v>0</v>
      </c>
      <c r="F205" s="39">
        <f t="shared" si="87"/>
        <v>0</v>
      </c>
      <c r="G205" s="39">
        <f t="shared" si="87"/>
        <v>0</v>
      </c>
      <c r="H205" s="39">
        <f t="shared" si="87"/>
        <v>0</v>
      </c>
      <c r="I205" s="39">
        <f t="shared" si="87"/>
        <v>0</v>
      </c>
      <c r="J205" s="39">
        <f t="shared" si="87"/>
        <v>0</v>
      </c>
      <c r="K205" s="39">
        <f t="shared" si="87"/>
        <v>0</v>
      </c>
      <c r="L205" s="193" t="e">
        <f t="shared" si="56"/>
        <v>#DIV/0!</v>
      </c>
      <c r="M205" s="39">
        <f t="shared" si="87"/>
        <v>15000000</v>
      </c>
      <c r="N205" s="39">
        <f t="shared" si="87"/>
        <v>0</v>
      </c>
      <c r="O205" s="39">
        <f t="shared" si="87"/>
        <v>0</v>
      </c>
      <c r="P205" s="39">
        <f t="shared" si="87"/>
        <v>0</v>
      </c>
      <c r="Q205" s="39">
        <f t="shared" si="87"/>
        <v>0</v>
      </c>
      <c r="R205" s="39">
        <f t="shared" si="87"/>
        <v>15000000</v>
      </c>
      <c r="S205" s="39">
        <f t="shared" si="87"/>
        <v>0</v>
      </c>
      <c r="T205" s="39">
        <f t="shared" si="87"/>
        <v>0</v>
      </c>
      <c r="U205" s="39">
        <f t="shared" si="87"/>
        <v>0</v>
      </c>
      <c r="V205" s="39">
        <f t="shared" si="87"/>
        <v>0</v>
      </c>
      <c r="W205" s="39">
        <f t="shared" si="87"/>
        <v>0</v>
      </c>
      <c r="X205" s="39">
        <f t="shared" si="87"/>
        <v>0</v>
      </c>
      <c r="Y205" s="193">
        <f t="shared" si="57"/>
        <v>0</v>
      </c>
      <c r="Z205" s="39">
        <f t="shared" si="87"/>
        <v>0</v>
      </c>
      <c r="AA205" s="39">
        <f t="shared" ref="AA205" si="88">AA209</f>
        <v>15000000</v>
      </c>
      <c r="AB205" s="239"/>
    </row>
    <row r="206" spans="1:28" s="64" customFormat="1" ht="110.25" x14ac:dyDescent="0.25">
      <c r="A206" s="38"/>
      <c r="B206" s="38"/>
      <c r="C206" s="131" t="s">
        <v>463</v>
      </c>
      <c r="D206" s="39">
        <f>D213</f>
        <v>0</v>
      </c>
      <c r="E206" s="39">
        <f t="shared" ref="E206:Z206" si="89">E213</f>
        <v>0</v>
      </c>
      <c r="F206" s="39">
        <f t="shared" si="89"/>
        <v>0</v>
      </c>
      <c r="G206" s="39">
        <f t="shared" si="89"/>
        <v>0</v>
      </c>
      <c r="H206" s="39">
        <f t="shared" si="89"/>
        <v>0</v>
      </c>
      <c r="I206" s="39">
        <f t="shared" si="89"/>
        <v>0</v>
      </c>
      <c r="J206" s="39">
        <f t="shared" si="89"/>
        <v>0</v>
      </c>
      <c r="K206" s="39">
        <f t="shared" si="89"/>
        <v>0</v>
      </c>
      <c r="L206" s="193" t="e">
        <f t="shared" si="56"/>
        <v>#DIV/0!</v>
      </c>
      <c r="M206" s="39">
        <f t="shared" si="89"/>
        <v>6564069.9000000004</v>
      </c>
      <c r="N206" s="39">
        <f t="shared" si="89"/>
        <v>0</v>
      </c>
      <c r="O206" s="39">
        <f t="shared" si="89"/>
        <v>0</v>
      </c>
      <c r="P206" s="39">
        <f t="shared" si="89"/>
        <v>0</v>
      </c>
      <c r="Q206" s="39">
        <f t="shared" si="89"/>
        <v>0</v>
      </c>
      <c r="R206" s="39">
        <f t="shared" si="89"/>
        <v>6564069.9000000004</v>
      </c>
      <c r="S206" s="39">
        <f t="shared" si="89"/>
        <v>0</v>
      </c>
      <c r="T206" s="39">
        <f t="shared" si="89"/>
        <v>0</v>
      </c>
      <c r="U206" s="39">
        <f t="shared" si="89"/>
        <v>0</v>
      </c>
      <c r="V206" s="39">
        <f t="shared" si="89"/>
        <v>0</v>
      </c>
      <c r="W206" s="39">
        <f t="shared" si="89"/>
        <v>0</v>
      </c>
      <c r="X206" s="39">
        <f t="shared" si="89"/>
        <v>0</v>
      </c>
      <c r="Y206" s="193">
        <f t="shared" si="57"/>
        <v>0</v>
      </c>
      <c r="Z206" s="39">
        <f t="shared" si="89"/>
        <v>0</v>
      </c>
      <c r="AA206" s="39">
        <f t="shared" ref="AA206" si="90">AA213</f>
        <v>6564069.9000000004</v>
      </c>
      <c r="AB206" s="239"/>
    </row>
    <row r="207" spans="1:28" ht="18.75" x14ac:dyDescent="0.25">
      <c r="A207" s="34" t="s">
        <v>219</v>
      </c>
      <c r="B207" s="34" t="s">
        <v>92</v>
      </c>
      <c r="C207" s="35" t="s">
        <v>453</v>
      </c>
      <c r="D207" s="36">
        <f>'дод 2'!E240+'дод 2'!E286</f>
        <v>0</v>
      </c>
      <c r="E207" s="36">
        <f>'дод 2'!F240+'дод 2'!F286</f>
        <v>0</v>
      </c>
      <c r="F207" s="36">
        <f>'дод 2'!G240+'дод 2'!G286</f>
        <v>0</v>
      </c>
      <c r="G207" s="36">
        <f>'дод 2'!H240+'дод 2'!H286</f>
        <v>0</v>
      </c>
      <c r="H207" s="36">
        <f>'дод 2'!I240+'дод 2'!I286</f>
        <v>0</v>
      </c>
      <c r="I207" s="36">
        <f>'дод 2'!J240+'дод 2'!J286</f>
        <v>0</v>
      </c>
      <c r="J207" s="36">
        <f>'дод 2'!K240+'дод 2'!K286</f>
        <v>0</v>
      </c>
      <c r="K207" s="36">
        <f>'дод 2'!L240+'дод 2'!L286</f>
        <v>0</v>
      </c>
      <c r="L207" s="192" t="e">
        <f t="shared" si="56"/>
        <v>#DIV/0!</v>
      </c>
      <c r="M207" s="36">
        <f>'дод 2'!N240+'дод 2'!N286</f>
        <v>27731229.93</v>
      </c>
      <c r="N207" s="36">
        <f>'дод 2'!O240+'дод 2'!O286</f>
        <v>27731229.93</v>
      </c>
      <c r="O207" s="36">
        <f>'дод 2'!P240+'дод 2'!P286</f>
        <v>0</v>
      </c>
      <c r="P207" s="36">
        <f>'дод 2'!Q240+'дод 2'!Q286</f>
        <v>0</v>
      </c>
      <c r="Q207" s="36">
        <f>'дод 2'!R240+'дод 2'!R286</f>
        <v>0</v>
      </c>
      <c r="R207" s="36">
        <f>'дод 2'!S240+'дод 2'!S286</f>
        <v>27731229.93</v>
      </c>
      <c r="S207" s="36">
        <f>'дод 2'!T240+'дод 2'!T286</f>
        <v>14726338.199999999</v>
      </c>
      <c r="T207" s="36">
        <f>'дод 2'!U240+'дод 2'!U286</f>
        <v>14726338.199999999</v>
      </c>
      <c r="U207" s="36">
        <f>'дод 2'!V240+'дод 2'!V286</f>
        <v>0</v>
      </c>
      <c r="V207" s="36">
        <f>'дод 2'!W240+'дод 2'!W286</f>
        <v>0</v>
      </c>
      <c r="W207" s="36">
        <f>'дод 2'!X240+'дод 2'!X286</f>
        <v>0</v>
      </c>
      <c r="X207" s="36">
        <f>'дод 2'!Y240+'дод 2'!Y286</f>
        <v>14726338.199999999</v>
      </c>
      <c r="Y207" s="192">
        <f t="shared" si="57"/>
        <v>53.103804761536587</v>
      </c>
      <c r="Z207" s="36">
        <f>'дод 2'!AA240+'дод 2'!AA286</f>
        <v>14726338.199999999</v>
      </c>
      <c r="AA207" s="36">
        <f>'дод 2'!AB240+'дод 2'!AB286</f>
        <v>27731229.93</v>
      </c>
      <c r="AB207" s="239"/>
    </row>
    <row r="208" spans="1:28" ht="35.85" customHeight="1" x14ac:dyDescent="0.25">
      <c r="A208" s="34">
        <f>'дод 2'!B241</f>
        <v>7367</v>
      </c>
      <c r="B208" s="34" t="str">
        <f>'дод 2'!C241</f>
        <v>0490</v>
      </c>
      <c r="C208" s="25" t="s">
        <v>544</v>
      </c>
      <c r="D208" s="36">
        <f>'дод 2'!E241</f>
        <v>0</v>
      </c>
      <c r="E208" s="36">
        <f>'дод 2'!F241</f>
        <v>0</v>
      </c>
      <c r="F208" s="36">
        <f>'дод 2'!G241</f>
        <v>0</v>
      </c>
      <c r="G208" s="36">
        <f>'дод 2'!H241</f>
        <v>0</v>
      </c>
      <c r="H208" s="36">
        <f>'дод 2'!I241</f>
        <v>0</v>
      </c>
      <c r="I208" s="36">
        <f>'дод 2'!J241</f>
        <v>0</v>
      </c>
      <c r="J208" s="36">
        <f>'дод 2'!K241</f>
        <v>0</v>
      </c>
      <c r="K208" s="36">
        <f>'дод 2'!L241</f>
        <v>0</v>
      </c>
      <c r="L208" s="192" t="e">
        <f t="shared" si="56"/>
        <v>#DIV/0!</v>
      </c>
      <c r="M208" s="36">
        <f>'дод 2'!N241</f>
        <v>17818740</v>
      </c>
      <c r="N208" s="36">
        <f>'дод 2'!O241</f>
        <v>2818740</v>
      </c>
      <c r="O208" s="36">
        <f>'дод 2'!P241</f>
        <v>0</v>
      </c>
      <c r="P208" s="36">
        <f>'дод 2'!Q241</f>
        <v>0</v>
      </c>
      <c r="Q208" s="36">
        <f>'дод 2'!R241</f>
        <v>0</v>
      </c>
      <c r="R208" s="36">
        <f>'дод 2'!S241</f>
        <v>17818740</v>
      </c>
      <c r="S208" s="36">
        <f>'дод 2'!T241</f>
        <v>0</v>
      </c>
      <c r="T208" s="36">
        <f>'дод 2'!U241</f>
        <v>0</v>
      </c>
      <c r="U208" s="36">
        <f>'дод 2'!V241</f>
        <v>0</v>
      </c>
      <c r="V208" s="36">
        <f>'дод 2'!W241</f>
        <v>0</v>
      </c>
      <c r="W208" s="36">
        <f>'дод 2'!X241</f>
        <v>0</v>
      </c>
      <c r="X208" s="36">
        <f>'дод 2'!Y241</f>
        <v>0</v>
      </c>
      <c r="Y208" s="192">
        <f t="shared" si="57"/>
        <v>0</v>
      </c>
      <c r="Z208" s="36">
        <f>'дод 2'!AA241</f>
        <v>0</v>
      </c>
      <c r="AA208" s="36">
        <f>'дод 2'!AB241</f>
        <v>17818740</v>
      </c>
      <c r="AB208" s="239"/>
    </row>
    <row r="209" spans="1:28" ht="47.25" x14ac:dyDescent="0.25">
      <c r="A209" s="34"/>
      <c r="B209" s="34"/>
      <c r="C209" s="50" t="s">
        <v>545</v>
      </c>
      <c r="D209" s="41">
        <f>'дод 2'!E242</f>
        <v>0</v>
      </c>
      <c r="E209" s="41">
        <f>'дод 2'!F242</f>
        <v>0</v>
      </c>
      <c r="F209" s="41">
        <f>'дод 2'!G242</f>
        <v>0</v>
      </c>
      <c r="G209" s="41">
        <f>'дод 2'!H242</f>
        <v>0</v>
      </c>
      <c r="H209" s="41">
        <f>'дод 2'!I242</f>
        <v>0</v>
      </c>
      <c r="I209" s="41">
        <f>'дод 2'!J242</f>
        <v>0</v>
      </c>
      <c r="J209" s="41">
        <f>'дод 2'!K242</f>
        <v>0</v>
      </c>
      <c r="K209" s="41">
        <f>'дод 2'!L242</f>
        <v>0</v>
      </c>
      <c r="L209" s="194" t="e">
        <f t="shared" si="56"/>
        <v>#DIV/0!</v>
      </c>
      <c r="M209" s="41">
        <f>'дод 2'!N242</f>
        <v>15000000</v>
      </c>
      <c r="N209" s="41">
        <f>'дод 2'!O242</f>
        <v>0</v>
      </c>
      <c r="O209" s="41">
        <f>'дод 2'!P242</f>
        <v>0</v>
      </c>
      <c r="P209" s="41">
        <f>'дод 2'!Q242</f>
        <v>0</v>
      </c>
      <c r="Q209" s="41">
        <f>'дод 2'!R242</f>
        <v>0</v>
      </c>
      <c r="R209" s="41">
        <f>'дод 2'!S242</f>
        <v>15000000</v>
      </c>
      <c r="S209" s="41">
        <f>'дод 2'!T242</f>
        <v>0</v>
      </c>
      <c r="T209" s="41">
        <f>'дод 2'!U242</f>
        <v>0</v>
      </c>
      <c r="U209" s="41">
        <f>'дод 2'!V242</f>
        <v>0</v>
      </c>
      <c r="V209" s="41">
        <f>'дод 2'!W242</f>
        <v>0</v>
      </c>
      <c r="W209" s="41">
        <f>'дод 2'!X242</f>
        <v>0</v>
      </c>
      <c r="X209" s="41">
        <f>'дод 2'!Y242</f>
        <v>0</v>
      </c>
      <c r="Y209" s="194">
        <f t="shared" si="57"/>
        <v>0</v>
      </c>
      <c r="Z209" s="41">
        <f>'дод 2'!AA242</f>
        <v>0</v>
      </c>
      <c r="AA209" s="41">
        <f>'дод 2'!AB242</f>
        <v>15000000</v>
      </c>
      <c r="AB209" s="239"/>
    </row>
    <row r="210" spans="1:28" s="62" customFormat="1" ht="41.25" customHeight="1" x14ac:dyDescent="0.25">
      <c r="A210" s="34">
        <v>7370</v>
      </c>
      <c r="B210" s="12" t="s">
        <v>68</v>
      </c>
      <c r="C210" s="14" t="s">
        <v>289</v>
      </c>
      <c r="D210" s="36">
        <f>'дод 2'!E310+'дод 2'!E287+'дод 2'!E243</f>
        <v>46000</v>
      </c>
      <c r="E210" s="36">
        <f>'дод 2'!F310+'дод 2'!F287+'дод 2'!F243</f>
        <v>46000</v>
      </c>
      <c r="F210" s="36">
        <f>'дод 2'!G310+'дод 2'!G287+'дод 2'!G243</f>
        <v>0</v>
      </c>
      <c r="G210" s="36">
        <f>'дод 2'!H310+'дод 2'!H287+'дод 2'!H243</f>
        <v>0</v>
      </c>
      <c r="H210" s="36">
        <f>'дод 2'!I310+'дод 2'!I287+'дод 2'!I243</f>
        <v>0</v>
      </c>
      <c r="I210" s="36">
        <f>'дод 2'!J310+'дод 2'!J287+'дод 2'!J243</f>
        <v>46000</v>
      </c>
      <c r="J210" s="36">
        <f>'дод 2'!K310+'дод 2'!K287+'дод 2'!K243</f>
        <v>0</v>
      </c>
      <c r="K210" s="36">
        <f>'дод 2'!L310+'дод 2'!L287+'дод 2'!L243</f>
        <v>0</v>
      </c>
      <c r="L210" s="192">
        <f t="shared" si="56"/>
        <v>100</v>
      </c>
      <c r="M210" s="36">
        <f>'дод 2'!N310+'дод 2'!N287+'дод 2'!N243</f>
        <v>5880056</v>
      </c>
      <c r="N210" s="36">
        <f>'дод 2'!O310+'дод 2'!O287+'дод 2'!O243</f>
        <v>5880056</v>
      </c>
      <c r="O210" s="36">
        <f>'дод 2'!P310+'дод 2'!P287+'дод 2'!P243</f>
        <v>0</v>
      </c>
      <c r="P210" s="36">
        <f>'дод 2'!Q310+'дод 2'!Q287+'дод 2'!Q243</f>
        <v>0</v>
      </c>
      <c r="Q210" s="36">
        <f>'дод 2'!R310+'дод 2'!R287+'дод 2'!R243</f>
        <v>0</v>
      </c>
      <c r="R210" s="36">
        <f>'дод 2'!S310+'дод 2'!S287+'дод 2'!S243</f>
        <v>5880056</v>
      </c>
      <c r="S210" s="36">
        <f>'дод 2'!T310+'дод 2'!T287+'дод 2'!T243</f>
        <v>5751223</v>
      </c>
      <c r="T210" s="36">
        <f>'дод 2'!U310+'дод 2'!U287+'дод 2'!U243</f>
        <v>5751223</v>
      </c>
      <c r="U210" s="36">
        <f>'дод 2'!V310+'дод 2'!V287+'дод 2'!V243</f>
        <v>0</v>
      </c>
      <c r="V210" s="36">
        <f>'дод 2'!W310+'дод 2'!W287+'дод 2'!W243</f>
        <v>0</v>
      </c>
      <c r="W210" s="36">
        <f>'дод 2'!X310+'дод 2'!X287+'дод 2'!X243</f>
        <v>0</v>
      </c>
      <c r="X210" s="36">
        <f>'дод 2'!Y310+'дод 2'!Y287+'дод 2'!Y243</f>
        <v>5751223</v>
      </c>
      <c r="Y210" s="192">
        <f t="shared" si="57"/>
        <v>97.808983451858282</v>
      </c>
      <c r="Z210" s="36">
        <f>'дод 2'!AA310+'дод 2'!AA287+'дод 2'!AA243</f>
        <v>5797223</v>
      </c>
      <c r="AA210" s="36">
        <f>'дод 2'!AB310+'дод 2'!AB287+'дод 2'!AB243</f>
        <v>5926056</v>
      </c>
      <c r="AB210" s="239"/>
    </row>
    <row r="211" spans="1:28" s="62" customFormat="1" ht="59.65" customHeight="1" x14ac:dyDescent="0.25">
      <c r="A211" s="34">
        <v>7377</v>
      </c>
      <c r="B211" s="12" t="s">
        <v>68</v>
      </c>
      <c r="C211" s="14" t="s">
        <v>517</v>
      </c>
      <c r="D211" s="36">
        <f>'дод 2'!E244</f>
        <v>0</v>
      </c>
      <c r="E211" s="36">
        <f>'дод 2'!F244</f>
        <v>0</v>
      </c>
      <c r="F211" s="36">
        <f>'дод 2'!G244</f>
        <v>0</v>
      </c>
      <c r="G211" s="36">
        <f>'дод 2'!H244</f>
        <v>0</v>
      </c>
      <c r="H211" s="36">
        <f>'дод 2'!I244</f>
        <v>0</v>
      </c>
      <c r="I211" s="36">
        <f>'дод 2'!J244</f>
        <v>0</v>
      </c>
      <c r="J211" s="36">
        <f>'дод 2'!K244</f>
        <v>0</v>
      </c>
      <c r="K211" s="36">
        <f>'дод 2'!L244</f>
        <v>0</v>
      </c>
      <c r="L211" s="192" t="e">
        <f t="shared" ref="L211:L267" si="91">I211/D211*100</f>
        <v>#DIV/0!</v>
      </c>
      <c r="M211" s="36">
        <f>'дод 2'!N244</f>
        <v>5007904</v>
      </c>
      <c r="N211" s="36">
        <f>'дод 2'!O244</f>
        <v>5007904</v>
      </c>
      <c r="O211" s="36">
        <f>'дод 2'!P244</f>
        <v>0</v>
      </c>
      <c r="P211" s="36">
        <f>'дод 2'!Q244</f>
        <v>0</v>
      </c>
      <c r="Q211" s="36">
        <f>'дод 2'!R244</f>
        <v>0</v>
      </c>
      <c r="R211" s="36">
        <f>'дод 2'!S244</f>
        <v>5007904</v>
      </c>
      <c r="S211" s="36">
        <f>'дод 2'!T244</f>
        <v>4037981.15</v>
      </c>
      <c r="T211" s="36">
        <f>'дод 2'!U244</f>
        <v>4037981.15</v>
      </c>
      <c r="U211" s="36">
        <f>'дод 2'!V244</f>
        <v>0</v>
      </c>
      <c r="V211" s="36">
        <f>'дод 2'!W244</f>
        <v>0</v>
      </c>
      <c r="W211" s="36">
        <f>'дод 2'!X244</f>
        <v>0</v>
      </c>
      <c r="X211" s="36">
        <f>'дод 2'!Y244</f>
        <v>4037981.15</v>
      </c>
      <c r="Y211" s="192">
        <f t="shared" ref="Y211:Y267" si="92">S211/M211*100</f>
        <v>80.632159681974741</v>
      </c>
      <c r="Z211" s="36">
        <f>'дод 2'!AA244</f>
        <v>4037981.15</v>
      </c>
      <c r="AA211" s="36">
        <f>'дод 2'!AB244</f>
        <v>5007904</v>
      </c>
      <c r="AB211" s="239"/>
    </row>
    <row r="212" spans="1:28" s="62" customFormat="1" ht="78.75" x14ac:dyDescent="0.25">
      <c r="A212" s="34">
        <v>7384</v>
      </c>
      <c r="B212" s="12" t="s">
        <v>68</v>
      </c>
      <c r="C212" s="14" t="s">
        <v>462</v>
      </c>
      <c r="D212" s="36">
        <f>'дод 2'!E245</f>
        <v>0</v>
      </c>
      <c r="E212" s="36">
        <f>'дод 2'!F245</f>
        <v>0</v>
      </c>
      <c r="F212" s="36">
        <f>'дод 2'!G245</f>
        <v>0</v>
      </c>
      <c r="G212" s="36">
        <f>'дод 2'!H245</f>
        <v>0</v>
      </c>
      <c r="H212" s="36">
        <f>'дод 2'!I245</f>
        <v>0</v>
      </c>
      <c r="I212" s="36">
        <f>'дод 2'!J245</f>
        <v>0</v>
      </c>
      <c r="J212" s="36">
        <f>'дод 2'!K245</f>
        <v>0</v>
      </c>
      <c r="K212" s="36">
        <f>'дод 2'!L245</f>
        <v>0</v>
      </c>
      <c r="L212" s="192" t="e">
        <f t="shared" si="91"/>
        <v>#DIV/0!</v>
      </c>
      <c r="M212" s="36">
        <f>'дод 2'!N245</f>
        <v>6564069.9000000004</v>
      </c>
      <c r="N212" s="36">
        <f>'дод 2'!O245</f>
        <v>0</v>
      </c>
      <c r="O212" s="36">
        <f>'дод 2'!P245</f>
        <v>0</v>
      </c>
      <c r="P212" s="36">
        <f>'дод 2'!Q245</f>
        <v>0</v>
      </c>
      <c r="Q212" s="36">
        <f>'дод 2'!R245</f>
        <v>0</v>
      </c>
      <c r="R212" s="36">
        <f>'дод 2'!S245</f>
        <v>6564069.9000000004</v>
      </c>
      <c r="S212" s="36">
        <f>'дод 2'!T245</f>
        <v>0</v>
      </c>
      <c r="T212" s="36">
        <f>'дод 2'!U245</f>
        <v>0</v>
      </c>
      <c r="U212" s="36">
        <f>'дод 2'!V245</f>
        <v>0</v>
      </c>
      <c r="V212" s="36">
        <f>'дод 2'!W245</f>
        <v>0</v>
      </c>
      <c r="W212" s="36">
        <f>'дод 2'!X245</f>
        <v>0</v>
      </c>
      <c r="X212" s="36">
        <f>'дод 2'!Y245</f>
        <v>0</v>
      </c>
      <c r="Y212" s="192">
        <f t="shared" si="92"/>
        <v>0</v>
      </c>
      <c r="Z212" s="36">
        <f>'дод 2'!AA245</f>
        <v>0</v>
      </c>
      <c r="AA212" s="36">
        <f>'дод 2'!AB245</f>
        <v>6564069.9000000004</v>
      </c>
      <c r="AB212" s="239"/>
    </row>
    <row r="213" spans="1:28" s="62" customFormat="1" ht="110.25" x14ac:dyDescent="0.25">
      <c r="A213" s="40"/>
      <c r="B213" s="20"/>
      <c r="C213" s="24" t="s">
        <v>463</v>
      </c>
      <c r="D213" s="41">
        <f>'дод 2'!E246</f>
        <v>0</v>
      </c>
      <c r="E213" s="41">
        <f>'дод 2'!F246</f>
        <v>0</v>
      </c>
      <c r="F213" s="41">
        <f>'дод 2'!G246</f>
        <v>0</v>
      </c>
      <c r="G213" s="41">
        <f>'дод 2'!H246</f>
        <v>0</v>
      </c>
      <c r="H213" s="41">
        <f>'дод 2'!I246</f>
        <v>0</v>
      </c>
      <c r="I213" s="41">
        <f>'дод 2'!J246</f>
        <v>0</v>
      </c>
      <c r="J213" s="41">
        <f>'дод 2'!K246</f>
        <v>0</v>
      </c>
      <c r="K213" s="41">
        <f>'дод 2'!L246</f>
        <v>0</v>
      </c>
      <c r="L213" s="194" t="e">
        <f t="shared" si="91"/>
        <v>#DIV/0!</v>
      </c>
      <c r="M213" s="41">
        <f>'дод 2'!N246</f>
        <v>6564069.9000000004</v>
      </c>
      <c r="N213" s="41">
        <f>'дод 2'!O246</f>
        <v>0</v>
      </c>
      <c r="O213" s="41">
        <f>'дод 2'!P246</f>
        <v>0</v>
      </c>
      <c r="P213" s="41">
        <f>'дод 2'!Q246</f>
        <v>0</v>
      </c>
      <c r="Q213" s="41">
        <f>'дод 2'!R246</f>
        <v>0</v>
      </c>
      <c r="R213" s="41">
        <f>'дод 2'!S246</f>
        <v>6564069.9000000004</v>
      </c>
      <c r="S213" s="41">
        <f>'дод 2'!T246</f>
        <v>0</v>
      </c>
      <c r="T213" s="41">
        <f>'дод 2'!U246</f>
        <v>0</v>
      </c>
      <c r="U213" s="41">
        <f>'дод 2'!V246</f>
        <v>0</v>
      </c>
      <c r="V213" s="41">
        <f>'дод 2'!W246</f>
        <v>0</v>
      </c>
      <c r="W213" s="41">
        <f>'дод 2'!X246</f>
        <v>0</v>
      </c>
      <c r="X213" s="41">
        <f>'дод 2'!Y246</f>
        <v>0</v>
      </c>
      <c r="Y213" s="194">
        <f t="shared" si="92"/>
        <v>0</v>
      </c>
      <c r="Z213" s="41">
        <f>'дод 2'!AA246</f>
        <v>0</v>
      </c>
      <c r="AA213" s="41">
        <f>'дод 2'!AB246</f>
        <v>6564069.9000000004</v>
      </c>
      <c r="AB213" s="239"/>
    </row>
    <row r="214" spans="1:28" s="61" customFormat="1" ht="34.5" customHeight="1" x14ac:dyDescent="0.25">
      <c r="A214" s="37" t="s">
        <v>71</v>
      </c>
      <c r="B214" s="47"/>
      <c r="C214" s="48" t="s">
        <v>323</v>
      </c>
      <c r="D214" s="33">
        <f>D215+D218+D219+D217+D216</f>
        <v>106474943</v>
      </c>
      <c r="E214" s="33">
        <f t="shared" ref="E214:Z214" si="93">E215+E218+E219+E217+E216</f>
        <v>0</v>
      </c>
      <c r="F214" s="33">
        <f t="shared" si="93"/>
        <v>0</v>
      </c>
      <c r="G214" s="33">
        <f t="shared" si="93"/>
        <v>0</v>
      </c>
      <c r="H214" s="33">
        <f t="shared" si="93"/>
        <v>106474943</v>
      </c>
      <c r="I214" s="33">
        <f t="shared" si="93"/>
        <v>106403746.57000001</v>
      </c>
      <c r="J214" s="33">
        <f t="shared" si="93"/>
        <v>0</v>
      </c>
      <c r="K214" s="33">
        <f t="shared" si="93"/>
        <v>0</v>
      </c>
      <c r="L214" s="191">
        <f t="shared" si="91"/>
        <v>99.933133159789534</v>
      </c>
      <c r="M214" s="33">
        <f t="shared" si="93"/>
        <v>0</v>
      </c>
      <c r="N214" s="33">
        <f t="shared" si="93"/>
        <v>0</v>
      </c>
      <c r="O214" s="33">
        <f t="shared" si="93"/>
        <v>0</v>
      </c>
      <c r="P214" s="33">
        <f t="shared" si="93"/>
        <v>0</v>
      </c>
      <c r="Q214" s="33">
        <f t="shared" si="93"/>
        <v>0</v>
      </c>
      <c r="R214" s="33">
        <f t="shared" si="93"/>
        <v>0</v>
      </c>
      <c r="S214" s="33">
        <f t="shared" si="93"/>
        <v>0</v>
      </c>
      <c r="T214" s="33">
        <f t="shared" si="93"/>
        <v>0</v>
      </c>
      <c r="U214" s="33">
        <f t="shared" si="93"/>
        <v>0</v>
      </c>
      <c r="V214" s="33">
        <f t="shared" si="93"/>
        <v>0</v>
      </c>
      <c r="W214" s="33">
        <f t="shared" si="93"/>
        <v>0</v>
      </c>
      <c r="X214" s="33">
        <f t="shared" si="93"/>
        <v>0</v>
      </c>
      <c r="Y214" s="191" t="e">
        <f t="shared" si="92"/>
        <v>#DIV/0!</v>
      </c>
      <c r="Z214" s="33">
        <f t="shared" si="93"/>
        <v>106403746.57000001</v>
      </c>
      <c r="AA214" s="33">
        <f t="shared" ref="AA214" si="94">AA215+AA218+AA219+AA217+AA216</f>
        <v>106474943</v>
      </c>
      <c r="AB214" s="239"/>
    </row>
    <row r="215" spans="1:28" s="62" customFormat="1" ht="18.75" customHeight="1" x14ac:dyDescent="0.25">
      <c r="A215" s="34" t="s">
        <v>1</v>
      </c>
      <c r="B215" s="34" t="s">
        <v>70</v>
      </c>
      <c r="C215" s="25" t="s">
        <v>29</v>
      </c>
      <c r="D215" s="36">
        <f>'дод 2'!E247+'дод 2'!E34</f>
        <v>31457126</v>
      </c>
      <c r="E215" s="36">
        <f>'дод 2'!F247+'дод 2'!F34</f>
        <v>0</v>
      </c>
      <c r="F215" s="36">
        <f>'дод 2'!G247+'дод 2'!G34</f>
        <v>0</v>
      </c>
      <c r="G215" s="36">
        <f>'дод 2'!H247+'дод 2'!H34</f>
        <v>0</v>
      </c>
      <c r="H215" s="36">
        <f>'дод 2'!I247+'дод 2'!I34</f>
        <v>31457126</v>
      </c>
      <c r="I215" s="36">
        <f>'дод 2'!J247+'дод 2'!J34</f>
        <v>31457126</v>
      </c>
      <c r="J215" s="36">
        <f>'дод 2'!K247+'дод 2'!K34</f>
        <v>0</v>
      </c>
      <c r="K215" s="36">
        <f>'дод 2'!L247+'дод 2'!L34</f>
        <v>0</v>
      </c>
      <c r="L215" s="192">
        <f t="shared" si="91"/>
        <v>100</v>
      </c>
      <c r="M215" s="36">
        <f>'дод 2'!N247+'дод 2'!N34</f>
        <v>0</v>
      </c>
      <c r="N215" s="36">
        <f>'дод 2'!O247+'дод 2'!O34</f>
        <v>0</v>
      </c>
      <c r="O215" s="36">
        <f>'дод 2'!P247+'дод 2'!P34</f>
        <v>0</v>
      </c>
      <c r="P215" s="36">
        <f>'дод 2'!Q247+'дод 2'!Q34</f>
        <v>0</v>
      </c>
      <c r="Q215" s="36">
        <f>'дод 2'!R247+'дод 2'!R34</f>
        <v>0</v>
      </c>
      <c r="R215" s="36">
        <f>'дод 2'!S247+'дод 2'!S34</f>
        <v>0</v>
      </c>
      <c r="S215" s="36">
        <f>'дод 2'!T247+'дод 2'!T34</f>
        <v>0</v>
      </c>
      <c r="T215" s="36">
        <f>'дод 2'!U247+'дод 2'!U34</f>
        <v>0</v>
      </c>
      <c r="U215" s="36">
        <f>'дод 2'!V247+'дод 2'!V34</f>
        <v>0</v>
      </c>
      <c r="V215" s="36">
        <f>'дод 2'!W247+'дод 2'!W34</f>
        <v>0</v>
      </c>
      <c r="W215" s="36">
        <f>'дод 2'!X247+'дод 2'!X34</f>
        <v>0</v>
      </c>
      <c r="X215" s="36">
        <f>'дод 2'!Y247+'дод 2'!Y34</f>
        <v>0</v>
      </c>
      <c r="Y215" s="192" t="e">
        <f t="shared" si="92"/>
        <v>#DIV/0!</v>
      </c>
      <c r="Z215" s="36">
        <f>'дод 2'!AA247+'дод 2'!AA34</f>
        <v>31457126</v>
      </c>
      <c r="AA215" s="36">
        <f>'дод 2'!AB247+'дод 2'!AB34</f>
        <v>31457126</v>
      </c>
      <c r="AB215" s="239"/>
    </row>
    <row r="216" spans="1:28" s="62" customFormat="1" ht="18.75" customHeight="1" x14ac:dyDescent="0.25">
      <c r="A216" s="34">
        <v>7413</v>
      </c>
      <c r="B216" s="34" t="s">
        <v>70</v>
      </c>
      <c r="C216" s="25" t="s">
        <v>551</v>
      </c>
      <c r="D216" s="36">
        <f>'дод 2'!E248+'дод 2'!E35</f>
        <v>1991397</v>
      </c>
      <c r="E216" s="36">
        <f>'дод 2'!F248+'дод 2'!F35</f>
        <v>0</v>
      </c>
      <c r="F216" s="36">
        <f>'дод 2'!G248+'дод 2'!G35</f>
        <v>0</v>
      </c>
      <c r="G216" s="36">
        <f>'дод 2'!H248+'дод 2'!H35</f>
        <v>0</v>
      </c>
      <c r="H216" s="36">
        <f>'дод 2'!I248+'дод 2'!I35</f>
        <v>1991397</v>
      </c>
      <c r="I216" s="36">
        <f>'дод 2'!J248+'дод 2'!J35</f>
        <v>1920201.2599999998</v>
      </c>
      <c r="J216" s="36">
        <f>'дод 2'!K248+'дод 2'!K35</f>
        <v>0</v>
      </c>
      <c r="K216" s="36">
        <f>'дод 2'!L248+'дод 2'!L35</f>
        <v>0</v>
      </c>
      <c r="L216" s="192">
        <f t="shared" si="91"/>
        <v>96.424834425280338</v>
      </c>
      <c r="M216" s="36">
        <f>'дод 2'!N248+'дод 2'!N35</f>
        <v>0</v>
      </c>
      <c r="N216" s="36">
        <f>'дод 2'!O248+'дод 2'!O35</f>
        <v>0</v>
      </c>
      <c r="O216" s="36">
        <f>'дод 2'!P248+'дод 2'!P35</f>
        <v>0</v>
      </c>
      <c r="P216" s="36">
        <f>'дод 2'!Q248+'дод 2'!Q35</f>
        <v>0</v>
      </c>
      <c r="Q216" s="36">
        <f>'дод 2'!R248+'дод 2'!R35</f>
        <v>0</v>
      </c>
      <c r="R216" s="36">
        <f>'дод 2'!S248+'дод 2'!S35</f>
        <v>0</v>
      </c>
      <c r="S216" s="36">
        <f>'дод 2'!T248+'дод 2'!T35</f>
        <v>0</v>
      </c>
      <c r="T216" s="36">
        <f>'дод 2'!U248+'дод 2'!U35</f>
        <v>0</v>
      </c>
      <c r="U216" s="36">
        <f>'дод 2'!V248+'дод 2'!V35</f>
        <v>0</v>
      </c>
      <c r="V216" s="36">
        <f>'дод 2'!W248+'дод 2'!W35</f>
        <v>0</v>
      </c>
      <c r="W216" s="36">
        <f>'дод 2'!X248+'дод 2'!X35</f>
        <v>0</v>
      </c>
      <c r="X216" s="36">
        <f>'дод 2'!Y248+'дод 2'!Y35</f>
        <v>0</v>
      </c>
      <c r="Y216" s="192" t="e">
        <f t="shared" si="92"/>
        <v>#DIV/0!</v>
      </c>
      <c r="Z216" s="36">
        <f>'дод 2'!AA248+'дод 2'!AA35</f>
        <v>1920201.2599999998</v>
      </c>
      <c r="AA216" s="36">
        <f>'дод 2'!AB248+'дод 2'!AB35</f>
        <v>1991397</v>
      </c>
      <c r="AB216" s="239"/>
    </row>
    <row r="217" spans="1:28" s="62" customFormat="1" ht="31.5" x14ac:dyDescent="0.25">
      <c r="A217" s="34">
        <v>7422</v>
      </c>
      <c r="B217" s="52" t="s">
        <v>447</v>
      </c>
      <c r="C217" s="25" t="s">
        <v>446</v>
      </c>
      <c r="D217" s="36">
        <f>'дод 2'!E249+'дод 2'!E36</f>
        <v>71288902</v>
      </c>
      <c r="E217" s="36">
        <f>'дод 2'!F249+'дод 2'!F36</f>
        <v>0</v>
      </c>
      <c r="F217" s="36">
        <f>'дод 2'!G249+'дод 2'!G36</f>
        <v>0</v>
      </c>
      <c r="G217" s="36">
        <f>'дод 2'!H249+'дод 2'!H36</f>
        <v>0</v>
      </c>
      <c r="H217" s="36">
        <f>'дод 2'!I249+'дод 2'!I36</f>
        <v>71288902</v>
      </c>
      <c r="I217" s="36">
        <f>'дод 2'!J249+'дод 2'!J36</f>
        <v>71288901.560000002</v>
      </c>
      <c r="J217" s="36">
        <f>'дод 2'!K249+'дод 2'!K36</f>
        <v>0</v>
      </c>
      <c r="K217" s="36">
        <f>'дод 2'!L249+'дод 2'!L36</f>
        <v>0</v>
      </c>
      <c r="L217" s="192">
        <f t="shared" si="91"/>
        <v>99.999999382793135</v>
      </c>
      <c r="M217" s="36">
        <f>'дод 2'!N249+'дод 2'!N36</f>
        <v>0</v>
      </c>
      <c r="N217" s="36">
        <f>'дод 2'!O249+'дод 2'!O36</f>
        <v>0</v>
      </c>
      <c r="O217" s="36">
        <f>'дод 2'!P249+'дод 2'!P36</f>
        <v>0</v>
      </c>
      <c r="P217" s="36">
        <f>'дод 2'!Q249+'дод 2'!Q36</f>
        <v>0</v>
      </c>
      <c r="Q217" s="36">
        <f>'дод 2'!R249+'дод 2'!R36</f>
        <v>0</v>
      </c>
      <c r="R217" s="36">
        <f>'дод 2'!S249+'дод 2'!S36</f>
        <v>0</v>
      </c>
      <c r="S217" s="36">
        <f>'дод 2'!T249+'дод 2'!T36</f>
        <v>0</v>
      </c>
      <c r="T217" s="36">
        <f>'дод 2'!U249+'дод 2'!U36</f>
        <v>0</v>
      </c>
      <c r="U217" s="36">
        <f>'дод 2'!V249+'дод 2'!V36</f>
        <v>0</v>
      </c>
      <c r="V217" s="36">
        <f>'дод 2'!W249+'дод 2'!W36</f>
        <v>0</v>
      </c>
      <c r="W217" s="36">
        <f>'дод 2'!X249+'дод 2'!X36</f>
        <v>0</v>
      </c>
      <c r="X217" s="36">
        <f>'дод 2'!Y249+'дод 2'!Y36</f>
        <v>0</v>
      </c>
      <c r="Y217" s="192" t="e">
        <f t="shared" si="92"/>
        <v>#DIV/0!</v>
      </c>
      <c r="Z217" s="36">
        <f>'дод 2'!AA249+'дод 2'!AA36</f>
        <v>71288901.560000002</v>
      </c>
      <c r="AA217" s="36">
        <f>'дод 2'!AB249+'дод 2'!AB36</f>
        <v>71288902</v>
      </c>
      <c r="AB217" s="239"/>
    </row>
    <row r="218" spans="1:28" s="62" customFormat="1" ht="21" customHeight="1" x14ac:dyDescent="0.25">
      <c r="A218" s="13">
        <v>7426</v>
      </c>
      <c r="B218" s="12" t="s">
        <v>380</v>
      </c>
      <c r="C218" s="16" t="s">
        <v>379</v>
      </c>
      <c r="D218" s="36">
        <f>'дод 2'!E250+'дод 2'!E37</f>
        <v>1737518</v>
      </c>
      <c r="E218" s="36">
        <f>'дод 2'!F250+'дод 2'!F37</f>
        <v>0</v>
      </c>
      <c r="F218" s="36">
        <f>'дод 2'!G250+'дод 2'!G37</f>
        <v>0</v>
      </c>
      <c r="G218" s="36">
        <f>'дод 2'!H250+'дод 2'!H37</f>
        <v>0</v>
      </c>
      <c r="H218" s="36">
        <f>'дод 2'!I250+'дод 2'!I37</f>
        <v>1737518</v>
      </c>
      <c r="I218" s="36">
        <f>'дод 2'!J250+'дод 2'!J37</f>
        <v>1737517.75</v>
      </c>
      <c r="J218" s="36">
        <f>'дод 2'!K250+'дод 2'!K37</f>
        <v>0</v>
      </c>
      <c r="K218" s="36">
        <f>'дод 2'!L250+'дод 2'!L37</f>
        <v>0</v>
      </c>
      <c r="L218" s="192">
        <f t="shared" si="91"/>
        <v>99.999985611659852</v>
      </c>
      <c r="M218" s="36">
        <f>'дод 2'!N250+'дод 2'!N37</f>
        <v>0</v>
      </c>
      <c r="N218" s="36">
        <f>'дод 2'!O250+'дод 2'!O37</f>
        <v>0</v>
      </c>
      <c r="O218" s="36">
        <f>'дод 2'!P250+'дод 2'!P37</f>
        <v>0</v>
      </c>
      <c r="P218" s="36">
        <f>'дод 2'!Q250+'дод 2'!Q37</f>
        <v>0</v>
      </c>
      <c r="Q218" s="36">
        <f>'дод 2'!R250+'дод 2'!R37</f>
        <v>0</v>
      </c>
      <c r="R218" s="36">
        <f>'дод 2'!S250+'дод 2'!S37</f>
        <v>0</v>
      </c>
      <c r="S218" s="36">
        <f>'дод 2'!T250+'дод 2'!T37</f>
        <v>0</v>
      </c>
      <c r="T218" s="36">
        <f>'дод 2'!U250+'дод 2'!U37</f>
        <v>0</v>
      </c>
      <c r="U218" s="36">
        <f>'дод 2'!V250+'дод 2'!V37</f>
        <v>0</v>
      </c>
      <c r="V218" s="36">
        <f>'дод 2'!W250+'дод 2'!W37</f>
        <v>0</v>
      </c>
      <c r="W218" s="36">
        <f>'дод 2'!X250+'дод 2'!X37</f>
        <v>0</v>
      </c>
      <c r="X218" s="36">
        <f>'дод 2'!Y250+'дод 2'!Y37</f>
        <v>0</v>
      </c>
      <c r="Y218" s="192" t="e">
        <f t="shared" si="92"/>
        <v>#DIV/0!</v>
      </c>
      <c r="Z218" s="36">
        <f>'дод 2'!AA250+'дод 2'!AA37</f>
        <v>1737517.75</v>
      </c>
      <c r="AA218" s="36">
        <f>'дод 2'!AB250+'дод 2'!AB37</f>
        <v>1737518</v>
      </c>
      <c r="AB218" s="239"/>
    </row>
    <row r="219" spans="1:28" s="62" customFormat="1" ht="19.5" hidden="1" customHeight="1" x14ac:dyDescent="0.25">
      <c r="A219" s="13">
        <v>7450</v>
      </c>
      <c r="B219" s="12" t="s">
        <v>376</v>
      </c>
      <c r="C219" s="25" t="s">
        <v>377</v>
      </c>
      <c r="D219" s="36">
        <f>'дод 2'!E251+'дод 2'!E38</f>
        <v>0</v>
      </c>
      <c r="E219" s="36">
        <f>'дод 2'!F251+'дод 2'!F38</f>
        <v>0</v>
      </c>
      <c r="F219" s="36">
        <f>'дод 2'!G251+'дод 2'!G38</f>
        <v>0</v>
      </c>
      <c r="G219" s="36">
        <f>'дод 2'!H251+'дод 2'!H38</f>
        <v>0</v>
      </c>
      <c r="H219" s="36">
        <f>'дод 2'!I251+'дод 2'!I38</f>
        <v>0</v>
      </c>
      <c r="I219" s="36">
        <f>'дод 2'!J251+'дод 2'!J38</f>
        <v>0</v>
      </c>
      <c r="J219" s="36">
        <f>'дод 2'!K251+'дод 2'!K38</f>
        <v>0</v>
      </c>
      <c r="K219" s="36">
        <f>'дод 2'!L251+'дод 2'!L38</f>
        <v>0</v>
      </c>
      <c r="L219" s="192" t="e">
        <f t="shared" si="91"/>
        <v>#DIV/0!</v>
      </c>
      <c r="M219" s="36">
        <f>'дод 2'!N251+'дод 2'!N38</f>
        <v>0</v>
      </c>
      <c r="N219" s="36">
        <f>'дод 2'!O251+'дод 2'!O38</f>
        <v>0</v>
      </c>
      <c r="O219" s="36">
        <f>'дод 2'!P251+'дод 2'!P38</f>
        <v>0</v>
      </c>
      <c r="P219" s="36">
        <f>'дод 2'!Q251+'дод 2'!Q38</f>
        <v>0</v>
      </c>
      <c r="Q219" s="36">
        <f>'дод 2'!R251+'дод 2'!R38</f>
        <v>0</v>
      </c>
      <c r="R219" s="36">
        <f>'дод 2'!S251+'дод 2'!S38</f>
        <v>0</v>
      </c>
      <c r="S219" s="36">
        <f>'дод 2'!T251+'дод 2'!T38</f>
        <v>0</v>
      </c>
      <c r="T219" s="36">
        <f>'дод 2'!U251+'дод 2'!U38</f>
        <v>0</v>
      </c>
      <c r="U219" s="36">
        <f>'дод 2'!V251+'дод 2'!V38</f>
        <v>0</v>
      </c>
      <c r="V219" s="36">
        <f>'дод 2'!W251+'дод 2'!W38</f>
        <v>0</v>
      </c>
      <c r="W219" s="36">
        <f>'дод 2'!X251+'дод 2'!X38</f>
        <v>0</v>
      </c>
      <c r="X219" s="36">
        <f>'дод 2'!Y251+'дод 2'!Y38</f>
        <v>0</v>
      </c>
      <c r="Y219" s="192" t="e">
        <f t="shared" si="92"/>
        <v>#DIV/0!</v>
      </c>
      <c r="Z219" s="36">
        <f>'дод 2'!AA251+'дод 2'!AA38</f>
        <v>0</v>
      </c>
      <c r="AA219" s="36">
        <f>'дод 2'!AB251+'дод 2'!AB38</f>
        <v>0</v>
      </c>
      <c r="AB219" s="239"/>
    </row>
    <row r="220" spans="1:28" s="61" customFormat="1" ht="24" customHeight="1" x14ac:dyDescent="0.25">
      <c r="A220" s="17" t="s">
        <v>193</v>
      </c>
      <c r="B220" s="47"/>
      <c r="C220" s="48" t="s">
        <v>194</v>
      </c>
      <c r="D220" s="33">
        <f>D221</f>
        <v>3382550</v>
      </c>
      <c r="E220" s="33">
        <f t="shared" ref="E220:Z220" si="95">E221</f>
        <v>3382550</v>
      </c>
      <c r="F220" s="33">
        <f t="shared" si="95"/>
        <v>0</v>
      </c>
      <c r="G220" s="33">
        <f t="shared" si="95"/>
        <v>65500</v>
      </c>
      <c r="H220" s="33">
        <f t="shared" si="95"/>
        <v>0</v>
      </c>
      <c r="I220" s="33">
        <f t="shared" si="95"/>
        <v>2153217.88</v>
      </c>
      <c r="J220" s="33">
        <f t="shared" si="95"/>
        <v>0</v>
      </c>
      <c r="K220" s="33">
        <f t="shared" si="95"/>
        <v>21116.53</v>
      </c>
      <c r="L220" s="191">
        <f t="shared" si="91"/>
        <v>63.656646021492655</v>
      </c>
      <c r="M220" s="33">
        <f t="shared" si="95"/>
        <v>957000</v>
      </c>
      <c r="N220" s="33">
        <f t="shared" si="95"/>
        <v>957000</v>
      </c>
      <c r="O220" s="33">
        <f t="shared" si="95"/>
        <v>0</v>
      </c>
      <c r="P220" s="33">
        <f t="shared" si="95"/>
        <v>0</v>
      </c>
      <c r="Q220" s="33">
        <f t="shared" si="95"/>
        <v>0</v>
      </c>
      <c r="R220" s="33">
        <f t="shared" si="95"/>
        <v>957000</v>
      </c>
      <c r="S220" s="33">
        <f t="shared" si="95"/>
        <v>655495.19999999995</v>
      </c>
      <c r="T220" s="33">
        <f t="shared" si="95"/>
        <v>655495.19999999995</v>
      </c>
      <c r="U220" s="33">
        <f t="shared" si="95"/>
        <v>0</v>
      </c>
      <c r="V220" s="33">
        <f t="shared" si="95"/>
        <v>0</v>
      </c>
      <c r="W220" s="33">
        <f t="shared" si="95"/>
        <v>0</v>
      </c>
      <c r="X220" s="33">
        <f t="shared" si="95"/>
        <v>655495.19999999995</v>
      </c>
      <c r="Y220" s="191">
        <f t="shared" si="92"/>
        <v>68.494796238244504</v>
      </c>
      <c r="Z220" s="33">
        <f t="shared" si="95"/>
        <v>2808713.08</v>
      </c>
      <c r="AA220" s="33">
        <f t="shared" ref="AA220" si="96">AA221</f>
        <v>4339550</v>
      </c>
      <c r="AB220" s="239"/>
    </row>
    <row r="221" spans="1:28" ht="18.75" customHeight="1" x14ac:dyDescent="0.25">
      <c r="A221" s="34" t="s">
        <v>191</v>
      </c>
      <c r="B221" s="34" t="s">
        <v>192</v>
      </c>
      <c r="C221" s="26" t="s">
        <v>190</v>
      </c>
      <c r="D221" s="36">
        <f>'дод 2'!E39</f>
        <v>3382550</v>
      </c>
      <c r="E221" s="36">
        <f>'дод 2'!F39</f>
        <v>3382550</v>
      </c>
      <c r="F221" s="36">
        <f>'дод 2'!G39</f>
        <v>0</v>
      </c>
      <c r="G221" s="36">
        <f>'дод 2'!H39</f>
        <v>65500</v>
      </c>
      <c r="H221" s="36">
        <f>'дод 2'!I39</f>
        <v>0</v>
      </c>
      <c r="I221" s="36">
        <f>'дод 2'!J39</f>
        <v>2153217.88</v>
      </c>
      <c r="J221" s="36">
        <f>'дод 2'!K39</f>
        <v>0</v>
      </c>
      <c r="K221" s="36">
        <f>'дод 2'!L39</f>
        <v>21116.53</v>
      </c>
      <c r="L221" s="192">
        <f t="shared" si="91"/>
        <v>63.656646021492655</v>
      </c>
      <c r="M221" s="36">
        <f>'дод 2'!N39</f>
        <v>957000</v>
      </c>
      <c r="N221" s="36">
        <f>'дод 2'!O39</f>
        <v>957000</v>
      </c>
      <c r="O221" s="36">
        <f>'дод 2'!P39</f>
        <v>0</v>
      </c>
      <c r="P221" s="36">
        <f>'дод 2'!Q39</f>
        <v>0</v>
      </c>
      <c r="Q221" s="36">
        <f>'дод 2'!R39</f>
        <v>0</v>
      </c>
      <c r="R221" s="36">
        <f>'дод 2'!S39</f>
        <v>957000</v>
      </c>
      <c r="S221" s="36">
        <f>'дод 2'!T39</f>
        <v>655495.19999999995</v>
      </c>
      <c r="T221" s="36">
        <f>'дод 2'!U39</f>
        <v>655495.19999999995</v>
      </c>
      <c r="U221" s="36">
        <f>'дод 2'!V39</f>
        <v>0</v>
      </c>
      <c r="V221" s="36">
        <f>'дод 2'!W39</f>
        <v>0</v>
      </c>
      <c r="W221" s="36">
        <f>'дод 2'!X39</f>
        <v>0</v>
      </c>
      <c r="X221" s="36">
        <f>'дод 2'!Y39</f>
        <v>655495.19999999995</v>
      </c>
      <c r="Y221" s="192">
        <f t="shared" si="92"/>
        <v>68.494796238244504</v>
      </c>
      <c r="Z221" s="36">
        <f>'дод 2'!AA39</f>
        <v>2808713.08</v>
      </c>
      <c r="AA221" s="36">
        <f>'дод 2'!AB39</f>
        <v>4339550</v>
      </c>
      <c r="AB221" s="239"/>
    </row>
    <row r="222" spans="1:28" s="61" customFormat="1" ht="31.5" x14ac:dyDescent="0.25">
      <c r="A222" s="37" t="s">
        <v>74</v>
      </c>
      <c r="B222" s="47"/>
      <c r="C222" s="48" t="s">
        <v>287</v>
      </c>
      <c r="D222" s="33">
        <f t="shared" ref="D222:AA222" si="97">D226+D227+D230+D231+D232+D234+D235+D236</f>
        <v>6814660</v>
      </c>
      <c r="E222" s="33">
        <f t="shared" ref="E222:Z222" si="98">E226+E227+E230+E231+E232+E234+E235+E236</f>
        <v>5125260</v>
      </c>
      <c r="F222" s="33">
        <f t="shared" si="98"/>
        <v>0</v>
      </c>
      <c r="G222" s="33">
        <f t="shared" si="98"/>
        <v>0</v>
      </c>
      <c r="H222" s="33">
        <f t="shared" si="98"/>
        <v>1689400</v>
      </c>
      <c r="I222" s="33">
        <f t="shared" si="98"/>
        <v>4703216.57</v>
      </c>
      <c r="J222" s="33">
        <f t="shared" si="98"/>
        <v>0</v>
      </c>
      <c r="K222" s="33">
        <f t="shared" si="98"/>
        <v>0</v>
      </c>
      <c r="L222" s="191">
        <f t="shared" si="91"/>
        <v>69.016158839912777</v>
      </c>
      <c r="M222" s="33">
        <f t="shared" si="98"/>
        <v>320700661.99000001</v>
      </c>
      <c r="N222" s="33">
        <f t="shared" si="98"/>
        <v>319158745.38999999</v>
      </c>
      <c r="O222" s="33">
        <f t="shared" si="98"/>
        <v>1160040</v>
      </c>
      <c r="P222" s="33">
        <f t="shared" si="98"/>
        <v>0</v>
      </c>
      <c r="Q222" s="33">
        <f t="shared" si="98"/>
        <v>0</v>
      </c>
      <c r="R222" s="33">
        <f t="shared" si="98"/>
        <v>319540621.99000001</v>
      </c>
      <c r="S222" s="33">
        <f t="shared" si="98"/>
        <v>129850942.06999999</v>
      </c>
      <c r="T222" s="33">
        <f t="shared" si="98"/>
        <v>129429756.53999999</v>
      </c>
      <c r="U222" s="33">
        <f t="shared" si="98"/>
        <v>294040</v>
      </c>
      <c r="V222" s="33">
        <f t="shared" si="98"/>
        <v>0</v>
      </c>
      <c r="W222" s="33">
        <f t="shared" si="98"/>
        <v>0</v>
      </c>
      <c r="X222" s="33">
        <f t="shared" si="98"/>
        <v>129556902.06999999</v>
      </c>
      <c r="Y222" s="191">
        <f t="shared" si="92"/>
        <v>40.489764275587611</v>
      </c>
      <c r="Z222" s="33">
        <f t="shared" si="98"/>
        <v>134554158.64000002</v>
      </c>
      <c r="AA222" s="33">
        <f t="shared" si="97"/>
        <v>327515321.99000001</v>
      </c>
      <c r="AB222" s="239"/>
    </row>
    <row r="223" spans="1:28" s="61" customFormat="1" ht="78.75" x14ac:dyDescent="0.25">
      <c r="A223" s="37"/>
      <c r="B223" s="47"/>
      <c r="C223" s="19" t="str">
        <f>C233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23" s="39">
        <f>D233</f>
        <v>0</v>
      </c>
      <c r="E223" s="39">
        <f t="shared" ref="E223:Z223" si="99">E233</f>
        <v>0</v>
      </c>
      <c r="F223" s="39">
        <f t="shared" si="99"/>
        <v>0</v>
      </c>
      <c r="G223" s="39">
        <f t="shared" si="99"/>
        <v>0</v>
      </c>
      <c r="H223" s="39">
        <f t="shared" si="99"/>
        <v>0</v>
      </c>
      <c r="I223" s="39">
        <f t="shared" si="99"/>
        <v>0</v>
      </c>
      <c r="J223" s="39">
        <f t="shared" si="99"/>
        <v>0</v>
      </c>
      <c r="K223" s="39">
        <f t="shared" si="99"/>
        <v>0</v>
      </c>
      <c r="L223" s="193" t="e">
        <f t="shared" si="91"/>
        <v>#DIV/0!</v>
      </c>
      <c r="M223" s="39">
        <f t="shared" si="99"/>
        <v>5032800</v>
      </c>
      <c r="N223" s="39">
        <f t="shared" si="99"/>
        <v>5032800</v>
      </c>
      <c r="O223" s="39">
        <f t="shared" si="99"/>
        <v>0</v>
      </c>
      <c r="P223" s="39">
        <f t="shared" si="99"/>
        <v>0</v>
      </c>
      <c r="Q223" s="39">
        <f t="shared" si="99"/>
        <v>0</v>
      </c>
      <c r="R223" s="39">
        <f t="shared" si="99"/>
        <v>5032800</v>
      </c>
      <c r="S223" s="39">
        <f t="shared" si="99"/>
        <v>5032800</v>
      </c>
      <c r="T223" s="39">
        <f t="shared" si="99"/>
        <v>5032800</v>
      </c>
      <c r="U223" s="39">
        <f t="shared" si="99"/>
        <v>0</v>
      </c>
      <c r="V223" s="39">
        <f t="shared" si="99"/>
        <v>0</v>
      </c>
      <c r="W223" s="39">
        <f t="shared" si="99"/>
        <v>0</v>
      </c>
      <c r="X223" s="39">
        <f t="shared" si="99"/>
        <v>5032800</v>
      </c>
      <c r="Y223" s="193">
        <f t="shared" si="92"/>
        <v>100</v>
      </c>
      <c r="Z223" s="39">
        <f t="shared" si="99"/>
        <v>5032800</v>
      </c>
      <c r="AA223" s="39">
        <f t="shared" ref="AA223" si="100">AA233</f>
        <v>5032800</v>
      </c>
      <c r="AB223" s="239"/>
    </row>
    <row r="224" spans="1:28" s="64" customFormat="1" ht="26.25" customHeight="1" x14ac:dyDescent="0.25">
      <c r="A224" s="38"/>
      <c r="B224" s="38"/>
      <c r="C224" s="131" t="s">
        <v>285</v>
      </c>
      <c r="D224" s="39">
        <f>D228</f>
        <v>0</v>
      </c>
      <c r="E224" s="39">
        <f t="shared" ref="E224:Z224" si="101">E228</f>
        <v>0</v>
      </c>
      <c r="F224" s="39">
        <f t="shared" si="101"/>
        <v>0</v>
      </c>
      <c r="G224" s="39">
        <f t="shared" si="101"/>
        <v>0</v>
      </c>
      <c r="H224" s="39">
        <f t="shared" si="101"/>
        <v>0</v>
      </c>
      <c r="I224" s="39">
        <f t="shared" si="101"/>
        <v>0</v>
      </c>
      <c r="J224" s="39">
        <f t="shared" si="101"/>
        <v>0</v>
      </c>
      <c r="K224" s="39">
        <f t="shared" si="101"/>
        <v>0</v>
      </c>
      <c r="L224" s="193" t="e">
        <f t="shared" si="91"/>
        <v>#DIV/0!</v>
      </c>
      <c r="M224" s="39">
        <f t="shared" si="101"/>
        <v>209249640</v>
      </c>
      <c r="N224" s="39">
        <f t="shared" si="101"/>
        <v>209249640</v>
      </c>
      <c r="O224" s="39">
        <f t="shared" si="101"/>
        <v>0</v>
      </c>
      <c r="P224" s="39">
        <f t="shared" si="101"/>
        <v>0</v>
      </c>
      <c r="Q224" s="39">
        <f t="shared" si="101"/>
        <v>0</v>
      </c>
      <c r="R224" s="39">
        <f t="shared" si="101"/>
        <v>209249640</v>
      </c>
      <c r="S224" s="39">
        <f t="shared" si="101"/>
        <v>38915335.850000001</v>
      </c>
      <c r="T224" s="39">
        <f t="shared" si="101"/>
        <v>38915335.850000001</v>
      </c>
      <c r="U224" s="39">
        <f t="shared" si="101"/>
        <v>0</v>
      </c>
      <c r="V224" s="39">
        <f t="shared" si="101"/>
        <v>0</v>
      </c>
      <c r="W224" s="39">
        <f t="shared" si="101"/>
        <v>0</v>
      </c>
      <c r="X224" s="39">
        <f t="shared" si="101"/>
        <v>38915335.850000001</v>
      </c>
      <c r="Y224" s="193">
        <f t="shared" si="92"/>
        <v>18.597564062714756</v>
      </c>
      <c r="Z224" s="39">
        <f t="shared" si="101"/>
        <v>38915335.850000001</v>
      </c>
      <c r="AA224" s="39">
        <f t="shared" ref="AA224" si="102">AA228</f>
        <v>209249640</v>
      </c>
      <c r="AB224" s="239"/>
    </row>
    <row r="225" spans="1:28" s="64" customFormat="1" ht="63" x14ac:dyDescent="0.25">
      <c r="A225" s="38"/>
      <c r="B225" s="38"/>
      <c r="C225" s="131" t="str">
        <f>C229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D225" s="39">
        <f>D229</f>
        <v>0</v>
      </c>
      <c r="E225" s="39">
        <f t="shared" ref="E225:Z225" si="103">E229</f>
        <v>0</v>
      </c>
      <c r="F225" s="39">
        <f t="shared" si="103"/>
        <v>0</v>
      </c>
      <c r="G225" s="39">
        <f t="shared" si="103"/>
        <v>0</v>
      </c>
      <c r="H225" s="39">
        <f t="shared" si="103"/>
        <v>0</v>
      </c>
      <c r="I225" s="39">
        <f t="shared" si="103"/>
        <v>0</v>
      </c>
      <c r="J225" s="39">
        <f t="shared" si="103"/>
        <v>0</v>
      </c>
      <c r="K225" s="39">
        <f t="shared" si="103"/>
        <v>0</v>
      </c>
      <c r="L225" s="193" t="e">
        <f t="shared" si="91"/>
        <v>#DIV/0!</v>
      </c>
      <c r="M225" s="39">
        <f t="shared" si="103"/>
        <v>42813357.390000001</v>
      </c>
      <c r="N225" s="39">
        <f t="shared" si="103"/>
        <v>42813357.390000001</v>
      </c>
      <c r="O225" s="39">
        <f t="shared" si="103"/>
        <v>0</v>
      </c>
      <c r="P225" s="39">
        <f t="shared" si="103"/>
        <v>0</v>
      </c>
      <c r="Q225" s="39">
        <f t="shared" si="103"/>
        <v>0</v>
      </c>
      <c r="R225" s="39">
        <f t="shared" si="103"/>
        <v>42813357.390000001</v>
      </c>
      <c r="S225" s="39">
        <f t="shared" si="103"/>
        <v>42813356.659999996</v>
      </c>
      <c r="T225" s="39">
        <f t="shared" si="103"/>
        <v>42813356.659999996</v>
      </c>
      <c r="U225" s="39">
        <f t="shared" si="103"/>
        <v>0</v>
      </c>
      <c r="V225" s="39">
        <f t="shared" si="103"/>
        <v>0</v>
      </c>
      <c r="W225" s="39">
        <f t="shared" si="103"/>
        <v>0</v>
      </c>
      <c r="X225" s="39">
        <f t="shared" si="103"/>
        <v>42813356.659999996</v>
      </c>
      <c r="Y225" s="193">
        <f t="shared" si="92"/>
        <v>99.999998294924652</v>
      </c>
      <c r="Z225" s="39">
        <f t="shared" si="103"/>
        <v>42813356.659999996</v>
      </c>
      <c r="AA225" s="39">
        <f t="shared" ref="AA225" si="104">AA229</f>
        <v>42813357.390000001</v>
      </c>
      <c r="AB225" s="239"/>
    </row>
    <row r="226" spans="1:28" ht="29.25" customHeight="1" x14ac:dyDescent="0.25">
      <c r="A226" s="34" t="s">
        <v>2</v>
      </c>
      <c r="B226" s="34" t="s">
        <v>73</v>
      </c>
      <c r="C226" s="25" t="s">
        <v>19</v>
      </c>
      <c r="D226" s="36">
        <f>'дод 2'!E301</f>
        <v>660000</v>
      </c>
      <c r="E226" s="36">
        <f>'дод 2'!F301</f>
        <v>60000</v>
      </c>
      <c r="F226" s="36">
        <f>'дод 2'!G301</f>
        <v>0</v>
      </c>
      <c r="G226" s="36">
        <f>'дод 2'!H301</f>
        <v>0</v>
      </c>
      <c r="H226" s="36">
        <f>'дод 2'!I301</f>
        <v>600000</v>
      </c>
      <c r="I226" s="36">
        <f>'дод 2'!J301</f>
        <v>636399.93999999994</v>
      </c>
      <c r="J226" s="36">
        <f>'дод 2'!K301</f>
        <v>0</v>
      </c>
      <c r="K226" s="36">
        <f>'дод 2'!L301</f>
        <v>0</v>
      </c>
      <c r="L226" s="192">
        <f t="shared" si="91"/>
        <v>96.424233333333319</v>
      </c>
      <c r="M226" s="36">
        <f>'дод 2'!N301</f>
        <v>0</v>
      </c>
      <c r="N226" s="36">
        <f>'дод 2'!O301</f>
        <v>0</v>
      </c>
      <c r="O226" s="36">
        <f>'дод 2'!P301</f>
        <v>0</v>
      </c>
      <c r="P226" s="36">
        <f>'дод 2'!Q301</f>
        <v>0</v>
      </c>
      <c r="Q226" s="36">
        <f>'дод 2'!R301</f>
        <v>0</v>
      </c>
      <c r="R226" s="36">
        <f>'дод 2'!S301</f>
        <v>0</v>
      </c>
      <c r="S226" s="36">
        <f>'дод 2'!T301</f>
        <v>0</v>
      </c>
      <c r="T226" s="36">
        <f>'дод 2'!U301</f>
        <v>0</v>
      </c>
      <c r="U226" s="36">
        <f>'дод 2'!V301</f>
        <v>0</v>
      </c>
      <c r="V226" s="36">
        <f>'дод 2'!W301</f>
        <v>0</v>
      </c>
      <c r="W226" s="36">
        <f>'дод 2'!X301</f>
        <v>0</v>
      </c>
      <c r="X226" s="36">
        <f>'дод 2'!Y301</f>
        <v>0</v>
      </c>
      <c r="Y226" s="192" t="e">
        <f t="shared" si="92"/>
        <v>#DIV/0!</v>
      </c>
      <c r="Z226" s="36">
        <f>'дод 2'!AA301</f>
        <v>636399.93999999994</v>
      </c>
      <c r="AA226" s="36">
        <f>'дод 2'!AB301</f>
        <v>660000</v>
      </c>
      <c r="AB226" s="239"/>
    </row>
    <row r="227" spans="1:28" ht="29.25" customHeight="1" x14ac:dyDescent="0.25">
      <c r="A227" s="34" t="s">
        <v>0</v>
      </c>
      <c r="B227" s="34" t="s">
        <v>72</v>
      </c>
      <c r="C227" s="25" t="s">
        <v>284</v>
      </c>
      <c r="D227" s="36">
        <f>'дод 2'!E135+'дод 2'!E154+'дод 2'!E252+'дод 2'!E288+'дод 2'!E318+'дод 2'!E40</f>
        <v>2386561</v>
      </c>
      <c r="E227" s="36">
        <f>'дод 2'!F135+'дод 2'!F154+'дод 2'!F252+'дод 2'!F288+'дод 2'!F318+'дод 2'!F40</f>
        <v>1297161</v>
      </c>
      <c r="F227" s="36">
        <f>'дод 2'!G135+'дод 2'!G154+'дод 2'!G252+'дод 2'!G288+'дод 2'!G318+'дод 2'!G40</f>
        <v>0</v>
      </c>
      <c r="G227" s="36">
        <f>'дод 2'!H135+'дод 2'!H154+'дод 2'!H252+'дод 2'!H288+'дод 2'!H318+'дод 2'!H40</f>
        <v>0</v>
      </c>
      <c r="H227" s="36">
        <f>'дод 2'!I135+'дод 2'!I154+'дод 2'!I252+'дод 2'!I288+'дод 2'!I318+'дод 2'!I40</f>
        <v>1089400</v>
      </c>
      <c r="I227" s="36">
        <f>'дод 2'!J135+'дод 2'!J154+'дод 2'!J252+'дод 2'!J288+'дод 2'!J318+'дод 2'!J40</f>
        <v>1196278.1099999999</v>
      </c>
      <c r="J227" s="36">
        <f>'дод 2'!K135+'дод 2'!K154+'дод 2'!K252+'дод 2'!K288+'дод 2'!K318+'дод 2'!K40</f>
        <v>0</v>
      </c>
      <c r="K227" s="36">
        <f>'дод 2'!L135+'дод 2'!L154+'дод 2'!L252+'дод 2'!L288+'дод 2'!L318+'дод 2'!L40</f>
        <v>0</v>
      </c>
      <c r="L227" s="192">
        <f t="shared" si="91"/>
        <v>50.125603745305483</v>
      </c>
      <c r="M227" s="36">
        <f>'дод 2'!N135+'дод 2'!N154+'дод 2'!N252+'дод 2'!N288+'дод 2'!N318+'дод 2'!N40</f>
        <v>302097918.38999999</v>
      </c>
      <c r="N227" s="36">
        <f>'дод 2'!O135+'дод 2'!O154+'дод 2'!O252+'дод 2'!O288+'дод 2'!O318+'дод 2'!O40</f>
        <v>302097918.38999999</v>
      </c>
      <c r="O227" s="36">
        <f>'дод 2'!P135+'дод 2'!P154+'дод 2'!P252+'дод 2'!P288+'дод 2'!P318+'дод 2'!P40</f>
        <v>0</v>
      </c>
      <c r="P227" s="36">
        <f>'дод 2'!Q135+'дод 2'!Q154+'дод 2'!Q252+'дод 2'!Q288+'дод 2'!Q318+'дод 2'!Q40</f>
        <v>0</v>
      </c>
      <c r="Q227" s="36">
        <f>'дод 2'!R135+'дод 2'!R154+'дод 2'!R252+'дод 2'!R288+'дод 2'!R318+'дод 2'!R40</f>
        <v>0</v>
      </c>
      <c r="R227" s="36">
        <f>'дод 2'!S135+'дод 2'!S154+'дод 2'!S252+'дод 2'!S288+'дод 2'!S318+'дод 2'!S40</f>
        <v>302097918.38999999</v>
      </c>
      <c r="S227" s="36">
        <f>'дод 2'!T135+'дод 2'!T154+'дод 2'!T252+'дод 2'!T288+'дод 2'!T318+'дод 2'!T40</f>
        <v>113830643.5</v>
      </c>
      <c r="T227" s="36">
        <f>'дод 2'!U135+'дод 2'!U154+'дод 2'!U252+'дод 2'!U288+'дод 2'!U318+'дод 2'!U40</f>
        <v>113830643.5</v>
      </c>
      <c r="U227" s="36">
        <f>'дод 2'!V135+'дод 2'!V154+'дод 2'!V252+'дод 2'!V288+'дод 2'!V318+'дод 2'!V40</f>
        <v>0</v>
      </c>
      <c r="V227" s="36">
        <f>'дод 2'!W135+'дод 2'!W154+'дод 2'!W252+'дод 2'!W288+'дод 2'!W318+'дод 2'!W40</f>
        <v>0</v>
      </c>
      <c r="W227" s="36">
        <f>'дод 2'!X135+'дод 2'!X154+'дод 2'!X252+'дод 2'!X288+'дод 2'!X318+'дод 2'!X40</f>
        <v>0</v>
      </c>
      <c r="X227" s="36">
        <f>'дод 2'!Y135+'дод 2'!Y154+'дод 2'!Y252+'дод 2'!Y288+'дод 2'!Y318+'дод 2'!Y40</f>
        <v>113830643.5</v>
      </c>
      <c r="Y227" s="192">
        <f t="shared" si="92"/>
        <v>37.680048941299823</v>
      </c>
      <c r="Z227" s="36">
        <f>'дод 2'!AA135+'дод 2'!AA154+'дод 2'!AA252+'дод 2'!AA288+'дод 2'!AA318+'дод 2'!AA40</f>
        <v>115026921.61</v>
      </c>
      <c r="AA227" s="36">
        <f>'дод 2'!AB135+'дод 2'!AB154+'дод 2'!AB252+'дод 2'!AB288+'дод 2'!AB318+'дод 2'!AB40</f>
        <v>304484479.38999999</v>
      </c>
      <c r="AB227" s="239"/>
    </row>
    <row r="228" spans="1:28" s="62" customFormat="1" ht="24.75" customHeight="1" x14ac:dyDescent="0.25">
      <c r="A228" s="40"/>
      <c r="B228" s="40"/>
      <c r="C228" s="24" t="s">
        <v>285</v>
      </c>
      <c r="D228" s="41">
        <f>'дод 2'!E289</f>
        <v>0</v>
      </c>
      <c r="E228" s="41">
        <f>'дод 2'!F289</f>
        <v>0</v>
      </c>
      <c r="F228" s="41">
        <f>'дод 2'!G289</f>
        <v>0</v>
      </c>
      <c r="G228" s="41">
        <f>'дод 2'!H289</f>
        <v>0</v>
      </c>
      <c r="H228" s="41">
        <f>'дод 2'!I289</f>
        <v>0</v>
      </c>
      <c r="I228" s="41">
        <f>'дод 2'!J289</f>
        <v>0</v>
      </c>
      <c r="J228" s="41">
        <f>'дод 2'!K289</f>
        <v>0</v>
      </c>
      <c r="K228" s="41">
        <f>'дод 2'!L289</f>
        <v>0</v>
      </c>
      <c r="L228" s="194" t="e">
        <f t="shared" si="91"/>
        <v>#DIV/0!</v>
      </c>
      <c r="M228" s="41">
        <f>'дод 2'!N289</f>
        <v>209249640</v>
      </c>
      <c r="N228" s="41">
        <f>'дод 2'!O289</f>
        <v>209249640</v>
      </c>
      <c r="O228" s="41">
        <f>'дод 2'!P289</f>
        <v>0</v>
      </c>
      <c r="P228" s="41">
        <f>'дод 2'!Q289</f>
        <v>0</v>
      </c>
      <c r="Q228" s="41">
        <f>'дод 2'!R289</f>
        <v>0</v>
      </c>
      <c r="R228" s="41">
        <f>'дод 2'!S289</f>
        <v>209249640</v>
      </c>
      <c r="S228" s="41">
        <f>'дод 2'!T289</f>
        <v>38915335.850000001</v>
      </c>
      <c r="T228" s="41">
        <f>'дод 2'!U289</f>
        <v>38915335.850000001</v>
      </c>
      <c r="U228" s="41">
        <f>'дод 2'!V289</f>
        <v>0</v>
      </c>
      <c r="V228" s="41">
        <f>'дод 2'!W289</f>
        <v>0</v>
      </c>
      <c r="W228" s="41">
        <f>'дод 2'!X289</f>
        <v>0</v>
      </c>
      <c r="X228" s="41">
        <f>'дод 2'!Y289</f>
        <v>38915335.850000001</v>
      </c>
      <c r="Y228" s="194">
        <f t="shared" si="92"/>
        <v>18.597564062714756</v>
      </c>
      <c r="Z228" s="41">
        <f>'дод 2'!AA289</f>
        <v>38915335.850000001</v>
      </c>
      <c r="AA228" s="41">
        <f>'дод 2'!AB289</f>
        <v>209249640</v>
      </c>
      <c r="AB228" s="239"/>
    </row>
    <row r="229" spans="1:28" s="62" customFormat="1" ht="47.25" x14ac:dyDescent="0.25">
      <c r="A229" s="40"/>
      <c r="B229" s="40"/>
      <c r="C229" s="24" t="s">
        <v>449</v>
      </c>
      <c r="D229" s="41">
        <f>'дод 2'!E290</f>
        <v>0</v>
      </c>
      <c r="E229" s="41">
        <f>'дод 2'!F290</f>
        <v>0</v>
      </c>
      <c r="F229" s="41">
        <f>'дод 2'!G290</f>
        <v>0</v>
      </c>
      <c r="G229" s="41">
        <f>'дод 2'!H290</f>
        <v>0</v>
      </c>
      <c r="H229" s="41">
        <f>'дод 2'!I290</f>
        <v>0</v>
      </c>
      <c r="I229" s="41">
        <f>'дод 2'!J290</f>
        <v>0</v>
      </c>
      <c r="J229" s="41">
        <f>'дод 2'!K290</f>
        <v>0</v>
      </c>
      <c r="K229" s="41">
        <f>'дод 2'!L290</f>
        <v>0</v>
      </c>
      <c r="L229" s="194" t="e">
        <f t="shared" si="91"/>
        <v>#DIV/0!</v>
      </c>
      <c r="M229" s="41">
        <f>'дод 2'!N290</f>
        <v>42813357.390000001</v>
      </c>
      <c r="N229" s="41">
        <f>'дод 2'!O290</f>
        <v>42813357.390000001</v>
      </c>
      <c r="O229" s="41">
        <f>'дод 2'!P290</f>
        <v>0</v>
      </c>
      <c r="P229" s="41">
        <f>'дод 2'!Q290</f>
        <v>0</v>
      </c>
      <c r="Q229" s="41">
        <f>'дод 2'!R290</f>
        <v>0</v>
      </c>
      <c r="R229" s="41">
        <f>'дод 2'!S290</f>
        <v>42813357.390000001</v>
      </c>
      <c r="S229" s="41">
        <f>'дод 2'!T290</f>
        <v>42813356.659999996</v>
      </c>
      <c r="T229" s="41">
        <f>'дод 2'!U290</f>
        <v>42813356.659999996</v>
      </c>
      <c r="U229" s="41">
        <f>'дод 2'!V290</f>
        <v>0</v>
      </c>
      <c r="V229" s="41">
        <f>'дод 2'!W290</f>
        <v>0</v>
      </c>
      <c r="W229" s="41">
        <f>'дод 2'!X290</f>
        <v>0</v>
      </c>
      <c r="X229" s="41">
        <f>'дод 2'!Y290</f>
        <v>42813356.659999996</v>
      </c>
      <c r="Y229" s="194">
        <f t="shared" si="92"/>
        <v>99.999998294924652</v>
      </c>
      <c r="Z229" s="41">
        <f>'дод 2'!AA290</f>
        <v>42813356.659999996</v>
      </c>
      <c r="AA229" s="41">
        <f>'дод 2'!AB290</f>
        <v>42813357.390000001</v>
      </c>
      <c r="AB229" s="239"/>
    </row>
    <row r="230" spans="1:28" ht="33.75" customHeight="1" x14ac:dyDescent="0.25">
      <c r="A230" s="34" t="s">
        <v>215</v>
      </c>
      <c r="B230" s="34" t="s">
        <v>68</v>
      </c>
      <c r="C230" s="25" t="s">
        <v>267</v>
      </c>
      <c r="D230" s="36">
        <f>'дод 2'!E311</f>
        <v>0</v>
      </c>
      <c r="E230" s="36">
        <f>'дод 2'!F311</f>
        <v>0</v>
      </c>
      <c r="F230" s="36">
        <f>'дод 2'!G311</f>
        <v>0</v>
      </c>
      <c r="G230" s="36">
        <f>'дод 2'!H311</f>
        <v>0</v>
      </c>
      <c r="H230" s="36">
        <f>'дод 2'!I311</f>
        <v>0</v>
      </c>
      <c r="I230" s="36">
        <f>'дод 2'!J311</f>
        <v>0</v>
      </c>
      <c r="J230" s="36">
        <f>'дод 2'!K311</f>
        <v>0</v>
      </c>
      <c r="K230" s="36">
        <f>'дод 2'!L311</f>
        <v>0</v>
      </c>
      <c r="L230" s="192" t="e">
        <f t="shared" si="91"/>
        <v>#DIV/0!</v>
      </c>
      <c r="M230" s="36">
        <f>'дод 2'!N311</f>
        <v>30000</v>
      </c>
      <c r="N230" s="36">
        <f>'дод 2'!O311</f>
        <v>30000</v>
      </c>
      <c r="O230" s="36">
        <f>'дод 2'!P311</f>
        <v>0</v>
      </c>
      <c r="P230" s="36">
        <f>'дод 2'!Q311</f>
        <v>0</v>
      </c>
      <c r="Q230" s="36">
        <f>'дод 2'!R311</f>
        <v>0</v>
      </c>
      <c r="R230" s="36">
        <f>'дод 2'!S311</f>
        <v>30000</v>
      </c>
      <c r="S230" s="36">
        <f>'дод 2'!T311</f>
        <v>20000</v>
      </c>
      <c r="T230" s="36">
        <f>'дод 2'!U311</f>
        <v>20000</v>
      </c>
      <c r="U230" s="36">
        <f>'дод 2'!V311</f>
        <v>0</v>
      </c>
      <c r="V230" s="36">
        <f>'дод 2'!W311</f>
        <v>0</v>
      </c>
      <c r="W230" s="36">
        <f>'дод 2'!X311</f>
        <v>0</v>
      </c>
      <c r="X230" s="36">
        <f>'дод 2'!Y311</f>
        <v>20000</v>
      </c>
      <c r="Y230" s="192">
        <f t="shared" si="92"/>
        <v>66.666666666666657</v>
      </c>
      <c r="Z230" s="36">
        <f>'дод 2'!AA311</f>
        <v>20000</v>
      </c>
      <c r="AA230" s="36">
        <f>'дод 2'!AB311</f>
        <v>30000</v>
      </c>
      <c r="AB230" s="239"/>
    </row>
    <row r="231" spans="1:28" ht="54" customHeight="1" x14ac:dyDescent="0.25">
      <c r="A231" s="34" t="s">
        <v>216</v>
      </c>
      <c r="B231" s="34" t="s">
        <v>68</v>
      </c>
      <c r="C231" s="25" t="s">
        <v>217</v>
      </c>
      <c r="D231" s="36">
        <f>'дод 2'!E312</f>
        <v>0</v>
      </c>
      <c r="E231" s="36">
        <f>'дод 2'!F312</f>
        <v>0</v>
      </c>
      <c r="F231" s="36">
        <f>'дод 2'!G312</f>
        <v>0</v>
      </c>
      <c r="G231" s="36">
        <f>'дод 2'!H312</f>
        <v>0</v>
      </c>
      <c r="H231" s="36">
        <f>'дод 2'!I312</f>
        <v>0</v>
      </c>
      <c r="I231" s="36">
        <f>'дод 2'!J312</f>
        <v>0</v>
      </c>
      <c r="J231" s="36">
        <f>'дод 2'!K312</f>
        <v>0</v>
      </c>
      <c r="K231" s="36">
        <f>'дод 2'!L312</f>
        <v>0</v>
      </c>
      <c r="L231" s="192" t="e">
        <f t="shared" si="91"/>
        <v>#DIV/0!</v>
      </c>
      <c r="M231" s="36">
        <f>'дод 2'!N312</f>
        <v>50000</v>
      </c>
      <c r="N231" s="36">
        <f>'дод 2'!O312</f>
        <v>50000</v>
      </c>
      <c r="O231" s="36">
        <f>'дод 2'!P312</f>
        <v>0</v>
      </c>
      <c r="P231" s="36">
        <f>'дод 2'!Q312</f>
        <v>0</v>
      </c>
      <c r="Q231" s="36">
        <f>'дод 2'!R312</f>
        <v>0</v>
      </c>
      <c r="R231" s="36">
        <f>'дод 2'!S312</f>
        <v>50000</v>
      </c>
      <c r="S231" s="36">
        <f>'дод 2'!T312</f>
        <v>43000</v>
      </c>
      <c r="T231" s="36">
        <f>'дод 2'!U312</f>
        <v>43000</v>
      </c>
      <c r="U231" s="36">
        <f>'дод 2'!V312</f>
        <v>0</v>
      </c>
      <c r="V231" s="36">
        <f>'дод 2'!W312</f>
        <v>0</v>
      </c>
      <c r="W231" s="36">
        <f>'дод 2'!X312</f>
        <v>0</v>
      </c>
      <c r="X231" s="36">
        <f>'дод 2'!Y312</f>
        <v>43000</v>
      </c>
      <c r="Y231" s="192">
        <f t="shared" si="92"/>
        <v>86</v>
      </c>
      <c r="Z231" s="36">
        <f>'дод 2'!AA312</f>
        <v>43000</v>
      </c>
      <c r="AA231" s="36">
        <f>'дод 2'!AB312</f>
        <v>50000</v>
      </c>
      <c r="AB231" s="239"/>
    </row>
    <row r="232" spans="1:28" ht="35.25" customHeight="1" x14ac:dyDescent="0.25">
      <c r="A232" s="34" t="s">
        <v>3</v>
      </c>
      <c r="B232" s="34" t="s">
        <v>68</v>
      </c>
      <c r="C232" s="25" t="s">
        <v>523</v>
      </c>
      <c r="D232" s="36">
        <f>'дод 2'!E253</f>
        <v>0</v>
      </c>
      <c r="E232" s="36">
        <f>'дод 2'!F253</f>
        <v>0</v>
      </c>
      <c r="F232" s="36">
        <f>'дод 2'!G253</f>
        <v>0</v>
      </c>
      <c r="G232" s="36">
        <f>'дод 2'!H253</f>
        <v>0</v>
      </c>
      <c r="H232" s="36">
        <f>'дод 2'!I253</f>
        <v>0</v>
      </c>
      <c r="I232" s="36">
        <f>'дод 2'!J253</f>
        <v>0</v>
      </c>
      <c r="J232" s="36">
        <f>'дод 2'!K253</f>
        <v>0</v>
      </c>
      <c r="K232" s="36">
        <f>'дод 2'!L253</f>
        <v>0</v>
      </c>
      <c r="L232" s="192" t="e">
        <f t="shared" si="91"/>
        <v>#DIV/0!</v>
      </c>
      <c r="M232" s="36">
        <f>'дод 2'!N253</f>
        <v>16980827</v>
      </c>
      <c r="N232" s="36">
        <f>'дод 2'!O253</f>
        <v>16980827</v>
      </c>
      <c r="O232" s="36">
        <f>'дод 2'!P253</f>
        <v>0</v>
      </c>
      <c r="P232" s="36">
        <f>'дод 2'!Q253</f>
        <v>0</v>
      </c>
      <c r="Q232" s="36">
        <f>'дод 2'!R253</f>
        <v>0</v>
      </c>
      <c r="R232" s="36">
        <f>'дод 2'!S253</f>
        <v>16980827</v>
      </c>
      <c r="S232" s="36">
        <f>'дод 2'!T253</f>
        <v>15536113.039999999</v>
      </c>
      <c r="T232" s="36">
        <f>'дод 2'!U253</f>
        <v>15536113.039999999</v>
      </c>
      <c r="U232" s="36">
        <f>'дод 2'!V253</f>
        <v>0</v>
      </c>
      <c r="V232" s="36">
        <f>'дод 2'!W253</f>
        <v>0</v>
      </c>
      <c r="W232" s="36">
        <f>'дод 2'!X253</f>
        <v>0</v>
      </c>
      <c r="X232" s="36">
        <f>'дод 2'!Y253</f>
        <v>15536113.039999999</v>
      </c>
      <c r="Y232" s="192">
        <f t="shared" si="92"/>
        <v>91.492087163952604</v>
      </c>
      <c r="Z232" s="36">
        <f>'дод 2'!AA253</f>
        <v>15536113.039999999</v>
      </c>
      <c r="AA232" s="36">
        <f>'дод 2'!AB253</f>
        <v>16980827</v>
      </c>
      <c r="AB232" s="239"/>
    </row>
    <row r="233" spans="1:28" ht="87" customHeight="1" x14ac:dyDescent="0.25">
      <c r="A233" s="34"/>
      <c r="B233" s="34"/>
      <c r="C233" s="22" t="s">
        <v>385</v>
      </c>
      <c r="D233" s="41">
        <f>'дод 2'!E254</f>
        <v>0</v>
      </c>
      <c r="E233" s="41">
        <f>'дод 2'!F254</f>
        <v>0</v>
      </c>
      <c r="F233" s="41">
        <f>'дод 2'!G254</f>
        <v>0</v>
      </c>
      <c r="G233" s="41">
        <f>'дод 2'!H254</f>
        <v>0</v>
      </c>
      <c r="H233" s="41">
        <f>'дод 2'!I254</f>
        <v>0</v>
      </c>
      <c r="I233" s="41">
        <f>'дод 2'!J254</f>
        <v>0</v>
      </c>
      <c r="J233" s="41">
        <f>'дод 2'!K254</f>
        <v>0</v>
      </c>
      <c r="K233" s="41">
        <f>'дод 2'!L254</f>
        <v>0</v>
      </c>
      <c r="L233" s="194" t="e">
        <f t="shared" si="91"/>
        <v>#DIV/0!</v>
      </c>
      <c r="M233" s="41">
        <f>'дод 2'!N254</f>
        <v>5032800</v>
      </c>
      <c r="N233" s="41">
        <f>'дод 2'!O254</f>
        <v>5032800</v>
      </c>
      <c r="O233" s="41">
        <f>'дод 2'!P254</f>
        <v>0</v>
      </c>
      <c r="P233" s="41">
        <f>'дод 2'!Q254</f>
        <v>0</v>
      </c>
      <c r="Q233" s="41">
        <f>'дод 2'!R254</f>
        <v>0</v>
      </c>
      <c r="R233" s="41">
        <f>'дод 2'!S254</f>
        <v>5032800</v>
      </c>
      <c r="S233" s="41">
        <f>'дод 2'!T254</f>
        <v>5032800</v>
      </c>
      <c r="T233" s="41">
        <f>'дод 2'!U254</f>
        <v>5032800</v>
      </c>
      <c r="U233" s="41">
        <f>'дод 2'!V254</f>
        <v>0</v>
      </c>
      <c r="V233" s="41">
        <f>'дод 2'!W254</f>
        <v>0</v>
      </c>
      <c r="W233" s="41">
        <f>'дод 2'!X254</f>
        <v>0</v>
      </c>
      <c r="X233" s="41">
        <f>'дод 2'!Y254</f>
        <v>5032800</v>
      </c>
      <c r="Y233" s="194">
        <f t="shared" si="92"/>
        <v>100</v>
      </c>
      <c r="Z233" s="41">
        <f>'дод 2'!AA254</f>
        <v>5032800</v>
      </c>
      <c r="AA233" s="41">
        <f>'дод 2'!AB254</f>
        <v>5032800</v>
      </c>
      <c r="AB233" s="239"/>
    </row>
    <row r="234" spans="1:28" ht="27.75" customHeight="1" x14ac:dyDescent="0.25">
      <c r="A234" s="34" t="s">
        <v>204</v>
      </c>
      <c r="B234" s="34" t="s">
        <v>68</v>
      </c>
      <c r="C234" s="25" t="s">
        <v>205</v>
      </c>
      <c r="D234" s="36">
        <f>'дод 2'!E41</f>
        <v>463094</v>
      </c>
      <c r="E234" s="36">
        <f>'дод 2'!F41</f>
        <v>463094</v>
      </c>
      <c r="F234" s="36">
        <f>'дод 2'!G41</f>
        <v>0</v>
      </c>
      <c r="G234" s="36">
        <f>'дод 2'!H41</f>
        <v>0</v>
      </c>
      <c r="H234" s="36">
        <f>'дод 2'!I41</f>
        <v>0</v>
      </c>
      <c r="I234" s="36">
        <f>'дод 2'!J41</f>
        <v>463094</v>
      </c>
      <c r="J234" s="36">
        <f>'дод 2'!K41</f>
        <v>0</v>
      </c>
      <c r="K234" s="36">
        <f>'дод 2'!L41</f>
        <v>0</v>
      </c>
      <c r="L234" s="192">
        <f t="shared" si="91"/>
        <v>100</v>
      </c>
      <c r="M234" s="36">
        <f>'дод 2'!N41</f>
        <v>0</v>
      </c>
      <c r="N234" s="36">
        <f>'дод 2'!O41</f>
        <v>0</v>
      </c>
      <c r="O234" s="36">
        <f>'дод 2'!P41</f>
        <v>0</v>
      </c>
      <c r="P234" s="36">
        <f>'дод 2'!Q41</f>
        <v>0</v>
      </c>
      <c r="Q234" s="36">
        <f>'дод 2'!R41</f>
        <v>0</v>
      </c>
      <c r="R234" s="36">
        <f>'дод 2'!S41</f>
        <v>0</v>
      </c>
      <c r="S234" s="36">
        <f>'дод 2'!T41</f>
        <v>0</v>
      </c>
      <c r="T234" s="36">
        <f>'дод 2'!U41</f>
        <v>0</v>
      </c>
      <c r="U234" s="36">
        <f>'дод 2'!V41</f>
        <v>0</v>
      </c>
      <c r="V234" s="36">
        <f>'дод 2'!W41</f>
        <v>0</v>
      </c>
      <c r="W234" s="36">
        <f>'дод 2'!X41</f>
        <v>0</v>
      </c>
      <c r="X234" s="36">
        <f>'дод 2'!Y41</f>
        <v>0</v>
      </c>
      <c r="Y234" s="192" t="e">
        <f t="shared" si="92"/>
        <v>#DIV/0!</v>
      </c>
      <c r="Z234" s="36">
        <f>'дод 2'!AA41</f>
        <v>463094</v>
      </c>
      <c r="AA234" s="36">
        <f>'дод 2'!AB41</f>
        <v>463094</v>
      </c>
      <c r="AB234" s="240">
        <v>58</v>
      </c>
    </row>
    <row r="235" spans="1:28" s="62" customFormat="1" ht="105.75" customHeight="1" x14ac:dyDescent="0.25">
      <c r="A235" s="34" t="s">
        <v>231</v>
      </c>
      <c r="B235" s="34" t="s">
        <v>68</v>
      </c>
      <c r="C235" s="25" t="s">
        <v>242</v>
      </c>
      <c r="D235" s="36">
        <f>'дод 2'!E42+'дод 2'!E255+'дод 2'!E313+'дод 2'!E294</f>
        <v>0</v>
      </c>
      <c r="E235" s="36">
        <f>'дод 2'!F42+'дод 2'!F255+'дод 2'!F313+'дод 2'!F294</f>
        <v>0</v>
      </c>
      <c r="F235" s="36">
        <f>'дод 2'!G42+'дод 2'!G255+'дод 2'!G313+'дод 2'!G294</f>
        <v>0</v>
      </c>
      <c r="G235" s="36">
        <f>'дод 2'!H42+'дод 2'!H255+'дод 2'!H313+'дод 2'!H294</f>
        <v>0</v>
      </c>
      <c r="H235" s="36">
        <f>'дод 2'!I42+'дод 2'!I255+'дод 2'!I313+'дод 2'!I294</f>
        <v>0</v>
      </c>
      <c r="I235" s="36">
        <f>'дод 2'!J42+'дод 2'!J255+'дод 2'!J313+'дод 2'!J294</f>
        <v>0</v>
      </c>
      <c r="J235" s="36">
        <f>'дод 2'!K42+'дод 2'!K255+'дод 2'!K313+'дод 2'!K294</f>
        <v>0</v>
      </c>
      <c r="K235" s="36">
        <f>'дод 2'!L42+'дод 2'!L255+'дод 2'!L313+'дод 2'!L294</f>
        <v>0</v>
      </c>
      <c r="L235" s="192" t="e">
        <f t="shared" si="91"/>
        <v>#DIV/0!</v>
      </c>
      <c r="M235" s="36">
        <f>'дод 2'!N42+'дод 2'!N255+'дод 2'!N313+'дод 2'!N294</f>
        <v>1541916.6</v>
      </c>
      <c r="N235" s="36">
        <f>'дод 2'!O42+'дод 2'!O255+'дод 2'!O313+'дод 2'!O294</f>
        <v>0</v>
      </c>
      <c r="O235" s="36">
        <f>'дод 2'!P42+'дод 2'!P255+'дод 2'!P313+'дод 2'!P294</f>
        <v>1160040</v>
      </c>
      <c r="P235" s="36">
        <f>'дод 2'!Q42+'дод 2'!Q255+'дод 2'!Q313+'дод 2'!Q294</f>
        <v>0</v>
      </c>
      <c r="Q235" s="36">
        <f>'дод 2'!R42+'дод 2'!R255+'дод 2'!R313+'дод 2'!R294</f>
        <v>0</v>
      </c>
      <c r="R235" s="36">
        <f>'дод 2'!S42+'дод 2'!S255+'дод 2'!S313+'дод 2'!S294</f>
        <v>381876.6</v>
      </c>
      <c r="S235" s="36">
        <f>'дод 2'!T42+'дод 2'!T255+'дод 2'!T313+'дод 2'!T294</f>
        <v>421185.53</v>
      </c>
      <c r="T235" s="36">
        <f>'дод 2'!U42+'дод 2'!U255+'дод 2'!U313+'дод 2'!U294</f>
        <v>0</v>
      </c>
      <c r="U235" s="36">
        <f>'дод 2'!V42+'дод 2'!V255+'дод 2'!V313+'дод 2'!V294</f>
        <v>294040</v>
      </c>
      <c r="V235" s="36">
        <f>'дод 2'!W42+'дод 2'!W255+'дод 2'!W313+'дод 2'!W294</f>
        <v>0</v>
      </c>
      <c r="W235" s="36">
        <f>'дод 2'!X42+'дод 2'!X255+'дод 2'!X313+'дод 2'!X294</f>
        <v>0</v>
      </c>
      <c r="X235" s="36">
        <f>'дод 2'!Y42+'дод 2'!Y255+'дод 2'!Y313+'дод 2'!Y294</f>
        <v>127145.53</v>
      </c>
      <c r="Y235" s="192">
        <f t="shared" si="92"/>
        <v>27.315714092448324</v>
      </c>
      <c r="Z235" s="36">
        <f>'дод 2'!AA42+'дод 2'!AA255+'дод 2'!AA313+'дод 2'!AA294</f>
        <v>421185.53</v>
      </c>
      <c r="AA235" s="36">
        <f>'дод 2'!AB42+'дод 2'!AB255+'дод 2'!AB313+'дод 2'!AB294</f>
        <v>1541916.6</v>
      </c>
      <c r="AB235" s="240"/>
    </row>
    <row r="236" spans="1:28" s="62" customFormat="1" ht="23.25" customHeight="1" x14ac:dyDescent="0.25">
      <c r="A236" s="34" t="s">
        <v>195</v>
      </c>
      <c r="B236" s="34" t="s">
        <v>68</v>
      </c>
      <c r="C236" s="25" t="s">
        <v>15</v>
      </c>
      <c r="D236" s="36">
        <f>'дод 2'!E43+'дод 2'!E319+'дод 2'!E305+'дод 2'!E314</f>
        <v>3305005</v>
      </c>
      <c r="E236" s="36">
        <f>'дод 2'!F43+'дод 2'!F319+'дод 2'!F305+'дод 2'!F314</f>
        <v>3305005</v>
      </c>
      <c r="F236" s="36">
        <f>'дод 2'!G43+'дод 2'!G319+'дод 2'!G305+'дод 2'!G314</f>
        <v>0</v>
      </c>
      <c r="G236" s="36">
        <f>'дод 2'!H43+'дод 2'!H319+'дод 2'!H305+'дод 2'!H314</f>
        <v>0</v>
      </c>
      <c r="H236" s="36">
        <f>'дод 2'!I43+'дод 2'!I319+'дод 2'!I305+'дод 2'!I314</f>
        <v>0</v>
      </c>
      <c r="I236" s="36">
        <f>'дод 2'!J43+'дод 2'!J319+'дод 2'!J305+'дод 2'!J314</f>
        <v>2407444.52</v>
      </c>
      <c r="J236" s="36">
        <f>'дод 2'!K43+'дод 2'!K319+'дод 2'!K305+'дод 2'!K314</f>
        <v>0</v>
      </c>
      <c r="K236" s="36">
        <f>'дод 2'!L43+'дод 2'!L319+'дод 2'!L305+'дод 2'!L314</f>
        <v>0</v>
      </c>
      <c r="L236" s="192">
        <f t="shared" si="91"/>
        <v>72.842386622713136</v>
      </c>
      <c r="M236" s="36">
        <f>'дод 2'!N43+'дод 2'!N319+'дод 2'!N305+'дод 2'!N314</f>
        <v>0</v>
      </c>
      <c r="N236" s="36">
        <f>'дод 2'!O43+'дод 2'!O319+'дод 2'!O305+'дод 2'!O314</f>
        <v>0</v>
      </c>
      <c r="O236" s="36">
        <f>'дод 2'!P43+'дод 2'!P319+'дод 2'!P305+'дод 2'!P314</f>
        <v>0</v>
      </c>
      <c r="P236" s="36">
        <f>'дод 2'!Q43+'дод 2'!Q319+'дод 2'!Q305+'дод 2'!Q314</f>
        <v>0</v>
      </c>
      <c r="Q236" s="36">
        <f>'дод 2'!R43+'дод 2'!R319+'дод 2'!R305+'дод 2'!R314</f>
        <v>0</v>
      </c>
      <c r="R236" s="36">
        <f>'дод 2'!S43+'дод 2'!S319+'дод 2'!S305+'дод 2'!S314</f>
        <v>0</v>
      </c>
      <c r="S236" s="36">
        <f>'дод 2'!T43+'дод 2'!T319+'дод 2'!T305+'дод 2'!T314</f>
        <v>0</v>
      </c>
      <c r="T236" s="36">
        <f>'дод 2'!U43+'дод 2'!U319+'дод 2'!U305+'дод 2'!U314</f>
        <v>0</v>
      </c>
      <c r="U236" s="36">
        <f>'дод 2'!V43+'дод 2'!V319+'дод 2'!V305+'дод 2'!V314</f>
        <v>0</v>
      </c>
      <c r="V236" s="36">
        <f>'дод 2'!W43+'дод 2'!W319+'дод 2'!W305+'дод 2'!W314</f>
        <v>0</v>
      </c>
      <c r="W236" s="36">
        <f>'дод 2'!X43+'дод 2'!X319+'дод 2'!X305+'дод 2'!X314</f>
        <v>0</v>
      </c>
      <c r="X236" s="36">
        <f>'дод 2'!Y43+'дод 2'!Y319+'дод 2'!Y305+'дод 2'!Y314</f>
        <v>0</v>
      </c>
      <c r="Y236" s="192" t="e">
        <f t="shared" si="92"/>
        <v>#DIV/0!</v>
      </c>
      <c r="Z236" s="36">
        <f>'дод 2'!AA43+'дод 2'!AA319+'дод 2'!AA305+'дод 2'!AA314</f>
        <v>2407444.52</v>
      </c>
      <c r="AA236" s="36">
        <f>'дод 2'!AB43+'дод 2'!AB319+'дод 2'!AB305+'дод 2'!AB314</f>
        <v>3305005</v>
      </c>
      <c r="AB236" s="240"/>
    </row>
    <row r="237" spans="1:28" s="61" customFormat="1" ht="23.25" customHeight="1" x14ac:dyDescent="0.25">
      <c r="A237" s="37" t="s">
        <v>79</v>
      </c>
      <c r="B237" s="17"/>
      <c r="C237" s="48" t="s">
        <v>479</v>
      </c>
      <c r="D237" s="33">
        <f>D239+D244+D247+D250+D251</f>
        <v>132775729.23</v>
      </c>
      <c r="E237" s="33">
        <f t="shared" ref="E237:Z237" si="105">E239+E244+E247+E250+E251</f>
        <v>95885426</v>
      </c>
      <c r="F237" s="33">
        <f t="shared" si="105"/>
        <v>3359900</v>
      </c>
      <c r="G237" s="33">
        <f t="shared" si="105"/>
        <v>6753100</v>
      </c>
      <c r="H237" s="33">
        <f t="shared" si="105"/>
        <v>0</v>
      </c>
      <c r="I237" s="33">
        <f t="shared" si="105"/>
        <v>85117071.909999996</v>
      </c>
      <c r="J237" s="33">
        <f t="shared" si="105"/>
        <v>3316913.86</v>
      </c>
      <c r="K237" s="33">
        <f t="shared" si="105"/>
        <v>5892378.8200000003</v>
      </c>
      <c r="L237" s="191">
        <f t="shared" si="91"/>
        <v>64.105896765632835</v>
      </c>
      <c r="M237" s="33">
        <f t="shared" si="105"/>
        <v>228502292</v>
      </c>
      <c r="N237" s="33">
        <f t="shared" si="105"/>
        <v>226038492</v>
      </c>
      <c r="O237" s="33">
        <f t="shared" si="105"/>
        <v>2453400</v>
      </c>
      <c r="P237" s="33">
        <f t="shared" si="105"/>
        <v>0</v>
      </c>
      <c r="Q237" s="33">
        <f t="shared" si="105"/>
        <v>1500</v>
      </c>
      <c r="R237" s="33">
        <f t="shared" si="105"/>
        <v>226048892</v>
      </c>
      <c r="S237" s="33">
        <f t="shared" si="105"/>
        <v>3983865.94</v>
      </c>
      <c r="T237" s="33">
        <f t="shared" si="105"/>
        <v>965536</v>
      </c>
      <c r="U237" s="33">
        <f t="shared" si="105"/>
        <v>2360869.91</v>
      </c>
      <c r="V237" s="33">
        <f t="shared" si="105"/>
        <v>40983.599999999999</v>
      </c>
      <c r="W237" s="33">
        <f t="shared" si="105"/>
        <v>0</v>
      </c>
      <c r="X237" s="33">
        <f t="shared" si="105"/>
        <v>1622996.03</v>
      </c>
      <c r="Y237" s="191">
        <f t="shared" si="92"/>
        <v>1.7434687000863869</v>
      </c>
      <c r="Z237" s="33">
        <f t="shared" si="105"/>
        <v>89100937.850000009</v>
      </c>
      <c r="AA237" s="33">
        <f t="shared" ref="AA237" si="106">AA239+AA244+AA247+AA250+AA251</f>
        <v>361278021.23000002</v>
      </c>
      <c r="AB237" s="240"/>
    </row>
    <row r="238" spans="1:28" s="64" customFormat="1" ht="58.5" customHeight="1" x14ac:dyDescent="0.25">
      <c r="A238" s="38"/>
      <c r="B238" s="18"/>
      <c r="C238" s="49" t="str">
        <f>C240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238" s="39">
        <f>D240</f>
        <v>540300</v>
      </c>
      <c r="E238" s="39">
        <f t="shared" ref="E238:Z238" si="107">E240</f>
        <v>540300</v>
      </c>
      <c r="F238" s="39">
        <f t="shared" si="107"/>
        <v>422100</v>
      </c>
      <c r="G238" s="39">
        <f t="shared" si="107"/>
        <v>0</v>
      </c>
      <c r="H238" s="39">
        <f t="shared" si="107"/>
        <v>0</v>
      </c>
      <c r="I238" s="39">
        <f t="shared" si="107"/>
        <v>540300</v>
      </c>
      <c r="J238" s="39">
        <f t="shared" si="107"/>
        <v>422100</v>
      </c>
      <c r="K238" s="39">
        <f t="shared" si="107"/>
        <v>0</v>
      </c>
      <c r="L238" s="193">
        <f t="shared" si="91"/>
        <v>100</v>
      </c>
      <c r="M238" s="39">
        <f t="shared" si="107"/>
        <v>70600</v>
      </c>
      <c r="N238" s="39">
        <f t="shared" si="107"/>
        <v>70600</v>
      </c>
      <c r="O238" s="39">
        <f t="shared" si="107"/>
        <v>0</v>
      </c>
      <c r="P238" s="39">
        <f t="shared" si="107"/>
        <v>0</v>
      </c>
      <c r="Q238" s="39">
        <f t="shared" si="107"/>
        <v>0</v>
      </c>
      <c r="R238" s="39">
        <f t="shared" si="107"/>
        <v>70600</v>
      </c>
      <c r="S238" s="39">
        <f t="shared" si="107"/>
        <v>70600</v>
      </c>
      <c r="T238" s="39">
        <f t="shared" si="107"/>
        <v>70600</v>
      </c>
      <c r="U238" s="39">
        <f t="shared" si="107"/>
        <v>0</v>
      </c>
      <c r="V238" s="39">
        <f t="shared" si="107"/>
        <v>0</v>
      </c>
      <c r="W238" s="39">
        <f t="shared" si="107"/>
        <v>0</v>
      </c>
      <c r="X238" s="39">
        <f t="shared" si="107"/>
        <v>70600</v>
      </c>
      <c r="Y238" s="193">
        <f t="shared" si="92"/>
        <v>100</v>
      </c>
      <c r="Z238" s="39">
        <f t="shared" si="107"/>
        <v>610900</v>
      </c>
      <c r="AA238" s="39">
        <f t="shared" ref="AA238" si="108">AA240</f>
        <v>610900</v>
      </c>
      <c r="AB238" s="240"/>
    </row>
    <row r="239" spans="1:28" s="61" customFormat="1" ht="35.25" customHeight="1" x14ac:dyDescent="0.25">
      <c r="A239" s="37" t="s">
        <v>81</v>
      </c>
      <c r="B239" s="17"/>
      <c r="C239" s="48" t="s">
        <v>486</v>
      </c>
      <c r="D239" s="33">
        <f t="shared" ref="D239:AA239" si="109">D241+D242</f>
        <v>47933062</v>
      </c>
      <c r="E239" s="33">
        <f t="shared" ref="E239:Z239" si="110">E241+E242</f>
        <v>47933062</v>
      </c>
      <c r="F239" s="33">
        <f t="shared" si="110"/>
        <v>3359900</v>
      </c>
      <c r="G239" s="33">
        <f t="shared" si="110"/>
        <v>1295900</v>
      </c>
      <c r="H239" s="33">
        <f t="shared" si="110"/>
        <v>0</v>
      </c>
      <c r="I239" s="33">
        <f t="shared" si="110"/>
        <v>40608729.920000002</v>
      </c>
      <c r="J239" s="33">
        <f t="shared" si="110"/>
        <v>3316913.86</v>
      </c>
      <c r="K239" s="33">
        <f t="shared" si="110"/>
        <v>1135459.6400000001</v>
      </c>
      <c r="L239" s="191">
        <f t="shared" si="91"/>
        <v>84.719665770569804</v>
      </c>
      <c r="M239" s="33">
        <f t="shared" si="110"/>
        <v>226045592</v>
      </c>
      <c r="N239" s="33">
        <f t="shared" si="110"/>
        <v>226038492</v>
      </c>
      <c r="O239" s="33">
        <f t="shared" si="110"/>
        <v>7100</v>
      </c>
      <c r="P239" s="33">
        <f t="shared" si="110"/>
        <v>0</v>
      </c>
      <c r="Q239" s="33">
        <f t="shared" si="110"/>
        <v>1500</v>
      </c>
      <c r="R239" s="33">
        <f t="shared" si="110"/>
        <v>226038492</v>
      </c>
      <c r="S239" s="33">
        <f t="shared" si="110"/>
        <v>1835662.19</v>
      </c>
      <c r="T239" s="33">
        <f t="shared" si="110"/>
        <v>965536</v>
      </c>
      <c r="U239" s="33">
        <f t="shared" si="110"/>
        <v>212666.16</v>
      </c>
      <c r="V239" s="33">
        <f t="shared" si="110"/>
        <v>40983.599999999999</v>
      </c>
      <c r="W239" s="33">
        <f t="shared" si="110"/>
        <v>0</v>
      </c>
      <c r="X239" s="33">
        <f t="shared" si="110"/>
        <v>1622996.03</v>
      </c>
      <c r="Y239" s="191">
        <f t="shared" si="92"/>
        <v>0.81207608330623837</v>
      </c>
      <c r="Z239" s="33">
        <f t="shared" si="110"/>
        <v>42444392.109999999</v>
      </c>
      <c r="AA239" s="33">
        <f t="shared" si="109"/>
        <v>273978654</v>
      </c>
      <c r="AB239" s="240"/>
    </row>
    <row r="240" spans="1:28" s="64" customFormat="1" ht="66" customHeight="1" x14ac:dyDescent="0.25">
      <c r="A240" s="38"/>
      <c r="B240" s="18"/>
      <c r="C240" s="49" t="str">
        <f>C243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240" s="39">
        <f>D243</f>
        <v>540300</v>
      </c>
      <c r="E240" s="39">
        <f t="shared" ref="E240:Z240" si="111">E243</f>
        <v>540300</v>
      </c>
      <c r="F240" s="39">
        <f t="shared" si="111"/>
        <v>422100</v>
      </c>
      <c r="G240" s="39">
        <f t="shared" si="111"/>
        <v>0</v>
      </c>
      <c r="H240" s="39">
        <f t="shared" si="111"/>
        <v>0</v>
      </c>
      <c r="I240" s="39">
        <f t="shared" si="111"/>
        <v>540300</v>
      </c>
      <c r="J240" s="39">
        <f t="shared" si="111"/>
        <v>422100</v>
      </c>
      <c r="K240" s="39">
        <f t="shared" si="111"/>
        <v>0</v>
      </c>
      <c r="L240" s="193">
        <f t="shared" si="91"/>
        <v>100</v>
      </c>
      <c r="M240" s="39">
        <f t="shared" si="111"/>
        <v>70600</v>
      </c>
      <c r="N240" s="39">
        <f t="shared" si="111"/>
        <v>70600</v>
      </c>
      <c r="O240" s="39">
        <f t="shared" si="111"/>
        <v>0</v>
      </c>
      <c r="P240" s="39">
        <f t="shared" si="111"/>
        <v>0</v>
      </c>
      <c r="Q240" s="39">
        <f t="shared" si="111"/>
        <v>0</v>
      </c>
      <c r="R240" s="39">
        <f t="shared" si="111"/>
        <v>70600</v>
      </c>
      <c r="S240" s="39">
        <f t="shared" si="111"/>
        <v>70600</v>
      </c>
      <c r="T240" s="39">
        <f t="shared" si="111"/>
        <v>70600</v>
      </c>
      <c r="U240" s="39">
        <f t="shared" si="111"/>
        <v>0</v>
      </c>
      <c r="V240" s="39">
        <f t="shared" si="111"/>
        <v>0</v>
      </c>
      <c r="W240" s="39">
        <f t="shared" si="111"/>
        <v>0</v>
      </c>
      <c r="X240" s="39">
        <f t="shared" si="111"/>
        <v>70600</v>
      </c>
      <c r="Y240" s="193">
        <f t="shared" si="92"/>
        <v>100</v>
      </c>
      <c r="Z240" s="39">
        <f t="shared" si="111"/>
        <v>610900</v>
      </c>
      <c r="AA240" s="39">
        <f t="shared" ref="AA240" si="112">AA243</f>
        <v>610900</v>
      </c>
      <c r="AB240" s="240"/>
    </row>
    <row r="241" spans="1:28" s="61" customFormat="1" ht="36.75" customHeight="1" x14ac:dyDescent="0.25">
      <c r="A241" s="34" t="s">
        <v>5</v>
      </c>
      <c r="B241" s="34" t="s">
        <v>75</v>
      </c>
      <c r="C241" s="25" t="s">
        <v>365</v>
      </c>
      <c r="D241" s="36">
        <f>'дод 2'!E44+'дод 2'!E256</f>
        <v>43227162</v>
      </c>
      <c r="E241" s="36">
        <f>'дод 2'!F44+'дод 2'!F256</f>
        <v>43227162</v>
      </c>
      <c r="F241" s="36">
        <f>'дод 2'!G44+'дод 2'!G256</f>
        <v>0</v>
      </c>
      <c r="G241" s="36">
        <f>'дод 2'!H44+'дод 2'!H256</f>
        <v>1177000</v>
      </c>
      <c r="H241" s="36">
        <f>'дод 2'!I44+'дод 2'!I256</f>
        <v>0</v>
      </c>
      <c r="I241" s="36">
        <f>'дод 2'!J44+'дод 2'!J256</f>
        <v>36064802.560000002</v>
      </c>
      <c r="J241" s="36">
        <f>'дод 2'!K44+'дод 2'!K256</f>
        <v>0</v>
      </c>
      <c r="K241" s="36">
        <f>'дод 2'!L44+'дод 2'!L256</f>
        <v>1039965.54</v>
      </c>
      <c r="L241" s="192">
        <f t="shared" si="91"/>
        <v>83.430882092143833</v>
      </c>
      <c r="M241" s="36">
        <f>'дод 2'!N44+'дод 2'!N256</f>
        <v>225967892</v>
      </c>
      <c r="N241" s="36">
        <f>'дод 2'!O44+'дод 2'!O256</f>
        <v>225967892</v>
      </c>
      <c r="O241" s="36">
        <f>'дод 2'!P44+'дод 2'!P256</f>
        <v>0</v>
      </c>
      <c r="P241" s="36">
        <f>'дод 2'!Q44+'дод 2'!Q256</f>
        <v>0</v>
      </c>
      <c r="Q241" s="36">
        <f>'дод 2'!R44+'дод 2'!R256</f>
        <v>0</v>
      </c>
      <c r="R241" s="36">
        <f>'дод 2'!S44+'дод 2'!S256</f>
        <v>225967892</v>
      </c>
      <c r="S241" s="36">
        <f>'дод 2'!T44+'дод 2'!T256</f>
        <v>1544936</v>
      </c>
      <c r="T241" s="36">
        <f>'дод 2'!U44+'дод 2'!U256</f>
        <v>894936</v>
      </c>
      <c r="U241" s="36">
        <f>'дод 2'!V44+'дод 2'!V256</f>
        <v>50000</v>
      </c>
      <c r="V241" s="36">
        <f>'дод 2'!W44+'дод 2'!W256</f>
        <v>40983.599999999999</v>
      </c>
      <c r="W241" s="36">
        <f>'дод 2'!X44+'дод 2'!X256</f>
        <v>0</v>
      </c>
      <c r="X241" s="36">
        <f>'дод 2'!Y44+'дод 2'!Y256</f>
        <v>1494936</v>
      </c>
      <c r="Y241" s="192">
        <f t="shared" si="92"/>
        <v>0.68369713339627913</v>
      </c>
      <c r="Z241" s="36">
        <f>'дод 2'!AA44+'дод 2'!AA256</f>
        <v>37609738.560000002</v>
      </c>
      <c r="AA241" s="36">
        <f>'дод 2'!AB44+'дод 2'!AB256</f>
        <v>269195054</v>
      </c>
      <c r="AB241" s="240"/>
    </row>
    <row r="242" spans="1:28" ht="21" customHeight="1" x14ac:dyDescent="0.25">
      <c r="A242" s="34" t="s">
        <v>120</v>
      </c>
      <c r="B242" s="13" t="s">
        <v>75</v>
      </c>
      <c r="C242" s="25" t="s">
        <v>478</v>
      </c>
      <c r="D242" s="36">
        <f>'дод 2'!E45</f>
        <v>4705900</v>
      </c>
      <c r="E242" s="36">
        <f>'дод 2'!F45</f>
        <v>4705900</v>
      </c>
      <c r="F242" s="36">
        <f>'дод 2'!G45</f>
        <v>3359900</v>
      </c>
      <c r="G242" s="36">
        <f>'дод 2'!H45</f>
        <v>118900</v>
      </c>
      <c r="H242" s="36">
        <f>'дод 2'!I45</f>
        <v>0</v>
      </c>
      <c r="I242" s="36">
        <f>'дод 2'!J45</f>
        <v>4543927.3600000003</v>
      </c>
      <c r="J242" s="36">
        <f>'дод 2'!K45</f>
        <v>3316913.86</v>
      </c>
      <c r="K242" s="36">
        <f>'дод 2'!L45</f>
        <v>95494.1</v>
      </c>
      <c r="L242" s="192">
        <f t="shared" si="91"/>
        <v>96.558094307146362</v>
      </c>
      <c r="M242" s="36">
        <f>'дод 2'!N45</f>
        <v>77700</v>
      </c>
      <c r="N242" s="36">
        <f>'дод 2'!O45</f>
        <v>70600</v>
      </c>
      <c r="O242" s="36">
        <f>'дод 2'!P45</f>
        <v>7100</v>
      </c>
      <c r="P242" s="36">
        <f>'дод 2'!Q45</f>
        <v>0</v>
      </c>
      <c r="Q242" s="36">
        <f>'дод 2'!R45</f>
        <v>1500</v>
      </c>
      <c r="R242" s="36">
        <f>'дод 2'!S45</f>
        <v>70600</v>
      </c>
      <c r="S242" s="36">
        <f>'дод 2'!T45</f>
        <v>290726.19</v>
      </c>
      <c r="T242" s="36">
        <f>'дод 2'!U45</f>
        <v>70600</v>
      </c>
      <c r="U242" s="36">
        <f>'дод 2'!V45</f>
        <v>162666.16</v>
      </c>
      <c r="V242" s="36">
        <f>'дод 2'!W45</f>
        <v>0</v>
      </c>
      <c r="W242" s="36">
        <f>'дод 2'!X45</f>
        <v>0</v>
      </c>
      <c r="X242" s="36">
        <f>'дод 2'!Y45</f>
        <v>128060.03</v>
      </c>
      <c r="Y242" s="192">
        <f t="shared" si="92"/>
        <v>374.16498069498073</v>
      </c>
      <c r="Z242" s="36">
        <f>'дод 2'!AA45</f>
        <v>4834653.5500000007</v>
      </c>
      <c r="AA242" s="36">
        <f>'дод 2'!AB45</f>
        <v>4783600</v>
      </c>
      <c r="AB242" s="240"/>
    </row>
    <row r="243" spans="1:28" s="62" customFormat="1" ht="63.75" customHeight="1" x14ac:dyDescent="0.25">
      <c r="A243" s="40"/>
      <c r="B243" s="21"/>
      <c r="C243" s="50" t="s">
        <v>480</v>
      </c>
      <c r="D243" s="41">
        <f>'дод 2'!E46</f>
        <v>540300</v>
      </c>
      <c r="E243" s="41">
        <f>'дод 2'!F46</f>
        <v>540300</v>
      </c>
      <c r="F243" s="41">
        <f>'дод 2'!G46</f>
        <v>422100</v>
      </c>
      <c r="G243" s="41">
        <f>'дод 2'!H46</f>
        <v>0</v>
      </c>
      <c r="H243" s="41">
        <f>'дод 2'!I46</f>
        <v>0</v>
      </c>
      <c r="I243" s="41">
        <f>'дод 2'!J46</f>
        <v>540300</v>
      </c>
      <c r="J243" s="41">
        <f>'дод 2'!K46</f>
        <v>422100</v>
      </c>
      <c r="K243" s="41">
        <f>'дод 2'!L46</f>
        <v>0</v>
      </c>
      <c r="L243" s="194">
        <f t="shared" si="91"/>
        <v>100</v>
      </c>
      <c r="M243" s="41">
        <f>'дод 2'!N46</f>
        <v>70600</v>
      </c>
      <c r="N243" s="41">
        <f>'дод 2'!O46</f>
        <v>70600</v>
      </c>
      <c r="O243" s="41">
        <f>'дод 2'!P46</f>
        <v>0</v>
      </c>
      <c r="P243" s="41">
        <f>'дод 2'!Q46</f>
        <v>0</v>
      </c>
      <c r="Q243" s="41">
        <f>'дод 2'!R46</f>
        <v>0</v>
      </c>
      <c r="R243" s="41">
        <f>'дод 2'!S46</f>
        <v>70600</v>
      </c>
      <c r="S243" s="41">
        <f>'дод 2'!T46</f>
        <v>70600</v>
      </c>
      <c r="T243" s="41">
        <f>'дод 2'!U46</f>
        <v>70600</v>
      </c>
      <c r="U243" s="41">
        <f>'дод 2'!V46</f>
        <v>0</v>
      </c>
      <c r="V243" s="41">
        <f>'дод 2'!W46</f>
        <v>0</v>
      </c>
      <c r="W243" s="41">
        <f>'дод 2'!X46</f>
        <v>0</v>
      </c>
      <c r="X243" s="41">
        <f>'дод 2'!Y46</f>
        <v>70600</v>
      </c>
      <c r="Y243" s="194">
        <f t="shared" si="92"/>
        <v>100</v>
      </c>
      <c r="Z243" s="41">
        <f>'дод 2'!AA46</f>
        <v>610900</v>
      </c>
      <c r="AA243" s="41">
        <f>'дод 2'!AB46</f>
        <v>610900</v>
      </c>
      <c r="AB243" s="240"/>
    </row>
    <row r="244" spans="1:28" s="61" customFormat="1" ht="23.25" customHeight="1" x14ac:dyDescent="0.25">
      <c r="A244" s="37" t="s">
        <v>206</v>
      </c>
      <c r="B244" s="37"/>
      <c r="C244" s="53" t="s">
        <v>207</v>
      </c>
      <c r="D244" s="33">
        <f>D245+D246</f>
        <v>46057564</v>
      </c>
      <c r="E244" s="33">
        <f t="shared" ref="E244:Z244" si="113">E245+E246</f>
        <v>46057564</v>
      </c>
      <c r="F244" s="33">
        <f t="shared" si="113"/>
        <v>0</v>
      </c>
      <c r="G244" s="33">
        <f t="shared" si="113"/>
        <v>5457200</v>
      </c>
      <c r="H244" s="33">
        <f t="shared" si="113"/>
        <v>0</v>
      </c>
      <c r="I244" s="33">
        <f t="shared" si="113"/>
        <v>42646458.799999997</v>
      </c>
      <c r="J244" s="33">
        <f t="shared" si="113"/>
        <v>0</v>
      </c>
      <c r="K244" s="33">
        <f t="shared" si="113"/>
        <v>4756919.18</v>
      </c>
      <c r="L244" s="191">
        <f t="shared" si="91"/>
        <v>92.593821939866373</v>
      </c>
      <c r="M244" s="33">
        <f t="shared" si="113"/>
        <v>0</v>
      </c>
      <c r="N244" s="33">
        <f t="shared" si="113"/>
        <v>0</v>
      </c>
      <c r="O244" s="33">
        <f t="shared" si="113"/>
        <v>0</v>
      </c>
      <c r="P244" s="33">
        <f t="shared" si="113"/>
        <v>0</v>
      </c>
      <c r="Q244" s="33">
        <f t="shared" si="113"/>
        <v>0</v>
      </c>
      <c r="R244" s="33">
        <f t="shared" si="113"/>
        <v>0</v>
      </c>
      <c r="S244" s="33">
        <f t="shared" si="113"/>
        <v>195053.3</v>
      </c>
      <c r="T244" s="33">
        <f t="shared" si="113"/>
        <v>0</v>
      </c>
      <c r="U244" s="33">
        <f t="shared" si="113"/>
        <v>195053.3</v>
      </c>
      <c r="V244" s="33">
        <f t="shared" si="113"/>
        <v>0</v>
      </c>
      <c r="W244" s="33">
        <f t="shared" si="113"/>
        <v>0</v>
      </c>
      <c r="X244" s="33">
        <f t="shared" si="113"/>
        <v>0</v>
      </c>
      <c r="Y244" s="191" t="e">
        <f t="shared" si="92"/>
        <v>#DIV/0!</v>
      </c>
      <c r="Z244" s="33">
        <f t="shared" si="113"/>
        <v>42841512.100000001</v>
      </c>
      <c r="AA244" s="33">
        <f t="shared" ref="AA244" si="114">AA245+AA246</f>
        <v>46057564</v>
      </c>
      <c r="AB244" s="240"/>
    </row>
    <row r="245" spans="1:28" ht="22.5" customHeight="1" x14ac:dyDescent="0.25">
      <c r="A245" s="34" t="s">
        <v>200</v>
      </c>
      <c r="B245" s="13" t="s">
        <v>201</v>
      </c>
      <c r="C245" s="25" t="s">
        <v>202</v>
      </c>
      <c r="D245" s="36">
        <f>'дод 2'!E47</f>
        <v>909100</v>
      </c>
      <c r="E245" s="36">
        <f>'дод 2'!F47</f>
        <v>909100</v>
      </c>
      <c r="F245" s="36">
        <f>'дод 2'!G47</f>
        <v>0</v>
      </c>
      <c r="G245" s="36">
        <f>'дод 2'!H47</f>
        <v>832200</v>
      </c>
      <c r="H245" s="36">
        <f>'дод 2'!I47</f>
        <v>0</v>
      </c>
      <c r="I245" s="36">
        <f>'дод 2'!J47</f>
        <v>775073.54</v>
      </c>
      <c r="J245" s="36">
        <f>'дод 2'!K47</f>
        <v>0</v>
      </c>
      <c r="K245" s="36">
        <f>'дод 2'!L47</f>
        <v>698293.94</v>
      </c>
      <c r="L245" s="192">
        <f t="shared" si="91"/>
        <v>85.257236827631729</v>
      </c>
      <c r="M245" s="36">
        <f>'дод 2'!N47</f>
        <v>0</v>
      </c>
      <c r="N245" s="36">
        <f>'дод 2'!O47</f>
        <v>0</v>
      </c>
      <c r="O245" s="36">
        <f>'дод 2'!P47</f>
        <v>0</v>
      </c>
      <c r="P245" s="36">
        <f>'дод 2'!Q47</f>
        <v>0</v>
      </c>
      <c r="Q245" s="36">
        <f>'дод 2'!R47</f>
        <v>0</v>
      </c>
      <c r="R245" s="36">
        <f>'дод 2'!S47</f>
        <v>0</v>
      </c>
      <c r="S245" s="36">
        <f>'дод 2'!T47</f>
        <v>0</v>
      </c>
      <c r="T245" s="36">
        <f>'дод 2'!U47</f>
        <v>0</v>
      </c>
      <c r="U245" s="36">
        <f>'дод 2'!V47</f>
        <v>0</v>
      </c>
      <c r="V245" s="36">
        <f>'дод 2'!W47</f>
        <v>0</v>
      </c>
      <c r="W245" s="36">
        <f>'дод 2'!X47</f>
        <v>0</v>
      </c>
      <c r="X245" s="36">
        <f>'дод 2'!Y47</f>
        <v>0</v>
      </c>
      <c r="Y245" s="192" t="e">
        <f t="shared" si="92"/>
        <v>#DIV/0!</v>
      </c>
      <c r="Z245" s="36">
        <f>'дод 2'!AA47</f>
        <v>775073.54</v>
      </c>
      <c r="AA245" s="36">
        <f>'дод 2'!AB47</f>
        <v>909100</v>
      </c>
      <c r="AB245" s="240"/>
    </row>
    <row r="246" spans="1:28" ht="22.5" customHeight="1" x14ac:dyDescent="0.25">
      <c r="A246" s="34">
        <v>8240</v>
      </c>
      <c r="B246" s="13" t="s">
        <v>201</v>
      </c>
      <c r="C246" s="25" t="s">
        <v>331</v>
      </c>
      <c r="D246" s="36">
        <f>'дод 2'!E48+'дод 2'!E257+'дод 2'!E136</f>
        <v>45148464</v>
      </c>
      <c r="E246" s="36">
        <f>'дод 2'!F48+'дод 2'!F257+'дод 2'!F136</f>
        <v>45148464</v>
      </c>
      <c r="F246" s="36">
        <f>'дод 2'!G48+'дод 2'!G257+'дод 2'!G136</f>
        <v>0</v>
      </c>
      <c r="G246" s="36">
        <f>'дод 2'!H48+'дод 2'!H257+'дод 2'!H136</f>
        <v>4625000</v>
      </c>
      <c r="H246" s="36">
        <f>'дод 2'!I48+'дод 2'!I257+'дод 2'!I136</f>
        <v>0</v>
      </c>
      <c r="I246" s="36">
        <f>'дод 2'!J48+'дод 2'!J257+'дод 2'!J136</f>
        <v>41871385.259999998</v>
      </c>
      <c r="J246" s="36">
        <f>'дод 2'!K48+'дод 2'!K257+'дод 2'!K136</f>
        <v>0</v>
      </c>
      <c r="K246" s="36">
        <f>'дод 2'!L48+'дод 2'!L257+'дод 2'!L136</f>
        <v>4058625.2399999998</v>
      </c>
      <c r="L246" s="192">
        <f t="shared" si="91"/>
        <v>92.741549878640384</v>
      </c>
      <c r="M246" s="36">
        <f>'дод 2'!N48+'дод 2'!N257+'дод 2'!N136</f>
        <v>0</v>
      </c>
      <c r="N246" s="36">
        <f>'дод 2'!O48+'дод 2'!O257+'дод 2'!O136</f>
        <v>0</v>
      </c>
      <c r="O246" s="36">
        <f>'дод 2'!P48+'дод 2'!P257+'дод 2'!P136</f>
        <v>0</v>
      </c>
      <c r="P246" s="36">
        <f>'дод 2'!Q48+'дод 2'!Q257+'дод 2'!Q136</f>
        <v>0</v>
      </c>
      <c r="Q246" s="36">
        <f>'дод 2'!R48+'дод 2'!R257+'дод 2'!R136</f>
        <v>0</v>
      </c>
      <c r="R246" s="36">
        <f>'дод 2'!S48+'дод 2'!S257+'дод 2'!S136</f>
        <v>0</v>
      </c>
      <c r="S246" s="36">
        <f>'дод 2'!T48+'дод 2'!T257+'дод 2'!T136</f>
        <v>195053.3</v>
      </c>
      <c r="T246" s="36">
        <f>'дод 2'!U48+'дод 2'!U257+'дод 2'!U136</f>
        <v>0</v>
      </c>
      <c r="U246" s="36">
        <f>'дод 2'!V48+'дод 2'!V257+'дод 2'!V136</f>
        <v>195053.3</v>
      </c>
      <c r="V246" s="36">
        <f>'дод 2'!W48+'дод 2'!W257+'дод 2'!W136</f>
        <v>0</v>
      </c>
      <c r="W246" s="36">
        <f>'дод 2'!X48+'дод 2'!X257+'дод 2'!X136</f>
        <v>0</v>
      </c>
      <c r="X246" s="36">
        <f>'дод 2'!Y48+'дод 2'!Y257+'дод 2'!Y136</f>
        <v>0</v>
      </c>
      <c r="Y246" s="192" t="e">
        <f t="shared" si="92"/>
        <v>#DIV/0!</v>
      </c>
      <c r="Z246" s="36">
        <f>'дод 2'!AA48+'дод 2'!AA257+'дод 2'!AA136</f>
        <v>42066438.560000002</v>
      </c>
      <c r="AA246" s="36">
        <f>'дод 2'!AB48+'дод 2'!AB257+'дод 2'!AB136</f>
        <v>45148464</v>
      </c>
      <c r="AB246" s="240"/>
    </row>
    <row r="247" spans="1:28" s="61" customFormat="1" ht="22.5" customHeight="1" x14ac:dyDescent="0.25">
      <c r="A247" s="37" t="s">
        <v>4</v>
      </c>
      <c r="B247" s="17"/>
      <c r="C247" s="48" t="s">
        <v>6</v>
      </c>
      <c r="D247" s="33">
        <f>D249+D248</f>
        <v>40000</v>
      </c>
      <c r="E247" s="33">
        <f t="shared" ref="E247:Z247" si="115">E249+E248</f>
        <v>40000</v>
      </c>
      <c r="F247" s="33">
        <f t="shared" si="115"/>
        <v>0</v>
      </c>
      <c r="G247" s="33">
        <f t="shared" si="115"/>
        <v>0</v>
      </c>
      <c r="H247" s="33">
        <f t="shared" si="115"/>
        <v>0</v>
      </c>
      <c r="I247" s="33">
        <f t="shared" si="115"/>
        <v>21700</v>
      </c>
      <c r="J247" s="33">
        <f t="shared" si="115"/>
        <v>0</v>
      </c>
      <c r="K247" s="33">
        <f t="shared" si="115"/>
        <v>0</v>
      </c>
      <c r="L247" s="191">
        <f t="shared" si="91"/>
        <v>54.25</v>
      </c>
      <c r="M247" s="33">
        <f t="shared" si="115"/>
        <v>2456700</v>
      </c>
      <c r="N247" s="33">
        <f t="shared" si="115"/>
        <v>0</v>
      </c>
      <c r="O247" s="33">
        <f t="shared" si="115"/>
        <v>2446300</v>
      </c>
      <c r="P247" s="33">
        <f t="shared" si="115"/>
        <v>0</v>
      </c>
      <c r="Q247" s="33">
        <f t="shared" si="115"/>
        <v>0</v>
      </c>
      <c r="R247" s="33">
        <f t="shared" si="115"/>
        <v>10400</v>
      </c>
      <c r="S247" s="33">
        <f t="shared" si="115"/>
        <v>1953150.45</v>
      </c>
      <c r="T247" s="33">
        <f t="shared" si="115"/>
        <v>0</v>
      </c>
      <c r="U247" s="33">
        <f t="shared" si="115"/>
        <v>1953150.45</v>
      </c>
      <c r="V247" s="33">
        <f t="shared" si="115"/>
        <v>0</v>
      </c>
      <c r="W247" s="33">
        <f t="shared" si="115"/>
        <v>0</v>
      </c>
      <c r="X247" s="33">
        <f t="shared" si="115"/>
        <v>0</v>
      </c>
      <c r="Y247" s="191">
        <f t="shared" si="92"/>
        <v>79.503010135547683</v>
      </c>
      <c r="Z247" s="33">
        <f t="shared" si="115"/>
        <v>1974850.45</v>
      </c>
      <c r="AA247" s="33">
        <f t="shared" ref="AA247" si="116">AA249+AA248</f>
        <v>2496700</v>
      </c>
      <c r="AB247" s="240"/>
    </row>
    <row r="248" spans="1:28" s="61" customFormat="1" ht="33.75" customHeight="1" x14ac:dyDescent="0.25">
      <c r="A248" s="34">
        <v>8330</v>
      </c>
      <c r="B248" s="52" t="s">
        <v>77</v>
      </c>
      <c r="C248" s="25" t="s">
        <v>269</v>
      </c>
      <c r="D248" s="36">
        <f>'дод 2'!E320+'дод 2'!E49</f>
        <v>40000</v>
      </c>
      <c r="E248" s="36">
        <f>'дод 2'!F320+'дод 2'!F49</f>
        <v>40000</v>
      </c>
      <c r="F248" s="36">
        <f>'дод 2'!G320+'дод 2'!G49</f>
        <v>0</v>
      </c>
      <c r="G248" s="36">
        <f>'дод 2'!H320+'дод 2'!H49</f>
        <v>0</v>
      </c>
      <c r="H248" s="36">
        <f>'дод 2'!I320+'дод 2'!I49</f>
        <v>0</v>
      </c>
      <c r="I248" s="36">
        <f>'дод 2'!J320+'дод 2'!J49</f>
        <v>21700</v>
      </c>
      <c r="J248" s="36">
        <f>'дод 2'!K320+'дод 2'!K49</f>
        <v>0</v>
      </c>
      <c r="K248" s="36">
        <f>'дод 2'!L320+'дод 2'!L49</f>
        <v>0</v>
      </c>
      <c r="L248" s="192">
        <f t="shared" si="91"/>
        <v>54.25</v>
      </c>
      <c r="M248" s="36">
        <f>'дод 2'!N320+'дод 2'!N49</f>
        <v>0</v>
      </c>
      <c r="N248" s="36">
        <f>'дод 2'!O320+'дод 2'!O49</f>
        <v>0</v>
      </c>
      <c r="O248" s="36">
        <f>'дод 2'!P320+'дод 2'!P49</f>
        <v>0</v>
      </c>
      <c r="P248" s="36">
        <f>'дод 2'!Q320+'дод 2'!Q49</f>
        <v>0</v>
      </c>
      <c r="Q248" s="36">
        <f>'дод 2'!R320+'дод 2'!R49</f>
        <v>0</v>
      </c>
      <c r="R248" s="36">
        <f>'дод 2'!S320+'дод 2'!S49</f>
        <v>0</v>
      </c>
      <c r="S248" s="36">
        <f>'дод 2'!T320+'дод 2'!T49</f>
        <v>0</v>
      </c>
      <c r="T248" s="36">
        <f>'дод 2'!U320+'дод 2'!U49</f>
        <v>0</v>
      </c>
      <c r="U248" s="36">
        <f>'дод 2'!V320+'дод 2'!V49</f>
        <v>0</v>
      </c>
      <c r="V248" s="36">
        <f>'дод 2'!W320+'дод 2'!W49</f>
        <v>0</v>
      </c>
      <c r="W248" s="36">
        <f>'дод 2'!X320+'дод 2'!X49</f>
        <v>0</v>
      </c>
      <c r="X248" s="36">
        <f>'дод 2'!Y320+'дод 2'!Y49</f>
        <v>0</v>
      </c>
      <c r="Y248" s="192" t="e">
        <f t="shared" si="92"/>
        <v>#DIV/0!</v>
      </c>
      <c r="Z248" s="36">
        <f>'дод 2'!AA320+'дод 2'!AA49</f>
        <v>21700</v>
      </c>
      <c r="AA248" s="36">
        <f>'дод 2'!AB320+'дод 2'!AB49</f>
        <v>40000</v>
      </c>
      <c r="AB248" s="240"/>
    </row>
    <row r="249" spans="1:28" s="61" customFormat="1" ht="19.5" customHeight="1" x14ac:dyDescent="0.25">
      <c r="A249" s="34" t="s">
        <v>7</v>
      </c>
      <c r="B249" s="34" t="s">
        <v>77</v>
      </c>
      <c r="C249" s="25" t="s">
        <v>8</v>
      </c>
      <c r="D249" s="36">
        <f>'дод 2'!E50+'дод 2'!E137+'дод 2'!E258+'дод 2'!E321+'дод 2'!E211</f>
        <v>0</v>
      </c>
      <c r="E249" s="36">
        <f>'дод 2'!F50+'дод 2'!F137+'дод 2'!F258+'дод 2'!F321+'дод 2'!F211</f>
        <v>0</v>
      </c>
      <c r="F249" s="36">
        <f>'дод 2'!G50+'дод 2'!G137+'дод 2'!G258+'дод 2'!G321+'дод 2'!G211</f>
        <v>0</v>
      </c>
      <c r="G249" s="36">
        <f>'дод 2'!H50+'дод 2'!H137+'дод 2'!H258+'дод 2'!H321+'дод 2'!H211</f>
        <v>0</v>
      </c>
      <c r="H249" s="36">
        <f>'дод 2'!I50+'дод 2'!I137+'дод 2'!I258+'дод 2'!I321+'дод 2'!I211</f>
        <v>0</v>
      </c>
      <c r="I249" s="36">
        <f>'дод 2'!J50+'дод 2'!J137+'дод 2'!J258+'дод 2'!J321+'дод 2'!J211</f>
        <v>0</v>
      </c>
      <c r="J249" s="36">
        <f>'дод 2'!K50+'дод 2'!K137+'дод 2'!K258+'дод 2'!K321+'дод 2'!K211</f>
        <v>0</v>
      </c>
      <c r="K249" s="36">
        <f>'дод 2'!L50+'дод 2'!L137+'дод 2'!L258+'дод 2'!L321+'дод 2'!L211</f>
        <v>0</v>
      </c>
      <c r="L249" s="192" t="e">
        <f t="shared" si="91"/>
        <v>#DIV/0!</v>
      </c>
      <c r="M249" s="36">
        <f>'дод 2'!N50+'дод 2'!N137+'дод 2'!N258+'дод 2'!N321+'дод 2'!N211</f>
        <v>2456700</v>
      </c>
      <c r="N249" s="36">
        <f>'дод 2'!O50+'дод 2'!O137+'дод 2'!O258+'дод 2'!O321+'дод 2'!O211</f>
        <v>0</v>
      </c>
      <c r="O249" s="36">
        <f>'дод 2'!P50+'дод 2'!P137+'дод 2'!P258+'дод 2'!P321+'дод 2'!P211</f>
        <v>2446300</v>
      </c>
      <c r="P249" s="36">
        <f>'дод 2'!Q50+'дод 2'!Q137+'дод 2'!Q258+'дод 2'!Q321+'дод 2'!Q211</f>
        <v>0</v>
      </c>
      <c r="Q249" s="36">
        <f>'дод 2'!R50+'дод 2'!R137+'дод 2'!R258+'дод 2'!R321+'дод 2'!R211</f>
        <v>0</v>
      </c>
      <c r="R249" s="36">
        <f>'дод 2'!S50+'дод 2'!S137+'дод 2'!S258+'дод 2'!S321+'дод 2'!S211</f>
        <v>10400</v>
      </c>
      <c r="S249" s="36">
        <f>'дод 2'!T50+'дод 2'!T137+'дод 2'!T258+'дод 2'!T321+'дод 2'!T211</f>
        <v>1953150.45</v>
      </c>
      <c r="T249" s="36">
        <f>'дод 2'!U50+'дод 2'!U137+'дод 2'!U258+'дод 2'!U321+'дод 2'!U211</f>
        <v>0</v>
      </c>
      <c r="U249" s="36">
        <f>'дод 2'!V50+'дод 2'!V137+'дод 2'!V258+'дод 2'!V321+'дод 2'!V211</f>
        <v>1953150.45</v>
      </c>
      <c r="V249" s="36">
        <f>'дод 2'!W50+'дод 2'!W137+'дод 2'!W258+'дод 2'!W321+'дод 2'!W211</f>
        <v>0</v>
      </c>
      <c r="W249" s="36">
        <f>'дод 2'!X50+'дод 2'!X137+'дод 2'!X258+'дод 2'!X321+'дод 2'!X211</f>
        <v>0</v>
      </c>
      <c r="X249" s="36">
        <f>'дод 2'!Y50+'дод 2'!Y137+'дод 2'!Y258+'дод 2'!Y321+'дод 2'!Y211</f>
        <v>0</v>
      </c>
      <c r="Y249" s="192">
        <f t="shared" si="92"/>
        <v>79.503010135547683</v>
      </c>
      <c r="Z249" s="36">
        <f>'дод 2'!AA50+'дод 2'!AA137+'дод 2'!AA258+'дод 2'!AA321+'дод 2'!AA211</f>
        <v>1953150.45</v>
      </c>
      <c r="AA249" s="36">
        <f>'дод 2'!AB50+'дод 2'!AB137+'дод 2'!AB258+'дод 2'!AB321+'дод 2'!AB211</f>
        <v>2456700</v>
      </c>
      <c r="AB249" s="240"/>
    </row>
    <row r="250" spans="1:28" s="61" customFormat="1" ht="21" customHeight="1" x14ac:dyDescent="0.25">
      <c r="A250" s="37" t="s">
        <v>80</v>
      </c>
      <c r="B250" s="37" t="s">
        <v>76</v>
      </c>
      <c r="C250" s="48" t="s">
        <v>9</v>
      </c>
      <c r="D250" s="33">
        <f>'дод 2'!E322</f>
        <v>1854800</v>
      </c>
      <c r="E250" s="33">
        <f>'дод 2'!F322</f>
        <v>1854800</v>
      </c>
      <c r="F250" s="33">
        <f>'дод 2'!G322</f>
        <v>0</v>
      </c>
      <c r="G250" s="33">
        <f>'дод 2'!H322</f>
        <v>0</v>
      </c>
      <c r="H250" s="33">
        <f>'дод 2'!I322</f>
        <v>0</v>
      </c>
      <c r="I250" s="33">
        <f>'дод 2'!J322</f>
        <v>1840183.19</v>
      </c>
      <c r="J250" s="33">
        <f>'дод 2'!K322</f>
        <v>0</v>
      </c>
      <c r="K250" s="33">
        <f>'дод 2'!L322</f>
        <v>0</v>
      </c>
      <c r="L250" s="191">
        <f t="shared" si="91"/>
        <v>99.211946840629722</v>
      </c>
      <c r="M250" s="33">
        <f>'дод 2'!N322</f>
        <v>0</v>
      </c>
      <c r="N250" s="33">
        <f>'дод 2'!O322</f>
        <v>0</v>
      </c>
      <c r="O250" s="33">
        <f>'дод 2'!P322</f>
        <v>0</v>
      </c>
      <c r="P250" s="33">
        <f>'дод 2'!Q322</f>
        <v>0</v>
      </c>
      <c r="Q250" s="33">
        <f>'дод 2'!R322</f>
        <v>0</v>
      </c>
      <c r="R250" s="33">
        <f>'дод 2'!S322</f>
        <v>0</v>
      </c>
      <c r="S250" s="33">
        <f>'дод 2'!T322</f>
        <v>0</v>
      </c>
      <c r="T250" s="33">
        <f>'дод 2'!U322</f>
        <v>0</v>
      </c>
      <c r="U250" s="33">
        <f>'дод 2'!V322</f>
        <v>0</v>
      </c>
      <c r="V250" s="33">
        <f>'дод 2'!W322</f>
        <v>0</v>
      </c>
      <c r="W250" s="33">
        <f>'дод 2'!X322</f>
        <v>0</v>
      </c>
      <c r="X250" s="33">
        <f>'дод 2'!Y322</f>
        <v>0</v>
      </c>
      <c r="Y250" s="191" t="e">
        <f t="shared" si="92"/>
        <v>#DIV/0!</v>
      </c>
      <c r="Z250" s="33">
        <f>'дод 2'!AA322</f>
        <v>1840183.19</v>
      </c>
      <c r="AA250" s="33">
        <f>'дод 2'!AB322</f>
        <v>1854800</v>
      </c>
      <c r="AB250" s="240"/>
    </row>
    <row r="251" spans="1:28" s="61" customFormat="1" ht="21" customHeight="1" x14ac:dyDescent="0.25">
      <c r="A251" s="37">
        <v>8700</v>
      </c>
      <c r="B251" s="37"/>
      <c r="C251" s="48" t="s">
        <v>329</v>
      </c>
      <c r="D251" s="33">
        <f>D252</f>
        <v>36890303.230000004</v>
      </c>
      <c r="E251" s="33">
        <f t="shared" ref="E251:Z251" si="117">E252</f>
        <v>0</v>
      </c>
      <c r="F251" s="33">
        <f t="shared" si="117"/>
        <v>0</v>
      </c>
      <c r="G251" s="33">
        <f t="shared" si="117"/>
        <v>0</v>
      </c>
      <c r="H251" s="33">
        <f t="shared" si="117"/>
        <v>0</v>
      </c>
      <c r="I251" s="33">
        <f t="shared" si="117"/>
        <v>0</v>
      </c>
      <c r="J251" s="33">
        <f t="shared" si="117"/>
        <v>0</v>
      </c>
      <c r="K251" s="33">
        <f t="shared" si="117"/>
        <v>0</v>
      </c>
      <c r="L251" s="191">
        <f t="shared" si="91"/>
        <v>0</v>
      </c>
      <c r="M251" s="33">
        <f t="shared" si="117"/>
        <v>0</v>
      </c>
      <c r="N251" s="33">
        <f t="shared" si="117"/>
        <v>0</v>
      </c>
      <c r="O251" s="33">
        <f t="shared" si="117"/>
        <v>0</v>
      </c>
      <c r="P251" s="33">
        <f t="shared" si="117"/>
        <v>0</v>
      </c>
      <c r="Q251" s="33">
        <f t="shared" si="117"/>
        <v>0</v>
      </c>
      <c r="R251" s="33">
        <f t="shared" si="117"/>
        <v>0</v>
      </c>
      <c r="S251" s="33">
        <f t="shared" si="117"/>
        <v>0</v>
      </c>
      <c r="T251" s="33">
        <f t="shared" si="117"/>
        <v>0</v>
      </c>
      <c r="U251" s="33">
        <f t="shared" si="117"/>
        <v>0</v>
      </c>
      <c r="V251" s="33">
        <f t="shared" si="117"/>
        <v>0</v>
      </c>
      <c r="W251" s="33">
        <f t="shared" si="117"/>
        <v>0</v>
      </c>
      <c r="X251" s="33">
        <f t="shared" si="117"/>
        <v>0</v>
      </c>
      <c r="Y251" s="191" t="e">
        <f t="shared" si="92"/>
        <v>#DIV/0!</v>
      </c>
      <c r="Z251" s="33">
        <f t="shared" si="117"/>
        <v>0</v>
      </c>
      <c r="AA251" s="33">
        <f t="shared" ref="AA251" si="118">AA252</f>
        <v>36890303.230000004</v>
      </c>
      <c r="AB251" s="240"/>
    </row>
    <row r="252" spans="1:28" ht="25.5" customHeight="1" x14ac:dyDescent="0.25">
      <c r="A252" s="34">
        <v>8710</v>
      </c>
      <c r="B252" s="34" t="s">
        <v>78</v>
      </c>
      <c r="C252" s="25" t="s">
        <v>316</v>
      </c>
      <c r="D252" s="36">
        <f>'дод 2'!E323</f>
        <v>36890303.230000004</v>
      </c>
      <c r="E252" s="36">
        <f>'дод 2'!F323</f>
        <v>0</v>
      </c>
      <c r="F252" s="36">
        <f>'дод 2'!G323</f>
        <v>0</v>
      </c>
      <c r="G252" s="36">
        <f>'дод 2'!H323</f>
        <v>0</v>
      </c>
      <c r="H252" s="36">
        <f>'дод 2'!I323</f>
        <v>0</v>
      </c>
      <c r="I252" s="36">
        <f>'дод 2'!J323</f>
        <v>0</v>
      </c>
      <c r="J252" s="36">
        <f>'дод 2'!K323</f>
        <v>0</v>
      </c>
      <c r="K252" s="36">
        <f>'дод 2'!L323</f>
        <v>0</v>
      </c>
      <c r="L252" s="192">
        <f t="shared" si="91"/>
        <v>0</v>
      </c>
      <c r="M252" s="36">
        <f>'дод 2'!N323</f>
        <v>0</v>
      </c>
      <c r="N252" s="36">
        <f>'дод 2'!O323</f>
        <v>0</v>
      </c>
      <c r="O252" s="36">
        <f>'дод 2'!P323</f>
        <v>0</v>
      </c>
      <c r="P252" s="36">
        <f>'дод 2'!Q323</f>
        <v>0</v>
      </c>
      <c r="Q252" s="36">
        <f>'дод 2'!R323</f>
        <v>0</v>
      </c>
      <c r="R252" s="36">
        <f>'дод 2'!S323</f>
        <v>0</v>
      </c>
      <c r="S252" s="36">
        <f>'дод 2'!T323</f>
        <v>0</v>
      </c>
      <c r="T252" s="36">
        <f>'дод 2'!U323</f>
        <v>0</v>
      </c>
      <c r="U252" s="36">
        <f>'дод 2'!V323</f>
        <v>0</v>
      </c>
      <c r="V252" s="36">
        <f>'дод 2'!W323</f>
        <v>0</v>
      </c>
      <c r="W252" s="36">
        <f>'дод 2'!X323</f>
        <v>0</v>
      </c>
      <c r="X252" s="36">
        <f>'дод 2'!Y323</f>
        <v>0</v>
      </c>
      <c r="Y252" s="192" t="e">
        <f t="shared" si="92"/>
        <v>#DIV/0!</v>
      </c>
      <c r="Z252" s="36">
        <f>'дод 2'!AA323</f>
        <v>0</v>
      </c>
      <c r="AA252" s="36">
        <f>'дод 2'!AB323</f>
        <v>36890303.230000004</v>
      </c>
      <c r="AB252" s="240"/>
    </row>
    <row r="253" spans="1:28" s="61" customFormat="1" ht="24" customHeight="1" x14ac:dyDescent="0.25">
      <c r="A253" s="37" t="s">
        <v>10</v>
      </c>
      <c r="B253" s="37"/>
      <c r="C253" s="48" t="s">
        <v>587</v>
      </c>
      <c r="D253" s="33">
        <f>D259+D261+D255</f>
        <v>77725873</v>
      </c>
      <c r="E253" s="33">
        <f t="shared" ref="E253:Z253" si="119">E259+E261+E255</f>
        <v>77725873</v>
      </c>
      <c r="F253" s="33">
        <f t="shared" si="119"/>
        <v>0</v>
      </c>
      <c r="G253" s="33">
        <f t="shared" si="119"/>
        <v>0</v>
      </c>
      <c r="H253" s="33">
        <f t="shared" si="119"/>
        <v>0</v>
      </c>
      <c r="I253" s="33">
        <f t="shared" si="119"/>
        <v>62924262.920000002</v>
      </c>
      <c r="J253" s="33">
        <f t="shared" si="119"/>
        <v>0</v>
      </c>
      <c r="K253" s="33">
        <f t="shared" si="119"/>
        <v>0</v>
      </c>
      <c r="L253" s="191">
        <f t="shared" si="91"/>
        <v>80.956649943320684</v>
      </c>
      <c r="M253" s="33">
        <f t="shared" si="119"/>
        <v>30483530</v>
      </c>
      <c r="N253" s="33">
        <f t="shared" si="119"/>
        <v>30483530</v>
      </c>
      <c r="O253" s="33">
        <f t="shared" si="119"/>
        <v>0</v>
      </c>
      <c r="P253" s="33">
        <f t="shared" si="119"/>
        <v>0</v>
      </c>
      <c r="Q253" s="33">
        <f t="shared" si="119"/>
        <v>0</v>
      </c>
      <c r="R253" s="33">
        <f t="shared" si="119"/>
        <v>30483530</v>
      </c>
      <c r="S253" s="33">
        <f t="shared" si="119"/>
        <v>29548745</v>
      </c>
      <c r="T253" s="33">
        <f t="shared" si="119"/>
        <v>29548745</v>
      </c>
      <c r="U253" s="33">
        <f t="shared" si="119"/>
        <v>0</v>
      </c>
      <c r="V253" s="33">
        <f t="shared" si="119"/>
        <v>0</v>
      </c>
      <c r="W253" s="33">
        <f t="shared" si="119"/>
        <v>0</v>
      </c>
      <c r="X253" s="33">
        <f t="shared" si="119"/>
        <v>29548745</v>
      </c>
      <c r="Y253" s="191">
        <f t="shared" si="92"/>
        <v>96.933475224162038</v>
      </c>
      <c r="Z253" s="33">
        <f t="shared" si="119"/>
        <v>92473007.920000002</v>
      </c>
      <c r="AA253" s="33">
        <f t="shared" ref="AA253" si="120">AA259+AA261+AA255</f>
        <v>108209403</v>
      </c>
      <c r="AB253" s="240"/>
    </row>
    <row r="254" spans="1:28" s="61" customFormat="1" ht="110.25" x14ac:dyDescent="0.25">
      <c r="A254" s="37"/>
      <c r="B254" s="37"/>
      <c r="C254" s="19" t="s">
        <v>439</v>
      </c>
      <c r="D254" s="39">
        <f>D256</f>
        <v>4858759</v>
      </c>
      <c r="E254" s="39">
        <f t="shared" ref="E254:Z254" si="121">E256</f>
        <v>4858759</v>
      </c>
      <c r="F254" s="39">
        <f t="shared" si="121"/>
        <v>0</v>
      </c>
      <c r="G254" s="39">
        <f t="shared" si="121"/>
        <v>0</v>
      </c>
      <c r="H254" s="39">
        <f t="shared" si="121"/>
        <v>0</v>
      </c>
      <c r="I254" s="39">
        <f t="shared" si="121"/>
        <v>4858759</v>
      </c>
      <c r="J254" s="39">
        <f t="shared" si="121"/>
        <v>0</v>
      </c>
      <c r="K254" s="39">
        <f t="shared" si="121"/>
        <v>0</v>
      </c>
      <c r="L254" s="193">
        <f t="shared" si="91"/>
        <v>100</v>
      </c>
      <c r="M254" s="39">
        <f t="shared" si="121"/>
        <v>0</v>
      </c>
      <c r="N254" s="39">
        <f t="shared" si="121"/>
        <v>0</v>
      </c>
      <c r="O254" s="39">
        <f t="shared" si="121"/>
        <v>0</v>
      </c>
      <c r="P254" s="39">
        <f t="shared" si="121"/>
        <v>0</v>
      </c>
      <c r="Q254" s="39">
        <f t="shared" si="121"/>
        <v>0</v>
      </c>
      <c r="R254" s="39">
        <f t="shared" si="121"/>
        <v>0</v>
      </c>
      <c r="S254" s="39">
        <f t="shared" si="121"/>
        <v>0</v>
      </c>
      <c r="T254" s="39">
        <f t="shared" si="121"/>
        <v>0</v>
      </c>
      <c r="U254" s="39">
        <f t="shared" si="121"/>
        <v>0</v>
      </c>
      <c r="V254" s="39">
        <f t="shared" si="121"/>
        <v>0</v>
      </c>
      <c r="W254" s="39">
        <f t="shared" si="121"/>
        <v>0</v>
      </c>
      <c r="X254" s="39">
        <f t="shared" si="121"/>
        <v>0</v>
      </c>
      <c r="Y254" s="193" t="e">
        <f t="shared" si="92"/>
        <v>#DIV/0!</v>
      </c>
      <c r="Z254" s="39">
        <f t="shared" si="121"/>
        <v>4858759</v>
      </c>
      <c r="AA254" s="39">
        <f t="shared" ref="AA254" si="122">AA256</f>
        <v>4858759</v>
      </c>
      <c r="AB254" s="240"/>
    </row>
    <row r="255" spans="1:28" s="61" customFormat="1" ht="31.5" x14ac:dyDescent="0.25">
      <c r="A255" s="37">
        <v>9100</v>
      </c>
      <c r="B255" s="37"/>
      <c r="C255" s="48" t="s">
        <v>586</v>
      </c>
      <c r="D255" s="33">
        <f>D257</f>
        <v>4858759</v>
      </c>
      <c r="E255" s="33">
        <f t="shared" ref="E255:Z255" si="123">E257</f>
        <v>4858759</v>
      </c>
      <c r="F255" s="33">
        <f t="shared" si="123"/>
        <v>0</v>
      </c>
      <c r="G255" s="33">
        <f t="shared" si="123"/>
        <v>0</v>
      </c>
      <c r="H255" s="33">
        <f t="shared" si="123"/>
        <v>0</v>
      </c>
      <c r="I255" s="33">
        <f t="shared" si="123"/>
        <v>4858759</v>
      </c>
      <c r="J255" s="33">
        <f t="shared" si="123"/>
        <v>0</v>
      </c>
      <c r="K255" s="33">
        <f t="shared" si="123"/>
        <v>0</v>
      </c>
      <c r="L255" s="191">
        <f t="shared" si="91"/>
        <v>100</v>
      </c>
      <c r="M255" s="33">
        <f t="shared" si="123"/>
        <v>0</v>
      </c>
      <c r="N255" s="33">
        <f t="shared" si="123"/>
        <v>0</v>
      </c>
      <c r="O255" s="33">
        <f t="shared" si="123"/>
        <v>0</v>
      </c>
      <c r="P255" s="33">
        <f t="shared" si="123"/>
        <v>0</v>
      </c>
      <c r="Q255" s="33">
        <f t="shared" si="123"/>
        <v>0</v>
      </c>
      <c r="R255" s="33">
        <f t="shared" si="123"/>
        <v>0</v>
      </c>
      <c r="S255" s="33">
        <f t="shared" si="123"/>
        <v>0</v>
      </c>
      <c r="T255" s="33">
        <f t="shared" si="123"/>
        <v>0</v>
      </c>
      <c r="U255" s="33">
        <f t="shared" si="123"/>
        <v>0</v>
      </c>
      <c r="V255" s="33">
        <f t="shared" si="123"/>
        <v>0</v>
      </c>
      <c r="W255" s="33">
        <f t="shared" si="123"/>
        <v>0</v>
      </c>
      <c r="X255" s="33">
        <f t="shared" si="123"/>
        <v>0</v>
      </c>
      <c r="Y255" s="191" t="e">
        <f t="shared" si="92"/>
        <v>#DIV/0!</v>
      </c>
      <c r="Z255" s="33">
        <f t="shared" si="123"/>
        <v>4858759</v>
      </c>
      <c r="AA255" s="33">
        <f t="shared" ref="AA255:AA256" si="124">AA257</f>
        <v>4858759</v>
      </c>
      <c r="AB255" s="240"/>
    </row>
    <row r="256" spans="1:28" s="61" customFormat="1" ht="110.25" x14ac:dyDescent="0.25">
      <c r="A256" s="37"/>
      <c r="B256" s="37"/>
      <c r="C256" s="19" t="s">
        <v>439</v>
      </c>
      <c r="D256" s="39">
        <f>D258</f>
        <v>4858759</v>
      </c>
      <c r="E256" s="39">
        <f t="shared" ref="E256:Z256" si="125">E258</f>
        <v>4858759</v>
      </c>
      <c r="F256" s="39">
        <f t="shared" si="125"/>
        <v>0</v>
      </c>
      <c r="G256" s="39">
        <f t="shared" si="125"/>
        <v>0</v>
      </c>
      <c r="H256" s="39">
        <f t="shared" si="125"/>
        <v>0</v>
      </c>
      <c r="I256" s="39">
        <f t="shared" si="125"/>
        <v>4858759</v>
      </c>
      <c r="J256" s="39">
        <f t="shared" si="125"/>
        <v>0</v>
      </c>
      <c r="K256" s="39">
        <f t="shared" si="125"/>
        <v>0</v>
      </c>
      <c r="L256" s="193">
        <f t="shared" si="91"/>
        <v>100</v>
      </c>
      <c r="M256" s="39">
        <f t="shared" si="125"/>
        <v>0</v>
      </c>
      <c r="N256" s="39">
        <f t="shared" si="125"/>
        <v>0</v>
      </c>
      <c r="O256" s="39">
        <f t="shared" si="125"/>
        <v>0</v>
      </c>
      <c r="P256" s="39">
        <f t="shared" si="125"/>
        <v>0</v>
      </c>
      <c r="Q256" s="39">
        <f t="shared" si="125"/>
        <v>0</v>
      </c>
      <c r="R256" s="39">
        <f t="shared" si="125"/>
        <v>0</v>
      </c>
      <c r="S256" s="39">
        <f t="shared" si="125"/>
        <v>0</v>
      </c>
      <c r="T256" s="39">
        <f t="shared" si="125"/>
        <v>0</v>
      </c>
      <c r="U256" s="39">
        <f t="shared" si="125"/>
        <v>0</v>
      </c>
      <c r="V256" s="39">
        <f t="shared" si="125"/>
        <v>0</v>
      </c>
      <c r="W256" s="39">
        <f t="shared" si="125"/>
        <v>0</v>
      </c>
      <c r="X256" s="39">
        <f t="shared" si="125"/>
        <v>0</v>
      </c>
      <c r="Y256" s="193" t="e">
        <f t="shared" si="92"/>
        <v>#DIV/0!</v>
      </c>
      <c r="Z256" s="39">
        <f t="shared" si="125"/>
        <v>4858759</v>
      </c>
      <c r="AA256" s="39">
        <f t="shared" si="124"/>
        <v>4858759</v>
      </c>
      <c r="AB256" s="240"/>
    </row>
    <row r="257" spans="1:28" ht="24" customHeight="1" x14ac:dyDescent="0.25">
      <c r="A257" s="13">
        <v>9150</v>
      </c>
      <c r="B257" s="12" t="s">
        <v>35</v>
      </c>
      <c r="C257" s="16" t="s">
        <v>588</v>
      </c>
      <c r="D257" s="36">
        <f>'дод 2'!E138</f>
        <v>4858759</v>
      </c>
      <c r="E257" s="36">
        <f>'дод 2'!F138</f>
        <v>4858759</v>
      </c>
      <c r="F257" s="36">
        <f>'дод 2'!G138</f>
        <v>0</v>
      </c>
      <c r="G257" s="36">
        <f>'дод 2'!H138</f>
        <v>0</v>
      </c>
      <c r="H257" s="36">
        <f>'дод 2'!I138</f>
        <v>0</v>
      </c>
      <c r="I257" s="36">
        <f>'дод 2'!J138</f>
        <v>4858759</v>
      </c>
      <c r="J257" s="36">
        <f>'дод 2'!K138</f>
        <v>0</v>
      </c>
      <c r="K257" s="36">
        <f>'дод 2'!L138</f>
        <v>0</v>
      </c>
      <c r="L257" s="192">
        <f t="shared" si="91"/>
        <v>100</v>
      </c>
      <c r="M257" s="36">
        <f>'дод 2'!N138</f>
        <v>0</v>
      </c>
      <c r="N257" s="36">
        <f>'дод 2'!O138</f>
        <v>0</v>
      </c>
      <c r="O257" s="36">
        <f>'дод 2'!P138</f>
        <v>0</v>
      </c>
      <c r="P257" s="36">
        <f>'дод 2'!Q138</f>
        <v>0</v>
      </c>
      <c r="Q257" s="36">
        <f>'дод 2'!R138</f>
        <v>0</v>
      </c>
      <c r="R257" s="36">
        <f>'дод 2'!S138</f>
        <v>0</v>
      </c>
      <c r="S257" s="36">
        <f>'дод 2'!T138</f>
        <v>0</v>
      </c>
      <c r="T257" s="36">
        <f>'дод 2'!U138</f>
        <v>0</v>
      </c>
      <c r="U257" s="36">
        <f>'дод 2'!V138</f>
        <v>0</v>
      </c>
      <c r="V257" s="36">
        <f>'дод 2'!W138</f>
        <v>0</v>
      </c>
      <c r="W257" s="36">
        <f>'дод 2'!X138</f>
        <v>0</v>
      </c>
      <c r="X257" s="36">
        <f>'дод 2'!Y138</f>
        <v>0</v>
      </c>
      <c r="Y257" s="192" t="e">
        <f t="shared" si="92"/>
        <v>#DIV/0!</v>
      </c>
      <c r="Z257" s="36">
        <f>'дод 2'!AA138</f>
        <v>4858759</v>
      </c>
      <c r="AA257" s="36">
        <f>'дод 2'!AB138</f>
        <v>4858759</v>
      </c>
      <c r="AB257" s="240"/>
    </row>
    <row r="258" spans="1:28" ht="110.25" x14ac:dyDescent="0.25">
      <c r="A258" s="21"/>
      <c r="B258" s="20"/>
      <c r="C258" s="22" t="s">
        <v>439</v>
      </c>
      <c r="D258" s="41">
        <f>'дод 2'!E139</f>
        <v>4858759</v>
      </c>
      <c r="E258" s="41">
        <f>'дод 2'!F139</f>
        <v>4858759</v>
      </c>
      <c r="F258" s="41">
        <f>'дод 2'!G139</f>
        <v>0</v>
      </c>
      <c r="G258" s="41">
        <f>'дод 2'!H139</f>
        <v>0</v>
      </c>
      <c r="H258" s="41">
        <f>'дод 2'!I139</f>
        <v>0</v>
      </c>
      <c r="I258" s="41">
        <f>'дод 2'!J139</f>
        <v>4858759</v>
      </c>
      <c r="J258" s="41">
        <f>'дод 2'!K139</f>
        <v>0</v>
      </c>
      <c r="K258" s="41">
        <f>'дод 2'!L139</f>
        <v>0</v>
      </c>
      <c r="L258" s="194">
        <f t="shared" si="91"/>
        <v>100</v>
      </c>
      <c r="M258" s="41">
        <f>'дод 2'!N139</f>
        <v>0</v>
      </c>
      <c r="N258" s="41">
        <f>'дод 2'!O139</f>
        <v>0</v>
      </c>
      <c r="O258" s="41">
        <f>'дод 2'!P139</f>
        <v>0</v>
      </c>
      <c r="P258" s="41">
        <f>'дод 2'!Q139</f>
        <v>0</v>
      </c>
      <c r="Q258" s="41">
        <f>'дод 2'!R139</f>
        <v>0</v>
      </c>
      <c r="R258" s="41">
        <f>'дод 2'!S139</f>
        <v>0</v>
      </c>
      <c r="S258" s="41">
        <f>'дод 2'!T139</f>
        <v>0</v>
      </c>
      <c r="T258" s="41">
        <f>'дод 2'!U139</f>
        <v>0</v>
      </c>
      <c r="U258" s="41">
        <f>'дод 2'!V139</f>
        <v>0</v>
      </c>
      <c r="V258" s="41">
        <f>'дод 2'!W139</f>
        <v>0</v>
      </c>
      <c r="W258" s="41">
        <f>'дод 2'!X139</f>
        <v>0</v>
      </c>
      <c r="X258" s="41">
        <f>'дод 2'!Y139</f>
        <v>0</v>
      </c>
      <c r="Y258" s="194" t="e">
        <f t="shared" si="92"/>
        <v>#DIV/0!</v>
      </c>
      <c r="Z258" s="41">
        <f>'дод 2'!AA139</f>
        <v>4858759</v>
      </c>
      <c r="AA258" s="41">
        <f>'дод 2'!AB139</f>
        <v>4858759</v>
      </c>
      <c r="AB258" s="240"/>
    </row>
    <row r="259" spans="1:28" s="61" customFormat="1" ht="47.25" x14ac:dyDescent="0.25">
      <c r="A259" s="37" t="s">
        <v>11</v>
      </c>
      <c r="B259" s="8"/>
      <c r="C259" s="48" t="s">
        <v>268</v>
      </c>
      <c r="D259" s="33">
        <f>D260</f>
        <v>14695650</v>
      </c>
      <c r="E259" s="33">
        <f t="shared" ref="E259:Z259" si="126">E260</f>
        <v>14695650</v>
      </c>
      <c r="F259" s="33">
        <f t="shared" si="126"/>
        <v>0</v>
      </c>
      <c r="G259" s="33">
        <f t="shared" si="126"/>
        <v>0</v>
      </c>
      <c r="H259" s="33">
        <f t="shared" si="126"/>
        <v>0</v>
      </c>
      <c r="I259" s="33">
        <f t="shared" si="126"/>
        <v>1278749.8599999999</v>
      </c>
      <c r="J259" s="33">
        <f t="shared" si="126"/>
        <v>0</v>
      </c>
      <c r="K259" s="33">
        <f t="shared" si="126"/>
        <v>0</v>
      </c>
      <c r="L259" s="191">
        <f t="shared" si="91"/>
        <v>8.7015535889872169</v>
      </c>
      <c r="M259" s="33">
        <f t="shared" si="126"/>
        <v>5600000</v>
      </c>
      <c r="N259" s="33">
        <f t="shared" si="126"/>
        <v>5600000</v>
      </c>
      <c r="O259" s="33">
        <f t="shared" si="126"/>
        <v>0</v>
      </c>
      <c r="P259" s="33">
        <f t="shared" si="126"/>
        <v>0</v>
      </c>
      <c r="Q259" s="33">
        <f t="shared" si="126"/>
        <v>0</v>
      </c>
      <c r="R259" s="33">
        <f t="shared" si="126"/>
        <v>5600000</v>
      </c>
      <c r="S259" s="33">
        <f t="shared" si="126"/>
        <v>5000000</v>
      </c>
      <c r="T259" s="33">
        <f t="shared" si="126"/>
        <v>5000000</v>
      </c>
      <c r="U259" s="33">
        <f t="shared" si="126"/>
        <v>0</v>
      </c>
      <c r="V259" s="33">
        <f t="shared" si="126"/>
        <v>0</v>
      </c>
      <c r="W259" s="33">
        <f t="shared" si="126"/>
        <v>0</v>
      </c>
      <c r="X259" s="33">
        <f t="shared" si="126"/>
        <v>5000000</v>
      </c>
      <c r="Y259" s="191">
        <f t="shared" si="92"/>
        <v>89.285714285714292</v>
      </c>
      <c r="Z259" s="33">
        <f t="shared" si="126"/>
        <v>6278749.8600000003</v>
      </c>
      <c r="AA259" s="33">
        <f t="shared" ref="AA259" si="127">AA260</f>
        <v>20295650</v>
      </c>
      <c r="AB259" s="240"/>
    </row>
    <row r="260" spans="1:28" s="61" customFormat="1" ht="24" customHeight="1" x14ac:dyDescent="0.25">
      <c r="A260" s="34" t="s">
        <v>12</v>
      </c>
      <c r="B260" s="13" t="s">
        <v>35</v>
      </c>
      <c r="C260" s="35" t="s">
        <v>273</v>
      </c>
      <c r="D260" s="36">
        <f>'дод 2'!E195+'дод 2'!E259+'дод 2'!E155+'дод 2'!E51</f>
        <v>14695650</v>
      </c>
      <c r="E260" s="36">
        <f>'дод 2'!F195+'дод 2'!F259+'дод 2'!F155+'дод 2'!F51</f>
        <v>14695650</v>
      </c>
      <c r="F260" s="36">
        <f>'дод 2'!G195+'дод 2'!G259+'дод 2'!G155+'дод 2'!G51</f>
        <v>0</v>
      </c>
      <c r="G260" s="36">
        <f>'дод 2'!H195+'дод 2'!H259+'дод 2'!H155+'дод 2'!H51</f>
        <v>0</v>
      </c>
      <c r="H260" s="36">
        <f>'дод 2'!I195+'дод 2'!I259+'дод 2'!I155+'дод 2'!I51</f>
        <v>0</v>
      </c>
      <c r="I260" s="36">
        <f>'дод 2'!J195+'дод 2'!J259+'дод 2'!J155+'дод 2'!J51</f>
        <v>1278749.8599999999</v>
      </c>
      <c r="J260" s="36">
        <f>'дод 2'!K195+'дод 2'!K259+'дод 2'!K155+'дод 2'!K51</f>
        <v>0</v>
      </c>
      <c r="K260" s="36">
        <f>'дод 2'!L195+'дод 2'!L259+'дод 2'!L155+'дод 2'!L51</f>
        <v>0</v>
      </c>
      <c r="L260" s="192">
        <f t="shared" si="91"/>
        <v>8.7015535889872169</v>
      </c>
      <c r="M260" s="36">
        <f>'дод 2'!N195+'дод 2'!N259+'дод 2'!N155+'дод 2'!N51</f>
        <v>5600000</v>
      </c>
      <c r="N260" s="36">
        <f>'дод 2'!O195+'дод 2'!O259+'дод 2'!O155+'дод 2'!O51</f>
        <v>5600000</v>
      </c>
      <c r="O260" s="36">
        <f>'дод 2'!P195+'дод 2'!P259+'дод 2'!P155+'дод 2'!P51</f>
        <v>0</v>
      </c>
      <c r="P260" s="36">
        <f>'дод 2'!Q195+'дод 2'!Q259+'дод 2'!Q155+'дод 2'!Q51</f>
        <v>0</v>
      </c>
      <c r="Q260" s="36">
        <f>'дод 2'!R195+'дод 2'!R259+'дод 2'!R155+'дод 2'!R51</f>
        <v>0</v>
      </c>
      <c r="R260" s="36">
        <f>'дод 2'!S195+'дод 2'!S259+'дод 2'!S155+'дод 2'!S51</f>
        <v>5600000</v>
      </c>
      <c r="S260" s="36">
        <f>'дод 2'!T195+'дод 2'!T259+'дод 2'!T155+'дод 2'!T51</f>
        <v>5000000</v>
      </c>
      <c r="T260" s="36">
        <f>'дод 2'!U195+'дод 2'!U259+'дод 2'!U155+'дод 2'!U51</f>
        <v>5000000</v>
      </c>
      <c r="U260" s="36">
        <f>'дод 2'!V195+'дод 2'!V259+'дод 2'!V155+'дод 2'!V51</f>
        <v>0</v>
      </c>
      <c r="V260" s="36">
        <f>'дод 2'!W195+'дод 2'!W259+'дод 2'!W155+'дод 2'!W51</f>
        <v>0</v>
      </c>
      <c r="W260" s="36">
        <f>'дод 2'!X195+'дод 2'!X259+'дод 2'!X155+'дод 2'!X51</f>
        <v>0</v>
      </c>
      <c r="X260" s="36">
        <f>'дод 2'!Y195+'дод 2'!Y259+'дод 2'!Y155+'дод 2'!Y51</f>
        <v>5000000</v>
      </c>
      <c r="Y260" s="192">
        <f t="shared" si="92"/>
        <v>89.285714285714292</v>
      </c>
      <c r="Z260" s="36">
        <f>'дод 2'!AA195+'дод 2'!AA259+'дод 2'!AA155+'дод 2'!AA51</f>
        <v>6278749.8600000003</v>
      </c>
      <c r="AA260" s="36">
        <f>'дод 2'!AB195+'дод 2'!AB259+'дод 2'!AB155+'дод 2'!AB51</f>
        <v>20295650</v>
      </c>
      <c r="AB260" s="240"/>
    </row>
    <row r="261" spans="1:28" s="61" customFormat="1" ht="63" customHeight="1" x14ac:dyDescent="0.25">
      <c r="A261" s="37">
        <v>9800</v>
      </c>
      <c r="B261" s="17" t="s">
        <v>35</v>
      </c>
      <c r="C261" s="32" t="s">
        <v>362</v>
      </c>
      <c r="D261" s="33">
        <f>'дод 2'!E52+'дод 2'!E260</f>
        <v>58171464</v>
      </c>
      <c r="E261" s="33">
        <f>'дод 2'!F52+'дод 2'!F260</f>
        <v>58171464</v>
      </c>
      <c r="F261" s="33">
        <f>'дод 2'!G52+'дод 2'!G260</f>
        <v>0</v>
      </c>
      <c r="G261" s="33">
        <f>'дод 2'!H52+'дод 2'!H260</f>
        <v>0</v>
      </c>
      <c r="H261" s="33">
        <f>'дод 2'!I52+'дод 2'!I260</f>
        <v>0</v>
      </c>
      <c r="I261" s="33">
        <f>'дод 2'!J52+'дод 2'!J260</f>
        <v>56786754.060000002</v>
      </c>
      <c r="J261" s="33">
        <f>'дод 2'!K52+'дод 2'!K260</f>
        <v>0</v>
      </c>
      <c r="K261" s="33">
        <f>'дод 2'!L52+'дод 2'!L260</f>
        <v>0</v>
      </c>
      <c r="L261" s="191">
        <f t="shared" si="91"/>
        <v>97.619606169788</v>
      </c>
      <c r="M261" s="33">
        <f>'дод 2'!N52+'дод 2'!N260</f>
        <v>24883530</v>
      </c>
      <c r="N261" s="33">
        <f>'дод 2'!O52+'дод 2'!O260</f>
        <v>24883530</v>
      </c>
      <c r="O261" s="33">
        <f>'дод 2'!P52+'дод 2'!P260</f>
        <v>0</v>
      </c>
      <c r="P261" s="33">
        <f>'дод 2'!Q52+'дод 2'!Q260</f>
        <v>0</v>
      </c>
      <c r="Q261" s="33">
        <f>'дод 2'!R52+'дод 2'!R260</f>
        <v>0</v>
      </c>
      <c r="R261" s="33">
        <f>'дод 2'!S52+'дод 2'!S260</f>
        <v>24883530</v>
      </c>
      <c r="S261" s="33">
        <f>'дод 2'!T52+'дод 2'!T260</f>
        <v>24548745</v>
      </c>
      <c r="T261" s="33">
        <f>'дод 2'!U52+'дод 2'!U260</f>
        <v>24548745</v>
      </c>
      <c r="U261" s="33">
        <f>'дод 2'!V52+'дод 2'!V260</f>
        <v>0</v>
      </c>
      <c r="V261" s="33">
        <f>'дод 2'!W52+'дод 2'!W260</f>
        <v>0</v>
      </c>
      <c r="W261" s="33">
        <f>'дод 2'!X52+'дод 2'!X260</f>
        <v>0</v>
      </c>
      <c r="X261" s="33">
        <f>'дод 2'!Y52+'дод 2'!Y260</f>
        <v>24548745</v>
      </c>
      <c r="Y261" s="191">
        <f t="shared" si="92"/>
        <v>98.654592013271426</v>
      </c>
      <c r="Z261" s="33">
        <f>'дод 2'!AA52+'дод 2'!AA260</f>
        <v>81335499.060000002</v>
      </c>
      <c r="AA261" s="33">
        <f>'дод 2'!AB52+'дод 2'!AB260</f>
        <v>83054994</v>
      </c>
      <c r="AB261" s="240"/>
    </row>
    <row r="262" spans="1:28" s="61" customFormat="1" ht="21" customHeight="1" x14ac:dyDescent="0.25">
      <c r="A262" s="31"/>
      <c r="B262" s="31"/>
      <c r="C262" s="130" t="s">
        <v>483</v>
      </c>
      <c r="D262" s="33">
        <f t="shared" ref="D262:AA262" si="128">D18+D21+D107+D116+D159+D166+D174+D196+D237+D253</f>
        <v>3532214112.7800002</v>
      </c>
      <c r="E262" s="33">
        <f t="shared" ref="E262:Z262" si="129">E18+E21+E107+E116+E159+E166+E174+E196+E237+E253</f>
        <v>3288938465.5500002</v>
      </c>
      <c r="F262" s="33">
        <f t="shared" si="129"/>
        <v>1551777295.5699999</v>
      </c>
      <c r="G262" s="33">
        <f t="shared" si="129"/>
        <v>218344540.59999999</v>
      </c>
      <c r="H262" s="33">
        <f t="shared" si="129"/>
        <v>206385344</v>
      </c>
      <c r="I262" s="33">
        <f t="shared" si="129"/>
        <v>3379605665.9499998</v>
      </c>
      <c r="J262" s="33">
        <f t="shared" si="129"/>
        <v>1542985054.1700001</v>
      </c>
      <c r="K262" s="33">
        <f t="shared" si="129"/>
        <v>189591822.46000004</v>
      </c>
      <c r="L262" s="191">
        <f t="shared" si="91"/>
        <v>95.679524458105647</v>
      </c>
      <c r="M262" s="33">
        <f t="shared" si="129"/>
        <v>1476608703.46</v>
      </c>
      <c r="N262" s="33">
        <f t="shared" si="129"/>
        <v>1240599350.1300001</v>
      </c>
      <c r="O262" s="33">
        <f t="shared" si="129"/>
        <v>107580509.13</v>
      </c>
      <c r="P262" s="33">
        <f t="shared" si="129"/>
        <v>14557560</v>
      </c>
      <c r="Q262" s="33">
        <f t="shared" si="129"/>
        <v>7188778</v>
      </c>
      <c r="R262" s="33">
        <f t="shared" si="129"/>
        <v>1369028194.3299999</v>
      </c>
      <c r="S262" s="33">
        <f t="shared" si="129"/>
        <v>1048636470.0500002</v>
      </c>
      <c r="T262" s="33">
        <f t="shared" si="129"/>
        <v>706081674.70999992</v>
      </c>
      <c r="U262" s="33">
        <f t="shared" si="129"/>
        <v>165987064.97999999</v>
      </c>
      <c r="V262" s="33">
        <f t="shared" si="129"/>
        <v>17913417.549999997</v>
      </c>
      <c r="W262" s="33">
        <f t="shared" si="129"/>
        <v>3517027.3800000004</v>
      </c>
      <c r="X262" s="33">
        <f t="shared" si="129"/>
        <v>882649405.06999993</v>
      </c>
      <c r="Y262" s="191">
        <f t="shared" si="92"/>
        <v>71.016544030441352</v>
      </c>
      <c r="Z262" s="33">
        <f t="shared" si="129"/>
        <v>4428242136</v>
      </c>
      <c r="AA262" s="33">
        <f t="shared" si="128"/>
        <v>5008822816.2399998</v>
      </c>
      <c r="AB262" s="240"/>
    </row>
    <row r="263" spans="1:28" s="64" customFormat="1" ht="21" customHeight="1" x14ac:dyDescent="0.25">
      <c r="A263" s="69"/>
      <c r="B263" s="69"/>
      <c r="C263" s="131" t="s">
        <v>381</v>
      </c>
      <c r="D263" s="39">
        <f>D118+D22+D23+D24+D25+D26+D30+D32+D119+D34+D33+D175+D28+D176+D29+D198+D197+D27+D254</f>
        <v>742480958.83000004</v>
      </c>
      <c r="E263" s="39">
        <f t="shared" ref="E263:Z263" si="130">E118+E22+E23+E24+E25+E26+E30+E32+E119+E34+E33+E175+E28+E176+E29+E198+E197+E27+E254</f>
        <v>742480958.83000004</v>
      </c>
      <c r="F263" s="39">
        <f t="shared" si="130"/>
        <v>515350600</v>
      </c>
      <c r="G263" s="39">
        <f t="shared" si="130"/>
        <v>0</v>
      </c>
      <c r="H263" s="39">
        <f t="shared" si="130"/>
        <v>0</v>
      </c>
      <c r="I263" s="39">
        <f t="shared" si="130"/>
        <v>721728133.68000007</v>
      </c>
      <c r="J263" s="39">
        <f t="shared" si="130"/>
        <v>508602173.44999999</v>
      </c>
      <c r="K263" s="39">
        <f t="shared" si="130"/>
        <v>0</v>
      </c>
      <c r="L263" s="193">
        <f t="shared" si="91"/>
        <v>97.204935035276563</v>
      </c>
      <c r="M263" s="39">
        <f t="shared" si="130"/>
        <v>472377533.67000002</v>
      </c>
      <c r="N263" s="39">
        <f t="shared" si="130"/>
        <v>312590333.67000002</v>
      </c>
      <c r="O263" s="39">
        <f t="shared" si="130"/>
        <v>39930500</v>
      </c>
      <c r="P263" s="39">
        <f t="shared" si="130"/>
        <v>1239180</v>
      </c>
      <c r="Q263" s="39">
        <f t="shared" si="130"/>
        <v>0</v>
      </c>
      <c r="R263" s="39">
        <f t="shared" si="130"/>
        <v>432447033.67000002</v>
      </c>
      <c r="S263" s="39">
        <f t="shared" si="130"/>
        <v>388169751.81</v>
      </c>
      <c r="T263" s="39">
        <f t="shared" si="130"/>
        <v>267896970.84999999</v>
      </c>
      <c r="U263" s="39">
        <f t="shared" si="130"/>
        <v>23450100.27</v>
      </c>
      <c r="V263" s="39">
        <f t="shared" si="130"/>
        <v>1239180</v>
      </c>
      <c r="W263" s="39">
        <f t="shared" si="130"/>
        <v>0</v>
      </c>
      <c r="X263" s="39">
        <f t="shared" si="130"/>
        <v>364719651.54000002</v>
      </c>
      <c r="Y263" s="193">
        <f t="shared" si="92"/>
        <v>82.173626843391105</v>
      </c>
      <c r="Z263" s="39">
        <f t="shared" si="130"/>
        <v>1109897885.49</v>
      </c>
      <c r="AA263" s="39">
        <f t="shared" ref="AA263" si="131">AA118+AA22+AA23+AA24+AA25+AA26+AA30+AA32+AA119+AA34+AA33+AA175+AA28+AA176+AA29+AA198+AA197+AA27+AA254</f>
        <v>1214858492.5</v>
      </c>
      <c r="AB263" s="240"/>
    </row>
    <row r="264" spans="1:28" s="64" customFormat="1" ht="78.75" x14ac:dyDescent="0.25">
      <c r="A264" s="69"/>
      <c r="B264" s="69"/>
      <c r="C264" s="131" t="s">
        <v>385</v>
      </c>
      <c r="D264" s="39">
        <f>D118+D176+D29+D198</f>
        <v>89637660</v>
      </c>
      <c r="E264" s="39">
        <f t="shared" ref="E264:Z264" si="132">E118+E176+E29+E198</f>
        <v>89637660</v>
      </c>
      <c r="F264" s="39">
        <f t="shared" si="132"/>
        <v>0</v>
      </c>
      <c r="G264" s="39">
        <f t="shared" si="132"/>
        <v>0</v>
      </c>
      <c r="H264" s="39">
        <f t="shared" si="132"/>
        <v>0</v>
      </c>
      <c r="I264" s="39">
        <f>I118+I176+I29+I198</f>
        <v>89412877.980000004</v>
      </c>
      <c r="J264" s="39">
        <f t="shared" si="132"/>
        <v>0</v>
      </c>
      <c r="K264" s="39">
        <f t="shared" si="132"/>
        <v>0</v>
      </c>
      <c r="L264" s="193">
        <f t="shared" si="91"/>
        <v>99.749232610489841</v>
      </c>
      <c r="M264" s="39">
        <f t="shared" si="132"/>
        <v>47551240</v>
      </c>
      <c r="N264" s="39">
        <f t="shared" si="132"/>
        <v>47551240</v>
      </c>
      <c r="O264" s="39">
        <f t="shared" si="132"/>
        <v>0</v>
      </c>
      <c r="P264" s="39">
        <f t="shared" si="132"/>
        <v>0</v>
      </c>
      <c r="Q264" s="39">
        <f t="shared" si="132"/>
        <v>0</v>
      </c>
      <c r="R264" s="39">
        <f t="shared" si="132"/>
        <v>47551240</v>
      </c>
      <c r="S264" s="39">
        <f t="shared" si="132"/>
        <v>44465465.719999999</v>
      </c>
      <c r="T264" s="39">
        <f t="shared" si="132"/>
        <v>44465465.719999999</v>
      </c>
      <c r="U264" s="39">
        <f t="shared" si="132"/>
        <v>0</v>
      </c>
      <c r="V264" s="39">
        <f t="shared" si="132"/>
        <v>0</v>
      </c>
      <c r="W264" s="39">
        <f t="shared" si="132"/>
        <v>0</v>
      </c>
      <c r="X264" s="39">
        <f t="shared" si="132"/>
        <v>44465465.719999999</v>
      </c>
      <c r="Y264" s="193">
        <f t="shared" si="92"/>
        <v>93.510633413555567</v>
      </c>
      <c r="Z264" s="39">
        <f t="shared" si="132"/>
        <v>133878343.69999999</v>
      </c>
      <c r="AA264" s="39">
        <f t="shared" ref="AA264" si="133">AA118+AA176+AA29+AA198</f>
        <v>137188900</v>
      </c>
      <c r="AB264" s="240"/>
    </row>
    <row r="265" spans="1:28" s="64" customFormat="1" ht="47.25" x14ac:dyDescent="0.25">
      <c r="A265" s="69"/>
      <c r="B265" s="69"/>
      <c r="C265" s="131" t="s">
        <v>357</v>
      </c>
      <c r="D265" s="39">
        <f>D36+D120+D199+D35+D121+D37</f>
        <v>7784564.3700000001</v>
      </c>
      <c r="E265" s="39">
        <f t="shared" ref="E265:Z265" si="134">E36+E120+E199+E35+E121+E37</f>
        <v>7784564.3700000001</v>
      </c>
      <c r="F265" s="39">
        <f t="shared" si="134"/>
        <v>3254311.5700000003</v>
      </c>
      <c r="G265" s="39">
        <f t="shared" si="134"/>
        <v>0</v>
      </c>
      <c r="H265" s="39">
        <f t="shared" si="134"/>
        <v>0</v>
      </c>
      <c r="I265" s="39">
        <f t="shared" si="134"/>
        <v>7084936.29</v>
      </c>
      <c r="J265" s="39">
        <f t="shared" si="134"/>
        <v>3010922.2</v>
      </c>
      <c r="K265" s="39">
        <f t="shared" si="134"/>
        <v>0</v>
      </c>
      <c r="L265" s="193">
        <f t="shared" si="91"/>
        <v>91.012623870178118</v>
      </c>
      <c r="M265" s="39">
        <f t="shared" si="134"/>
        <v>32511480.969999999</v>
      </c>
      <c r="N265" s="39">
        <f t="shared" si="134"/>
        <v>24578417.789999999</v>
      </c>
      <c r="O265" s="39">
        <f t="shared" si="134"/>
        <v>547169.13</v>
      </c>
      <c r="P265" s="39">
        <f t="shared" si="134"/>
        <v>0</v>
      </c>
      <c r="Q265" s="39">
        <f t="shared" si="134"/>
        <v>0</v>
      </c>
      <c r="R265" s="39">
        <f t="shared" si="134"/>
        <v>31964311.84</v>
      </c>
      <c r="S265" s="39">
        <f t="shared" si="134"/>
        <v>25940012.949999999</v>
      </c>
      <c r="T265" s="39">
        <f t="shared" si="134"/>
        <v>24578417.789999999</v>
      </c>
      <c r="U265" s="39">
        <f t="shared" si="134"/>
        <v>547150.76</v>
      </c>
      <c r="V265" s="39">
        <f t="shared" si="134"/>
        <v>0</v>
      </c>
      <c r="W265" s="39">
        <f t="shared" si="134"/>
        <v>0</v>
      </c>
      <c r="X265" s="39">
        <f t="shared" si="134"/>
        <v>25392862.189999998</v>
      </c>
      <c r="Y265" s="193">
        <f t="shared" si="92"/>
        <v>79.787238772469863</v>
      </c>
      <c r="Z265" s="39">
        <f t="shared" si="134"/>
        <v>33024949.239999998</v>
      </c>
      <c r="AA265" s="39">
        <f t="shared" ref="AA265" si="135">AA36+AA120+AA199+AA35+AA121+AA37</f>
        <v>40296045.339999996</v>
      </c>
      <c r="AB265" s="240"/>
    </row>
    <row r="266" spans="1:28" s="64" customFormat="1" x14ac:dyDescent="0.25">
      <c r="A266" s="69"/>
      <c r="B266" s="69"/>
      <c r="C266" s="131" t="s">
        <v>358</v>
      </c>
      <c r="D266" s="39">
        <f>D117+D38+D238+D177+D178+D31</f>
        <v>2511560.9900000002</v>
      </c>
      <c r="E266" s="39">
        <f t="shared" ref="E266:Z266" si="136">E117+E38+E238+E177+E178+E31</f>
        <v>2511560.9900000002</v>
      </c>
      <c r="F266" s="39">
        <f t="shared" si="136"/>
        <v>592189</v>
      </c>
      <c r="G266" s="39">
        <f t="shared" si="136"/>
        <v>0</v>
      </c>
      <c r="H266" s="39">
        <f t="shared" si="136"/>
        <v>0</v>
      </c>
      <c r="I266" s="39">
        <f t="shared" si="136"/>
        <v>2352965.21</v>
      </c>
      <c r="J266" s="39">
        <f t="shared" si="136"/>
        <v>592189</v>
      </c>
      <c r="K266" s="39">
        <f t="shared" si="136"/>
        <v>0</v>
      </c>
      <c r="L266" s="193">
        <f t="shared" si="91"/>
        <v>93.685370149024322</v>
      </c>
      <c r="M266" s="39">
        <f t="shared" si="136"/>
        <v>17118000</v>
      </c>
      <c r="N266" s="39">
        <f t="shared" si="136"/>
        <v>17118000</v>
      </c>
      <c r="O266" s="39">
        <f t="shared" si="136"/>
        <v>0</v>
      </c>
      <c r="P266" s="39">
        <f t="shared" si="136"/>
        <v>0</v>
      </c>
      <c r="Q266" s="39">
        <f t="shared" si="136"/>
        <v>0</v>
      </c>
      <c r="R266" s="39">
        <f t="shared" si="136"/>
        <v>17118000</v>
      </c>
      <c r="S266" s="39">
        <f t="shared" si="136"/>
        <v>16048581.5</v>
      </c>
      <c r="T266" s="39">
        <f t="shared" si="136"/>
        <v>16048581.5</v>
      </c>
      <c r="U266" s="39">
        <f t="shared" si="136"/>
        <v>0</v>
      </c>
      <c r="V266" s="39">
        <f t="shared" si="136"/>
        <v>0</v>
      </c>
      <c r="W266" s="39">
        <f t="shared" si="136"/>
        <v>0</v>
      </c>
      <c r="X266" s="39">
        <f t="shared" si="136"/>
        <v>16048581.5</v>
      </c>
      <c r="Y266" s="193">
        <f t="shared" si="92"/>
        <v>93.752666783502747</v>
      </c>
      <c r="Z266" s="39">
        <f t="shared" si="136"/>
        <v>18401546.710000001</v>
      </c>
      <c r="AA266" s="39">
        <f t="shared" ref="AA266" si="137">AA117+AA38+AA238+AA177+AA178+AA31</f>
        <v>19629560.990000002</v>
      </c>
      <c r="AB266" s="240"/>
    </row>
    <row r="267" spans="1:28" s="64" customFormat="1" ht="23.25" customHeight="1" x14ac:dyDescent="0.25">
      <c r="A267" s="38"/>
      <c r="B267" s="38"/>
      <c r="C267" s="131" t="s">
        <v>285</v>
      </c>
      <c r="D267" s="39">
        <f>D200+D201</f>
        <v>0</v>
      </c>
      <c r="E267" s="39">
        <f t="shared" ref="E267:Z267" si="138">E200+E201</f>
        <v>0</v>
      </c>
      <c r="F267" s="39">
        <f t="shared" si="138"/>
        <v>0</v>
      </c>
      <c r="G267" s="39">
        <f t="shared" si="138"/>
        <v>0</v>
      </c>
      <c r="H267" s="39">
        <f t="shared" si="138"/>
        <v>0</v>
      </c>
      <c r="I267" s="39">
        <f t="shared" si="138"/>
        <v>0</v>
      </c>
      <c r="J267" s="39">
        <f t="shared" si="138"/>
        <v>0</v>
      </c>
      <c r="K267" s="39">
        <f t="shared" si="138"/>
        <v>0</v>
      </c>
      <c r="L267" s="193" t="e">
        <f t="shared" si="91"/>
        <v>#DIV/0!</v>
      </c>
      <c r="M267" s="39">
        <f t="shared" si="138"/>
        <v>252062997.38999999</v>
      </c>
      <c r="N267" s="39">
        <f t="shared" si="138"/>
        <v>252062997.38999999</v>
      </c>
      <c r="O267" s="39">
        <f t="shared" si="138"/>
        <v>0</v>
      </c>
      <c r="P267" s="39">
        <f t="shared" si="138"/>
        <v>0</v>
      </c>
      <c r="Q267" s="39">
        <f t="shared" si="138"/>
        <v>0</v>
      </c>
      <c r="R267" s="39">
        <f t="shared" si="138"/>
        <v>252062997.38999999</v>
      </c>
      <c r="S267" s="39">
        <f t="shared" si="138"/>
        <v>81728692.50999999</v>
      </c>
      <c r="T267" s="39">
        <f t="shared" si="138"/>
        <v>81728692.50999999</v>
      </c>
      <c r="U267" s="39">
        <f t="shared" si="138"/>
        <v>0</v>
      </c>
      <c r="V267" s="39">
        <f t="shared" si="138"/>
        <v>0</v>
      </c>
      <c r="W267" s="39">
        <f t="shared" si="138"/>
        <v>0</v>
      </c>
      <c r="X267" s="39">
        <f t="shared" si="138"/>
        <v>81728692.50999999</v>
      </c>
      <c r="Y267" s="193">
        <f t="shared" si="92"/>
        <v>32.423915194322127</v>
      </c>
      <c r="Z267" s="39">
        <f t="shared" si="138"/>
        <v>81728692.50999999</v>
      </c>
      <c r="AA267" s="39">
        <f t="shared" ref="AA267" si="139">AA200+AA201</f>
        <v>252062997.38999999</v>
      </c>
      <c r="AB267" s="240"/>
    </row>
    <row r="268" spans="1:28" s="64" customFormat="1" ht="53.25" customHeight="1" x14ac:dyDescent="0.25">
      <c r="A268" s="54"/>
      <c r="B268" s="54"/>
      <c r="C268" s="55"/>
      <c r="D268" s="56"/>
      <c r="E268" s="56"/>
      <c r="F268" s="56"/>
      <c r="G268" s="56"/>
      <c r="H268" s="56"/>
      <c r="I268" s="56"/>
      <c r="J268" s="56"/>
      <c r="K268" s="56"/>
      <c r="L268" s="195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195"/>
      <c r="Z268" s="56"/>
      <c r="AA268" s="56"/>
      <c r="AB268" s="240"/>
    </row>
    <row r="269" spans="1:28" s="64" customFormat="1" x14ac:dyDescent="0.25">
      <c r="A269" s="54"/>
      <c r="B269" s="54"/>
      <c r="C269" s="55"/>
      <c r="D269" s="56"/>
      <c r="E269" s="56"/>
      <c r="F269" s="56"/>
      <c r="G269" s="56"/>
      <c r="H269" s="56"/>
      <c r="I269" s="56"/>
      <c r="J269" s="56"/>
      <c r="K269" s="56"/>
      <c r="L269" s="195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195"/>
      <c r="Z269" s="56"/>
      <c r="AA269" s="56"/>
      <c r="AB269" s="240"/>
    </row>
    <row r="270" spans="1:28" s="64" customFormat="1" ht="44.25" customHeight="1" x14ac:dyDescent="0.65">
      <c r="A270" s="243" t="s">
        <v>606</v>
      </c>
      <c r="B270" s="243"/>
      <c r="C270" s="243"/>
      <c r="D270" s="243"/>
      <c r="E270" s="243"/>
      <c r="F270" s="243"/>
      <c r="G270" s="243"/>
      <c r="H270" s="243"/>
      <c r="I270" s="243"/>
      <c r="J270" s="243"/>
      <c r="K270" s="243"/>
      <c r="L270" s="243"/>
      <c r="M270" s="243"/>
      <c r="N270" s="243"/>
      <c r="O270" s="220"/>
      <c r="P270" s="220"/>
      <c r="Q270" s="220"/>
      <c r="R270" s="220"/>
      <c r="S270" s="220"/>
      <c r="T270" s="221"/>
      <c r="U270" s="222"/>
      <c r="V270" s="222"/>
      <c r="W270" s="222"/>
      <c r="X270" s="243" t="s">
        <v>607</v>
      </c>
      <c r="Y270" s="243"/>
      <c r="Z270" s="243"/>
      <c r="AA270" s="243"/>
      <c r="AB270" s="240"/>
    </row>
    <row r="271" spans="1:28" s="64" customFormat="1" ht="44.25" x14ac:dyDescent="0.25">
      <c r="A271" s="168"/>
      <c r="B271" s="168"/>
      <c r="C271" s="168"/>
      <c r="D271" s="168"/>
      <c r="E271" s="168"/>
      <c r="F271" s="168"/>
      <c r="G271" s="164"/>
      <c r="H271" s="164"/>
      <c r="I271" s="164"/>
      <c r="J271" s="164"/>
      <c r="K271" s="164"/>
      <c r="L271" s="165"/>
      <c r="M271" s="166"/>
      <c r="N271" s="164"/>
      <c r="O271" s="164"/>
      <c r="P271" s="164"/>
      <c r="Q271" s="164"/>
      <c r="R271" s="164"/>
      <c r="S271" s="164"/>
      <c r="T271" s="167"/>
      <c r="U271" s="167"/>
      <c r="V271" s="167"/>
      <c r="W271" s="167"/>
      <c r="X271" s="200"/>
      <c r="Y271" s="170"/>
      <c r="Z271" s="171"/>
      <c r="AA271" s="172"/>
      <c r="AB271" s="240"/>
    </row>
    <row r="272" spans="1:28" s="64" customFormat="1" ht="53.25" customHeight="1" x14ac:dyDescent="0.25">
      <c r="A272" s="173"/>
      <c r="B272" s="174"/>
      <c r="C272" s="174"/>
      <c r="D272" s="175"/>
      <c r="E272" s="164"/>
      <c r="F272" s="164"/>
      <c r="G272" s="164"/>
      <c r="H272" s="164"/>
      <c r="I272" s="164"/>
      <c r="J272" s="164"/>
      <c r="K272" s="164"/>
      <c r="L272" s="165"/>
      <c r="M272" s="166"/>
      <c r="N272" s="164"/>
      <c r="O272" s="176"/>
      <c r="P272" s="164"/>
      <c r="Q272" s="164"/>
      <c r="R272" s="164"/>
      <c r="S272" s="164"/>
      <c r="T272" s="164"/>
      <c r="U272" s="164"/>
      <c r="V272" s="164"/>
      <c r="W272" s="164"/>
      <c r="X272" s="164"/>
      <c r="Y272" s="177"/>
      <c r="Z272" s="178"/>
      <c r="AA272" s="179"/>
      <c r="AB272" s="240"/>
    </row>
    <row r="273" spans="1:28" s="64" customFormat="1" ht="53.25" customHeight="1" x14ac:dyDescent="0.25">
      <c r="A273" s="54"/>
      <c r="B273" s="54"/>
      <c r="C273" s="55"/>
      <c r="D273" s="56"/>
      <c r="E273" s="56"/>
      <c r="F273" s="56"/>
      <c r="G273" s="56"/>
      <c r="H273" s="56"/>
      <c r="I273" s="56"/>
      <c r="J273" s="56"/>
      <c r="K273" s="56"/>
      <c r="L273" s="195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195"/>
      <c r="Z273" s="56"/>
      <c r="AA273" s="56"/>
      <c r="AB273" s="82"/>
    </row>
    <row r="274" spans="1:28" s="85" customFormat="1" ht="42" customHeight="1" x14ac:dyDescent="0.45">
      <c r="A274" s="241"/>
      <c r="B274" s="241"/>
      <c r="C274" s="241"/>
      <c r="D274" s="241"/>
      <c r="E274" s="30"/>
      <c r="F274" s="30"/>
      <c r="G274" s="92"/>
      <c r="H274" s="92"/>
      <c r="I274" s="92"/>
      <c r="J274" s="92"/>
      <c r="K274" s="92"/>
      <c r="L274" s="157"/>
      <c r="M274" s="92"/>
      <c r="N274" s="92"/>
      <c r="O274" s="92"/>
      <c r="P274" s="242"/>
      <c r="Q274" s="242"/>
      <c r="R274" s="242"/>
      <c r="S274" s="141"/>
      <c r="T274" s="141"/>
      <c r="U274" s="141"/>
      <c r="V274" s="141"/>
      <c r="W274" s="141"/>
      <c r="X274" s="141"/>
      <c r="Y274" s="197"/>
      <c r="Z274" s="141"/>
      <c r="AA274" s="86"/>
      <c r="AB274" s="82"/>
    </row>
    <row r="275" spans="1:28" x14ac:dyDescent="0.25">
      <c r="AB275" s="82"/>
    </row>
    <row r="276" spans="1:28" x14ac:dyDescent="0.25">
      <c r="AB276" s="82"/>
    </row>
    <row r="277" spans="1:28" x14ac:dyDescent="0.25">
      <c r="AB277" s="82"/>
    </row>
    <row r="278" spans="1:28" x14ac:dyDescent="0.25">
      <c r="AB278" s="82"/>
    </row>
    <row r="279" spans="1:28" x14ac:dyDescent="0.25">
      <c r="AB279" s="82"/>
    </row>
    <row r="280" spans="1:28" x14ac:dyDescent="0.25">
      <c r="AB280" s="82"/>
    </row>
    <row r="281" spans="1:28" x14ac:dyDescent="0.25">
      <c r="AB281" s="82"/>
    </row>
    <row r="282" spans="1:28" x14ac:dyDescent="0.25">
      <c r="AB282" s="82"/>
    </row>
    <row r="283" spans="1:28" x14ac:dyDescent="0.25">
      <c r="AB283" s="82"/>
    </row>
    <row r="284" spans="1:28" x14ac:dyDescent="0.25">
      <c r="AB284" s="82"/>
    </row>
    <row r="285" spans="1:28" x14ac:dyDescent="0.25">
      <c r="AB285" s="82"/>
    </row>
    <row r="286" spans="1:28" x14ac:dyDescent="0.25">
      <c r="AB286" s="82"/>
    </row>
    <row r="287" spans="1:28" x14ac:dyDescent="0.25">
      <c r="AB287" s="82"/>
    </row>
    <row r="288" spans="1:28" x14ac:dyDescent="0.25">
      <c r="AB288" s="82"/>
    </row>
    <row r="289" spans="28:28" x14ac:dyDescent="0.25">
      <c r="AB289" s="82"/>
    </row>
    <row r="290" spans="28:28" x14ac:dyDescent="0.25">
      <c r="AB290" s="82"/>
    </row>
    <row r="291" spans="28:28" x14ac:dyDescent="0.25">
      <c r="AB291" s="82"/>
    </row>
    <row r="292" spans="28:28" x14ac:dyDescent="0.25">
      <c r="AB292" s="82"/>
    </row>
    <row r="293" spans="28:28" x14ac:dyDescent="0.25">
      <c r="AB293" s="82"/>
    </row>
    <row r="294" spans="28:28" x14ac:dyDescent="0.25">
      <c r="AB294" s="82"/>
    </row>
    <row r="295" spans="28:28" x14ac:dyDescent="0.25">
      <c r="AB295" s="82"/>
    </row>
    <row r="296" spans="28:28" x14ac:dyDescent="0.25">
      <c r="AB296" s="82"/>
    </row>
    <row r="297" spans="28:28" x14ac:dyDescent="0.25">
      <c r="AB297" s="82"/>
    </row>
    <row r="298" spans="28:28" x14ac:dyDescent="0.25">
      <c r="AB298" s="82"/>
    </row>
    <row r="299" spans="28:28" x14ac:dyDescent="0.25">
      <c r="AB299" s="82"/>
    </row>
    <row r="300" spans="28:28" x14ac:dyDescent="0.25">
      <c r="AB300" s="79"/>
    </row>
    <row r="301" spans="28:28" x14ac:dyDescent="0.25">
      <c r="AB301" s="79"/>
    </row>
    <row r="302" spans="28:28" x14ac:dyDescent="0.25">
      <c r="AB302" s="79"/>
    </row>
  </sheetData>
  <mergeCells count="46">
    <mergeCell ref="V1:Y1"/>
    <mergeCell ref="AB1:AB41"/>
    <mergeCell ref="AB42:AB72"/>
    <mergeCell ref="AB73:AB97"/>
    <mergeCell ref="AC1:AC111"/>
    <mergeCell ref="A11:AA11"/>
    <mergeCell ref="A12:AA12"/>
    <mergeCell ref="A10:AA10"/>
    <mergeCell ref="D16:D17"/>
    <mergeCell ref="P16:Q16"/>
    <mergeCell ref="E16:E17"/>
    <mergeCell ref="M15:R15"/>
    <mergeCell ref="D15:H15"/>
    <mergeCell ref="H16:H17"/>
    <mergeCell ref="Y14:Y17"/>
    <mergeCell ref="Z14:Z17"/>
    <mergeCell ref="X16:X17"/>
    <mergeCell ref="M16:M17"/>
    <mergeCell ref="AB130:AB155"/>
    <mergeCell ref="AB156:AB195"/>
    <mergeCell ref="L14:L17"/>
    <mergeCell ref="M14:X14"/>
    <mergeCell ref="S15:X15"/>
    <mergeCell ref="R16:R17"/>
    <mergeCell ref="AA15:AA17"/>
    <mergeCell ref="S16:S17"/>
    <mergeCell ref="T16:T17"/>
    <mergeCell ref="U16:U17"/>
    <mergeCell ref="V16:W16"/>
    <mergeCell ref="N16:N17"/>
    <mergeCell ref="O16:O17"/>
    <mergeCell ref="AB196:AB233"/>
    <mergeCell ref="AB234:AB272"/>
    <mergeCell ref="AB98:AB129"/>
    <mergeCell ref="A274:D274"/>
    <mergeCell ref="P274:R274"/>
    <mergeCell ref="X270:AA270"/>
    <mergeCell ref="A270:N270"/>
    <mergeCell ref="A14:A17"/>
    <mergeCell ref="B14:B17"/>
    <mergeCell ref="C14:C17"/>
    <mergeCell ref="D14:K14"/>
    <mergeCell ref="F16:G16"/>
    <mergeCell ref="I16:I17"/>
    <mergeCell ref="J16:K16"/>
    <mergeCell ref="I15:K15"/>
  </mergeCells>
  <phoneticPr fontId="2" type="noConversion"/>
  <printOptions horizontalCentered="1"/>
  <pageMargins left="0" right="0" top="0.86614173228346458" bottom="0.31496062992125984" header="0.62992125984251968" footer="0.15748031496062992"/>
  <pageSetup paperSize="9" scale="28" fitToHeight="10000" orientation="landscape" errors="blank" verticalDpi="360" r:id="rId1"/>
  <headerFooter differentFirst="1" scaleWithDoc="0" alignWithMargins="0">
    <oddHeader>&amp;RПродовження  додатку</oddHeader>
  </headerFooter>
  <rowBreaks count="1" manualBreakCount="1">
    <brk id="195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 2</vt:lpstr>
      <vt:lpstr>дод 5</vt:lpstr>
      <vt:lpstr>'дод 2'!Заголовки_для_печати</vt:lpstr>
      <vt:lpstr>'дод 5'!Заголовки_для_печати</vt:lpstr>
      <vt:lpstr>'дод 2'!Область_печати</vt:lpstr>
      <vt:lpstr>'дод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Яненко Наталія Олександрівна</cp:lastModifiedBy>
  <cp:lastPrinted>2026-02-16T08:47:06Z</cp:lastPrinted>
  <dcterms:created xsi:type="dcterms:W3CDTF">2014-01-17T10:52:16Z</dcterms:created>
  <dcterms:modified xsi:type="dcterms:W3CDTF">2026-02-20T09:19:29Z</dcterms:modified>
</cp:coreProperties>
</file>