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590" activeTab="1"/>
  </bookViews>
  <sheets>
    <sheet name="Заходи" sheetId="1" r:id="rId1"/>
    <sheet name="Результативні" sheetId="5" r:id="rId2"/>
  </sheets>
  <definedNames>
    <definedName name="_xlnm.Print_Area" localSheetId="0">Заходи!$A$1:$N$432</definedName>
    <definedName name="_xlnm.Print_Area" localSheetId="1">Результативні!$A$1:$H$453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5" l="1"/>
  <c r="E8" i="5"/>
  <c r="E9" i="5"/>
  <c r="G12" i="1" l="1"/>
  <c r="J12" i="1"/>
  <c r="K30" i="1"/>
  <c r="K276" i="1"/>
  <c r="K15" i="1"/>
  <c r="N276" i="1"/>
  <c r="J58" i="1"/>
  <c r="G34" i="1"/>
  <c r="J34" i="1"/>
  <c r="J82" i="1" l="1"/>
  <c r="F300" i="5" l="1"/>
  <c r="F133" i="5"/>
  <c r="F81" i="5"/>
  <c r="F398" i="5"/>
  <c r="N386" i="1"/>
  <c r="N385" i="1"/>
  <c r="N383" i="1" s="1"/>
  <c r="N384" i="1"/>
  <c r="M386" i="1"/>
  <c r="M385" i="1"/>
  <c r="M383" i="1" s="1"/>
  <c r="M384" i="1"/>
  <c r="K386" i="1"/>
  <c r="K383" i="1" s="1"/>
  <c r="K385" i="1"/>
  <c r="K384" i="1"/>
  <c r="J386" i="1"/>
  <c r="J383" i="1" s="1"/>
  <c r="J385" i="1"/>
  <c r="J384" i="1"/>
  <c r="H384" i="1"/>
  <c r="H383" i="1" s="1"/>
  <c r="H385" i="1"/>
  <c r="H386" i="1"/>
  <c r="G384" i="1"/>
  <c r="G385" i="1"/>
  <c r="G386" i="1"/>
  <c r="H407" i="1" l="1"/>
  <c r="M114" i="1" l="1"/>
  <c r="M198" i="1" l="1"/>
  <c r="M162" i="1"/>
  <c r="M106" i="1"/>
  <c r="M274" i="1"/>
  <c r="M74" i="1"/>
  <c r="F296" i="5" l="1"/>
  <c r="F213" i="5"/>
  <c r="F178" i="5"/>
  <c r="F118" i="5"/>
  <c r="I336" i="1" l="1"/>
  <c r="I337" i="1"/>
  <c r="I338" i="1"/>
  <c r="I339" i="1"/>
  <c r="I341" i="1"/>
  <c r="I342" i="1"/>
  <c r="J38" i="1"/>
  <c r="K376" i="1"/>
  <c r="K340" i="1"/>
  <c r="I340" i="1" s="1"/>
  <c r="K335" i="1"/>
  <c r="I335" i="1" s="1"/>
  <c r="M270" i="1"/>
  <c r="J178" i="1"/>
  <c r="J74" i="1"/>
  <c r="J70" i="1"/>
  <c r="H360" i="1" l="1"/>
  <c r="K360" i="1" s="1"/>
  <c r="H359" i="1" l="1"/>
  <c r="K359" i="1" s="1"/>
  <c r="F423" i="5"/>
  <c r="F80" i="5" l="1"/>
  <c r="F96" i="5" l="1"/>
  <c r="F103" i="5"/>
  <c r="F143" i="5"/>
  <c r="F196" i="5" l="1"/>
  <c r="F250" i="5" l="1"/>
  <c r="F332" i="5"/>
  <c r="F357" i="5"/>
  <c r="F390" i="5"/>
  <c r="F441" i="5"/>
  <c r="F445" i="5"/>
  <c r="L369" i="1" l="1"/>
  <c r="N406" i="1" l="1"/>
  <c r="N407" i="1"/>
  <c r="N29" i="1" l="1"/>
  <c r="M29" i="1"/>
  <c r="L32" i="1"/>
  <c r="L31" i="1"/>
  <c r="L30" i="1"/>
  <c r="L29" i="1"/>
  <c r="M66" i="1" l="1"/>
  <c r="M78" i="1"/>
  <c r="M122" i="1"/>
  <c r="M142" i="1"/>
  <c r="M158" i="1"/>
  <c r="M186" i="1"/>
  <c r="M315" i="1" l="1"/>
  <c r="M286" i="1"/>
  <c r="M242" i="1"/>
  <c r="N332" i="1" l="1"/>
  <c r="N335" i="1"/>
  <c r="N331" i="1" s="1"/>
  <c r="J242" i="1" l="1"/>
  <c r="J186" i="1"/>
  <c r="J158" i="1"/>
  <c r="J142" i="1"/>
  <c r="J122" i="1"/>
  <c r="J66" i="1"/>
  <c r="M392" i="1" l="1"/>
  <c r="L384" i="1" s="1"/>
  <c r="N391" i="1"/>
  <c r="J392" i="1"/>
  <c r="I392" i="1" s="1"/>
  <c r="I391" i="1" s="1"/>
  <c r="K391" i="1"/>
  <c r="L101" i="1"/>
  <c r="M391" i="1" l="1"/>
  <c r="J391" i="1"/>
  <c r="L392" i="1"/>
  <c r="L391" i="1" s="1"/>
  <c r="K242" i="1"/>
  <c r="N356" i="1"/>
  <c r="L356" i="1" s="1"/>
  <c r="M355" i="1"/>
  <c r="N355" i="1" l="1"/>
  <c r="L355" i="1" s="1"/>
  <c r="M22" i="1"/>
  <c r="M18" i="1" s="1"/>
  <c r="N22" i="1"/>
  <c r="J22" i="1"/>
  <c r="J18" i="1" s="1"/>
  <c r="K22" i="1"/>
  <c r="K18" i="1" s="1"/>
  <c r="L26" i="1"/>
  <c r="L22" i="1" s="1"/>
  <c r="M25" i="1"/>
  <c r="N25" i="1"/>
  <c r="K25" i="1"/>
  <c r="M21" i="1" l="1"/>
  <c r="L25" i="1"/>
  <c r="N21" i="1"/>
  <c r="N18" i="1"/>
  <c r="J245" i="1"/>
  <c r="L368" i="1"/>
  <c r="I368" i="1"/>
  <c r="N367" i="1"/>
  <c r="L367" i="1" s="1"/>
  <c r="K331" i="1" l="1"/>
  <c r="L334" i="1"/>
  <c r="L335" i="1"/>
  <c r="L336" i="1"/>
  <c r="L337" i="1"/>
  <c r="L338" i="1"/>
  <c r="L339" i="1"/>
  <c r="L340" i="1"/>
  <c r="L341" i="1"/>
  <c r="L342" i="1"/>
  <c r="N365" i="1"/>
  <c r="N364" i="1"/>
  <c r="K364" i="1"/>
  <c r="K367" i="1"/>
  <c r="N363" i="1" l="1"/>
  <c r="N352" i="1"/>
  <c r="G306" i="1"/>
  <c r="G74" i="1"/>
  <c r="G62" i="1"/>
  <c r="H331" i="1"/>
  <c r="H335" i="1"/>
  <c r="H368" i="1" l="1"/>
  <c r="G50" i="1"/>
  <c r="G198" i="1" l="1"/>
  <c r="J355" i="1" l="1"/>
  <c r="H419" i="1" l="1"/>
  <c r="H376" i="1"/>
  <c r="G274" i="1"/>
  <c r="G174" i="1"/>
  <c r="G162" i="1"/>
  <c r="G146" i="1"/>
  <c r="G58" i="1"/>
  <c r="G38" i="1"/>
  <c r="L409" i="1" l="1"/>
  <c r="L408" i="1"/>
  <c r="L407" i="1"/>
  <c r="L406" i="1"/>
  <c r="N405" i="1"/>
  <c r="M405" i="1"/>
  <c r="L404" i="1"/>
  <c r="L403" i="1"/>
  <c r="L402" i="1"/>
  <c r="N400" i="1"/>
  <c r="N399" i="1"/>
  <c r="M399" i="1"/>
  <c r="N398" i="1"/>
  <c r="N14" i="1" s="1"/>
  <c r="M398" i="1"/>
  <c r="M14" i="1" s="1"/>
  <c r="L14" i="1" s="1"/>
  <c r="N397" i="1"/>
  <c r="M397" i="1"/>
  <c r="J399" i="1"/>
  <c r="K399" i="1"/>
  <c r="I404" i="1"/>
  <c r="J398" i="1"/>
  <c r="J14" i="1" s="1"/>
  <c r="K398" i="1"/>
  <c r="K14" i="1" s="1"/>
  <c r="J397" i="1"/>
  <c r="K397" i="1"/>
  <c r="J396" i="1"/>
  <c r="I408" i="1"/>
  <c r="I403" i="1"/>
  <c r="J400" i="1"/>
  <c r="K396" i="1"/>
  <c r="K405" i="1"/>
  <c r="J405" i="1"/>
  <c r="I14" i="1" l="1"/>
  <c r="K395" i="1"/>
  <c r="K400" i="1"/>
  <c r="J395" i="1"/>
  <c r="L405" i="1"/>
  <c r="I398" i="1"/>
  <c r="L401" i="1"/>
  <c r="L396" i="1" s="1"/>
  <c r="L398" i="1"/>
  <c r="L397" i="1"/>
  <c r="L399" i="1"/>
  <c r="M396" i="1"/>
  <c r="M400" i="1"/>
  <c r="N396" i="1"/>
  <c r="I27" i="1"/>
  <c r="I28" i="1"/>
  <c r="J23" i="1"/>
  <c r="J24" i="1"/>
  <c r="I26" i="1"/>
  <c r="I31" i="1"/>
  <c r="I32" i="1"/>
  <c r="K29" i="1"/>
  <c r="I30" i="1"/>
  <c r="K388" i="1"/>
  <c r="K366" i="1"/>
  <c r="I366" i="1" s="1"/>
  <c r="K365" i="1"/>
  <c r="I365" i="1" s="1"/>
  <c r="I369" i="1"/>
  <c r="I370" i="1"/>
  <c r="I373" i="1"/>
  <c r="I374" i="1"/>
  <c r="I372" i="1"/>
  <c r="M395" i="1" l="1"/>
  <c r="O12" i="1"/>
  <c r="N395" i="1"/>
  <c r="L400" i="1"/>
  <c r="J25" i="1"/>
  <c r="I25" i="1" s="1"/>
  <c r="K371" i="1"/>
  <c r="I371" i="1" s="1"/>
  <c r="J29" i="1"/>
  <c r="I29" i="1" s="1"/>
  <c r="I22" i="1"/>
  <c r="I367" i="1"/>
  <c r="L395" i="1"/>
  <c r="I361" i="1"/>
  <c r="I362" i="1"/>
  <c r="K352" i="1" l="1"/>
  <c r="I364" i="1"/>
  <c r="K363" i="1"/>
  <c r="K356" i="1" l="1"/>
  <c r="G445" i="5"/>
  <c r="G438" i="5"/>
  <c r="F438" i="5"/>
  <c r="E434" i="5"/>
  <c r="E433" i="5"/>
  <c r="E432" i="5"/>
  <c r="G423" i="5"/>
  <c r="G416" i="5"/>
  <c r="F416" i="5"/>
  <c r="E356" i="5"/>
  <c r="E351" i="5"/>
  <c r="F132" i="5"/>
  <c r="E132" i="5"/>
  <c r="F104" i="5"/>
  <c r="E104" i="5"/>
  <c r="F97" i="5"/>
  <c r="E97" i="5"/>
  <c r="F92" i="5"/>
  <c r="E92" i="5"/>
  <c r="E80" i="5"/>
  <c r="F79" i="5"/>
  <c r="E79" i="5"/>
  <c r="F78" i="5"/>
  <c r="E78" i="5"/>
  <c r="F53" i="5"/>
  <c r="E53" i="5"/>
  <c r="F48" i="5"/>
  <c r="E48" i="5"/>
  <c r="F35" i="5"/>
  <c r="E35" i="5"/>
  <c r="F30" i="5"/>
  <c r="E30" i="5"/>
  <c r="F25" i="5"/>
  <c r="E25" i="5"/>
  <c r="N425" i="1"/>
  <c r="N422" i="1" s="1"/>
  <c r="M425" i="1"/>
  <c r="L425" i="1" s="1"/>
  <c r="J425" i="1"/>
  <c r="I425" i="1" s="1"/>
  <c r="H425" i="1"/>
  <c r="G425" i="1"/>
  <c r="M424" i="1"/>
  <c r="L424" i="1" s="1"/>
  <c r="J424" i="1"/>
  <c r="I424" i="1" s="1"/>
  <c r="G424" i="1"/>
  <c r="F424" i="1" s="1"/>
  <c r="L423" i="1"/>
  <c r="I423" i="1"/>
  <c r="H423" i="1"/>
  <c r="F423" i="1" s="1"/>
  <c r="K422" i="1"/>
  <c r="N421" i="1"/>
  <c r="M421" i="1"/>
  <c r="J421" i="1"/>
  <c r="I421" i="1" s="1"/>
  <c r="H421" i="1"/>
  <c r="H418" i="1" s="1"/>
  <c r="G421" i="1"/>
  <c r="M420" i="1"/>
  <c r="L420" i="1" s="1"/>
  <c r="J420" i="1"/>
  <c r="I420" i="1" s="1"/>
  <c r="G420" i="1"/>
  <c r="F420" i="1" s="1"/>
  <c r="L419" i="1"/>
  <c r="I419" i="1"/>
  <c r="F419" i="1"/>
  <c r="K418" i="1"/>
  <c r="N417" i="1"/>
  <c r="M417" i="1"/>
  <c r="J417" i="1"/>
  <c r="I417" i="1" s="1"/>
  <c r="H417" i="1"/>
  <c r="H414" i="1" s="1"/>
  <c r="G417" i="1"/>
  <c r="G416" i="1"/>
  <c r="L415" i="1"/>
  <c r="I415" i="1"/>
  <c r="F415" i="1"/>
  <c r="K414" i="1"/>
  <c r="L413" i="1"/>
  <c r="I413" i="1"/>
  <c r="F413" i="1"/>
  <c r="L412" i="1"/>
  <c r="I412" i="1"/>
  <c r="F412" i="1"/>
  <c r="L411" i="1"/>
  <c r="I411" i="1"/>
  <c r="F411" i="1"/>
  <c r="N410" i="1"/>
  <c r="M410" i="1"/>
  <c r="K410" i="1"/>
  <c r="J410" i="1"/>
  <c r="H410" i="1"/>
  <c r="G410" i="1"/>
  <c r="I409" i="1"/>
  <c r="I399" i="1" s="1"/>
  <c r="F409" i="1"/>
  <c r="H408" i="1"/>
  <c r="F408" i="1" s="1"/>
  <c r="I407" i="1"/>
  <c r="F407" i="1"/>
  <c r="I406" i="1"/>
  <c r="H406" i="1"/>
  <c r="H405" i="1" s="1"/>
  <c r="F404" i="1"/>
  <c r="H403" i="1"/>
  <c r="I402" i="1"/>
  <c r="H402" i="1"/>
  <c r="F402" i="1" s="1"/>
  <c r="I401" i="1"/>
  <c r="H401" i="1"/>
  <c r="G401" i="1"/>
  <c r="G396" i="1" s="1"/>
  <c r="H399" i="1"/>
  <c r="G399" i="1"/>
  <c r="G398" i="1"/>
  <c r="G397" i="1"/>
  <c r="F394" i="1"/>
  <c r="F393" i="1"/>
  <c r="G392" i="1"/>
  <c r="H391" i="1"/>
  <c r="L390" i="1"/>
  <c r="I390" i="1"/>
  <c r="F390" i="1"/>
  <c r="L389" i="1"/>
  <c r="I389" i="1"/>
  <c r="F389" i="1"/>
  <c r="L388" i="1"/>
  <c r="I388" i="1"/>
  <c r="H388" i="1"/>
  <c r="H387" i="1" s="1"/>
  <c r="N387" i="1"/>
  <c r="M387" i="1"/>
  <c r="K387" i="1"/>
  <c r="J387" i="1"/>
  <c r="G387" i="1"/>
  <c r="L382" i="1"/>
  <c r="I382" i="1"/>
  <c r="F382" i="1"/>
  <c r="L381" i="1"/>
  <c r="I381" i="1"/>
  <c r="F381" i="1"/>
  <c r="L380" i="1"/>
  <c r="I380" i="1"/>
  <c r="H380" i="1"/>
  <c r="N379" i="1"/>
  <c r="M379" i="1"/>
  <c r="K379" i="1"/>
  <c r="J379" i="1"/>
  <c r="G379" i="1"/>
  <c r="L378" i="1"/>
  <c r="I378" i="1"/>
  <c r="F378" i="1"/>
  <c r="L377" i="1"/>
  <c r="I377" i="1"/>
  <c r="F377" i="1"/>
  <c r="L376" i="1"/>
  <c r="I376" i="1"/>
  <c r="F376" i="1"/>
  <c r="N375" i="1"/>
  <c r="M375" i="1"/>
  <c r="K375" i="1"/>
  <c r="J375" i="1"/>
  <c r="H375" i="1"/>
  <c r="G375" i="1"/>
  <c r="F374" i="1"/>
  <c r="F373" i="1"/>
  <c r="H372" i="1"/>
  <c r="F370" i="1"/>
  <c r="H369" i="1"/>
  <c r="F369" i="1" s="1"/>
  <c r="F368" i="1"/>
  <c r="L366" i="1"/>
  <c r="I363" i="1"/>
  <c r="F366" i="1"/>
  <c r="L365" i="1"/>
  <c r="L364" i="1"/>
  <c r="M363" i="1"/>
  <c r="J363" i="1"/>
  <c r="G363" i="1"/>
  <c r="F362" i="1"/>
  <c r="G361" i="1"/>
  <c r="F361" i="1" s="1"/>
  <c r="G360" i="1"/>
  <c r="J360" i="1" s="1"/>
  <c r="I360" i="1" s="1"/>
  <c r="G359" i="1"/>
  <c r="J359" i="1" s="1"/>
  <c r="I359" i="1" s="1"/>
  <c r="G358" i="1"/>
  <c r="G357" i="1"/>
  <c r="G356" i="1"/>
  <c r="G355" i="1"/>
  <c r="N354" i="1"/>
  <c r="N350" i="1" s="1"/>
  <c r="M354" i="1"/>
  <c r="K354" i="1"/>
  <c r="K358" i="1" s="1"/>
  <c r="I358" i="1" s="1"/>
  <c r="J354" i="1"/>
  <c r="J350" i="1" s="1"/>
  <c r="J346" i="1" s="1"/>
  <c r="H354" i="1"/>
  <c r="H350" i="1" s="1"/>
  <c r="H347" i="1" s="1"/>
  <c r="G354" i="1"/>
  <c r="N353" i="1"/>
  <c r="M353" i="1"/>
  <c r="M349" i="1" s="1"/>
  <c r="K353" i="1"/>
  <c r="J353" i="1"/>
  <c r="J349" i="1" s="1"/>
  <c r="G353" i="1"/>
  <c r="G349" i="1" s="1"/>
  <c r="M352" i="1"/>
  <c r="J352" i="1"/>
  <c r="G352" i="1"/>
  <c r="L348" i="1"/>
  <c r="I348" i="1"/>
  <c r="G348" i="1"/>
  <c r="F348" i="1" s="1"/>
  <c r="K347" i="1"/>
  <c r="F346" i="1"/>
  <c r="F345" i="1"/>
  <c r="L344" i="1"/>
  <c r="I344" i="1"/>
  <c r="H344" i="1"/>
  <c r="H343" i="1" s="1"/>
  <c r="G344" i="1"/>
  <c r="K343" i="1"/>
  <c r="H342" i="1"/>
  <c r="F342" i="1" s="1"/>
  <c r="F341" i="1"/>
  <c r="F340" i="1"/>
  <c r="F339" i="1"/>
  <c r="F338" i="1"/>
  <c r="H337" i="1"/>
  <c r="F337" i="1" s="1"/>
  <c r="H336" i="1"/>
  <c r="F336" i="1" s="1"/>
  <c r="F335" i="1"/>
  <c r="F334" i="1"/>
  <c r="H333" i="1"/>
  <c r="H332" i="1"/>
  <c r="L331" i="1"/>
  <c r="I331" i="1"/>
  <c r="F331" i="1"/>
  <c r="K330" i="1"/>
  <c r="L329" i="1"/>
  <c r="I329" i="1"/>
  <c r="F329" i="1"/>
  <c r="L328" i="1"/>
  <c r="I328" i="1"/>
  <c r="F328" i="1"/>
  <c r="L327" i="1"/>
  <c r="I327" i="1"/>
  <c r="F327" i="1"/>
  <c r="N326" i="1"/>
  <c r="M326" i="1"/>
  <c r="K326" i="1"/>
  <c r="J326" i="1"/>
  <c r="H326" i="1"/>
  <c r="G326" i="1"/>
  <c r="L325" i="1"/>
  <c r="I325" i="1"/>
  <c r="F325" i="1"/>
  <c r="L324" i="1"/>
  <c r="I324" i="1"/>
  <c r="F324" i="1"/>
  <c r="L323" i="1"/>
  <c r="I323" i="1"/>
  <c r="G323" i="1"/>
  <c r="F323" i="1" s="1"/>
  <c r="N322" i="1"/>
  <c r="M322" i="1"/>
  <c r="K322" i="1"/>
  <c r="J322" i="1"/>
  <c r="H322" i="1"/>
  <c r="L321" i="1"/>
  <c r="I321" i="1"/>
  <c r="F321" i="1"/>
  <c r="L320" i="1"/>
  <c r="I320" i="1"/>
  <c r="F320" i="1"/>
  <c r="L319" i="1"/>
  <c r="I319" i="1"/>
  <c r="F319" i="1"/>
  <c r="N318" i="1"/>
  <c r="M318" i="1"/>
  <c r="K318" i="1"/>
  <c r="J318" i="1"/>
  <c r="H318" i="1"/>
  <c r="G318" i="1"/>
  <c r="N317" i="1"/>
  <c r="M317" i="1"/>
  <c r="K317" i="1"/>
  <c r="J317" i="1"/>
  <c r="H317" i="1"/>
  <c r="G317" i="1"/>
  <c r="N316" i="1"/>
  <c r="M316" i="1"/>
  <c r="K316" i="1"/>
  <c r="J316" i="1"/>
  <c r="H316" i="1"/>
  <c r="G316" i="1"/>
  <c r="N315" i="1"/>
  <c r="K315" i="1"/>
  <c r="J315" i="1"/>
  <c r="H315" i="1"/>
  <c r="L313" i="1"/>
  <c r="I313" i="1"/>
  <c r="F313" i="1"/>
  <c r="L312" i="1"/>
  <c r="I312" i="1"/>
  <c r="F312" i="1"/>
  <c r="L311" i="1"/>
  <c r="I311" i="1"/>
  <c r="H311" i="1"/>
  <c r="H310" i="1" s="1"/>
  <c r="G311" i="1"/>
  <c r="N310" i="1"/>
  <c r="M310" i="1"/>
  <c r="K310" i="1"/>
  <c r="J310" i="1"/>
  <c r="L308" i="1"/>
  <c r="I308" i="1"/>
  <c r="F308" i="1"/>
  <c r="L307" i="1"/>
  <c r="I307" i="1"/>
  <c r="F307" i="1"/>
  <c r="L306" i="1"/>
  <c r="I306" i="1"/>
  <c r="H306" i="1"/>
  <c r="N305" i="1"/>
  <c r="M305" i="1"/>
  <c r="K305" i="1"/>
  <c r="J305" i="1"/>
  <c r="G305" i="1"/>
  <c r="L304" i="1"/>
  <c r="I304" i="1"/>
  <c r="F304" i="1"/>
  <c r="L303" i="1"/>
  <c r="I303" i="1"/>
  <c r="F303" i="1"/>
  <c r="L302" i="1"/>
  <c r="I302" i="1"/>
  <c r="H302" i="1"/>
  <c r="H301" i="1" s="1"/>
  <c r="G302" i="1"/>
  <c r="N301" i="1"/>
  <c r="M301" i="1"/>
  <c r="K301" i="1"/>
  <c r="J301" i="1"/>
  <c r="L300" i="1"/>
  <c r="I300" i="1"/>
  <c r="F300" i="1"/>
  <c r="L299" i="1"/>
  <c r="I299" i="1"/>
  <c r="F299" i="1"/>
  <c r="L298" i="1"/>
  <c r="I298" i="1"/>
  <c r="G298" i="1"/>
  <c r="F298" i="1" s="1"/>
  <c r="N297" i="1"/>
  <c r="M297" i="1"/>
  <c r="K297" i="1"/>
  <c r="J297" i="1"/>
  <c r="H297" i="1"/>
  <c r="L296" i="1"/>
  <c r="I296" i="1"/>
  <c r="F296" i="1"/>
  <c r="L295" i="1"/>
  <c r="I295" i="1"/>
  <c r="F295" i="1"/>
  <c r="L294" i="1"/>
  <c r="I294" i="1"/>
  <c r="H294" i="1"/>
  <c r="H293" i="1" s="1"/>
  <c r="G294" i="1"/>
  <c r="N293" i="1"/>
  <c r="M293" i="1"/>
  <c r="K293" i="1"/>
  <c r="J293" i="1"/>
  <c r="L292" i="1"/>
  <c r="I292" i="1"/>
  <c r="F292" i="1"/>
  <c r="L291" i="1"/>
  <c r="I291" i="1"/>
  <c r="F291" i="1"/>
  <c r="L290" i="1"/>
  <c r="I290" i="1"/>
  <c r="F290" i="1"/>
  <c r="N289" i="1"/>
  <c r="M289" i="1"/>
  <c r="K289" i="1"/>
  <c r="J289" i="1"/>
  <c r="H289" i="1"/>
  <c r="G289" i="1"/>
  <c r="N288" i="1"/>
  <c r="M288" i="1"/>
  <c r="K288" i="1"/>
  <c r="J288" i="1"/>
  <c r="H288" i="1"/>
  <c r="G288" i="1"/>
  <c r="N287" i="1"/>
  <c r="M287" i="1"/>
  <c r="K287" i="1"/>
  <c r="J287" i="1"/>
  <c r="H287" i="1"/>
  <c r="G287" i="1"/>
  <c r="N286" i="1"/>
  <c r="K286" i="1"/>
  <c r="J286" i="1"/>
  <c r="L284" i="1"/>
  <c r="I284" i="1"/>
  <c r="F284" i="1"/>
  <c r="L283" i="1"/>
  <c r="I283" i="1"/>
  <c r="F283" i="1"/>
  <c r="L282" i="1"/>
  <c r="I282" i="1"/>
  <c r="F282" i="1"/>
  <c r="N281" i="1"/>
  <c r="M281" i="1"/>
  <c r="K281" i="1"/>
  <c r="J281" i="1"/>
  <c r="H281" i="1"/>
  <c r="G281" i="1"/>
  <c r="N280" i="1"/>
  <c r="M280" i="1"/>
  <c r="K280" i="1"/>
  <c r="J280" i="1"/>
  <c r="H280" i="1"/>
  <c r="G280" i="1"/>
  <c r="N279" i="1"/>
  <c r="M279" i="1"/>
  <c r="K279" i="1"/>
  <c r="J279" i="1"/>
  <c r="H279" i="1"/>
  <c r="G279" i="1"/>
  <c r="N278" i="1"/>
  <c r="M278" i="1"/>
  <c r="K278" i="1"/>
  <c r="J278" i="1"/>
  <c r="H278" i="1"/>
  <c r="G278" i="1"/>
  <c r="L276" i="1"/>
  <c r="I276" i="1"/>
  <c r="H276" i="1"/>
  <c r="L275" i="1"/>
  <c r="I275" i="1"/>
  <c r="F275" i="1"/>
  <c r="L274" i="1"/>
  <c r="H274" i="1"/>
  <c r="N273" i="1"/>
  <c r="M273" i="1"/>
  <c r="K273" i="1"/>
  <c r="G273" i="1"/>
  <c r="L272" i="1"/>
  <c r="I272" i="1"/>
  <c r="F272" i="1"/>
  <c r="L271" i="1"/>
  <c r="I271" i="1"/>
  <c r="F271" i="1"/>
  <c r="L270" i="1"/>
  <c r="I270" i="1"/>
  <c r="G270" i="1"/>
  <c r="F270" i="1" s="1"/>
  <c r="N269" i="1"/>
  <c r="M269" i="1"/>
  <c r="K269" i="1"/>
  <c r="J269" i="1"/>
  <c r="H269" i="1"/>
  <c r="L268" i="1"/>
  <c r="I268" i="1"/>
  <c r="F268" i="1"/>
  <c r="L267" i="1"/>
  <c r="I267" i="1"/>
  <c r="F267" i="1"/>
  <c r="L266" i="1"/>
  <c r="I266" i="1"/>
  <c r="G266" i="1"/>
  <c r="N265" i="1"/>
  <c r="M265" i="1"/>
  <c r="K265" i="1"/>
  <c r="J265" i="1"/>
  <c r="H265" i="1"/>
  <c r="L264" i="1"/>
  <c r="I264" i="1"/>
  <c r="F264" i="1"/>
  <c r="L263" i="1"/>
  <c r="I263" i="1"/>
  <c r="F263" i="1"/>
  <c r="L262" i="1"/>
  <c r="I262" i="1"/>
  <c r="G262" i="1"/>
  <c r="F262" i="1" s="1"/>
  <c r="N261" i="1"/>
  <c r="M261" i="1"/>
  <c r="K261" i="1"/>
  <c r="J261" i="1"/>
  <c r="H261" i="1"/>
  <c r="L260" i="1"/>
  <c r="I260" i="1"/>
  <c r="F260" i="1"/>
  <c r="L259" i="1"/>
  <c r="I259" i="1"/>
  <c r="F259" i="1"/>
  <c r="L258" i="1"/>
  <c r="I258" i="1"/>
  <c r="G258" i="1"/>
  <c r="G257" i="1" s="1"/>
  <c r="N257" i="1"/>
  <c r="M257" i="1"/>
  <c r="K257" i="1"/>
  <c r="J257" i="1"/>
  <c r="H257" i="1"/>
  <c r="L256" i="1"/>
  <c r="I256" i="1"/>
  <c r="F256" i="1"/>
  <c r="L255" i="1"/>
  <c r="I255" i="1"/>
  <c r="F255" i="1"/>
  <c r="L254" i="1"/>
  <c r="I254" i="1"/>
  <c r="F254" i="1"/>
  <c r="N253" i="1"/>
  <c r="M253" i="1"/>
  <c r="K253" i="1"/>
  <c r="J253" i="1"/>
  <c r="H253" i="1"/>
  <c r="G253" i="1"/>
  <c r="L252" i="1"/>
  <c r="I252" i="1"/>
  <c r="F252" i="1"/>
  <c r="L251" i="1"/>
  <c r="I251" i="1"/>
  <c r="F251" i="1"/>
  <c r="L250" i="1"/>
  <c r="I250" i="1"/>
  <c r="G250" i="1"/>
  <c r="F250" i="1" s="1"/>
  <c r="N249" i="1"/>
  <c r="M249" i="1"/>
  <c r="K249" i="1"/>
  <c r="H249" i="1"/>
  <c r="L248" i="1"/>
  <c r="I248" i="1"/>
  <c r="F248" i="1"/>
  <c r="L247" i="1"/>
  <c r="I247" i="1"/>
  <c r="F247" i="1"/>
  <c r="L246" i="1"/>
  <c r="I246" i="1"/>
  <c r="F246" i="1"/>
  <c r="N245" i="1"/>
  <c r="M245" i="1"/>
  <c r="K245" i="1"/>
  <c r="H245" i="1"/>
  <c r="G245" i="1"/>
  <c r="N244" i="1"/>
  <c r="M244" i="1"/>
  <c r="J244" i="1"/>
  <c r="G244" i="1"/>
  <c r="N243" i="1"/>
  <c r="M243" i="1"/>
  <c r="K243" i="1"/>
  <c r="J243" i="1"/>
  <c r="H243" i="1"/>
  <c r="G243" i="1"/>
  <c r="N242" i="1"/>
  <c r="L240" i="1"/>
  <c r="I240" i="1"/>
  <c r="F240" i="1"/>
  <c r="L239" i="1"/>
  <c r="I239" i="1"/>
  <c r="F239" i="1"/>
  <c r="L238" i="1"/>
  <c r="I238" i="1"/>
  <c r="G238" i="1"/>
  <c r="F238" i="1" s="1"/>
  <c r="N237" i="1"/>
  <c r="M237" i="1"/>
  <c r="K237" i="1"/>
  <c r="J237" i="1"/>
  <c r="H237" i="1"/>
  <c r="L236" i="1"/>
  <c r="I236" i="1"/>
  <c r="F236" i="1"/>
  <c r="L235" i="1"/>
  <c r="I235" i="1"/>
  <c r="F235" i="1"/>
  <c r="L234" i="1"/>
  <c r="I234" i="1"/>
  <c r="H234" i="1"/>
  <c r="F234" i="1" s="1"/>
  <c r="N233" i="1"/>
  <c r="M233" i="1"/>
  <c r="K233" i="1"/>
  <c r="J233" i="1"/>
  <c r="G233" i="1"/>
  <c r="N232" i="1"/>
  <c r="N228" i="1" s="1"/>
  <c r="M232" i="1"/>
  <c r="M228" i="1" s="1"/>
  <c r="M224" i="1" s="1"/>
  <c r="K232" i="1"/>
  <c r="K228" i="1" s="1"/>
  <c r="K224" i="1" s="1"/>
  <c r="J232" i="1"/>
  <c r="I232" i="1" s="1"/>
  <c r="H232" i="1"/>
  <c r="H228" i="1" s="1"/>
  <c r="H224" i="1" s="1"/>
  <c r="G232" i="1"/>
  <c r="G228" i="1" s="1"/>
  <c r="N231" i="1"/>
  <c r="M231" i="1"/>
  <c r="M227" i="1" s="1"/>
  <c r="K231" i="1"/>
  <c r="J231" i="1"/>
  <c r="J227" i="1" s="1"/>
  <c r="J223" i="1" s="1"/>
  <c r="H231" i="1"/>
  <c r="H227" i="1" s="1"/>
  <c r="H223" i="1" s="1"/>
  <c r="G231" i="1"/>
  <c r="N230" i="1"/>
  <c r="M230" i="1"/>
  <c r="M12" i="1" s="1"/>
  <c r="K230" i="1"/>
  <c r="J230" i="1"/>
  <c r="I230" i="1" s="1"/>
  <c r="G230" i="1"/>
  <c r="L226" i="1"/>
  <c r="I226" i="1"/>
  <c r="H226" i="1"/>
  <c r="F226" i="1" s="1"/>
  <c r="L222" i="1"/>
  <c r="I222" i="1"/>
  <c r="G222" i="1"/>
  <c r="F222" i="1" s="1"/>
  <c r="L220" i="1"/>
  <c r="I220" i="1"/>
  <c r="F220" i="1"/>
  <c r="L219" i="1"/>
  <c r="I219" i="1"/>
  <c r="F219" i="1"/>
  <c r="L218" i="1"/>
  <c r="I218" i="1"/>
  <c r="F218" i="1"/>
  <c r="N217" i="1"/>
  <c r="M217" i="1"/>
  <c r="K217" i="1"/>
  <c r="J217" i="1"/>
  <c r="H217" i="1"/>
  <c r="G217" i="1"/>
  <c r="L216" i="1"/>
  <c r="I216" i="1"/>
  <c r="F216" i="1"/>
  <c r="L215" i="1"/>
  <c r="I215" i="1"/>
  <c r="F215" i="1"/>
  <c r="L214" i="1"/>
  <c r="I214" i="1"/>
  <c r="F214" i="1"/>
  <c r="N213" i="1"/>
  <c r="M213" i="1"/>
  <c r="K213" i="1"/>
  <c r="J213" i="1"/>
  <c r="H213" i="1"/>
  <c r="G213" i="1"/>
  <c r="L212" i="1"/>
  <c r="I212" i="1"/>
  <c r="F212" i="1"/>
  <c r="L211" i="1"/>
  <c r="I211" i="1"/>
  <c r="F211" i="1"/>
  <c r="L210" i="1"/>
  <c r="I210" i="1"/>
  <c r="G210" i="1"/>
  <c r="G209" i="1" s="1"/>
  <c r="N209" i="1"/>
  <c r="M209" i="1"/>
  <c r="K209" i="1"/>
  <c r="J209" i="1"/>
  <c r="H209" i="1"/>
  <c r="L208" i="1"/>
  <c r="I208" i="1"/>
  <c r="F208" i="1"/>
  <c r="L207" i="1"/>
  <c r="I207" i="1"/>
  <c r="F207" i="1"/>
  <c r="L206" i="1"/>
  <c r="I206" i="1"/>
  <c r="G206" i="1"/>
  <c r="N205" i="1"/>
  <c r="M205" i="1"/>
  <c r="K205" i="1"/>
  <c r="J205" i="1"/>
  <c r="H205" i="1"/>
  <c r="L204" i="1"/>
  <c r="I204" i="1"/>
  <c r="F204" i="1"/>
  <c r="L203" i="1"/>
  <c r="I203" i="1"/>
  <c r="F203" i="1"/>
  <c r="L202" i="1"/>
  <c r="I202" i="1"/>
  <c r="G202" i="1"/>
  <c r="F202" i="1" s="1"/>
  <c r="N201" i="1"/>
  <c r="M201" i="1"/>
  <c r="K201" i="1"/>
  <c r="J201" i="1"/>
  <c r="H201" i="1"/>
  <c r="L200" i="1"/>
  <c r="I200" i="1"/>
  <c r="F200" i="1"/>
  <c r="L199" i="1"/>
  <c r="I199" i="1"/>
  <c r="F199" i="1"/>
  <c r="L198" i="1"/>
  <c r="I198" i="1"/>
  <c r="F198" i="1"/>
  <c r="N197" i="1"/>
  <c r="M197" i="1"/>
  <c r="K197" i="1"/>
  <c r="J197" i="1"/>
  <c r="H197" i="1"/>
  <c r="G197" i="1"/>
  <c r="L196" i="1"/>
  <c r="I196" i="1"/>
  <c r="F196" i="1"/>
  <c r="L195" i="1"/>
  <c r="I195" i="1"/>
  <c r="F195" i="1"/>
  <c r="L194" i="1"/>
  <c r="I194" i="1"/>
  <c r="G194" i="1"/>
  <c r="N193" i="1"/>
  <c r="M193" i="1"/>
  <c r="K193" i="1"/>
  <c r="J193" i="1"/>
  <c r="H193" i="1"/>
  <c r="L192" i="1"/>
  <c r="I192" i="1"/>
  <c r="F192" i="1"/>
  <c r="L191" i="1"/>
  <c r="I191" i="1"/>
  <c r="F191" i="1"/>
  <c r="L190" i="1"/>
  <c r="I190" i="1"/>
  <c r="G190" i="1"/>
  <c r="F190" i="1" s="1"/>
  <c r="N189" i="1"/>
  <c r="M189" i="1"/>
  <c r="K189" i="1"/>
  <c r="J189" i="1"/>
  <c r="H189" i="1"/>
  <c r="N188" i="1"/>
  <c r="M188" i="1"/>
  <c r="K188" i="1"/>
  <c r="J188" i="1"/>
  <c r="H188" i="1"/>
  <c r="G188" i="1"/>
  <c r="N187" i="1"/>
  <c r="M187" i="1"/>
  <c r="L187" i="1" s="1"/>
  <c r="K187" i="1"/>
  <c r="J187" i="1"/>
  <c r="H187" i="1"/>
  <c r="G187" i="1"/>
  <c r="N186" i="1"/>
  <c r="K186" i="1"/>
  <c r="H186" i="1"/>
  <c r="L184" i="1"/>
  <c r="I184" i="1"/>
  <c r="F184" i="1"/>
  <c r="L183" i="1"/>
  <c r="I183" i="1"/>
  <c r="F183" i="1"/>
  <c r="L182" i="1"/>
  <c r="I182" i="1"/>
  <c r="G182" i="1"/>
  <c r="F182" i="1" s="1"/>
  <c r="N181" i="1"/>
  <c r="M181" i="1"/>
  <c r="K181" i="1"/>
  <c r="J181" i="1"/>
  <c r="H181" i="1"/>
  <c r="L180" i="1"/>
  <c r="I180" i="1"/>
  <c r="F180" i="1"/>
  <c r="L179" i="1"/>
  <c r="I179" i="1"/>
  <c r="F179" i="1"/>
  <c r="L178" i="1"/>
  <c r="I178" i="1"/>
  <c r="G178" i="1"/>
  <c r="F178" i="1" s="1"/>
  <c r="N177" i="1"/>
  <c r="M177" i="1"/>
  <c r="K177" i="1"/>
  <c r="J177" i="1"/>
  <c r="H177" i="1"/>
  <c r="L176" i="1"/>
  <c r="I176" i="1"/>
  <c r="F176" i="1"/>
  <c r="L175" i="1"/>
  <c r="I175" i="1"/>
  <c r="F175" i="1"/>
  <c r="L174" i="1"/>
  <c r="F174" i="1"/>
  <c r="N173" i="1"/>
  <c r="M173" i="1"/>
  <c r="K173" i="1"/>
  <c r="H173" i="1"/>
  <c r="G173" i="1"/>
  <c r="L172" i="1"/>
  <c r="I172" i="1"/>
  <c r="F172" i="1"/>
  <c r="L171" i="1"/>
  <c r="I171" i="1"/>
  <c r="F171" i="1"/>
  <c r="L170" i="1"/>
  <c r="I170" i="1"/>
  <c r="G170" i="1"/>
  <c r="N169" i="1"/>
  <c r="M169" i="1"/>
  <c r="K169" i="1"/>
  <c r="J169" i="1"/>
  <c r="H169" i="1"/>
  <c r="L168" i="1"/>
  <c r="I168" i="1"/>
  <c r="F168" i="1"/>
  <c r="L167" i="1"/>
  <c r="I167" i="1"/>
  <c r="F167" i="1"/>
  <c r="L166" i="1"/>
  <c r="I166" i="1"/>
  <c r="G166" i="1"/>
  <c r="G165" i="1" s="1"/>
  <c r="N165" i="1"/>
  <c r="M165" i="1"/>
  <c r="K165" i="1"/>
  <c r="J165" i="1"/>
  <c r="H165" i="1"/>
  <c r="L164" i="1"/>
  <c r="I164" i="1"/>
  <c r="F164" i="1"/>
  <c r="L163" i="1"/>
  <c r="I163" i="1"/>
  <c r="I161" i="1" s="1"/>
  <c r="F163" i="1"/>
  <c r="L162" i="1"/>
  <c r="I162" i="1"/>
  <c r="F162" i="1"/>
  <c r="N161" i="1"/>
  <c r="M161" i="1"/>
  <c r="K161" i="1"/>
  <c r="J161" i="1"/>
  <c r="H161" i="1"/>
  <c r="G161" i="1"/>
  <c r="N160" i="1"/>
  <c r="M160" i="1"/>
  <c r="K160" i="1"/>
  <c r="J160" i="1"/>
  <c r="H160" i="1"/>
  <c r="G160" i="1"/>
  <c r="N159" i="1"/>
  <c r="M159" i="1"/>
  <c r="K159" i="1"/>
  <c r="J159" i="1"/>
  <c r="H159" i="1"/>
  <c r="F159" i="1" s="1"/>
  <c r="G159" i="1"/>
  <c r="N158" i="1"/>
  <c r="K158" i="1"/>
  <c r="H158" i="1"/>
  <c r="L156" i="1"/>
  <c r="I156" i="1"/>
  <c r="F156" i="1"/>
  <c r="L155" i="1"/>
  <c r="I155" i="1"/>
  <c r="F155" i="1"/>
  <c r="L154" i="1"/>
  <c r="I154" i="1"/>
  <c r="G154" i="1"/>
  <c r="F154" i="1" s="1"/>
  <c r="N153" i="1"/>
  <c r="M153" i="1"/>
  <c r="K153" i="1"/>
  <c r="J153" i="1"/>
  <c r="H153" i="1"/>
  <c r="L152" i="1"/>
  <c r="I152" i="1"/>
  <c r="F152" i="1"/>
  <c r="L151" i="1"/>
  <c r="I151" i="1"/>
  <c r="F151" i="1"/>
  <c r="L150" i="1"/>
  <c r="J149" i="1"/>
  <c r="G150" i="1"/>
  <c r="G149" i="1" s="1"/>
  <c r="N149" i="1"/>
  <c r="M149" i="1"/>
  <c r="K149" i="1"/>
  <c r="H149" i="1"/>
  <c r="L148" i="1"/>
  <c r="I148" i="1"/>
  <c r="F148" i="1"/>
  <c r="L147" i="1"/>
  <c r="I147" i="1"/>
  <c r="F147" i="1"/>
  <c r="L146" i="1"/>
  <c r="I146" i="1"/>
  <c r="F146" i="1"/>
  <c r="N145" i="1"/>
  <c r="M145" i="1"/>
  <c r="K145" i="1"/>
  <c r="J145" i="1"/>
  <c r="H145" i="1"/>
  <c r="G145" i="1"/>
  <c r="N144" i="1"/>
  <c r="M144" i="1"/>
  <c r="K144" i="1"/>
  <c r="J144" i="1"/>
  <c r="H144" i="1"/>
  <c r="G144" i="1"/>
  <c r="F144" i="1" s="1"/>
  <c r="N143" i="1"/>
  <c r="M143" i="1"/>
  <c r="K143" i="1"/>
  <c r="J143" i="1"/>
  <c r="H143" i="1"/>
  <c r="G143" i="1"/>
  <c r="N142" i="1"/>
  <c r="K142" i="1"/>
  <c r="H142" i="1"/>
  <c r="L140" i="1"/>
  <c r="I140" i="1"/>
  <c r="F140" i="1"/>
  <c r="L139" i="1"/>
  <c r="I139" i="1"/>
  <c r="F139" i="1"/>
  <c r="L138" i="1"/>
  <c r="I138" i="1"/>
  <c r="F138" i="1"/>
  <c r="N137" i="1"/>
  <c r="M137" i="1"/>
  <c r="K137" i="1"/>
  <c r="J137" i="1"/>
  <c r="H137" i="1"/>
  <c r="G137" i="1"/>
  <c r="L136" i="1"/>
  <c r="I136" i="1"/>
  <c r="F136" i="1"/>
  <c r="L135" i="1"/>
  <c r="I135" i="1"/>
  <c r="F135" i="1"/>
  <c r="L134" i="1"/>
  <c r="I134" i="1"/>
  <c r="G134" i="1"/>
  <c r="G133" i="1" s="1"/>
  <c r="N133" i="1"/>
  <c r="M133" i="1"/>
  <c r="K133" i="1"/>
  <c r="J133" i="1"/>
  <c r="H133" i="1"/>
  <c r="L132" i="1"/>
  <c r="I132" i="1"/>
  <c r="F132" i="1"/>
  <c r="L131" i="1"/>
  <c r="I131" i="1"/>
  <c r="F131" i="1"/>
  <c r="L130" i="1"/>
  <c r="I130" i="1"/>
  <c r="G130" i="1"/>
  <c r="G129" i="1" s="1"/>
  <c r="N129" i="1"/>
  <c r="M129" i="1"/>
  <c r="K129" i="1"/>
  <c r="J129" i="1"/>
  <c r="H129" i="1"/>
  <c r="L128" i="1"/>
  <c r="I128" i="1"/>
  <c r="F128" i="1"/>
  <c r="L127" i="1"/>
  <c r="I127" i="1"/>
  <c r="F127" i="1"/>
  <c r="L126" i="1"/>
  <c r="I126" i="1"/>
  <c r="G126" i="1"/>
  <c r="N125" i="1"/>
  <c r="M125" i="1"/>
  <c r="K125" i="1"/>
  <c r="J125" i="1"/>
  <c r="H125" i="1"/>
  <c r="N124" i="1"/>
  <c r="M124" i="1"/>
  <c r="K124" i="1"/>
  <c r="J124" i="1"/>
  <c r="H124" i="1"/>
  <c r="G124" i="1"/>
  <c r="N123" i="1"/>
  <c r="M123" i="1"/>
  <c r="K123" i="1"/>
  <c r="J123" i="1"/>
  <c r="I123" i="1" s="1"/>
  <c r="H123" i="1"/>
  <c r="G123" i="1"/>
  <c r="N122" i="1"/>
  <c r="L122" i="1"/>
  <c r="K122" i="1"/>
  <c r="H122" i="1"/>
  <c r="L120" i="1"/>
  <c r="I120" i="1"/>
  <c r="F120" i="1"/>
  <c r="L119" i="1"/>
  <c r="I119" i="1"/>
  <c r="F119" i="1"/>
  <c r="L118" i="1"/>
  <c r="I118" i="1"/>
  <c r="H118" i="1"/>
  <c r="N117" i="1"/>
  <c r="M117" i="1"/>
  <c r="K117" i="1"/>
  <c r="J117" i="1"/>
  <c r="G117" i="1"/>
  <c r="L116" i="1"/>
  <c r="I116" i="1"/>
  <c r="F116" i="1"/>
  <c r="L115" i="1"/>
  <c r="I115" i="1"/>
  <c r="F115" i="1"/>
  <c r="L114" i="1"/>
  <c r="I114" i="1"/>
  <c r="G114" i="1"/>
  <c r="F114" i="1" s="1"/>
  <c r="N113" i="1"/>
  <c r="M113" i="1"/>
  <c r="K113" i="1"/>
  <c r="J113" i="1"/>
  <c r="H113" i="1"/>
  <c r="L112" i="1"/>
  <c r="I112" i="1"/>
  <c r="F112" i="1"/>
  <c r="L111" i="1"/>
  <c r="I111" i="1"/>
  <c r="F111" i="1"/>
  <c r="L110" i="1"/>
  <c r="I110" i="1"/>
  <c r="G110" i="1"/>
  <c r="F110" i="1" s="1"/>
  <c r="N109" i="1"/>
  <c r="M109" i="1"/>
  <c r="K109" i="1"/>
  <c r="J109" i="1"/>
  <c r="H109" i="1"/>
  <c r="L108" i="1"/>
  <c r="I108" i="1"/>
  <c r="F108" i="1"/>
  <c r="L107" i="1"/>
  <c r="I107" i="1"/>
  <c r="F107" i="1"/>
  <c r="L106" i="1"/>
  <c r="I106" i="1"/>
  <c r="G106" i="1"/>
  <c r="F106" i="1" s="1"/>
  <c r="N105" i="1"/>
  <c r="M105" i="1"/>
  <c r="K105" i="1"/>
  <c r="J105" i="1"/>
  <c r="H105" i="1"/>
  <c r="L104" i="1"/>
  <c r="I104" i="1"/>
  <c r="G104" i="1"/>
  <c r="L103" i="1"/>
  <c r="I103" i="1"/>
  <c r="F103" i="1"/>
  <c r="L102" i="1"/>
  <c r="I102" i="1"/>
  <c r="G102" i="1"/>
  <c r="F102" i="1" s="1"/>
  <c r="K101" i="1"/>
  <c r="J101" i="1"/>
  <c r="H101" i="1"/>
  <c r="L100" i="1"/>
  <c r="I100" i="1"/>
  <c r="F100" i="1"/>
  <c r="L99" i="1"/>
  <c r="I99" i="1"/>
  <c r="F99" i="1"/>
  <c r="L98" i="1"/>
  <c r="I98" i="1"/>
  <c r="G98" i="1"/>
  <c r="N97" i="1"/>
  <c r="M97" i="1"/>
  <c r="K97" i="1"/>
  <c r="J97" i="1"/>
  <c r="H97" i="1"/>
  <c r="L96" i="1"/>
  <c r="I96" i="1"/>
  <c r="F96" i="1"/>
  <c r="L95" i="1"/>
  <c r="I95" i="1"/>
  <c r="F95" i="1"/>
  <c r="L94" i="1"/>
  <c r="J94" i="1"/>
  <c r="G94" i="1"/>
  <c r="N93" i="1"/>
  <c r="M93" i="1"/>
  <c r="K93" i="1"/>
  <c r="H93" i="1"/>
  <c r="L92" i="1"/>
  <c r="I92" i="1"/>
  <c r="F92" i="1"/>
  <c r="L91" i="1"/>
  <c r="I91" i="1"/>
  <c r="F91" i="1"/>
  <c r="L90" i="1"/>
  <c r="I90" i="1"/>
  <c r="G90" i="1"/>
  <c r="F90" i="1" s="1"/>
  <c r="N89" i="1"/>
  <c r="M89" i="1"/>
  <c r="K89" i="1"/>
  <c r="J89" i="1"/>
  <c r="H89" i="1"/>
  <c r="L88" i="1"/>
  <c r="I88" i="1"/>
  <c r="F88" i="1"/>
  <c r="L87" i="1"/>
  <c r="I87" i="1"/>
  <c r="F87" i="1"/>
  <c r="L86" i="1"/>
  <c r="I86" i="1"/>
  <c r="G86" i="1"/>
  <c r="F86" i="1" s="1"/>
  <c r="N85" i="1"/>
  <c r="M85" i="1"/>
  <c r="K85" i="1"/>
  <c r="J85" i="1"/>
  <c r="H85" i="1"/>
  <c r="L84" i="1"/>
  <c r="I84" i="1"/>
  <c r="F84" i="1"/>
  <c r="L83" i="1"/>
  <c r="I83" i="1"/>
  <c r="F83" i="1"/>
  <c r="L82" i="1"/>
  <c r="I82" i="1"/>
  <c r="F82" i="1"/>
  <c r="N81" i="1"/>
  <c r="M81" i="1"/>
  <c r="K81" i="1"/>
  <c r="J81" i="1"/>
  <c r="H81" i="1"/>
  <c r="G81" i="1"/>
  <c r="N80" i="1"/>
  <c r="M80" i="1"/>
  <c r="K80" i="1"/>
  <c r="J80" i="1"/>
  <c r="H80" i="1"/>
  <c r="N79" i="1"/>
  <c r="M79" i="1"/>
  <c r="K79" i="1"/>
  <c r="J79" i="1"/>
  <c r="H79" i="1"/>
  <c r="F79" i="1" s="1"/>
  <c r="G79" i="1"/>
  <c r="N78" i="1"/>
  <c r="K78" i="1"/>
  <c r="L76" i="1"/>
  <c r="I76" i="1"/>
  <c r="F76" i="1"/>
  <c r="L75" i="1"/>
  <c r="I75" i="1"/>
  <c r="F75" i="1"/>
  <c r="L74" i="1"/>
  <c r="I74" i="1"/>
  <c r="F74" i="1"/>
  <c r="N73" i="1"/>
  <c r="M73" i="1"/>
  <c r="K73" i="1"/>
  <c r="J73" i="1"/>
  <c r="H73" i="1"/>
  <c r="G73" i="1"/>
  <c r="L72" i="1"/>
  <c r="I72" i="1"/>
  <c r="F72" i="1"/>
  <c r="L71" i="1"/>
  <c r="I71" i="1"/>
  <c r="F71" i="1"/>
  <c r="L70" i="1"/>
  <c r="I70" i="1"/>
  <c r="H70" i="1"/>
  <c r="E75" i="5" s="1"/>
  <c r="G70" i="1"/>
  <c r="N69" i="1"/>
  <c r="M69" i="1"/>
  <c r="K69" i="1"/>
  <c r="J69" i="1"/>
  <c r="N68" i="1"/>
  <c r="M68" i="1"/>
  <c r="K68" i="1"/>
  <c r="J68" i="1"/>
  <c r="H68" i="1"/>
  <c r="G68" i="1"/>
  <c r="N67" i="1"/>
  <c r="M67" i="1"/>
  <c r="K67" i="1"/>
  <c r="J67" i="1"/>
  <c r="H67" i="1"/>
  <c r="G67" i="1"/>
  <c r="N66" i="1"/>
  <c r="L66" i="1" s="1"/>
  <c r="K66" i="1"/>
  <c r="P18" i="1" s="1"/>
  <c r="G66" i="1"/>
  <c r="L64" i="1"/>
  <c r="I64" i="1"/>
  <c r="F64" i="1"/>
  <c r="L63" i="1"/>
  <c r="I63" i="1"/>
  <c r="F63" i="1"/>
  <c r="L62" i="1"/>
  <c r="I62" i="1"/>
  <c r="F62" i="1"/>
  <c r="N61" i="1"/>
  <c r="M61" i="1"/>
  <c r="K61" i="1"/>
  <c r="J61" i="1"/>
  <c r="H61" i="1"/>
  <c r="G61" i="1"/>
  <c r="L60" i="1"/>
  <c r="I60" i="1"/>
  <c r="F60" i="1"/>
  <c r="L59" i="1"/>
  <c r="I59" i="1"/>
  <c r="F59" i="1"/>
  <c r="L58" i="1"/>
  <c r="I58" i="1"/>
  <c r="F58" i="1"/>
  <c r="N57" i="1"/>
  <c r="M57" i="1"/>
  <c r="K57" i="1"/>
  <c r="J57" i="1"/>
  <c r="H57" i="1"/>
  <c r="G57" i="1"/>
  <c r="L56" i="1"/>
  <c r="I56" i="1"/>
  <c r="F56" i="1"/>
  <c r="L55" i="1"/>
  <c r="I55" i="1"/>
  <c r="F55" i="1"/>
  <c r="L54" i="1"/>
  <c r="I54" i="1"/>
  <c r="F52" i="5" s="1"/>
  <c r="G54" i="1"/>
  <c r="N53" i="1"/>
  <c r="M53" i="1"/>
  <c r="K53" i="1"/>
  <c r="J53" i="1"/>
  <c r="H53" i="1"/>
  <c r="L52" i="1"/>
  <c r="I52" i="1"/>
  <c r="F52" i="1"/>
  <c r="L51" i="1"/>
  <c r="I51" i="1"/>
  <c r="F51" i="1"/>
  <c r="L50" i="1"/>
  <c r="I50" i="1"/>
  <c r="F47" i="5" s="1"/>
  <c r="F50" i="1"/>
  <c r="E44" i="5" s="1"/>
  <c r="N49" i="1"/>
  <c r="M49" i="1"/>
  <c r="K49" i="1"/>
  <c r="J49" i="1"/>
  <c r="H49" i="1"/>
  <c r="G49" i="1"/>
  <c r="L48" i="1"/>
  <c r="I48" i="1"/>
  <c r="F48" i="1"/>
  <c r="L47" i="1"/>
  <c r="I47" i="1"/>
  <c r="F47" i="1"/>
  <c r="L46" i="1"/>
  <c r="I46" i="1"/>
  <c r="H46" i="1"/>
  <c r="G46" i="1"/>
  <c r="G45" i="1" s="1"/>
  <c r="N45" i="1"/>
  <c r="M45" i="1"/>
  <c r="K45" i="1"/>
  <c r="J45" i="1"/>
  <c r="L44" i="1"/>
  <c r="I44" i="1"/>
  <c r="F44" i="1"/>
  <c r="L43" i="1"/>
  <c r="I43" i="1"/>
  <c r="F43" i="1"/>
  <c r="L42" i="1"/>
  <c r="I42" i="1"/>
  <c r="F36" i="5" s="1"/>
  <c r="G42" i="1"/>
  <c r="N41" i="1"/>
  <c r="M41" i="1"/>
  <c r="K41" i="1"/>
  <c r="J41" i="1"/>
  <c r="H41" i="1"/>
  <c r="L40" i="1"/>
  <c r="I40" i="1"/>
  <c r="F40" i="1"/>
  <c r="L39" i="1"/>
  <c r="I39" i="1"/>
  <c r="F39" i="1"/>
  <c r="L38" i="1"/>
  <c r="I38" i="1"/>
  <c r="F38" i="1"/>
  <c r="N37" i="1"/>
  <c r="M37" i="1"/>
  <c r="K37" i="1"/>
  <c r="J37" i="1"/>
  <c r="H37" i="1"/>
  <c r="G37" i="1"/>
  <c r="L36" i="1"/>
  <c r="I36" i="1"/>
  <c r="G36" i="1"/>
  <c r="G33" i="1" s="1"/>
  <c r="L35" i="1"/>
  <c r="I35" i="1"/>
  <c r="F35" i="1"/>
  <c r="L34" i="1"/>
  <c r="I34" i="1"/>
  <c r="F29" i="5" s="1"/>
  <c r="F34" i="1"/>
  <c r="E26" i="5" s="1"/>
  <c r="G26" i="5" s="1"/>
  <c r="N33" i="1"/>
  <c r="M33" i="1"/>
  <c r="K33" i="1"/>
  <c r="J33" i="1"/>
  <c r="H33" i="1"/>
  <c r="F30" i="1"/>
  <c r="H29" i="1"/>
  <c r="F29" i="1" s="1"/>
  <c r="H26" i="1"/>
  <c r="H22" i="1" s="1"/>
  <c r="H21" i="1" s="1"/>
  <c r="L24" i="1"/>
  <c r="I24" i="1"/>
  <c r="F24" i="1"/>
  <c r="L23" i="1"/>
  <c r="I23" i="1"/>
  <c r="F23" i="1"/>
  <c r="K21" i="1"/>
  <c r="J21" i="1"/>
  <c r="G21" i="1"/>
  <c r="N20" i="1"/>
  <c r="M20" i="1"/>
  <c r="K20" i="1"/>
  <c r="J20" i="1"/>
  <c r="H20" i="1"/>
  <c r="N19" i="1"/>
  <c r="M19" i="1"/>
  <c r="K19" i="1"/>
  <c r="J19" i="1"/>
  <c r="H19" i="1"/>
  <c r="G19" i="1"/>
  <c r="G14" i="1"/>
  <c r="L181" i="1" l="1"/>
  <c r="G198" i="5" s="1"/>
  <c r="G189" i="1"/>
  <c r="G201" i="1"/>
  <c r="G395" i="1"/>
  <c r="G400" i="1" s="1"/>
  <c r="F401" i="1"/>
  <c r="L21" i="1"/>
  <c r="F26" i="1"/>
  <c r="H314" i="1"/>
  <c r="L316" i="1"/>
  <c r="F322" i="1"/>
  <c r="E349" i="5" s="1"/>
  <c r="E352" i="5" s="1"/>
  <c r="I326" i="1"/>
  <c r="H330" i="1"/>
  <c r="L89" i="1"/>
  <c r="F181" i="1"/>
  <c r="E198" i="5" s="1"/>
  <c r="E200" i="5" s="1"/>
  <c r="L189" i="1"/>
  <c r="L201" i="1"/>
  <c r="I350" i="1"/>
  <c r="J422" i="1"/>
  <c r="L79" i="1"/>
  <c r="H221" i="1"/>
  <c r="L19" i="1"/>
  <c r="I20" i="1"/>
  <c r="F36" i="1"/>
  <c r="F68" i="1"/>
  <c r="L68" i="1"/>
  <c r="F160" i="1"/>
  <c r="I289" i="1"/>
  <c r="F316" i="5" s="1"/>
  <c r="L293" i="1"/>
  <c r="F316" i="1"/>
  <c r="I318" i="1"/>
  <c r="F375" i="1"/>
  <c r="E388" i="5" s="1"/>
  <c r="G388" i="5" s="1"/>
  <c r="L375" i="1"/>
  <c r="N65" i="1"/>
  <c r="N12" i="1"/>
  <c r="L12" i="1" s="1"/>
  <c r="J93" i="1"/>
  <c r="J78" i="1"/>
  <c r="J77" i="1" s="1"/>
  <c r="G113" i="1"/>
  <c r="G261" i="1"/>
  <c r="I315" i="1"/>
  <c r="G20" i="1"/>
  <c r="F20" i="1" s="1"/>
  <c r="I97" i="1"/>
  <c r="F112" i="5" s="1"/>
  <c r="G109" i="1"/>
  <c r="L109" i="1"/>
  <c r="I145" i="1"/>
  <c r="F163" i="5" s="1"/>
  <c r="F162" i="5" s="1"/>
  <c r="H157" i="1"/>
  <c r="G181" i="1"/>
  <c r="F217" i="1"/>
  <c r="E234" i="5" s="1"/>
  <c r="L217" i="1"/>
  <c r="G234" i="5" s="1"/>
  <c r="F233" i="1"/>
  <c r="E255" i="5" s="1"/>
  <c r="E254" i="5" s="1"/>
  <c r="E252" i="5" s="1"/>
  <c r="L257" i="1"/>
  <c r="F276" i="1"/>
  <c r="H244" i="1"/>
  <c r="H15" i="1" s="1"/>
  <c r="I356" i="1"/>
  <c r="G105" i="1"/>
  <c r="L123" i="1"/>
  <c r="I124" i="1"/>
  <c r="F143" i="1"/>
  <c r="F145" i="1"/>
  <c r="E163" i="5" s="1"/>
  <c r="E165" i="5" s="1"/>
  <c r="G142" i="1"/>
  <c r="F166" i="1"/>
  <c r="F165" i="1" s="1"/>
  <c r="E182" i="5" s="1"/>
  <c r="F210" i="1"/>
  <c r="F209" i="1" s="1"/>
  <c r="E226" i="5" s="1"/>
  <c r="E228" i="5" s="1"/>
  <c r="G237" i="1"/>
  <c r="I253" i="1"/>
  <c r="N314" i="1"/>
  <c r="F317" i="1"/>
  <c r="L317" i="1"/>
  <c r="I353" i="1"/>
  <c r="K357" i="1"/>
  <c r="I357" i="1" s="1"/>
  <c r="F421" i="1"/>
  <c r="K12" i="1"/>
  <c r="K10" i="1" s="1"/>
  <c r="F38" i="5"/>
  <c r="F20" i="5"/>
  <c r="F18" i="5" s="1"/>
  <c r="E47" i="5"/>
  <c r="G44" i="5"/>
  <c r="O226" i="1"/>
  <c r="K17" i="1"/>
  <c r="I57" i="1"/>
  <c r="F56" i="5" s="1"/>
  <c r="L73" i="1"/>
  <c r="L125" i="1"/>
  <c r="L193" i="1"/>
  <c r="I193" i="1"/>
  <c r="L244" i="1"/>
  <c r="I410" i="1"/>
  <c r="L41" i="1"/>
  <c r="L61" i="1"/>
  <c r="H66" i="1"/>
  <c r="H65" i="1" s="1"/>
  <c r="I73" i="1"/>
  <c r="F83" i="5" s="1"/>
  <c r="F89" i="1"/>
  <c r="I89" i="1"/>
  <c r="F113" i="1"/>
  <c r="E133" i="5" s="1"/>
  <c r="G122" i="1"/>
  <c r="G121" i="1" s="1"/>
  <c r="I125" i="1"/>
  <c r="L133" i="1"/>
  <c r="L145" i="1"/>
  <c r="F173" i="1"/>
  <c r="E190" i="5" s="1"/>
  <c r="E192" i="5" s="1"/>
  <c r="I187" i="1"/>
  <c r="L237" i="1"/>
  <c r="I257" i="1"/>
  <c r="F286" i="5" s="1"/>
  <c r="G269" i="1"/>
  <c r="I269" i="1"/>
  <c r="F298" i="5" s="1"/>
  <c r="L289" i="1"/>
  <c r="F297" i="1"/>
  <c r="E322" i="5" s="1"/>
  <c r="H358" i="1"/>
  <c r="F358" i="1" s="1"/>
  <c r="H365" i="1"/>
  <c r="H353" i="1" s="1"/>
  <c r="H357" i="1" s="1"/>
  <c r="I375" i="1"/>
  <c r="L387" i="1"/>
  <c r="G399" i="5" s="1"/>
  <c r="G398" i="5" s="1"/>
  <c r="G422" i="1"/>
  <c r="K241" i="1"/>
  <c r="I33" i="1"/>
  <c r="L49" i="1"/>
  <c r="L57" i="1"/>
  <c r="L67" i="1"/>
  <c r="L65" i="1" s="1"/>
  <c r="I68" i="1"/>
  <c r="H69" i="1"/>
  <c r="F73" i="1"/>
  <c r="E81" i="5" s="1"/>
  <c r="L81" i="1"/>
  <c r="G89" i="1"/>
  <c r="L97" i="1"/>
  <c r="F109" i="1"/>
  <c r="E128" i="5" s="1"/>
  <c r="I109" i="1"/>
  <c r="F131" i="5" s="1"/>
  <c r="L117" i="1"/>
  <c r="G137" i="5" s="1"/>
  <c r="F123" i="1"/>
  <c r="L124" i="1"/>
  <c r="F134" i="1"/>
  <c r="F133" i="1" s="1"/>
  <c r="E152" i="5" s="1"/>
  <c r="F137" i="1"/>
  <c r="E156" i="5" s="1"/>
  <c r="L137" i="1"/>
  <c r="L142" i="1"/>
  <c r="I143" i="1"/>
  <c r="N185" i="1"/>
  <c r="F244" i="1"/>
  <c r="I245" i="1"/>
  <c r="F272" i="5" s="1"/>
  <c r="F249" i="1"/>
  <c r="E274" i="5" s="1"/>
  <c r="L265" i="1"/>
  <c r="I297" i="1"/>
  <c r="F322" i="5" s="1"/>
  <c r="F313" i="5" s="1"/>
  <c r="G315" i="1"/>
  <c r="G322" i="1"/>
  <c r="L353" i="1"/>
  <c r="H367" i="1"/>
  <c r="F367" i="1" s="1"/>
  <c r="I386" i="1"/>
  <c r="F388" i="1"/>
  <c r="F387" i="1" s="1"/>
  <c r="E399" i="5" s="1"/>
  <c r="F410" i="1"/>
  <c r="E414" i="5" s="1"/>
  <c r="F417" i="1"/>
  <c r="N77" i="1"/>
  <c r="G85" i="1"/>
  <c r="F85" i="1"/>
  <c r="E93" i="5" s="1"/>
  <c r="L93" i="1"/>
  <c r="G101" i="1"/>
  <c r="L113" i="1"/>
  <c r="F130" i="1"/>
  <c r="F129" i="1" s="1"/>
  <c r="E148" i="5" s="1"/>
  <c r="H141" i="1"/>
  <c r="I153" i="1"/>
  <c r="F173" i="5" s="1"/>
  <c r="I159" i="1"/>
  <c r="L161" i="1"/>
  <c r="F161" i="1"/>
  <c r="E178" i="5" s="1"/>
  <c r="G178" i="5" s="1"/>
  <c r="L165" i="1"/>
  <c r="G182" i="5" s="1"/>
  <c r="I169" i="1"/>
  <c r="F186" i="5" s="1"/>
  <c r="L169" i="1"/>
  <c r="G186" i="5" s="1"/>
  <c r="I177" i="1"/>
  <c r="K185" i="1"/>
  <c r="G297" i="1"/>
  <c r="L318" i="1"/>
  <c r="G344" i="5" s="1"/>
  <c r="F360" i="1"/>
  <c r="F384" i="1"/>
  <c r="L386" i="1"/>
  <c r="G350" i="1"/>
  <c r="F354" i="1"/>
  <c r="F380" i="1"/>
  <c r="F379" i="1" s="1"/>
  <c r="E392" i="5" s="1"/>
  <c r="E394" i="5" s="1"/>
  <c r="H379" i="1"/>
  <c r="F104" i="1"/>
  <c r="F101" i="1" s="1"/>
  <c r="E114" i="5" s="1"/>
  <c r="G80" i="1"/>
  <c r="F80" i="1" s="1"/>
  <c r="L278" i="1"/>
  <c r="N277" i="1"/>
  <c r="J65" i="1"/>
  <c r="I81" i="1"/>
  <c r="F91" i="5" s="1"/>
  <c r="L85" i="1"/>
  <c r="F105" i="1"/>
  <c r="E118" i="5" s="1"/>
  <c r="F150" i="1"/>
  <c r="F149" i="1" s="1"/>
  <c r="E167" i="5" s="1"/>
  <c r="F142" i="1"/>
  <c r="F141" i="1" s="1"/>
  <c r="I209" i="1"/>
  <c r="F228" i="5" s="1"/>
  <c r="I213" i="1"/>
  <c r="F230" i="5" s="1"/>
  <c r="I249" i="1"/>
  <c r="F274" i="5" s="1"/>
  <c r="F274" i="1"/>
  <c r="F273" i="1" s="1"/>
  <c r="E300" i="5" s="1"/>
  <c r="H242" i="1"/>
  <c r="H273" i="1"/>
  <c r="F318" i="1"/>
  <c r="E344" i="5" s="1"/>
  <c r="E347" i="5" s="1"/>
  <c r="F403" i="1"/>
  <c r="H398" i="1"/>
  <c r="L37" i="1"/>
  <c r="L69" i="1"/>
  <c r="I80" i="1"/>
  <c r="L121" i="1"/>
  <c r="K141" i="1"/>
  <c r="G153" i="1"/>
  <c r="I181" i="1"/>
  <c r="I197" i="1"/>
  <c r="F215" i="5" s="1"/>
  <c r="F237" i="1"/>
  <c r="E263" i="5" s="1"/>
  <c r="E262" i="5" s="1"/>
  <c r="E260" i="5" s="1"/>
  <c r="F269" i="1"/>
  <c r="E296" i="5" s="1"/>
  <c r="I274" i="1"/>
  <c r="I273" i="1" s="1"/>
  <c r="F302" i="5" s="1"/>
  <c r="J273" i="1"/>
  <c r="F349" i="1"/>
  <c r="G332" i="1"/>
  <c r="F332" i="1" s="1"/>
  <c r="I385" i="1"/>
  <c r="N414" i="1"/>
  <c r="L417" i="1"/>
  <c r="F37" i="1"/>
  <c r="E31" i="5" s="1"/>
  <c r="I45" i="1"/>
  <c r="F42" i="5" s="1"/>
  <c r="H25" i="1"/>
  <c r="F25" i="1" s="1"/>
  <c r="I53" i="1"/>
  <c r="L53" i="1"/>
  <c r="I69" i="1"/>
  <c r="I85" i="1"/>
  <c r="I94" i="1"/>
  <c r="I93" i="1" s="1"/>
  <c r="F108" i="5" s="1"/>
  <c r="I101" i="1"/>
  <c r="F116" i="5" s="1"/>
  <c r="I105" i="1"/>
  <c r="F126" i="5" s="1"/>
  <c r="I117" i="1"/>
  <c r="F137" i="5" s="1"/>
  <c r="M121" i="1"/>
  <c r="I144" i="1"/>
  <c r="G177" i="1"/>
  <c r="L188" i="1"/>
  <c r="F189" i="1"/>
  <c r="E205" i="5" s="1"/>
  <c r="H233" i="1"/>
  <c r="H230" i="1"/>
  <c r="H229" i="1" s="1"/>
  <c r="I233" i="1"/>
  <c r="F255" i="5" s="1"/>
  <c r="F254" i="5" s="1"/>
  <c r="F252" i="5" s="1"/>
  <c r="I244" i="1"/>
  <c r="G249" i="1"/>
  <c r="F258" i="1"/>
  <c r="F257" i="1" s="1"/>
  <c r="E284" i="5" s="1"/>
  <c r="L261" i="1"/>
  <c r="F302" i="1"/>
  <c r="F301" i="1" s="1"/>
  <c r="E326" i="5" s="1"/>
  <c r="G301" i="1"/>
  <c r="L310" i="1"/>
  <c r="G334" i="5" s="1"/>
  <c r="L322" i="1"/>
  <c r="G351" i="1"/>
  <c r="I416" i="1"/>
  <c r="I414" i="1" s="1"/>
  <c r="J414" i="1"/>
  <c r="M422" i="1"/>
  <c r="N121" i="1"/>
  <c r="I129" i="1"/>
  <c r="F150" i="5" s="1"/>
  <c r="I133" i="1"/>
  <c r="F154" i="5" s="1"/>
  <c r="I137" i="1"/>
  <c r="F158" i="5" s="1"/>
  <c r="L149" i="1"/>
  <c r="L153" i="1"/>
  <c r="F153" i="1"/>
  <c r="L160" i="1"/>
  <c r="L173" i="1"/>
  <c r="G190" i="5" s="1"/>
  <c r="L177" i="1"/>
  <c r="F177" i="1"/>
  <c r="E194" i="5" s="1"/>
  <c r="L197" i="1"/>
  <c r="F197" i="1"/>
  <c r="E213" i="5" s="1"/>
  <c r="F232" i="1"/>
  <c r="I243" i="1"/>
  <c r="I242" i="1"/>
  <c r="F261" i="1"/>
  <c r="E288" i="5" s="1"/>
  <c r="I265" i="1"/>
  <c r="F294" i="5" s="1"/>
  <c r="L273" i="1"/>
  <c r="K277" i="1"/>
  <c r="I280" i="1"/>
  <c r="L326" i="1"/>
  <c r="F326" i="1"/>
  <c r="E354" i="5" s="1"/>
  <c r="F357" i="1"/>
  <c r="I379" i="1"/>
  <c r="F392" i="5" s="1"/>
  <c r="F385" i="1"/>
  <c r="L385" i="1"/>
  <c r="I61" i="1"/>
  <c r="F60" i="5" s="1"/>
  <c r="K65" i="1"/>
  <c r="F67" i="1"/>
  <c r="I79" i="1"/>
  <c r="L80" i="1"/>
  <c r="I160" i="1"/>
  <c r="I205" i="1"/>
  <c r="F223" i="5" s="1"/>
  <c r="L205" i="1"/>
  <c r="L209" i="1"/>
  <c r="L213" i="1"/>
  <c r="F213" i="1"/>
  <c r="E230" i="5" s="1"/>
  <c r="E232" i="5" s="1"/>
  <c r="L233" i="1"/>
  <c r="G255" i="5" s="1"/>
  <c r="G254" i="5" s="1"/>
  <c r="G252" i="5" s="1"/>
  <c r="F243" i="1"/>
  <c r="F245" i="1"/>
  <c r="E270" i="5" s="1"/>
  <c r="L245" i="1"/>
  <c r="J249" i="1"/>
  <c r="L249" i="1"/>
  <c r="G274" i="5" s="1"/>
  <c r="L253" i="1"/>
  <c r="F253" i="1"/>
  <c r="E278" i="5" s="1"/>
  <c r="I261" i="1"/>
  <c r="F290" i="5" s="1"/>
  <c r="F280" i="1"/>
  <c r="L280" i="1"/>
  <c r="F281" i="1"/>
  <c r="E307" i="5" s="1"/>
  <c r="E309" i="5" s="1"/>
  <c r="I281" i="1"/>
  <c r="F306" i="5" s="1"/>
  <c r="F304" i="5" s="1"/>
  <c r="F288" i="1"/>
  <c r="N285" i="1"/>
  <c r="F289" i="1"/>
  <c r="E314" i="5" s="1"/>
  <c r="K314" i="1"/>
  <c r="I354" i="1"/>
  <c r="F365" i="1"/>
  <c r="F399" i="1"/>
  <c r="I418" i="1"/>
  <c r="L287" i="1"/>
  <c r="I293" i="1"/>
  <c r="F320" i="5" s="1"/>
  <c r="L301" i="1"/>
  <c r="L305" i="1"/>
  <c r="I310" i="1"/>
  <c r="F336" i="5" s="1"/>
  <c r="F334" i="5" s="1"/>
  <c r="L315" i="1"/>
  <c r="L314" i="1" s="1"/>
  <c r="I316" i="1"/>
  <c r="F386" i="1"/>
  <c r="L410" i="1"/>
  <c r="G414" i="1"/>
  <c r="M418" i="1"/>
  <c r="F206" i="1"/>
  <c r="F205" i="1" s="1"/>
  <c r="E222" i="5" s="1"/>
  <c r="G205" i="1"/>
  <c r="L231" i="1"/>
  <c r="N227" i="1"/>
  <c r="N223" i="1" s="1"/>
  <c r="N13" i="1" s="1"/>
  <c r="F306" i="1"/>
  <c r="F305" i="1" s="1"/>
  <c r="E330" i="5" s="1"/>
  <c r="H286" i="1"/>
  <c r="H285" i="1" s="1"/>
  <c r="H305" i="1"/>
  <c r="I317" i="1"/>
  <c r="I314" i="1" s="1"/>
  <c r="J314" i="1"/>
  <c r="L349" i="1"/>
  <c r="M345" i="1"/>
  <c r="L352" i="1"/>
  <c r="N351" i="1"/>
  <c r="L363" i="1"/>
  <c r="I396" i="1"/>
  <c r="I400" i="1"/>
  <c r="F57" i="1"/>
  <c r="E54" i="5" s="1"/>
  <c r="M65" i="1"/>
  <c r="L105" i="1"/>
  <c r="I113" i="1"/>
  <c r="F135" i="5" s="1"/>
  <c r="F118" i="1"/>
  <c r="F117" i="1" s="1"/>
  <c r="E137" i="5" s="1"/>
  <c r="H78" i="1"/>
  <c r="H77" i="1" s="1"/>
  <c r="K121" i="1"/>
  <c r="I122" i="1"/>
  <c r="I121" i="1" s="1"/>
  <c r="F126" i="1"/>
  <c r="F125" i="1" s="1"/>
  <c r="E144" i="5" s="1"/>
  <c r="G125" i="1"/>
  <c r="F146" i="5"/>
  <c r="L129" i="1"/>
  <c r="N141" i="1"/>
  <c r="L143" i="1"/>
  <c r="F180" i="5"/>
  <c r="I189" i="1"/>
  <c r="F207" i="5" s="1"/>
  <c r="I201" i="1"/>
  <c r="F220" i="5" s="1"/>
  <c r="M223" i="1"/>
  <c r="L230" i="1"/>
  <c r="M229" i="1"/>
  <c r="I237" i="1"/>
  <c r="F294" i="1"/>
  <c r="F293" i="1" s="1"/>
  <c r="E318" i="5" s="1"/>
  <c r="G286" i="1"/>
  <c r="G285" i="1" s="1"/>
  <c r="L144" i="1"/>
  <c r="M141" i="1"/>
  <c r="N229" i="1"/>
  <c r="G293" i="1"/>
  <c r="M314" i="1"/>
  <c r="L416" i="1"/>
  <c r="M414" i="1"/>
  <c r="G418" i="1"/>
  <c r="F42" i="1"/>
  <c r="G41" i="1"/>
  <c r="H45" i="1"/>
  <c r="F46" i="1"/>
  <c r="F45" i="1" s="1"/>
  <c r="E40" i="5" s="1"/>
  <c r="F194" i="1"/>
  <c r="F193" i="1" s="1"/>
  <c r="E209" i="5" s="1"/>
  <c r="G193" i="1"/>
  <c r="G186" i="1"/>
  <c r="F186" i="1" s="1"/>
  <c r="F201" i="1"/>
  <c r="E217" i="5" s="1"/>
  <c r="M17" i="1"/>
  <c r="L33" i="1"/>
  <c r="I37" i="1"/>
  <c r="F34" i="5" s="1"/>
  <c r="L45" i="1"/>
  <c r="F54" i="1"/>
  <c r="G53" i="1"/>
  <c r="F70" i="1"/>
  <c r="F69" i="1" s="1"/>
  <c r="E65" i="5" s="1"/>
  <c r="G69" i="1"/>
  <c r="F170" i="1"/>
  <c r="F169" i="1" s="1"/>
  <c r="E186" i="5" s="1"/>
  <c r="G169" i="1"/>
  <c r="G18" i="1"/>
  <c r="F22" i="1"/>
  <c r="F21" i="1" s="1"/>
  <c r="E21" i="5" s="1"/>
  <c r="H18" i="1"/>
  <c r="K77" i="1"/>
  <c r="F94" i="1"/>
  <c r="F93" i="1" s="1"/>
  <c r="E105" i="5" s="1"/>
  <c r="G93" i="1"/>
  <c r="G78" i="1"/>
  <c r="F98" i="1"/>
  <c r="F97" i="1" s="1"/>
  <c r="E110" i="5" s="1"/>
  <c r="G97" i="1"/>
  <c r="H117" i="1"/>
  <c r="I150" i="1"/>
  <c r="I149" i="1" s="1"/>
  <c r="F169" i="5" s="1"/>
  <c r="G158" i="1"/>
  <c r="I165" i="1"/>
  <c r="F182" i="5" s="1"/>
  <c r="I174" i="1"/>
  <c r="I173" i="1" s="1"/>
  <c r="J173" i="1"/>
  <c r="I158" i="1"/>
  <c r="I186" i="1"/>
  <c r="J185" i="1"/>
  <c r="I217" i="1"/>
  <c r="F234" i="5" s="1"/>
  <c r="M225" i="1"/>
  <c r="F266" i="1"/>
  <c r="F265" i="1" s="1"/>
  <c r="E292" i="5" s="1"/>
  <c r="G265" i="1"/>
  <c r="G242" i="1"/>
  <c r="L269" i="1"/>
  <c r="I278" i="1"/>
  <c r="J277" i="1"/>
  <c r="L281" i="1"/>
  <c r="G307" i="5" s="1"/>
  <c r="N347" i="1"/>
  <c r="N346" i="1"/>
  <c r="G333" i="1"/>
  <c r="F333" i="1" s="1"/>
  <c r="F350" i="1"/>
  <c r="F347" i="1" s="1"/>
  <c r="E376" i="5" s="1"/>
  <c r="G376" i="5" s="1"/>
  <c r="F405" i="1"/>
  <c r="H396" i="1"/>
  <c r="F406" i="1"/>
  <c r="H422" i="1"/>
  <c r="F425" i="1"/>
  <c r="F422" i="1" s="1"/>
  <c r="E443" i="5" s="1"/>
  <c r="H121" i="1"/>
  <c r="M285" i="1"/>
  <c r="I287" i="1"/>
  <c r="I288" i="1"/>
  <c r="L297" i="1"/>
  <c r="G322" i="5" s="1"/>
  <c r="I305" i="1"/>
  <c r="F311" i="1"/>
  <c r="F310" i="1" s="1"/>
  <c r="E337" i="5" s="1"/>
  <c r="G310" i="1"/>
  <c r="I322" i="1"/>
  <c r="F352" i="5" s="1"/>
  <c r="G347" i="1"/>
  <c r="F353" i="1"/>
  <c r="L354" i="1"/>
  <c r="F372" i="1"/>
  <c r="H371" i="1"/>
  <c r="F371" i="1" s="1"/>
  <c r="H364" i="1"/>
  <c r="F392" i="1"/>
  <c r="F391" i="1" s="1"/>
  <c r="E403" i="5" s="1"/>
  <c r="G403" i="5" s="1"/>
  <c r="G391" i="1"/>
  <c r="F416" i="1"/>
  <c r="F414" i="1" s="1"/>
  <c r="I41" i="1"/>
  <c r="K157" i="1"/>
  <c r="L279" i="1"/>
  <c r="K285" i="1"/>
  <c r="F315" i="1"/>
  <c r="F314" i="1" s="1"/>
  <c r="G314" i="1"/>
  <c r="I352" i="1"/>
  <c r="I351" i="1" s="1"/>
  <c r="J351" i="1"/>
  <c r="N418" i="1"/>
  <c r="L421" i="1"/>
  <c r="L418" i="1" s="1"/>
  <c r="E417" i="5"/>
  <c r="G417" i="5" s="1"/>
  <c r="I49" i="1"/>
  <c r="F61" i="1"/>
  <c r="E58" i="5" s="1"/>
  <c r="F81" i="1"/>
  <c r="E88" i="5" s="1"/>
  <c r="G88" i="5" s="1"/>
  <c r="F124" i="1"/>
  <c r="I188" i="1"/>
  <c r="L232" i="1"/>
  <c r="I279" i="1"/>
  <c r="I286" i="1"/>
  <c r="I301" i="1"/>
  <c r="F328" i="5" s="1"/>
  <c r="F330" i="1"/>
  <c r="E362" i="5" s="1"/>
  <c r="F344" i="1"/>
  <c r="G343" i="1"/>
  <c r="M350" i="1"/>
  <c r="M351" i="1"/>
  <c r="J347" i="1"/>
  <c r="I349" i="1"/>
  <c r="I347" i="1" s="1"/>
  <c r="J345" i="1"/>
  <c r="I346" i="1"/>
  <c r="J333" i="1"/>
  <c r="I333" i="1" s="1"/>
  <c r="F359" i="1"/>
  <c r="L379" i="1"/>
  <c r="G383" i="1"/>
  <c r="I387" i="1"/>
  <c r="I422" i="1"/>
  <c r="F396" i="5"/>
  <c r="H397" i="1"/>
  <c r="F397" i="1" s="1"/>
  <c r="F418" i="1"/>
  <c r="E439" i="5" s="1"/>
  <c r="I384" i="1"/>
  <c r="L414" i="1"/>
  <c r="J418" i="1"/>
  <c r="L422" i="1"/>
  <c r="I397" i="1"/>
  <c r="I405" i="1"/>
  <c r="G185" i="1"/>
  <c r="G224" i="1"/>
  <c r="F224" i="1" s="1"/>
  <c r="F228" i="1"/>
  <c r="F66" i="1"/>
  <c r="F65" i="1" s="1"/>
  <c r="G65" i="1"/>
  <c r="F187" i="1"/>
  <c r="H185" i="1"/>
  <c r="L228" i="1"/>
  <c r="N241" i="1"/>
  <c r="L242" i="1"/>
  <c r="F368" i="5"/>
  <c r="F366" i="5" s="1"/>
  <c r="N17" i="1"/>
  <c r="F19" i="1"/>
  <c r="I21" i="1"/>
  <c r="F24" i="5" s="1"/>
  <c r="L186" i="1"/>
  <c r="L185" i="1" s="1"/>
  <c r="M185" i="1"/>
  <c r="J228" i="1"/>
  <c r="I231" i="1"/>
  <c r="I229" i="1" s="1"/>
  <c r="K229" i="1"/>
  <c r="F279" i="1"/>
  <c r="G277" i="1"/>
  <c r="L18" i="1"/>
  <c r="L20" i="1"/>
  <c r="I66" i="1"/>
  <c r="L159" i="1"/>
  <c r="M157" i="1"/>
  <c r="N224" i="1"/>
  <c r="L224" i="1" s="1"/>
  <c r="K227" i="1"/>
  <c r="F231" i="1"/>
  <c r="G229" i="1"/>
  <c r="H277" i="1"/>
  <c r="F278" i="1"/>
  <c r="F277" i="1" s="1"/>
  <c r="F211" i="5"/>
  <c r="I67" i="1"/>
  <c r="L78" i="1"/>
  <c r="M77" i="1"/>
  <c r="J121" i="1"/>
  <c r="F122" i="1"/>
  <c r="N157" i="1"/>
  <c r="L158" i="1"/>
  <c r="F188" i="1"/>
  <c r="H225" i="1"/>
  <c r="G227" i="1"/>
  <c r="J229" i="1"/>
  <c r="F230" i="1"/>
  <c r="H241" i="1"/>
  <c r="L243" i="1"/>
  <c r="M241" i="1"/>
  <c r="M277" i="1"/>
  <c r="F286" i="1"/>
  <c r="L286" i="1"/>
  <c r="I19" i="1"/>
  <c r="F287" i="1"/>
  <c r="L288" i="1"/>
  <c r="E436" i="5"/>
  <c r="G141" i="1"/>
  <c r="F49" i="1"/>
  <c r="E29" i="5"/>
  <c r="F33" i="1"/>
  <c r="J17" i="1"/>
  <c r="I18" i="1"/>
  <c r="K351" i="1"/>
  <c r="F386" i="5"/>
  <c r="J285" i="1"/>
  <c r="G349" i="5" l="1"/>
  <c r="E180" i="5"/>
  <c r="G226" i="5"/>
  <c r="E401" i="5"/>
  <c r="E398" i="5"/>
  <c r="E396" i="5" s="1"/>
  <c r="G163" i="5"/>
  <c r="L383" i="1"/>
  <c r="I383" i="1"/>
  <c r="E390" i="5"/>
  <c r="F165" i="5"/>
  <c r="I157" i="1"/>
  <c r="E306" i="5"/>
  <c r="E304" i="5" s="1"/>
  <c r="L223" i="1"/>
  <c r="L221" i="1" s="1"/>
  <c r="I241" i="1"/>
  <c r="E98" i="5"/>
  <c r="G98" i="5" s="1"/>
  <c r="K355" i="1"/>
  <c r="I355" i="1" s="1"/>
  <c r="H17" i="1"/>
  <c r="E171" i="5"/>
  <c r="G171" i="5" s="1"/>
  <c r="H13" i="1"/>
  <c r="I285" i="1"/>
  <c r="I185" i="1"/>
  <c r="F177" i="5"/>
  <c r="F175" i="5" s="1"/>
  <c r="I395" i="1"/>
  <c r="L277" i="1"/>
  <c r="F383" i="1"/>
  <c r="I12" i="1"/>
  <c r="O18" i="1"/>
  <c r="F18" i="1"/>
  <c r="E438" i="5"/>
  <c r="G439" i="5"/>
  <c r="E294" i="5"/>
  <c r="G292" i="5"/>
  <c r="E108" i="5"/>
  <c r="G105" i="5"/>
  <c r="E64" i="5"/>
  <c r="E62" i="5" s="1"/>
  <c r="G65" i="5"/>
  <c r="E320" i="5"/>
  <c r="G318" i="5"/>
  <c r="E272" i="5"/>
  <c r="G270" i="5"/>
  <c r="F394" i="5"/>
  <c r="G392" i="5"/>
  <c r="E290" i="5"/>
  <c r="G288" i="5"/>
  <c r="E215" i="5"/>
  <c r="G213" i="5"/>
  <c r="E34" i="5"/>
  <c r="G31" i="5"/>
  <c r="E302" i="5"/>
  <c r="G300" i="5"/>
  <c r="E154" i="5"/>
  <c r="G152" i="5"/>
  <c r="E112" i="5"/>
  <c r="G110" i="5"/>
  <c r="E177" i="5"/>
  <c r="E175" i="5" s="1"/>
  <c r="E328" i="5"/>
  <c r="G326" i="5"/>
  <c r="E207" i="5"/>
  <c r="G205" i="5"/>
  <c r="E298" i="5"/>
  <c r="G296" i="5"/>
  <c r="E169" i="5"/>
  <c r="G167" i="5"/>
  <c r="E131" i="5"/>
  <c r="G128" i="5"/>
  <c r="E83" i="5"/>
  <c r="G81" i="5"/>
  <c r="E211" i="5"/>
  <c r="G209" i="5"/>
  <c r="E146" i="5"/>
  <c r="G144" i="5"/>
  <c r="E56" i="5"/>
  <c r="G54" i="5"/>
  <c r="E332" i="5"/>
  <c r="G330" i="5"/>
  <c r="E223" i="5"/>
  <c r="G222" i="5"/>
  <c r="E357" i="5"/>
  <c r="G354" i="5"/>
  <c r="G343" i="5" s="1"/>
  <c r="G341" i="5" s="1"/>
  <c r="E196" i="5"/>
  <c r="G194" i="5"/>
  <c r="E265" i="5"/>
  <c r="G263" i="5"/>
  <c r="G262" i="5" s="1"/>
  <c r="G260" i="5" s="1"/>
  <c r="F232" i="5"/>
  <c r="G230" i="5"/>
  <c r="E126" i="5"/>
  <c r="G118" i="5"/>
  <c r="E116" i="5"/>
  <c r="G114" i="5"/>
  <c r="E150" i="5"/>
  <c r="G148" i="5"/>
  <c r="E96" i="5"/>
  <c r="G93" i="5"/>
  <c r="E364" i="5"/>
  <c r="G362" i="5"/>
  <c r="E60" i="5"/>
  <c r="G58" i="5"/>
  <c r="E339" i="5"/>
  <c r="G337" i="5"/>
  <c r="E24" i="5"/>
  <c r="G21" i="5"/>
  <c r="E220" i="5"/>
  <c r="G217" i="5"/>
  <c r="E42" i="5"/>
  <c r="G40" i="5"/>
  <c r="E316" i="5"/>
  <c r="G314" i="5"/>
  <c r="E282" i="5"/>
  <c r="G278" i="5"/>
  <c r="E286" i="5"/>
  <c r="G284" i="5"/>
  <c r="E158" i="5"/>
  <c r="G156" i="5"/>
  <c r="E135" i="5"/>
  <c r="G133" i="5"/>
  <c r="G62" i="5"/>
  <c r="I78" i="1"/>
  <c r="I77" i="1" s="1"/>
  <c r="J157" i="1"/>
  <c r="G177" i="5"/>
  <c r="G175" i="5" s="1"/>
  <c r="F383" i="5"/>
  <c r="F381" i="5" s="1"/>
  <c r="E343" i="5"/>
  <c r="E341" i="5" s="1"/>
  <c r="E336" i="5"/>
  <c r="E334" i="5" s="1"/>
  <c r="F339" i="5"/>
  <c r="E269" i="5"/>
  <c r="E267" i="5" s="1"/>
  <c r="G17" i="1"/>
  <c r="F269" i="5"/>
  <c r="F267" i="5" s="1"/>
  <c r="E361" i="5"/>
  <c r="E359" i="5" s="1"/>
  <c r="F64" i="5"/>
  <c r="F62" i="5" s="1"/>
  <c r="F311" i="5"/>
  <c r="E204" i="5"/>
  <c r="E202" i="5" s="1"/>
  <c r="G396" i="5"/>
  <c r="J241" i="1"/>
  <c r="L77" i="1"/>
  <c r="M221" i="1"/>
  <c r="F141" i="5"/>
  <c r="L17" i="1"/>
  <c r="G15" i="1"/>
  <c r="F15" i="1" s="1"/>
  <c r="F398" i="1"/>
  <c r="H14" i="1"/>
  <c r="E143" i="5"/>
  <c r="E141" i="5" s="1"/>
  <c r="G141" i="5"/>
  <c r="E313" i="5"/>
  <c r="E311" i="5" s="1"/>
  <c r="E91" i="5"/>
  <c r="F204" i="5"/>
  <c r="F202" i="5" s="1"/>
  <c r="E379" i="5"/>
  <c r="E375" i="5"/>
  <c r="E373" i="5" s="1"/>
  <c r="F396" i="1"/>
  <c r="H395" i="1"/>
  <c r="E446" i="5"/>
  <c r="G446" i="5" s="1"/>
  <c r="F121" i="1"/>
  <c r="J332" i="1"/>
  <c r="J13" i="1" s="1"/>
  <c r="J343" i="1"/>
  <c r="I345" i="1"/>
  <c r="I343" i="1" s="1"/>
  <c r="L350" i="1"/>
  <c r="L347" i="1" s="1"/>
  <c r="M346" i="1"/>
  <c r="M343" i="1" s="1"/>
  <c r="G330" i="1"/>
  <c r="E416" i="5"/>
  <c r="E419" i="5"/>
  <c r="F364" i="1"/>
  <c r="F363" i="1" s="1"/>
  <c r="E384" i="5" s="1"/>
  <c r="G384" i="5" s="1"/>
  <c r="H363" i="1"/>
  <c r="H352" i="1"/>
  <c r="H12" i="1" s="1"/>
  <c r="F158" i="1"/>
  <c r="F157" i="1" s="1"/>
  <c r="G157" i="1"/>
  <c r="F160" i="5"/>
  <c r="E49" i="5"/>
  <c r="F53" i="1"/>
  <c r="L141" i="1"/>
  <c r="M347" i="1"/>
  <c r="F17" i="1"/>
  <c r="E424" i="5"/>
  <c r="E421" i="5"/>
  <c r="N343" i="1"/>
  <c r="N333" i="1"/>
  <c r="N330" i="1" s="1"/>
  <c r="I277" i="1"/>
  <c r="F41" i="1"/>
  <c r="E36" i="5"/>
  <c r="G36" i="5" s="1"/>
  <c r="F265" i="5"/>
  <c r="F262" i="5"/>
  <c r="F260" i="5" s="1"/>
  <c r="E441" i="5"/>
  <c r="I17" i="1"/>
  <c r="L157" i="1"/>
  <c r="F343" i="5"/>
  <c r="F341" i="5" s="1"/>
  <c r="F87" i="5"/>
  <c r="F85" i="5" s="1"/>
  <c r="N225" i="1"/>
  <c r="F379" i="5"/>
  <c r="F375" i="5"/>
  <c r="F373" i="5" s="1"/>
  <c r="G306" i="5"/>
  <c r="G304" i="5" s="1"/>
  <c r="G241" i="1"/>
  <c r="F242" i="1"/>
  <c r="F241" i="1" s="1"/>
  <c r="J141" i="1"/>
  <c r="I142" i="1"/>
  <c r="I141" i="1" s="1"/>
  <c r="L229" i="1"/>
  <c r="F409" i="5"/>
  <c r="F407" i="5" s="1"/>
  <c r="L351" i="1"/>
  <c r="E369" i="5"/>
  <c r="G369" i="5" s="1"/>
  <c r="G368" i="5" s="1"/>
  <c r="G366" i="5" s="1"/>
  <c r="F343" i="1"/>
  <c r="G77" i="1"/>
  <c r="F78" i="1"/>
  <c r="F77" i="1" s="1"/>
  <c r="L227" i="1"/>
  <c r="L225" i="1" s="1"/>
  <c r="L345" i="1"/>
  <c r="M332" i="1"/>
  <c r="M13" i="1" s="1"/>
  <c r="L285" i="1"/>
  <c r="F285" i="1"/>
  <c r="F227" i="1"/>
  <c r="F225" i="1" s="1"/>
  <c r="E248" i="5" s="1"/>
  <c r="G248" i="5" s="1"/>
  <c r="G225" i="1"/>
  <c r="G223" i="1"/>
  <c r="G13" i="1" s="1"/>
  <c r="K225" i="1"/>
  <c r="I227" i="1"/>
  <c r="K223" i="1"/>
  <c r="K13" i="1" s="1"/>
  <c r="N221" i="1"/>
  <c r="F229" i="1"/>
  <c r="I65" i="1"/>
  <c r="F185" i="1"/>
  <c r="I228" i="1"/>
  <c r="J225" i="1"/>
  <c r="J224" i="1"/>
  <c r="J15" i="1" s="1"/>
  <c r="I15" i="1" s="1"/>
  <c r="L241" i="1"/>
  <c r="G162" i="5" l="1"/>
  <c r="G160" i="5" s="1"/>
  <c r="E87" i="5"/>
  <c r="E85" i="5" s="1"/>
  <c r="H10" i="1"/>
  <c r="G383" i="5"/>
  <c r="G381" i="5" s="1"/>
  <c r="E173" i="5"/>
  <c r="E162" i="5"/>
  <c r="E160" i="5" s="1"/>
  <c r="G204" i="5"/>
  <c r="G202" i="5" s="1"/>
  <c r="G313" i="5"/>
  <c r="J10" i="1"/>
  <c r="I10" i="1" s="1"/>
  <c r="N15" i="1"/>
  <c r="N10" i="1" s="1"/>
  <c r="F12" i="1"/>
  <c r="F266" i="5"/>
  <c r="E103" i="5"/>
  <c r="L13" i="1"/>
  <c r="G269" i="5"/>
  <c r="G267" i="5" s="1"/>
  <c r="E423" i="5"/>
  <c r="G424" i="5"/>
  <c r="E52" i="5"/>
  <c r="G49" i="5"/>
  <c r="G20" i="5" s="1"/>
  <c r="G18" i="5" s="1"/>
  <c r="G247" i="5"/>
  <c r="G245" i="5" s="1"/>
  <c r="F412" i="5"/>
  <c r="F14" i="1"/>
  <c r="B14" i="1" s="1"/>
  <c r="G375" i="5"/>
  <c r="G373" i="5" s="1"/>
  <c r="H351" i="1"/>
  <c r="F352" i="1"/>
  <c r="F351" i="1" s="1"/>
  <c r="H356" i="1"/>
  <c r="E445" i="5"/>
  <c r="E448" i="5"/>
  <c r="E371" i="5"/>
  <c r="E368" i="5"/>
  <c r="E366" i="5" s="1"/>
  <c r="E38" i="5"/>
  <c r="E20" i="5"/>
  <c r="E18" i="5" s="1"/>
  <c r="F395" i="1"/>
  <c r="E410" i="5" s="1"/>
  <c r="G410" i="5" s="1"/>
  <c r="G409" i="5" s="1"/>
  <c r="G407" i="5" s="1"/>
  <c r="H400" i="1"/>
  <c r="F400" i="1" s="1"/>
  <c r="L332" i="1"/>
  <c r="E386" i="5"/>
  <c r="E383" i="5"/>
  <c r="E381" i="5" s="1"/>
  <c r="L346" i="1"/>
  <c r="L343" i="1" s="1"/>
  <c r="M333" i="1"/>
  <c r="J330" i="1"/>
  <c r="I332" i="1"/>
  <c r="I330" i="1" s="1"/>
  <c r="K221" i="1"/>
  <c r="I223" i="1"/>
  <c r="I225" i="1"/>
  <c r="E247" i="5"/>
  <c r="E245" i="5" s="1"/>
  <c r="E250" i="5"/>
  <c r="F223" i="1"/>
  <c r="F221" i="1" s="1"/>
  <c r="E241" i="5" s="1"/>
  <c r="G241" i="5" s="1"/>
  <c r="G240" i="5" s="1"/>
  <c r="G238" i="5" s="1"/>
  <c r="G221" i="1"/>
  <c r="I224" i="1"/>
  <c r="J221" i="1"/>
  <c r="L333" i="1" l="1"/>
  <c r="L330" i="1" s="1"/>
  <c r="M15" i="1"/>
  <c r="E409" i="5"/>
  <c r="E407" i="5" s="1"/>
  <c r="E412" i="5"/>
  <c r="B12" i="1"/>
  <c r="I221" i="1"/>
  <c r="F243" i="5" s="1"/>
  <c r="F356" i="1"/>
  <c r="F355" i="1" s="1"/>
  <c r="H355" i="1"/>
  <c r="F361" i="5"/>
  <c r="F359" i="5" s="1"/>
  <c r="F364" i="5"/>
  <c r="M330" i="1"/>
  <c r="E243" i="5"/>
  <c r="E240" i="5"/>
  <c r="E238" i="5" s="1"/>
  <c r="I13" i="1"/>
  <c r="F13" i="1"/>
  <c r="G10" i="1"/>
  <c r="F247" i="5"/>
  <c r="F245" i="5" s="1"/>
  <c r="E6" i="5" l="1"/>
  <c r="L15" i="1"/>
  <c r="B15" i="1" s="1"/>
  <c r="M10" i="1"/>
  <c r="L10" i="1" s="1"/>
  <c r="F240" i="5"/>
  <c r="F238" i="5" s="1"/>
  <c r="F6" i="5" s="1"/>
  <c r="F8" i="5" s="1"/>
  <c r="F244" i="5"/>
  <c r="G361" i="5"/>
  <c r="G359" i="5" s="1"/>
  <c r="F251" i="5"/>
  <c r="F10" i="1"/>
  <c r="B13" i="1"/>
  <c r="C7" i="5" l="1"/>
  <c r="B11" i="1"/>
</calcChain>
</file>

<file path=xl/sharedStrings.xml><?xml version="1.0" encoding="utf-8"?>
<sst xmlns="http://schemas.openxmlformats.org/spreadsheetml/2006/main" count="1703" uniqueCount="652">
  <si>
    <t xml:space="preserve">Назва завдання та заходу </t>
  </si>
  <si>
    <t>КПКВК</t>
  </si>
  <si>
    <t>Джерела фінансування</t>
  </si>
  <si>
    <t>Усього</t>
  </si>
  <si>
    <t>загал. фонд</t>
  </si>
  <si>
    <t>спец. фонд</t>
  </si>
  <si>
    <t xml:space="preserve">
</t>
  </si>
  <si>
    <t>Всього на виконання програми, у т.ч.</t>
  </si>
  <si>
    <t>Бюджет ТГ</t>
  </si>
  <si>
    <t>Державний бюджет</t>
  </si>
  <si>
    <t>Інші джерела</t>
  </si>
  <si>
    <t>Департамент інфраструктури міста Сумської міської ради, Управління капітального будівництва та дорожнього господарства Сумської міської ради</t>
  </si>
  <si>
    <t>Всього:</t>
  </si>
  <si>
    <t>Департамент інфраструктури міста Сумської міської ради, Управління капітального будівництва та дорожнього господарства Сумської міської ради та інші суб'єкти господарювання</t>
  </si>
  <si>
    <t>Завдання 3. "Збереження та утримання на належному рівні зеленої зони Сумської міської територіальної громади  та поліпшення її екологічних умов, організація громадських робіт, в тому числі в приватному секторі", у т.ч.</t>
  </si>
  <si>
    <t xml:space="preserve"> Завдання 4. Забезпечення благоустрою кладовищ, діяльності спецслужби, поховання безрідних Сумської міської територіальної громади та організація громадських робіт</t>
  </si>
  <si>
    <t>6030, 3210</t>
  </si>
  <si>
    <t xml:space="preserve"> Завдання 5. Забезпечення санітарної очистки території Сумської міської територіальної громади, в тому числі в приватному секторі</t>
  </si>
  <si>
    <t>6030</t>
  </si>
  <si>
    <t>6011</t>
  </si>
  <si>
    <t>6090</t>
  </si>
  <si>
    <t>7691</t>
  </si>
  <si>
    <t>6020</t>
  </si>
  <si>
    <t>6013</t>
  </si>
  <si>
    <t>7640</t>
  </si>
  <si>
    <t>7670</t>
  </si>
  <si>
    <t>9770</t>
  </si>
  <si>
    <t>6017</t>
  </si>
  <si>
    <t>Департамент інфраструктури міста Сумської міської ради</t>
  </si>
  <si>
    <t>тис. грн</t>
  </si>
  <si>
    <t>Євген БРОВЕНКО</t>
  </si>
  <si>
    <t>Назва індикатора, завдання, заходу, відповідального виконавця, головного розпорядника бюджетних коштів*, найменування КПКВК</t>
  </si>
  <si>
    <t>Група результативних показників</t>
  </si>
  <si>
    <t>Назва результативного показника/індикатора програми</t>
  </si>
  <si>
    <t>Одиниця виміру</t>
  </si>
  <si>
    <t>Всього по програмі:</t>
  </si>
  <si>
    <t>Продукту</t>
  </si>
  <si>
    <t>Якості</t>
  </si>
  <si>
    <t>Відповідальні виконавці: Департамент інфраструктури міста Сумської міської ради, Управління капітального будівництва та дорожнього господарства</t>
  </si>
  <si>
    <t>Завдання 1. Проведення ремонту  та утримання об'єктів транспортної інфраструктури, в тому числі в приватному секторі</t>
  </si>
  <si>
    <t>Витрат</t>
  </si>
  <si>
    <t>Витрати на проведення капітального ремонту вулично-дорожньої мережі та штучних споруд, внутрішньоквартальних проїзних доріг, в тому числі в приватному секторі</t>
  </si>
  <si>
    <t>Загальна площа вулично-дорожньої мережі, що потребує капітального ремонту</t>
  </si>
  <si>
    <t>кв.м</t>
  </si>
  <si>
    <t>Площа вуличної-дорожньої мережі, яка охоплена капітальним ремонтом</t>
  </si>
  <si>
    <t>Ефективності</t>
  </si>
  <si>
    <t>Середня вартість капітального ремонту 1 кв. м вулично-дорожньої мережі</t>
  </si>
  <si>
    <t>% доріг з проведеним капітальним ремонтом від потребуючих ремонту</t>
  </si>
  <si>
    <t>%</t>
  </si>
  <si>
    <t>Витрати на проведення поточного ремонту вулично-дорожньої мережі та штучних споруд, в тому числі в приватному секторі</t>
  </si>
  <si>
    <t>Загальна площа вулично-дорожньої мережі, що потребує поточного ремонту</t>
  </si>
  <si>
    <t>Площа вуличної-дорожньої мережі, яка охоплена поточним ремонтом</t>
  </si>
  <si>
    <t>Середня вартість поточного ремонту 1 кв. м вулично-дорожньої мережі</t>
  </si>
  <si>
    <t xml:space="preserve">КПКВК 6030 «Організація благоустрою населених пунктів», </t>
  </si>
  <si>
    <t>КПКВК 6030 «Організація благоустрою населених пунктів», 3210 "Організація та проведення громадських робіт»</t>
  </si>
  <si>
    <t>Відповідальні виконавці: Департамент інфраструктури міста Сумської міської ради, інші суб'єкти господарювання</t>
  </si>
  <si>
    <t>Завдання 4. Забезпечення благоустрою кладовищ, діяльності спецслужби, поховання безрідних Сумської міської територіальної громади та організація громадських робіт</t>
  </si>
  <si>
    <t>Обсяг електроенергії передбаченої для безперебійної роботи вуличного освітлення, кВт/год</t>
  </si>
  <si>
    <t xml:space="preserve">    Показник: середня вартість 1 кВт/год електроенергії необхідної для безперебійної роботи вуличного освітлення, грн</t>
  </si>
  <si>
    <t>%  використання електричної енергії</t>
  </si>
  <si>
    <t>Витрати на безперебійну роботу вуличного освітлення</t>
  </si>
  <si>
    <t xml:space="preserve"> кВт/год</t>
  </si>
  <si>
    <t xml:space="preserve"> грн</t>
  </si>
  <si>
    <t>Середня вартість очищення (утримання) 1 кв. м  вулично-дорожньої мережі</t>
  </si>
  <si>
    <t>% доріг з проведеним поточним ремонтом від потребуючих ремонту</t>
  </si>
  <si>
    <t xml:space="preserve"> % охоплення вулично-дорожньої мережі очищенням (утриманням) до їх загальної площі</t>
  </si>
  <si>
    <t>Витрати на проведення утримання вулично-дорожньої мережі та штучних споруд (чищення доріг, замітання вулиць, прибирання снігу, посипання піском тощо.)</t>
  </si>
  <si>
    <t>Витрати на проведення поточного ремонту та улаштування огорож</t>
  </si>
  <si>
    <t>площа огорож</t>
  </si>
  <si>
    <t>середні витрати на поточний ремонт та улаштування 1 м.кв.</t>
  </si>
  <si>
    <t>% виконаного поточного ремонту та улаштування огорож</t>
  </si>
  <si>
    <t>Витрати на проведення поточного та капітального ремонту зупинок громадського транспорту</t>
  </si>
  <si>
    <t xml:space="preserve"> кількість зупинок громадського транспорту, на яких плануються провести поточний та капітаальний ремонт</t>
  </si>
  <si>
    <t>од</t>
  </si>
  <si>
    <t>Середня вартість поточного та капітального ремонту зупинок громадського транспорту</t>
  </si>
  <si>
    <t>% виконаного поточного та капітального ремонту зупинок громадського транспорту</t>
  </si>
  <si>
    <t>Витрати на проведення поточного ремонту проїздів, тротуарів, велосипедних доріжок</t>
  </si>
  <si>
    <t>площа проїздів, тротуарів, велосипедних доріжок</t>
  </si>
  <si>
    <t>площа проїздів, тротуарів, велосипедних доріжок, на якій планується провести поточний ремонт</t>
  </si>
  <si>
    <t>середня вартість поточного ремонту 1 кв. м проїздів, тротуарів, велосипедних доріжок</t>
  </si>
  <si>
    <t>% питома вага проїздів, тротуарів і велосипедних доріжок, що зазнала поточного ремонту до площі, що потребувала поточного ремонту</t>
  </si>
  <si>
    <t>Витрати на проведення технічного обслуговування, поточного та капітального ремонту  мереж зовнішнього освітлення</t>
  </si>
  <si>
    <t>км</t>
  </si>
  <si>
    <t>од.</t>
  </si>
  <si>
    <t xml:space="preserve"> протяжність мереж зовнішнього освітлення</t>
  </si>
  <si>
    <t>протяжність мереж зовнішнього освітлення, яка потребує капітального ремонту</t>
  </si>
  <si>
    <t xml:space="preserve"> кількість світлоточок, що підлягають утриманню</t>
  </si>
  <si>
    <t>кількість світлоточок, що підлягають заміні</t>
  </si>
  <si>
    <t>протяжність мережі зовнішнього освітлення, на якій планується провести поточний ремонт</t>
  </si>
  <si>
    <t>кількість світлоточок, які планується замінити</t>
  </si>
  <si>
    <t>протяжність мереж зовнішнього освітлення, яка потребує поточного ремонту</t>
  </si>
  <si>
    <t>протяжність мережі зовнішнього освітлення, на якій планується провести капітальний ремонт</t>
  </si>
  <si>
    <t xml:space="preserve">    Показник: середні витрати на проведення  поточного ремонту 1 км мережі зовнішнього освітлення</t>
  </si>
  <si>
    <t xml:space="preserve">    Показник: середні витрати на проведення  капітального ремонту 1 км мережі зовнішнього освітлення</t>
  </si>
  <si>
    <t xml:space="preserve">    Показник:  середні витрати на заміну 1 світлоточки</t>
  </si>
  <si>
    <t xml:space="preserve">    Показник: середні витрати на утримання 1 світлоточки</t>
  </si>
  <si>
    <t xml:space="preserve">    Показник: Питома вага відремонтованих за рахунок капітального ремонту мереж зовнішнього освітлення до загальної потреби, %</t>
  </si>
  <si>
    <t xml:space="preserve">    Показник: Питома вага відремонтованих за рахунок поточного ремонту мереж зовнішнього освітлення до загальної потреби, %</t>
  </si>
  <si>
    <t xml:space="preserve">    Показник: питома вага замінених світлоточок до загальної потреби, %</t>
  </si>
  <si>
    <t>Витрати на догляд за деревами та кущами (видалення сухостійних (порослі) та аварійних дерев з навантаженням та вивезенням деревени, обрізання крон дерев і кущів, вирубування пристовбурової порослі, полив та підживлення дерев і кущів, корчування пнів, в парках і садах, прополювання пристовбурових ямок)</t>
  </si>
  <si>
    <t>Витрати на проведення поточного ремонту та утримання парків, скверів міста, зелених зон та пляжів на території територіальної громади (систематичне очищення (прибирання) доріжок, алей, сходів на обєктах благоустрою, збирання та вивезення сміття та опалого листя, систематичне очищення урн від сміття в парках та скверах міста)</t>
  </si>
  <si>
    <t>Витрати на догляд за газонами (косіння (викошування) та прибирання скошеної трави на газонах, підсів трави на газонах, просічування газонів, поливання та підживлення газонів у скверах та парках міста збирання та вивезення сміття та опалого листя по загальних обєктах міста, водопостачання газонів), створення та відновлення газонів по місту</t>
  </si>
  <si>
    <t>Витрати на садіння нових дерев і кущів</t>
  </si>
  <si>
    <t xml:space="preserve">    Показник: кількість дерев та кущів, які потребують догляду, од.</t>
  </si>
  <si>
    <t xml:space="preserve">    Показник: кількість дерев, що потребують висадженню, од.</t>
  </si>
  <si>
    <t xml:space="preserve">    Показник: Площа газонів, яку необхідно утримувати, га</t>
  </si>
  <si>
    <t xml:space="preserve">    Показник: площа дитячого парку "Казка", що підлягає прибиранню,  га</t>
  </si>
  <si>
    <t>Показник: площа газонів, які планується відновити (створити), га</t>
  </si>
  <si>
    <t>Показник: площа трави (амброзії), що підлягає прополюванню,  га</t>
  </si>
  <si>
    <t xml:space="preserve">    Показник: кількість дерев та кущів, за якими планується догляд од.</t>
  </si>
  <si>
    <t xml:space="preserve">    Показник: кількість зелених насаджень (дерев та кущів), що планується висадити , од.</t>
  </si>
  <si>
    <t xml:space="preserve">    Показник: площа газонів, яку планується утримувати, га</t>
  </si>
  <si>
    <t>Показник: кількість туалетів на території дитячого "Казка, які планується утримувати, од</t>
  </si>
  <si>
    <t xml:space="preserve">    Показник: площа дитячого парку "Казка", яку планується прибирати, га</t>
  </si>
  <si>
    <t xml:space="preserve">    Показник: кількість дерев на території дитячого парку "Казка", які планується доглянути,од</t>
  </si>
  <si>
    <t xml:space="preserve">    Показник: кількість дерев на території дитячого парку "Казка", які планується висадити,од</t>
  </si>
  <si>
    <t xml:space="preserve">    Показник: кількість квіткової розсади на території дитячого парку "Казка", які планується висадити,од</t>
  </si>
  <si>
    <t xml:space="preserve">    Показник: площа   доріжок в дитячому парку "Казка", на якій планується провести поточний  ремонт кв. м </t>
  </si>
  <si>
    <t>га</t>
  </si>
  <si>
    <t xml:space="preserve">    Показник: середні витрати на догляд за деревами та кущами, грн.</t>
  </si>
  <si>
    <t>Показник: середні витрати на  відновлення  (створення) 1 га газонів,грн.</t>
  </si>
  <si>
    <t xml:space="preserve">    Показник: середні витрати на  висадження одного дерева та посадку куща, грн.</t>
  </si>
  <si>
    <t xml:space="preserve">    Показник: середні витрати на утримання 1 га газонів, грн.</t>
  </si>
  <si>
    <t>Показник: середні витрати на утримання  дитячого парку "Казка"</t>
  </si>
  <si>
    <t xml:space="preserve">    Показник:середні витрати на прополювання трави (амброзії), грн</t>
  </si>
  <si>
    <t xml:space="preserve">    Показник: Питома вага дерев та кущів, які потребують догляду до загальної їх кількості , %,</t>
  </si>
  <si>
    <t xml:space="preserve">    Показник: Питома вага утриманої териорії до території, що підлягає утриманню, %</t>
  </si>
  <si>
    <t xml:space="preserve">    Показник: середні витрати на поточний ремонт та утримання парків, скверів міста, зелених зон та пляжів</t>
  </si>
  <si>
    <t>грн</t>
  </si>
  <si>
    <t>%  площі газонів, які планується утримувати</t>
  </si>
  <si>
    <t>% кількості зелених насаджень (дерев та кущів), що планується висадити</t>
  </si>
  <si>
    <t>тис. од</t>
  </si>
  <si>
    <t>Показник: кількість малих архітектурних форм та споруд благоустрою у парках, скверах та зелених зонах, що потребують поточного ремонту, од</t>
  </si>
  <si>
    <t>Показник: середні витрати на проведення поточного ремонту малих архітектурних форм та споруд благоустрою у парках, скверах та зелених зонах , грн.</t>
  </si>
  <si>
    <t>кв м</t>
  </si>
  <si>
    <t xml:space="preserve">Витрати на прополювання трави (амброзії) </t>
  </si>
  <si>
    <t>Витрати на утримання дитячого парку "Казка"</t>
  </si>
  <si>
    <t xml:space="preserve">% площі дитячого парку "Казка", які прибираються </t>
  </si>
  <si>
    <t xml:space="preserve">    Показник: площа трави (амброзії), яку планується прополювати,  га</t>
  </si>
  <si>
    <t>% площі прополювання трави (амброзії)</t>
  </si>
  <si>
    <t>міс</t>
  </si>
  <si>
    <t>Витрати на проведення поточного ремонту малих архітектурних форм та споруд благоустрою у парках, скверах та зелених зонах</t>
  </si>
  <si>
    <t>% виконання ремонту</t>
  </si>
  <si>
    <t>Показник:кількість парків, скверів тощо , що потребують капітального ремонту, од</t>
  </si>
  <si>
    <t>Витрати на проведення капітального ремонту парків, скверів тощо</t>
  </si>
  <si>
    <t>Показник: середні витрати на проведення капітального ремонту парків, скверів тощо , грн.</t>
  </si>
  <si>
    <t>Витрати на утримання кладовищ</t>
  </si>
  <si>
    <t>Показник: кількість кладовищ, які  планується утримувати, од</t>
  </si>
  <si>
    <t>Показник: середньорічні витрати на утримання 1 кладовища</t>
  </si>
  <si>
    <t>% утримання кладовищ</t>
  </si>
  <si>
    <t>Показник: кількість виїздів спецслужби за викликами</t>
  </si>
  <si>
    <t xml:space="preserve">% виїздів спецслужби </t>
  </si>
  <si>
    <t>Витрати на забезпечення поховання безрідних</t>
  </si>
  <si>
    <t>Показник: кількість похованих безрідних, чол.</t>
  </si>
  <si>
    <t>чол.</t>
  </si>
  <si>
    <t>Показник: середня вартість поховання 1 безрідного, грн.</t>
  </si>
  <si>
    <t>% похованих безрідних</t>
  </si>
  <si>
    <t>Показник: середні витрати на один виїзд спецслужби</t>
  </si>
  <si>
    <t>Витрати на проведення санітарної очистки території міста Суми (послуги зі збирання безпечних відходів, непридатних для вторинного використовування (прибирання урн від сміття по місту)</t>
  </si>
  <si>
    <t xml:space="preserve">    Показник: кількість заходів із збирання безпечних відходів, непридатних для вторинного використання (прибирання урн від сміття по місту), од.</t>
  </si>
  <si>
    <t xml:space="preserve">    Показник: середня вартість одного заходу із збирання безпечних відходів, непридатних для вторинного використання (прибирання урн від сміття по місту)</t>
  </si>
  <si>
    <t>% прибирання урн від сміття по місту</t>
  </si>
  <si>
    <t>Витрати на придбання та встановлення урн</t>
  </si>
  <si>
    <t>% придбання та встановлення урн</t>
  </si>
  <si>
    <t>Середня вартість придбання та встановлення урн</t>
  </si>
  <si>
    <t>Кількість урн, які планується придбати та встановити</t>
  </si>
  <si>
    <t>Показник: об'єм сміття, який планується зібрати та вивезти</t>
  </si>
  <si>
    <t>куб м</t>
  </si>
  <si>
    <t xml:space="preserve">    Показник: середня вартість збирання та вивезення 1 м3 сміття</t>
  </si>
  <si>
    <t>% збирання та вивезення сміття</t>
  </si>
  <si>
    <t>Витрати на ліквідацію несанкціонованих і неконтрольованих звалищ відходів , в тому числі в приватному секторі</t>
  </si>
  <si>
    <t>Витрати на проведення санітарних заходів у прибережних смугах озера Чеха</t>
  </si>
  <si>
    <t>Показник: площа території, на якій проводиться благоустрій</t>
  </si>
  <si>
    <t>тис. кв.м</t>
  </si>
  <si>
    <t>тис. грн/кв.м</t>
  </si>
  <si>
    <t xml:space="preserve">    Показник: витрати на одиницю показника продукту</t>
  </si>
  <si>
    <t>КПКВК 6030 «Організація благоустрою населених пунктів»</t>
  </si>
  <si>
    <t>Витрати на технічне обслуговування насосної станції по вул.Круговій та по провул.Тихоріченський</t>
  </si>
  <si>
    <t>% обслуговування</t>
  </si>
  <si>
    <t>Витрати на спостереження, технічне обслуговування та поточний ремонт системи санкціонованого проїзду</t>
  </si>
  <si>
    <t>% оплати</t>
  </si>
  <si>
    <t>Витрати на технічне обслуговування та поточний ремонт фонтанів</t>
  </si>
  <si>
    <t>% технічного обслуговування та поточного ремонту фонтанів</t>
  </si>
  <si>
    <t>Показник: середня вартість технічного обслуговування та поточного ремонту 1 фонтану</t>
  </si>
  <si>
    <t>Витрати на забезпечення водопостачання фонтанів</t>
  </si>
  <si>
    <t>Показник: об'єм води, необхідний для забезпечення фонтанів</t>
  </si>
  <si>
    <t>тис. куб.м</t>
  </si>
  <si>
    <t>Показник: середня вартість 1м3 води</t>
  </si>
  <si>
    <t>грн/куб.м</t>
  </si>
  <si>
    <t>% забезпечення водопостачання фонтанів</t>
  </si>
  <si>
    <t>Витрати на утримання та поточного ремонту дитячих та спортивних майданчиків</t>
  </si>
  <si>
    <t>Показник: кількість дитячих та спортивних майданчиків, що підлягають утриманню та поточному ремонту</t>
  </si>
  <si>
    <t>Показник: середня вартість утримання та поточного ремонту дитячого та спортивного майданчику</t>
  </si>
  <si>
    <t>% охоплених утриманням та ремонтом</t>
  </si>
  <si>
    <t xml:space="preserve">    Показник: кількість нових лавок які планується придбати і встановити  по місту Суми</t>
  </si>
  <si>
    <t>Витрати на придбання та встановлення нових лавок</t>
  </si>
  <si>
    <t>Показник: середня вартість однієї нової лавки яку планується придбати і встановити по місту Суми на рік</t>
  </si>
  <si>
    <t>% придбання та встановлення нових лавок</t>
  </si>
  <si>
    <t>Витрати на забезпечення функціонування громадських вбиралень</t>
  </si>
  <si>
    <t>Показник: кількість туалетів, які планується утримувати</t>
  </si>
  <si>
    <t>Показник: середні витрати на утримання 1 туалету на  місяць</t>
  </si>
  <si>
    <t xml:space="preserve">    Показник: кількість безпритульних тварин, які планується виловити (утримувати в притулку, стерилізувати)</t>
  </si>
  <si>
    <t>Витрати на забезпечення сприятливих умов для співіснування людей та тварин</t>
  </si>
  <si>
    <t xml:space="preserve">    Показник: середні витрати на проведення утримання в притулку, стерилізації тварини та їх виловлення
</t>
  </si>
  <si>
    <t>Темп зростання середніх витрат на регулювання однієї тварини порівняно з попереднім роком</t>
  </si>
  <si>
    <t>Витрати на проведення капітального ремонту об'єктів та елементів благоустрою на загальних об'єктах</t>
  </si>
  <si>
    <t>темп зростання середніх витрат на один захід із капітального ремонту об'єктів благоустрою порівняно з попереднім роком</t>
  </si>
  <si>
    <t>КПКВК 6011 «Експлуатація та технічне обслуговування житлового фонду»</t>
  </si>
  <si>
    <t xml:space="preserve">    Показник: кількість об'єктів житлового фонду (будинків), що планується відремонтувати</t>
  </si>
  <si>
    <t xml:space="preserve">    Показник: середня вартість капітального ремонту одного об'єкта житлового фонду (будинку)</t>
  </si>
  <si>
    <t>Показник: кількість об'єктів житлового фонду (будинків), що потребують ремонту</t>
  </si>
  <si>
    <t xml:space="preserve">Питома вага кількості об'єктів житлового фонду (будинків), на яких планується проведення капітального ремонту, до кількості об'єктів (будинків), що потребують капітального ремонту </t>
  </si>
  <si>
    <t xml:space="preserve">    Показник: загальна кількість святкових заходів, які підлягають святковому оформленню</t>
  </si>
  <si>
    <t xml:space="preserve">    Показник: обсяг видатків на святкове оформлення та ремонт</t>
  </si>
  <si>
    <t xml:space="preserve">    Показник: середня вартість 1 святкового заходу та ремонту</t>
  </si>
  <si>
    <t>темп зростання середніх витрат на один святковий захід та ремонт порівняно з попереднім роком</t>
  </si>
  <si>
    <t>КПКВК 6090 «Інша діяльність у сфері житлово-комунального господарства», КПКВК 7691 «Інші фонди»</t>
  </si>
  <si>
    <t xml:space="preserve">Оперативна ціль В.4 Комфортна громада
</t>
  </si>
  <si>
    <t xml:space="preserve">Витрати на садіння нових дерев і кущів за рахунок цільового фонду </t>
  </si>
  <si>
    <t xml:space="preserve">% забезпечення садіння нових дерев і кущів за рахунок цільового фонду </t>
  </si>
  <si>
    <t xml:space="preserve">    Показник: кількість дерев та кущів, які планується висадити</t>
  </si>
  <si>
    <t xml:space="preserve">    Показник: середні витрати на садіння 1 дерева/ куща</t>
  </si>
  <si>
    <t>КПКВК 7691  "Інші фонди"</t>
  </si>
  <si>
    <t>Показник: кількість місяців, за які сплачується податок на земельну ділянку за адресою: м.Суми, вул.Привокзальна, 4/13 (каналізаційно-насосна станція), міс</t>
  </si>
  <si>
    <t>% оплати податку</t>
  </si>
  <si>
    <t xml:space="preserve"> Показник: середня вартість податку на земельну ділянку</t>
  </si>
  <si>
    <t>Витрати на оплату податку на земельну ділянку за адресою: м.Суми, вул.Привокзальна, 4/13 (каналізаційно-насосна станція)</t>
  </si>
  <si>
    <t>Витрати на оплату за за видачу сертифікату, який видається у разі прийняття в експлуатацію об'єкта</t>
  </si>
  <si>
    <t>Показник: Кількість сертифікатів для введення в експлуатацію обєктів</t>
  </si>
  <si>
    <t>Показник: середня вартість видачі одного сертифікату</t>
  </si>
  <si>
    <t>куб.м/рік</t>
  </si>
  <si>
    <t>Обсяг природного газу необхідної для безперебійної роботи Монументу "Вічна Слава"</t>
  </si>
  <si>
    <t>Витрати на проведення санації шахтних колодязів, в тому числі в приватному секторі</t>
  </si>
  <si>
    <t>Показник: кількість колодязів, по яких буде проведена санація</t>
  </si>
  <si>
    <t xml:space="preserve">    Показник: середня вартість проведення санації</t>
  </si>
  <si>
    <t>Витрати на проведення поточного ремонту шахтних колодязів, в тому числі в приватному секторі"</t>
  </si>
  <si>
    <t>Показник: кількість колодязів, по яких буде проведений поточний ремонт</t>
  </si>
  <si>
    <t>Показник:  середня вартість проведення поточного ремонту</t>
  </si>
  <si>
    <t>Показник: кількість проєктів</t>
  </si>
  <si>
    <t>Показник: середні витрати на 1 проєкт</t>
  </si>
  <si>
    <t xml:space="preserve">Витрати на  послуги з розробки проекту: організація дорожнього руху </t>
  </si>
  <si>
    <t>Витрати на забезпечення технічного обслуговування  камер відеоспостереження</t>
  </si>
  <si>
    <t>Показник: кількість місяців передбачених для технічного обслуговування камер відеоспостереження</t>
  </si>
  <si>
    <t>Показник: середні витрати на 1 міс технічного обслуговування  камер відеоспостереження</t>
  </si>
  <si>
    <t>% охоплених  обслуговуванням</t>
  </si>
  <si>
    <t>Витрати на інші видатки у сфері житлово-комунального господарства</t>
  </si>
  <si>
    <t>Показник: кількість інших видатків у сфері житлово-комунального господарства</t>
  </si>
  <si>
    <t>Показник: середня вартість 1 заходу у сфері житлово-комунального господарства</t>
  </si>
  <si>
    <t>% охоплених заходів</t>
  </si>
  <si>
    <t>КПКВК 6013 «Забезпечення діяльності водопровідно-каналізаційного господарства»</t>
  </si>
  <si>
    <t xml:space="preserve">Витрати на забезпечення охорони  каналізаційно-насосної станції </t>
  </si>
  <si>
    <t>Питома вага місяців охорони</t>
  </si>
  <si>
    <t>Показник: кількість об'єктів, що планується відремонтувати</t>
  </si>
  <si>
    <t xml:space="preserve">Питома вага відремонтованих від запланованих </t>
  </si>
  <si>
    <t>Витрати на надання послуг по обстеженню води на території старостинських округів, промивка та знезараження води</t>
  </si>
  <si>
    <t xml:space="preserve">    Показник: кількість об'єктів </t>
  </si>
  <si>
    <t xml:space="preserve">    Показник: середня вартість послуг по обстеженню води на території старостинських округів, промивки та знезараження води</t>
  </si>
  <si>
    <t>% охоплених  заходом</t>
  </si>
  <si>
    <t xml:space="preserve">Показник: кількість об'єктів </t>
  </si>
  <si>
    <t xml:space="preserve">    Показник: середня вартість заходу</t>
  </si>
  <si>
    <t>Витрати на фінансову підтримку КП «Міськводоканал» СМР</t>
  </si>
  <si>
    <t xml:space="preserve">    Показник: кількість підприємств, яким надається фінансова підтримка</t>
  </si>
  <si>
    <t xml:space="preserve">    Показник: середня вартість однієї фінансової підтримки</t>
  </si>
  <si>
    <t>КПКВК 6020  "Забезпечення функціонування підприємств, установ та організацій, що виробляють, виконують та/або надають житлово-комунальні послуги"</t>
  </si>
  <si>
    <t>КПКВК 7640  "Заходи з енергозбереження"</t>
  </si>
  <si>
    <t>КПКВК 7670  "Внески до статутного капіталу суб'єктів господарювання"</t>
  </si>
  <si>
    <t>КПКВК 9770  "Інші субвенції з місцевого бюджету"</t>
  </si>
  <si>
    <t>КПКВК 6017  "Інша діяльність, пов'язана з експлуатацією об'єктів житлово-комунального господарства"</t>
  </si>
  <si>
    <t>Відповідальні виконавці: Департамент інфраструктури міста Сумської міської ради, КП "Сумижитло" СМР,                                                                                                                 КП "Сумитеплоенергоцентраль" СМР, Виконавчий комітет СМР,  КП "Міськводоканал" СМР</t>
  </si>
  <si>
    <t>Управління капітального будівництва та дорожнього господарства</t>
  </si>
  <si>
    <t xml:space="preserve">    Показник: обсяг видатків на проведення ремонтно-відновлювальних робіт</t>
  </si>
  <si>
    <t xml:space="preserve">    Показник: обсяг бюджетної позички, який підлягає поверненню</t>
  </si>
  <si>
    <t xml:space="preserve">    Показник:кількість підприємств, яким надана бюджетна позичка</t>
  </si>
  <si>
    <t xml:space="preserve">    Показник: середня обсяг бюджетної позички, який підлягає поверненню</t>
  </si>
  <si>
    <t>Витрати на заходи з будівництва об'єктів житлово-комунального господарства</t>
  </si>
  <si>
    <t xml:space="preserve">Витрати на заходи з будівництва, реставрації  та реконструкції  інших об'єктів комунальної власності </t>
  </si>
  <si>
    <t>Витрати на заходи з будівництва, реставрації  та реконструкції пам'яток архітектури</t>
  </si>
  <si>
    <t xml:space="preserve">    Показник: середня вартість будівництва, реконструкції та реставрації для одного об'єкта пам'ятки архітектури</t>
  </si>
  <si>
    <t>Витрати на забезпечення надійного та безперебійного функціонування житлово-експлуатаційного господарства</t>
  </si>
  <si>
    <t xml:space="preserve">    Показник: кількість  проведених експертиз оцінки шкоди, спричиненої власникам (користувачам, володільцям тощо) нерухомого майна на території Сумської міської територіальної громади внаслідок збройної агресії Російської Федерації проти України та з обстеження технічного стану житлових будинків на території Сумської міської територіальної громади внаслідок збройної агресії Російської Федерації проти України</t>
  </si>
  <si>
    <t>шт.</t>
  </si>
  <si>
    <t xml:space="preserve">    Показник:кількість технічних паспортів,</t>
  </si>
  <si>
    <t xml:space="preserve">    Показник: кількість бюджетів, яким планується надання субвенції</t>
  </si>
  <si>
    <t xml:space="preserve">    Показник: середня сума  надання субвенції одному бюджету</t>
  </si>
  <si>
    <t>Витрати на надання субвенції</t>
  </si>
  <si>
    <t>Витрати на забезпечення зміцнення матеріально-технічної бази підприємств комунальної форми власності</t>
  </si>
  <si>
    <t xml:space="preserve">    Показник: кількість підприємств комунальної форми власності яким планується поповнення статутного капіталу</t>
  </si>
  <si>
    <t xml:space="preserve">    Показник: середня сума  поповнення статутного капіталу  одного підприємства</t>
  </si>
  <si>
    <t xml:space="preserve">    Показник:кількість позичальників, що отримали кредит на впровадження енергозберігаючих заходів</t>
  </si>
  <si>
    <t>Обсяг витрат на відшкодування з бюджету Сумської міської територіальної громади відсотків за кредитами, залученими об'єднаннями співвласників багатоквартирних житлових будинків на впровадження заходів енергоефективності</t>
  </si>
  <si>
    <t xml:space="preserve">    Показник: середні витрати на одного позичальника</t>
  </si>
  <si>
    <t>% охоплених заходом</t>
  </si>
  <si>
    <t xml:space="preserve">    Показник:кількість позичальників, що отримали відшкодування відсоткових ставок</t>
  </si>
  <si>
    <t xml:space="preserve">    Показник: середні витрати на одного позичальника,</t>
  </si>
  <si>
    <t>Витрати на проведення відшкодування з бюджету Сумської міської територіальної громади відсотків за кредитами, залученими об'єднаннями співвласників багатоквартирних житлових будинків, житлово-будівельними кооперативами на впровадження енергозберігаючих заходів (програма "Енергодім")</t>
  </si>
  <si>
    <t>Витрати на відшкодування з бюджету Сумської міської територіальної громади відсотків за кредитами, залученими населенням (фізичними особами), на впровадження енергозберігаючих заходів</t>
  </si>
  <si>
    <t xml:space="preserve">    Показник: обсяг видатків, передбачений на забезпечення функціонування об'єктів житлово-комунального господарства</t>
  </si>
  <si>
    <t xml:space="preserve">    Показник: середня сума  видатків на забезпечення функціонування об'єктів житлово-комунального господарства</t>
  </si>
  <si>
    <t xml:space="preserve">    Показник: кількість підприємств, яким плануються видатки на забезпечення функціонування об'єктів житлово-комунального господарства</t>
  </si>
  <si>
    <t xml:space="preserve">    Показник: загальна кількість об'єктів, що потребує поточного та капітального ремонту</t>
  </si>
  <si>
    <t xml:space="preserve">    Показник: кількість об'єктів, яка охоплена поточним та капітальним ремонтом</t>
  </si>
  <si>
    <t>Середня вартість ремонту 1 об'єкта</t>
  </si>
  <si>
    <t>% проведених ремонтів  до  потребуючих ремонту</t>
  </si>
  <si>
    <t>Збільшення протяжності мережі зовнішнього освітлення, на якій планується провести поточний ремонт</t>
  </si>
  <si>
    <t>Збільшення протяжності мережі зовнішнього освітлення, на якій планується провести капітальний ремонт</t>
  </si>
  <si>
    <t>Збільшення площі вуличної-дорожньої мережі,, на якій планується провести капітальний ремонт</t>
  </si>
  <si>
    <t>Збільшення площі вуличної-дорожньої мережі,, на якій планується провести поточний ремонт</t>
  </si>
  <si>
    <t xml:space="preserve">Директор Департаменту інфраструктури міста Сумської міської ради </t>
  </si>
  <si>
    <t>Завдання 1. "Проведення ремонту та утримання об'єктів транспортної інфраструктури  Сумської міської територіальної громади на 2025 - 2027 роки, в тому числі в приватному секторі", у т.ч.</t>
  </si>
  <si>
    <t>Завдання 2. "Забезпечення функціонування мереж зовнішнього освітлення Сумської міської територіальної громади на 2025 - 2027 роки, в тому числі в приватному секторі", у т.ч.</t>
  </si>
  <si>
    <t>Витрати на проведення  ремонту мостів,  шляхопроводів та пішохідних мостів</t>
  </si>
  <si>
    <t>загальна площа вулично-дорожньої мережі з твердим покриттям</t>
  </si>
  <si>
    <t>площа вулично-дорожньої мережі, на якій  проводяться роботи з очищення (утримання)</t>
  </si>
  <si>
    <t>Витрати на забезпечення діяльності спецслужби</t>
  </si>
  <si>
    <t xml:space="preserve">Відповідальні виконавці: Департамент інфраструктури міста Сумської міської ради та інші суб'єкти господарювання </t>
  </si>
  <si>
    <t xml:space="preserve">    Показник: вартість проведення експертизи оцінки шкод та обстеження технічного стану житлових будинків, виготовлення технічних паспортів</t>
  </si>
  <si>
    <t>Завдання 22. "Проведення ремонтно-відновлювальних робіт об’єктів житлового фонду Сумської міської територіальної громади, пошкоджених внаслідок збройної агресії російської федерації"</t>
  </si>
  <si>
    <t xml:space="preserve">    Показник: середня вартість ремонту об'єктів житлового фонду (будинків)</t>
  </si>
  <si>
    <t>Витрати на садіння  квіткових рослин  (у тому числі і багаторічних), догляд за квітниками з усіма попередніми супровідними роботами</t>
  </si>
  <si>
    <t>% кількості квіткової розсади, що планується висадити та утримувати</t>
  </si>
  <si>
    <t xml:space="preserve">    Показник: середні витрати на  висадження та догляд 1 тис. од. квіткової розсади</t>
  </si>
  <si>
    <t xml:space="preserve">    Показник: кількість квіткової розсади, яку планується висадити та доглядати, тис. од.</t>
  </si>
  <si>
    <t>КПКВК 6092 "Реалізація проектів (заходів) з відновлення об'єктів житлового фонду, пошкоджених / знищених внаслідок збройної агресії, за рахунок коштів місцевих бюджетів"</t>
  </si>
  <si>
    <t>6092</t>
  </si>
  <si>
    <t>Витрати на проведення поточного ремонту, утримання та технічне обслуговування водонапірних башт та свердловин,  заміну насосного обладнання (придбання)</t>
  </si>
  <si>
    <t xml:space="preserve">Показник: кількість майданчиків, які планується облаштувати для роздільногозбору побутових відходів </t>
  </si>
  <si>
    <t xml:space="preserve">Витрати на облаштування та утримання майданчиків для роздільного збору побутових відходів </t>
  </si>
  <si>
    <t xml:space="preserve">    Показник: середня вартість облаштування одного майданчика</t>
  </si>
  <si>
    <t>%  запланованих облаштованих майданчиків</t>
  </si>
  <si>
    <t>Витрати на поточний ремонт майданчиків для складування твердих побутових відходів</t>
  </si>
  <si>
    <t xml:space="preserve">    Показник: середня вартість ремонту </t>
  </si>
  <si>
    <t>Витрати на облаштування та утримання території місця тимчасового зберігання  відходів від руйнувань</t>
  </si>
  <si>
    <t>Показник: кількість майданчиків, де буде проводитися тимчасове зберігання відходів від руйнувань</t>
  </si>
  <si>
    <t xml:space="preserve">    Показник: середня вартість облаштування та утримання території місця тимчасового зберігання відходів від руйнувань</t>
  </si>
  <si>
    <t>% проведення санітарних заходів</t>
  </si>
  <si>
    <t>% виконання завдання</t>
  </si>
  <si>
    <t>6014</t>
  </si>
  <si>
    <t xml:space="preserve"> Завдання 6. Забезпечення збору та вивезення сміття і відходів</t>
  </si>
  <si>
    <t xml:space="preserve">КПКВК 6014 «Забезпечення збору та вивезення сміття і відходів» </t>
  </si>
  <si>
    <t xml:space="preserve"> Завдання 6. Забезпечення  збору та вивезення сміття і відходів</t>
  </si>
  <si>
    <t>Витрати на утримання посадкових майданчиків на зупинках громадського транспорту</t>
  </si>
  <si>
    <t>Показник: середні витрати на утримання посадкових майданчиків на зупинках громадського транспорту</t>
  </si>
  <si>
    <t>Показник: кількість  посадкових майданчиків на зупинках громадського транспорту, що потребують утримання</t>
  </si>
  <si>
    <t>Витрати на встановлення, проведення поточного та капітального ремонтів технічних засобів регулювання дорожнім рухом</t>
  </si>
  <si>
    <t>Показник: середні витрати на встановлення, проведення поточного та капітального ремонтів технічних засобів регулювання дорожнім рухом</t>
  </si>
  <si>
    <t>Показник: кількість об'єктів технічних засобів регулювання дорожнім рухом, що потребують встановлення, проведення поточного та капітального ремонтів</t>
  </si>
  <si>
    <t>Показник: кількість майданчиків, які планується відремонтувати</t>
  </si>
  <si>
    <t>%  відремонтованих</t>
  </si>
  <si>
    <t xml:space="preserve">    Показник: кількість місяців, в яких плануються видатки на забезпечення охорони</t>
  </si>
  <si>
    <t xml:space="preserve">    Показник: середня сума   видатків на забезпечення охорони</t>
  </si>
  <si>
    <t xml:space="preserve"> Завдання 7. Поточний ремонт та утримання в належному стані об'єктів благоустрою </t>
  </si>
  <si>
    <t xml:space="preserve"> Завдання 8. Забезпечення сприятливих умов для співіснування людей та тварин</t>
  </si>
  <si>
    <t xml:space="preserve"> Завдання 10. Капітальний ремонт обєктів житлового господарства Сумської міської територіальної громади на 2025 - 2027 роки</t>
  </si>
  <si>
    <t xml:space="preserve"> Завдання 11. Забезпечення святкового оформлення міста до пам'ятних та історичних дат, культурно-мистецьких, релігійних та інших заходів Сумської міської  територіальної громади</t>
  </si>
  <si>
    <t xml:space="preserve"> Завдання 12.  Інша діяльність у сфері житлово-комунального господарства, в тому числі в приватному секторі,  всього:</t>
  </si>
  <si>
    <t xml:space="preserve"> Завдання 13.  Виконання заходів за рахунок цільових фондів </t>
  </si>
  <si>
    <t xml:space="preserve"> Завдання 14.   Забезпечення функціонування водопровідно-каналізаційного господарства, в тому числі в приватному секторі         </t>
  </si>
  <si>
    <t xml:space="preserve"> Завдання 16.   Впровадження енергозберігаючих заходів</t>
  </si>
  <si>
    <t xml:space="preserve"> Завдання 17.   Забезпечення зміцнення матеріально-технічної бази підприємств комунальної форми власності</t>
  </si>
  <si>
    <t xml:space="preserve"> Завдання 18.   Створення сприятливих умов проживання населення та забезпечення надання життєво необхідних послуг</t>
  </si>
  <si>
    <t xml:space="preserve"> Завдання 19.    Забезпечення надійного та безперебійного функціонування житлово-експлуатаційного господарства</t>
  </si>
  <si>
    <t xml:space="preserve"> Завдання 20.   Заходи з будівництва, реставрації та реконструкції </t>
  </si>
  <si>
    <t xml:space="preserve"> Завдання 21.   Надання та повернення бюджетних позичок на поворотній основі </t>
  </si>
  <si>
    <t xml:space="preserve"> Завдання 22.  Проведення ремонтно-відновлювальних робіт об’єктів житлового фонду Сумської міської територіальної громади, пошкоджених внаслідок збройної агресії російської федерації на 2025-2027 роки</t>
  </si>
  <si>
    <t xml:space="preserve">  Завдання 7. Поточний ремонт та утримання в належному стані об'єктів благоустрою </t>
  </si>
  <si>
    <t xml:space="preserve">  Завдання 8. Забезпечення сприятливих умов для співіснування людей та тварин</t>
  </si>
  <si>
    <t xml:space="preserve">  Завдання 9. Капітальний ремонт об'єктів та елементів благоустрою на загальних об'єктах</t>
  </si>
  <si>
    <t xml:space="preserve">   Завдання 10. Капітальний ремонт обєктів житлового господарства Сумської міської територіальної громади на 2022 - 2024 роки</t>
  </si>
  <si>
    <t xml:space="preserve">   Завдання 11. Забезпечення святкового оформлення міста до пам'ятних та історичних дат, культурно-мистецьких, релігійних та інших заходів Сумської міської  територіальної громади</t>
  </si>
  <si>
    <t xml:space="preserve">  Завдання 11. Забезпечення святкового оформлення міста до пам'ятних та історичних дат, культурно-мистецьких, релігійних та інших заходів Сумської міської  територіальної громади</t>
  </si>
  <si>
    <t xml:space="preserve">  Завдання 12.  Інша діяльність у сфері житлово-комунального господарства, в тому числі в приватному секторі, та за рахунок цільових фондів, всього:</t>
  </si>
  <si>
    <t xml:space="preserve">   Завдання 13.  Виконання заходів за рахунок цільових фондів </t>
  </si>
  <si>
    <t xml:space="preserve">    Завдання 14.   Забезпечення функціонування водопровідно-каналізаційного господарства, в тому числі в приватному секторі         </t>
  </si>
  <si>
    <t xml:space="preserve">   Завдання 16.   Впровадження енергозберігаючих заходів</t>
  </si>
  <si>
    <t xml:space="preserve">    Завдання 17.   Забезпечення зміцнення матеріально-технічної бази підприємств комунальної форми власності</t>
  </si>
  <si>
    <t xml:space="preserve">     Завдання 18.   Створення сприятливих умов проживання населення та забезпечення надання життєво необхідних послуг</t>
  </si>
  <si>
    <t xml:space="preserve">    Завдання 19.    Забезпечення надійного та безперебійного функціонування житлово-експлуатаційного господарства</t>
  </si>
  <si>
    <t xml:space="preserve">    Завдання 20.   Заходи з будівництва, реставрації та реконструкції </t>
  </si>
  <si>
    <t xml:space="preserve">  Завдання 21.   Надання та повернення бюджетних позичок на поворотній основі </t>
  </si>
  <si>
    <t xml:space="preserve">    Завдання 22.  Проведення ремонтно-відновлювальних робіт об’єктів житлового фонду Сумської міської територіальної громади, пошкоджених внаслідок збройної агресії російської федерації на 2025-2027 роки </t>
  </si>
  <si>
    <t xml:space="preserve"> Завдання 9. Капітальний ремонт об'єктів та елементів благоустрою на загальних об'єктах (сходи, підпірні стінки, фонтани, тощо)</t>
  </si>
  <si>
    <t xml:space="preserve">Показник: кількість місяців передбачених для безперебійної роботи насосних станцій </t>
  </si>
  <si>
    <t xml:space="preserve">    Показник: середні витрати на один місяць безперебійної роботи насосних станцій  
</t>
  </si>
  <si>
    <t xml:space="preserve">Показник: кількість місяців передбачених для безперебійної роботи  системи санкціонованого проїзду на перехресті </t>
  </si>
  <si>
    <t xml:space="preserve">    Показник: середні витрати на один місяць безперебійної роботи  системи санкціонованого проїзду на перехресті 
</t>
  </si>
  <si>
    <t>Витрати на поточний ремонт, утримання об'єктів та елементів благоустрою, малих архітектурних форм</t>
  </si>
  <si>
    <t>Витрати на організацію та проведення оплачуваних громадських робіт на умовах співфінансування з Сумським міським центром зайнятості (50 %/ 50 %), власні надходження бюджетної установи</t>
  </si>
  <si>
    <t>Кількість місяців проведення оплачуваних громадських робіт , надання послуг за рахунок власних надходжень бюдетної установи</t>
  </si>
  <si>
    <t>Середня вартість проведення оплачуваних громадських робіт та надання послуг за рахунок власних надходжень бюджетної установи в місяць</t>
  </si>
  <si>
    <t>% проведення оплачуваних громадських робіт та послуг за рахунок власних надходжень в місяць</t>
  </si>
  <si>
    <t>Витрати на проведення капітального та поточного ремонту  водопровідних  та каналізаційних мереж</t>
  </si>
  <si>
    <t xml:space="preserve">    Показник: середня вартість капітального та поточного ремонту каналізаційних мереж, свердловин</t>
  </si>
  <si>
    <t>Витрати на проведення поточного ремонту та утримання кладовищ старостинських округів</t>
  </si>
  <si>
    <t>Показник: кількість кладовищ старостинських округів, на яких планується  проводити поточний ремонт, утримання , од</t>
  </si>
  <si>
    <t>Показник: середньорічні витрати на поточний ремонт, утримання на  1 кладовищі</t>
  </si>
  <si>
    <t xml:space="preserve">  Кількість фонтанів, які планується обслуговувати, проводити поточний ремонт</t>
  </si>
  <si>
    <t xml:space="preserve">    Показник: середня вартість одного заходу з поточного ремонту та утримання об'єктів та елементів благоустрою </t>
  </si>
  <si>
    <t>% виконання</t>
  </si>
  <si>
    <t xml:space="preserve">    Показник: кількість заходів з поточного ремонту та утримання об'єктів благоустрою, малих архітектурних форм</t>
  </si>
  <si>
    <t xml:space="preserve">Кількість фонтанів, які потрібно обслуговувати </t>
  </si>
  <si>
    <t xml:space="preserve">    Показник: кількість об'єктів та елементів благоустрою, на яких планується проведення капітального ремонту</t>
  </si>
  <si>
    <t>Витрати на проведення капітального ремонту об'єктів житлового фонду</t>
  </si>
  <si>
    <t xml:space="preserve">  Показник: середня вартість одного об'єкту з капітального ремонту об'єктів та елементів благоустрою
</t>
  </si>
  <si>
    <t xml:space="preserve">    Показник: кількість парків, скверів міста, зелених зон та пляжів, які потребують поточного ремонту та утримання, од.</t>
  </si>
  <si>
    <t xml:space="preserve">    Показник: середня вартість  будівництва одного об'єкта житлово-комунального господарства</t>
  </si>
  <si>
    <t xml:space="preserve">    Показник: середня вартість будівництва, реставрації  та реконструкції одного  іншого об'єкта комунальної власності </t>
  </si>
  <si>
    <t xml:space="preserve">    Показник: обсяг видатків</t>
  </si>
  <si>
    <t xml:space="preserve">6091, 7330, 7384, 4084 </t>
  </si>
  <si>
    <t>6091, 7384</t>
  </si>
  <si>
    <t>Відповідальні виконавці: Департамент інфраструктури міста Сумської міської ради, управління капітального будівництва та дорожнього господарства  Сумської міської ради, інші суб'єкти господарювання</t>
  </si>
  <si>
    <t>Витрати на постачання та розподіл природного газу монументу "Вічна Слава"</t>
  </si>
  <si>
    <t>Кількість послуг по розподілу природнього газу</t>
  </si>
  <si>
    <t>Показник: середня вартість послуги по розподілу природного газу</t>
  </si>
  <si>
    <t xml:space="preserve">Показник: середня вартість1 куб.м. спожитотого прородного газу </t>
  </si>
  <si>
    <t>6094</t>
  </si>
  <si>
    <t xml:space="preserve">    Показник: середня вартість наданої субвенції з державного бюджету на одне підприємство</t>
  </si>
  <si>
    <t>КПКВК 6094 «Реалізація заходів з відновлення об'єктів критичної інфраструктури в рамках спільного з Міжнародним банком реконструкції та розвитку проекту «Проект розвитку міської інфраструктури - 2»»</t>
  </si>
  <si>
    <t xml:space="preserve">    Показник: кількість підприємств, які будуть участниками  проєкту «Проект розвитку міської інфраструктури — 2» за рахунок коштів субвенції з державного бюджету</t>
  </si>
  <si>
    <t xml:space="preserve">    Показник: кількість парків, скверів міста, зелених зон та пляжів, на якій планується поточний ремонт та  утримання, од.</t>
  </si>
  <si>
    <t>8861, 8862, 7691</t>
  </si>
  <si>
    <t>КПКВК 7691 "Інші фонди", 8861 "Надання бюджетних позичок суб'єктам господарювання",                                         8862 "Повернення бюджетних позичок, наданих суб'єктам господарювання"</t>
  </si>
  <si>
    <t xml:space="preserve">    Показник: обсяг бюджетної позички, який надано суб'єкту господарювання</t>
  </si>
  <si>
    <t xml:space="preserve">    Показник: середня обсяг бюджетної позички, який надано</t>
  </si>
  <si>
    <t>Відповідальні виконавці: Департамент інфраструктури міста Сумської міської ради,  інші суб'єкти господарювання</t>
  </si>
  <si>
    <t xml:space="preserve"> Завдання 24.  Забезпечення реалізації проектів (заходів) з відновлення об'єктів житлово-комунального господарства, пошкоджених/знищених внаслідок збройної агресії, за рахунок коштів місцевих бюджетів</t>
  </si>
  <si>
    <t>6093</t>
  </si>
  <si>
    <t>Завдання 25. Забезпечення реалізації проектів (заходів) з відновлення інших об'єктів комунальної власності, пошкоджених / знищених внаслідок збройної агресії, за рахунок коштів місцевих бюджетів</t>
  </si>
  <si>
    <t xml:space="preserve"> Завдання 25.  Забезпечення реалізації проектів (заходів) з відновлення інших об'єктів комунальної власності, пошкоджених / знищених внаслідок збройної агресії, за рахунок коштів місцевих бюджетів</t>
  </si>
  <si>
    <t>7377</t>
  </si>
  <si>
    <t>КПКВК 6093 «Реалізація проектів (заходів) з відновлення об'єктів житлово-комунального господарства, пошкоджених/знищених внаслідок збройної агресії, за рахунок коштів місцевих бюджетів»</t>
  </si>
  <si>
    <t>КПКВК 7377 «Реалізація проектів (заходів) з відновлення інших об'єктів комунальної власності, пошкоджених / знищених внаслідок збройної агресії, за рахунок коштів місцевих бюджетів»</t>
  </si>
  <si>
    <t xml:space="preserve">    Показник: кількість заходів з відновлення інших об'єктів житлово-комунального господарства, пошкоджених/знищених внаслідок збройної агресії, за рахунок коштів місцевих бюджетів</t>
  </si>
  <si>
    <t xml:space="preserve">    Показник: середня вартість заходу з відновлення інших об'єктів житлово-комунального господарства, пошкоджених/знищених внаслідок збройної агресії, за рахунок коштів місцевих бюджетів</t>
  </si>
  <si>
    <t xml:space="preserve">    Показник: кількість листів ВЦ хвилясті  для відновлення пошкоджених об'єктів</t>
  </si>
  <si>
    <t xml:space="preserve">    Показник: кількість саморізів для гіпсокартону для відновлення пошкоджених об'єктів</t>
  </si>
  <si>
    <t>Середні витрати на придбання:</t>
  </si>
  <si>
    <t xml:space="preserve">   1 листа ВЦ хвилястого</t>
  </si>
  <si>
    <t xml:space="preserve">   1  саморізу для гіпсокартону</t>
  </si>
  <si>
    <t xml:space="preserve">  1 куб м піломатеріалів обрізних  </t>
  </si>
  <si>
    <t>Кошти інших місцевих бюджетів</t>
  </si>
  <si>
    <t>Відповідальні виконавці: Департамент інфраструктури міста Сумської міської ради, управління капітального будівництва та дорожнього господарства, інші суб'єкти господарювання</t>
  </si>
  <si>
    <t xml:space="preserve">    Завдання 23.  Субвенція з державного бюджету місцевим бюджетам на відновлення об’єктів критичної інфраструктури в рамках спільного з Міжнародним банком реконструкції та розвитку проекту «Проект розвитку міської інфраструктури — 2»  у 2025 році</t>
  </si>
  <si>
    <t>Завдання 23. Субвенція з державного бюджету місцевим бюджетам на відновлення об’єктів критичної інфраструктури в рамках спільного з Міжнародним банком реконструкції  та розвитку проекту «Проект розвитку міської інфраструктури — 2» у 2025 році</t>
  </si>
  <si>
    <t xml:space="preserve">    Завдання 24.  Забезпечення реалізації проектів (заходів) з відновлення об'єктів житлово-комунального господарства, пошкоджених/знищених внаслідок збройної агресії, за рахунок коштів місцевих бюджетів</t>
  </si>
  <si>
    <t>Завдання 24. Забезпечення реалізації проектів (заходів) з відновлення об'єктів житлово-комунального господарства, пошкоджених/знищених внаслідок збройної агресії, за рахунок коштів місцевих бюджетів</t>
  </si>
  <si>
    <t xml:space="preserve">    Завдання 25.  Забезпечення реалізації проектів (заходів) з відновлення інших об'єктів комунальної власності, пошкоджених / знищених внаслідок збройної агресії, за рахунок коштів місцевих бюджетів</t>
  </si>
  <si>
    <t>7370</t>
  </si>
  <si>
    <t xml:space="preserve"> Завдання 26.  Капітальний ремонт об'єктів комунальної власності громади</t>
  </si>
  <si>
    <t xml:space="preserve">    Завдання 26.  Капітальний ремонт об'єктів комунальної власності громади</t>
  </si>
  <si>
    <t>Завдання 26. Капітальний ремонт об'єктів комунальної власності громади</t>
  </si>
  <si>
    <t>КПКВК 7370 «Реалізація інших заходів щодо соціально-економічного розвитку територій»</t>
  </si>
  <si>
    <t xml:space="preserve">    Показник: кількість заходів з проведенняя капітального ремонту</t>
  </si>
  <si>
    <t xml:space="preserve">    Показник: середня вартість заходу з з проведенняя капітального ремонту</t>
  </si>
  <si>
    <t>Витрати на послуги з обслуговування автомобільним транспортом</t>
  </si>
  <si>
    <t xml:space="preserve">Показник: кількість :послуг з обслуговування автомобільним транспортом </t>
  </si>
  <si>
    <t xml:space="preserve">    Показник: кількість підприємств, яким надана бюджетна позичка</t>
  </si>
  <si>
    <t>Витрати на послуги з забезпечення управління відходами</t>
  </si>
  <si>
    <t>Показник: кількість :послуг з забезпечення управління відходами</t>
  </si>
  <si>
    <t xml:space="preserve">    Показник: середня вартість послуги з забезпечення управління відходами</t>
  </si>
  <si>
    <t xml:space="preserve">    Показник: середня вартість послуги з обслуговування автомобільним транспортом</t>
  </si>
  <si>
    <t>Захід 1.1. "Забезпечення проведення капітального ремонту вулично-дорожньої мережі та штучних споруд, внутрішньоквартальних проїзних доріг"</t>
  </si>
  <si>
    <t>Захід 1.2. "Забезпечення проведення поточного ремонту вулично-дорожньої мережі та штучних споруд"</t>
  </si>
  <si>
    <t>Захід 1.3. "Забезпечення проведення утримання вулично-дорожньої мережі та штучних споруд (чищення доріг, замітання вулиць, прибирання снігу, посипання піском тощо.)"</t>
  </si>
  <si>
    <t>Захід 1.4. "Забезпечення проведення поточного ремонту та улаштування огорож"</t>
  </si>
  <si>
    <t>Захід 1.5. "Поточний та капітальний ремонт зупинок громадського транспорту"</t>
  </si>
  <si>
    <t>Захід 1.6. "Забезпечення проведення поточного ремонту проїздів, тротуарів, велосипедних доріжок"</t>
  </si>
  <si>
    <t>Захід 1.7. "Забезпечення проведення ремонту мостів,  шляхопроводів та пішохідних мостів "</t>
  </si>
  <si>
    <t>Захід 1.8. "Забезпечення утримання в належному стані об'єктів благоустрою міста Суми (утримання посадкових майданчиків на зупинках громадського транспорту)"</t>
  </si>
  <si>
    <t>Захід 1.9. "Забезпечення встановлення, проведення поточного та капітального ремонтів технічних засобів регулювання дорожнім рухом (дорожні знаки)"</t>
  </si>
  <si>
    <t>Захід 2.1. "Забезпечення проведення технічного обслуговування, поточного та капітального ремонту  мереж зовнішнього освітлення, утримання їх в належному експлуатаційному стані"</t>
  </si>
  <si>
    <t>Захід 3.1. "Догляд за деревами та кущами (видалення сухостійних (порослі) та аварійних дерев з навантаженням та вивезенням деревени, обрізання крон дерев і кущів, вирізування сухих суків і гілок, вирубування пристовбурової порослі, полив та підживлення дерев і кущів, корчування пнів, прополювання пристовбурових ямок)"</t>
  </si>
  <si>
    <t>Захід 3.2. "Поточний ремонт та утримання озелениних територій (парків, скверів міста; зелених зон та місць масового відпочинку населення на водних об'єктах на території територіальної громади; систематичне очищення (прибирання) доріжок, алей, сходів на обєктах благоустрою; посипання піском в зимовий період, збирання та вивезення сміття та опалого листя; систематичне очищення урн від сміття в парках та скверах міста, періодичне їх миття, фарбування, догляд за лавами)"</t>
  </si>
  <si>
    <t>Захід 3.3. "Догляд за газонами (косіння (викошування) та прибирання скошеної трави на газонах, підсів трави на газонах, просічування газонів, поливання та підживлення газонів у скверах та парках міста збирання та вивезення сміття та опалого листя по загальних обєктах міста, водопостачання газонів), створення та відновлення газонів по місту"</t>
  </si>
  <si>
    <t>Захід 3.4. "Садіння нових дерев і кущів "</t>
  </si>
  <si>
    <t>Захід 3.5. "Садіння квіткових рослин  (у тому числі і багаторічних), догляд за квітниками з усіма попередніми супровідними роботами"</t>
  </si>
  <si>
    <t>Захід 3.6. "Організація та проведення оплачуваних громадських робіт на умовах співфінансування з Сумським міським центром зайнятості (50 %/ 50 %), власні надходження бюджетної установи"</t>
  </si>
  <si>
    <t>Захід 3.7. "Утримання дитячого парку "Казка""</t>
  </si>
  <si>
    <t>Захід 3.8. "Забезпечення ліквідації (викошування) трави (амброзії) "</t>
  </si>
  <si>
    <t>Захід 3.9. "Поточний ремонт малих архітектурних форм та споруд благоустрою у парках, скверах та зелених зонах"</t>
  </si>
  <si>
    <t>Захід 3.10. "Капітальний ремонт парків, скверів тощо"</t>
  </si>
  <si>
    <t>Захід 4.1. "Забезпечення поточного ремонту та утримання кладовищ м.Суми"</t>
  </si>
  <si>
    <t>Захід 4.2. "Забезпечення поточного ремонту та утримання кладовищ старостинських округів"</t>
  </si>
  <si>
    <t>Захід 4.3. "Забезпечення утримання спецслужби"</t>
  </si>
  <si>
    <t>Захід 4.4. "Забезпечення поховання одиноких громадян"</t>
  </si>
  <si>
    <t>Захід 5.1. "Забезпечення санітарної очистки території міста Суми (послуги зі збирання безпечних відходів, непридатних для вторинного використовування (прибирання урн від сміття по місту)"</t>
  </si>
  <si>
    <t>Захід 5.2. "Забезпечення придбання та встановлення урн "</t>
  </si>
  <si>
    <t>Захід 5.3. "Проведення санітарних заходів у прибережних смугах озера Чеха "</t>
  </si>
  <si>
    <t>Захід 6.1. "Догляд за об'єктами благоустрою загального користування: ліквідація несанкціонованих і неконтрольованих звалищ відходів , в тому числі в приватному секторі"</t>
  </si>
  <si>
    <t>Захід 6.2. "Послуги з облаштування та утримання майданчиків для роздільного збору побутових відходів на території Сумської міської територіальної громади"</t>
  </si>
  <si>
    <t>Захід 6.3. "Поточний ремонт майданчиків для складування твердих побутових відходів"</t>
  </si>
  <si>
    <t>Захід 6.4. "Послуги з облаштування та утримання території місця тимчасового зберігання  відходів від руйнувань на території Сумської міської територіальної громади"</t>
  </si>
  <si>
    <t>Захід 6.5. "Послуги з забезпечення управління відходами, що утворились у зв’язку з пошкодженням (руйнуванням) будівель та споруд внаслідок бойових дій, терористичних актів, диверсій або проведенням робіт з ліквідації їх наслідків"</t>
  </si>
  <si>
    <t>Захід 6.6. "Послуги з  обслуговування автомобільним транспортом"</t>
  </si>
  <si>
    <t>Захід 7.1. "Утримання та технічне обслуговування насосних станцій по м.Суми"</t>
  </si>
  <si>
    <t>Захід 7.2. "Спостереження, технічне обслуговування та поточний ремонт системи санкціонованого проїзду (болард-світлофор) на перехресті провул. Монастирський та вул. Воскресенської в м.Суми"</t>
  </si>
  <si>
    <t>Захід 7.4. "Утримання, поточний ремонт та технічне обслуговування фонтанів"</t>
  </si>
  <si>
    <t>Захід 7.5. "Забезпечення водопостачання фонтанів"</t>
  </si>
  <si>
    <t>Захід 7.6. "Забезпечення утримання та поточного ремонту дитячих та спортивних майданчиків"</t>
  </si>
  <si>
    <t>Захід 7.7. "Придбання та встановлення нових лавок"</t>
  </si>
  <si>
    <t>Захід 7.8. "Забезпечення функціонування громадських вбиралень"</t>
  </si>
  <si>
    <t>Захід 10.1. "Проведення капітального ремонту житлових будинків"</t>
  </si>
  <si>
    <t>Захід 12.1. "Оплата податку на земельну ділянку за адресою: м.Суми, вул.Привокзальна, 4/13 (каналізаційно-насосна станція)"</t>
  </si>
  <si>
    <t>Захід 12.2. "Забезпечення оплати за видачу сертифікату, який видається у разі прийняття в експлуатацію об'єкта"</t>
  </si>
  <si>
    <t>Захід 12.3. "Забезпечення постачання та розподілу природного газу монументу "Вічна Слава""</t>
  </si>
  <si>
    <t>Захід 12.4. "Проведення санації шахтних колодязів, в тому числі в приватному секторі"</t>
  </si>
  <si>
    <t>Захід 12.5. "Проведення поточного ремонту шахтних колодязів, в тому числі в приватному секторі"</t>
  </si>
  <si>
    <t>Захід 12.6. "Надання послуги з розробки проекту: організація дорожнього руху "</t>
  </si>
  <si>
    <t>Захід 12.7. "Забезпечення технічного обслуговування  камер відеоспостереження "</t>
  </si>
  <si>
    <t>Захід 12.8. "Інші видатки у сфері житлово-комунального господарства, в тому числі власні надходження бюджетної установи"</t>
  </si>
  <si>
    <t>Захід 13.1. "Садіння нових дерев і кущів за рахунок цільового фонду "</t>
  </si>
  <si>
    <t>Захід 14.1. "Забезпечення охорони  каналізаційно-насосної станції за адресою м.Суми вул.Привокзальна 4/13"</t>
  </si>
  <si>
    <t>Захід 14.2. "Проведення капітального та поточного ремонту водопровідних  та каналізаційних мереж, КНС та колекторів, cвердловин та насосних станцій"</t>
  </si>
  <si>
    <t>Захід 14.3. "Надання послуг по обстеженню води на території старостинських округів, промивка та знезараження води"</t>
  </si>
  <si>
    <t>Захід 14.4. "Поточний ремонт, утримання та технічне обслуговування водонапірних башт та свердловин, заміна насосного обладнання (придбання)"</t>
  </si>
  <si>
    <t>Захід 16.1. "Відшкодування з бюджету Сумської міської територіальної громади відсотків за кредитами, залученими населенням (фізичними особами), на впровадження енергозберігаючих заходів"</t>
  </si>
  <si>
    <t>Захід 16.2. "Відшкодування з бюджету Сумської міської територіальної громади відсотків за кредитами, залученими об'єднаннями співвласників багатоквартирних житлових будинків, житлово-будівельними кооперативами на впровадження енергозберігаючих заходів (програма "Енергодім")"</t>
  </si>
  <si>
    <t>Захід 16.3. "Відшкодування з бюджету Сумської міської територіальної громади відсотків за кредитами, залученими об'єднаннями співвласників багатоквартирних житлових будинків на впровадження заходів енергоефективності"</t>
  </si>
  <si>
    <t>Захід 20.1. "Заходи з будівництва об'єктів житлово-комунального господарства"</t>
  </si>
  <si>
    <t>Захід 20.2. "Заходи з будівництва  та реконструкції  інших об'єктів комунальної власності"</t>
  </si>
  <si>
    <t>Захід 20.3. "Заходи з проєктування, реставрації  та охорони пам'яток культурної спадщини"</t>
  </si>
  <si>
    <t>Захід 21.1. "Повернення бюджетних позичок на поворотній основі"</t>
  </si>
  <si>
    <t xml:space="preserve">  Захід 1.1. Забезпечення проведення капітального ремонту вулично-дорожньої мережі та штучних споруд, внутрішньоквартальних проїзних доріг, в тому числі в приватному секторі</t>
  </si>
  <si>
    <t xml:space="preserve">  Захід 1.2. Забезпечення проведення поточного ремонту вулично-дорожньої мережі та штучних споруд, в тому числі в приватному секторі</t>
  </si>
  <si>
    <t>Захід 1.3. "Забезпечення проведення утримання вулично-дорожньої мережі та штучних споруд (чищення доріг, тротуарів, замітання вулиць, прибирання снігу, посипання піском тощо.)"</t>
  </si>
  <si>
    <t xml:space="preserve"> Захід 1.4. "Забезпечення проведення поточного ремонту та улаштування огорож"</t>
  </si>
  <si>
    <t xml:space="preserve">  Захід 1.6. "Забезпечення проведення поточного ремонту проїздів, тротуарів, велосипедних доріжок"</t>
  </si>
  <si>
    <t>Захід 2.1. "Забезпечення проведення технічного обслуговування, поточного та капітального ремонту  мереж зовнішнього освітлення"</t>
  </si>
  <si>
    <t>Захід 3.1. "Догляд за деревами та кущами (видалення сухостійних (порослі) та аварійних дерев з навантаженням та вивезенням деревени, обрізання крон дерев і кущів, вирубування пристовбурової порослі, полив та підживлення дерев і кущів, корчування пнів, в парках і садах, прополювання пристовбурових ямок)"</t>
  </si>
  <si>
    <t xml:space="preserve">  Захід 3.2. "Поточний ремонт та утримання парків, скверів міста, зелених зон та пляжів на території територіальної громади (систематичне очищення (прибирання) доріжок, алей, сходів на обєктах благоустрою, збирання та вивезення сміття та опалого листя, систематичне очищення урн від сміття в парках та скверах міста)"</t>
  </si>
  <si>
    <t xml:space="preserve"> Захід 3.6. "Організація та проведення оплачуваних громадських робіт на умовах співфінансування з Сумським міським центром зайнятості (50 %/ 50 %), власні надходження бюджетної установи"</t>
  </si>
  <si>
    <t>Захід 3.8. "Прополювання трави (амброзії) "</t>
  </si>
  <si>
    <t xml:space="preserve"> Захід 4.2. "Забезпечення поточного ремонту та утримання кладовищ старостинських округів"</t>
  </si>
  <si>
    <t>Захід 6.2. "Послуги з облаштування та утримання майданчиків для роздільногозбору побутових відходів на території Сумської міської територіальної громади"</t>
  </si>
  <si>
    <t>Захід 7.1. "Технічне обслуговування насосних станцій по м.Суми"</t>
  </si>
  <si>
    <t>Захід 7.2. "Спостереження, технічне обслуговування та поточний ремонт системи санкціонованого проїзду на перехресті провул. Монастирський та вул. Воскресенської в м.Суми"</t>
  </si>
  <si>
    <t>Захід 7.4. "Технічне обслуговування та поточний ремонт фонтанів"</t>
  </si>
  <si>
    <t>Захід 9.1. Капітальний ремонт об'єктів та елементів благоустрою на загальних об'єктах</t>
  </si>
  <si>
    <t xml:space="preserve">  Захід 10.1. "Проведення капітального ремонту житлових будинків"</t>
  </si>
  <si>
    <t>Захід 12.8. "Інші видатки у сфері житлово-комунального господарства "</t>
  </si>
  <si>
    <t>Захід 14.2. "Проведення капітального та поточного ремонту водопровідних  та каналізаційних мереж, КНС та колекторів, свердловин та насосних станцій"</t>
  </si>
  <si>
    <t>Захід 17.   Забезпечення зміцнення матеріально-технічної бази підприємств комунальної форми власності</t>
  </si>
  <si>
    <t>Захід 18.   Створення сприятливих умов проживання населення та забезпечення надання життєво необхідних послуг</t>
  </si>
  <si>
    <t>Захід 19.    Забезпечення надійного та безперебійного функціонування житлово-експлуатаційного господарства</t>
  </si>
  <si>
    <t>Департамент інфраструктури міста СМР</t>
  </si>
  <si>
    <t>Управління капітального будівництва та дорожнього господарства СМР</t>
  </si>
  <si>
    <t>Захід 2.2. "Освітлення вулиць (оплата електроенергії вуличного освітлення), в тому числі судовий збір, сплата по судовому рішенню (наказу)"</t>
  </si>
  <si>
    <t xml:space="preserve">  Захід 2.2. "Освітлення вулиць (оплата електроенергії вуличного освітлення), в тому числі судовий збір, сплата по судовому рішенню (наказу)"</t>
  </si>
  <si>
    <t xml:space="preserve"> Завдання 23.  Субвенція з державного бюджету місцевим бюджетам на відновлення об’єктів критичної інфраструктури в рамках спільного з Міжнародним банком реконструкції та розвитку проекту «Проект розвитку міської інфраструктури — 2»  у 2025 році</t>
  </si>
  <si>
    <t xml:space="preserve">    Показник: кількість позичальників, що отримали кредит на впровадження енергозберігаючих заходів</t>
  </si>
  <si>
    <t xml:space="preserve">    Показник: кількість позичальників, що отримали відшкодування відсоткових ставок</t>
  </si>
  <si>
    <t xml:space="preserve">    Показник: кількість піломатеріалів обрізних  для відновлення пошкоджених об'єктів (сосна брус каркасний)</t>
  </si>
  <si>
    <r>
      <t xml:space="preserve">КПКВК _6091 "Будівництво об'єктів житлово-комунального господарства"(2025 рік), "Підготовка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 (2026-2027 роки), 7330 "Будівництво інших об'єктів комунальної власності" (2025 рік), "Підготовка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 (2026-2027 роки); 7384 «Реалізація проектів і заходів за рахунок залишку коштів спеціального фонду державного бюджету, що утворилися станом на 01 січня 2023 року, джерелом формування яких були кредити (позики) від Європейського інвестиційного банку», </t>
    </r>
    <r>
      <rPr>
        <b/>
        <i/>
        <sz val="14"/>
        <rFont val="Times New Roman"/>
        <family val="1"/>
        <charset val="204"/>
      </rPr>
      <t>4084 "Проектування, реставрація та охорона пам'яток культурної спадщини"</t>
    </r>
  </si>
  <si>
    <t>Захід 7.3. "Поточний ремонт, утримання: об'єктів та елементів благоустрою,  споруд, малих архітектурних форм на території Сумської міської територіальної громади"</t>
  </si>
  <si>
    <t xml:space="preserve"> Завдання 15.  Забезпечення функціонування об'єктів житлово-комунального господарства, в тому числі на надання фінансової підтримки КП "Сумикомунінвест" СМР, КП "Чисте місто" СМР, КП "Міськводоканал" СМР</t>
  </si>
  <si>
    <t xml:space="preserve">  Завдання 15.  Забезпечення функціонування об'єктів житлово-комунального господарства, в тому числі на надання фінансової підтримки КП "Сумикомунінвест" СМР, КП "Чисте місто" СМР, КП "Міськводоканал" СМР</t>
  </si>
  <si>
    <t>Захід 15.  Забезпечення функціонування об'єктів житлово-комунального господарства, в тому числі  на надання фінансової підтримки КП "Сумикомунінвест" СМР, КП "Чисте місто" СМР, КП "Міськводоканал" СМР</t>
  </si>
  <si>
    <t xml:space="preserve">Захід 14.5."Фінансова підтримка КП «Міськводоканал» СМР (придбання водопровідних та каналізаційних люків; придбання та заміна пожежних гідрантів,  придбання автозапчастин, автоколес, запасних частин, матеріалів, обладнання та паливно-мастильних матеріалів, погашення заборгованості по постачанню електричної енергії, розподілу електричної енергії та погашення заборгованості відповідно до рішень суду;  
оплата різниці між вартістю електроенергії за 1 кВт/год, яка врахована в тарифі на послуги з водопостачання й водовідведення  та фактичною вартістю електроенергії за 1 кВт/год, використаної у 2025 -2026 роках;  
погашення податкового боргу по сплаті рентної плати за користування надрами, з рентної плати за спеціальне використання води та збору за скиди забруднюючих речовин безпосередньо у водні об'єкти) 
</t>
  </si>
  <si>
    <t xml:space="preserve">Захід 14.5.   ""Фінансова підтримка КП «Міськводоканал» СМР (придбання водопровідних та каналізаційних люків; придбання та заміна пожежних гідрантів,  придбання автозапчастин, автоколес, запасних частин, матеріалів, обладнання та паливно-мастильних матеріалів, погашення заборгованості по постачанню електричної енергії, розподілу електричної енергії та погашення заборгованості відповідно до рішень суду;  
оплата різниці між вартістю електроенергії за 1 кВт/год, яка врахована в тарифі на послуги з водопостачання й водовідведення  та фактичною вартістю електроенергії за 1 кВт/год, використаної у 2025 -2026 роках;  
погашення податкового боргу по сплаті рентної плати за користування надрами, з рентної плати за спеціальне використання води та збору за скиди забруднюючих речовин безпосередньо у водні об'єкти) </t>
  </si>
  <si>
    <t xml:space="preserve">Додаток 1.1
до звіту про хід виконання "Комплексної цільової програми реформування і розвитку житлово-комунального господарства Сумської міської  територіальної громади на 2025-2027 роки, затвердженої наказом Сумської міської військової адміністрації від 31 грудня 2024 року № 422-СМР (зі змінами), за підсумками 2025 року»
</t>
  </si>
  <si>
    <t>Інформація про виконання заходу</t>
  </si>
  <si>
    <t>Обсяги фінансування програми</t>
  </si>
  <si>
    <t xml:space="preserve">Затверджено у бюджеті СМТГ (зі змінами) </t>
  </si>
  <si>
    <t>Виконано</t>
  </si>
  <si>
    <t>2.  Департамент інфраструктури міста Сумської міської ради,        управління капітального будівництва та дорожнього господарства Сумської міської ради,         Департамент забезпечення ресурсних платежів Сумської міської ради,        управління архітектури та містобудування Сумської міської ради,     комунальні підприємства Сумської міської ради та інші суб’єкти господарювання</t>
  </si>
  <si>
    <t>1. Комплексна цільова програма реформування і розвитку житлово-комунального господарства Сумської міської  територіальної громади на 2025-2027 роки</t>
  </si>
  <si>
    <t>Виготовлена проектно-кошторисна документація по обєкту "Капітальний ремонт підвального приміщення в нежитловій будівлі, розташованого за адресою:м.Суми, вул. Воскресенська, 8А"</t>
  </si>
  <si>
    <t>Придбано будівельні матеріали для відновлення пошкоджених об’єктів  (листи ВЦ хвилясті, саморізи для гіпсокартон/метал, шуруп г/к по дереву, брус каркасний )</t>
  </si>
  <si>
    <t>На замовлення Департаменту виготовлена проектно-кошторисна документація та проведено капітальний ремонт (заміна) віконних блоків та покрівлі нежитлового приміщення, пошкодженого внаслідок збройної агресії російської федерації проти України,  розташованого за адресою: м.Суми, вул. Покровська, буд.9 . та проведено ремонт покрівлі та водостічної системи адміністративно-побутового корпусу КП «Міськводоканал» СМР, пошкодженого внаслідок збройної агресії російської федерації проти України, розташованого за адресою: м.Суми, вул Лихвинська Стінка, 40</t>
  </si>
  <si>
    <t>За рахунок субвенції з державного бюджету місцевим бюджетам на відновлення об’єктів критичної інфраструктури в рамках спільного з Міжнародним банком реконструкції та розвитку проекту “Проект розвитку міської інфраструктури — 2” дало можливість КП "Міськводоканал" закупити значну кількість спеціалізованої техніки</t>
  </si>
  <si>
    <t xml:space="preserve">      У 2025 році бюджетом Сумської міської територіальної громади на реалізацію проектів (заходів) з відновлення об'єктів житлового фонду, пошкоджених / знищених внаслідок збройної агресії, передбачені кошти в сумі 52 788,6 тис. гривень. Виготовлено проектно-кошторисні документації, виконані роботи по 43 пошкодженим будинкам, з них 13 по поточному ремонту  та 30 по капітальному ремонту  на суму 35 454,7 тис.гривень. Роботи виконувались як за рахунок видатків місцевого бюджету так і за рахунок іншої субвенції з місцевого бюджету та додаткової дотації.</t>
  </si>
  <si>
    <t>На замовлення департаменту виготовлена проектно-кошторисна документація на пристосування (збереження) об’єктів культурної спадщини шляхом встановлення тимчасової захисної конструкції над пам’ятками монументального мистецтва національного значення: «Пам’ятник на родинному похованні Харитоненків» (охор. № 180001-Н) та «Пам’ятник на могилі доньки П.І. Харитоненка – Зінаїди» (охор. № 180002-Н), створених скульптором А. Круазі, що розташовані на Міському кладовищі у м.Суми</t>
  </si>
  <si>
    <t>Проведена реконструкція мережі 6/0,4кВ Замовника для надання послуг з тимчасового приєднання електроустановок департаменту забезпечення ресурсних платежів Сумської міської ради «Розміщення тимчасового (модульного) житла для проживання внутрішньо переміщених осіб по вул. Ковпака м. Суми», за адресою: м. Суми, вул. Ковпака та виконані роботи з під’єднання водопостачання до тимчасового (модульного) житла для проживання внутрішньо переміщених осіб. Крім того відповідно до розробленої проєктно-кошторисної документації по об’єкту: «Нове будівництво секторів поховань на Ново-Центральному Баранівському кладовищі в м. Суми.(Друга черга.) Коригування.», на замовлення Департаменту інфраструктури міста СМР, у секторі для загиблих військовослужбовців та почесних громадян міста Суми на Ново-Центральному Баранівському кладовищі, протягом 2025 року було виконано комплекс робіт з улаштування залізобетонної монолітної плити на секторах поховань (земляні роботи, бетонування).</t>
  </si>
  <si>
    <t xml:space="preserve">Надано послуги з обстеження технічного стану  18 житлових будинків на території Сумської міської територіальної громади, пошкоджених внаслідок збройної агресії Російської Федерації проти України </t>
  </si>
  <si>
    <t>Поповнено статутний капітал КП "Спецкомбінат" шляхом придбання вантажного автомобіля (фургон) Renault Master L2 H2 на суму 1 414,2 тис.грн.;  КП "Чисте місто" СМР придбано ваги автомобільні для зважування у русі  на дві платформи на суму 400,0 тис.грн. та за рахунок додаткової  дотації КП "Сумижилкомсервіс" СМР  придбано трактор з навісним обладнанням на суму 1532,8 тис.грн.; та КП "Зеленбуд" СМР придбано універсальний екскаватор-навантажувач JCB 3CX SITEMASTER на суму 3500,0 тис.грн.  Статутний капітал поповнено і КП "Міськводоканал" СМР на суму 4 354,9 тис.грн. на капітальний ремонт системи електропостачання для підключення когенераційних установок.</t>
  </si>
  <si>
    <t>За програмою "Енергодім" відшкодовано з бюджету Сумської міської територіальної громади відсотків за кредитами по 1 ОСББ на суму 206,95 тис.грн.</t>
  </si>
  <si>
    <t>5 позичальникам, що отримали кредит на впровадження енергозберігаючих заходів (ОСББ) відшкодовано з бюджету Сумської міської територіальної громади відсотків за кредитами</t>
  </si>
  <si>
    <t xml:space="preserve">За рахунок коштів бюджету територіальної громади здійснено оплату за використану електроенергію на вуличне освітлення                                                     в сумі 27 млн 248,6 тис. гривень. </t>
  </si>
  <si>
    <t xml:space="preserve">надана фінансова підтримка 3 комунальним підприємствам, а саме:   КП "Сумикомунінвест" СМР (заробітна плата з нарахуваннями, оплата за спожитий природний газ та оплата інших енергоносіїв) в сумі 613,3 тис. гривень     КП "Міськводоканал" СМР  (на придбання матеріалів (сітка антідронова, труба профільна сталева, сталеве коло, сталевий дріт) на суму 119,0 тис. гривень.   КП "Чисте місто" СМР для сплати орендної плати 3 черги за користування земельною ділянкою, на якій розташовано полігон для захоронення ТПВ в сумі 2 млн 296,1 тис гривень, та різнобічних послуг на земельній ділянці по вул.Прикордонна,14 в сумі 1 млн 81,1 тис.гривень.
</t>
  </si>
  <si>
    <t xml:space="preserve">Надано фінансову підтримку КП "Міськводоканал" СМР на суму 90 млн 824,3 тис.грн. на сплату за використану електричну енергію, придбання паливно-мастильних матеріалів та ємностей для їх зберігання та сплату податкового боргу. </t>
  </si>
  <si>
    <t>Придбано поверхневий насос  для ремонту водомережі в с. Велика Чернеччина та надано послуги з технічного обслуговування насосного обладнання  В. Чернеччинського  старостинського округу</t>
  </si>
  <si>
    <t>надання послуг з поточного ремонту електричних мереж каналізаційно-насосної станції за адресою: м.Суми, вул. Привокзальна,4/13</t>
  </si>
  <si>
    <t>Відповідно до укладеного договору надано послугу з охорони каналізаційно-насосної станції  за адресою м.Суми вул.Привокзальна4/13</t>
  </si>
  <si>
    <t>Проведено оплату податку на земельну ділянку за адресою: м.Суми, вул.Привокзальна, 4/13</t>
  </si>
  <si>
    <t>Проведено оплату за розподіл природного газу монументу "Вічна Слава""</t>
  </si>
  <si>
    <t>Відповідно до укладених договорів проведено санацію 53 шахтних колодязів, в тому числі в приватному секторі</t>
  </si>
  <si>
    <t>Проведено поточний ремонт21 шахтного колодязя, в тому числі в приватному секторі</t>
  </si>
  <si>
    <t>Розроблено 8 проєктних документацій з оганізації дорожнього руху</t>
  </si>
  <si>
    <t xml:space="preserve">Забезпечено технічне обслуговування  камер відеоспостереження біля Алеї Почесних громадян  на Центральному кладовищі та  в сквері Героїв Небесної  Сотні </t>
  </si>
  <si>
    <t>Надання послуг з установки автоматизованої системи збору даних електричної енергії (АСЗД)  по об’єкту: «Розміщення тимчасового (модульного) житла для проживання внутрішньо переміщених осіб по вул. Ковпака м. Суми», за адресою: м. Суми,  вул. Ковпака на суму 74,1 тис.грн., проведено підключення до зовнішніх електромереж вуличного освітлення мобільної кухні (Foodtruсk) у дитячому парку «Казка» в м. Суми</t>
  </si>
  <si>
    <t>проведено поточний ремонт та підключення святкової ілюмінації по місту</t>
  </si>
  <si>
    <t>Виготовлена проектно-кошторисна документація по обєкту "Капітальний ремонт об’єкту благоустрою – підпірної стіни по  вул. Нижньовоскресенська в м. Суми"</t>
  </si>
  <si>
    <t xml:space="preserve">КП «Центр догляду за тваринами» СМР в 2025 році було надано послуги з регулювання чисельності тварин у населених пунктах, в тому числі безпритульних, а саме: утримання тварин у притулку в середній кількості – 37 тварин в день; за рік проведено стерилізацію 88 безпритульних тварин; здійснено відлов та повернення на територію міста 88 безпритульних тварин; здійснено санітарний підбір 150 трупів тварин. </t>
  </si>
  <si>
    <t>придбано 70 паркових лавок</t>
  </si>
  <si>
    <t>Забезпечено утримання та поточний ремонт 95 дитячих та спортивних майданчиків</t>
  </si>
  <si>
    <t>Забезпечене водопостачання фонтанів</t>
  </si>
  <si>
    <t>Забезпечено утримання, поточний ремонт та технічне обслуговування 4 фонтанів</t>
  </si>
  <si>
    <t>Забезпечено технічне обслуговування та поточний ремонт системи санкціонованого проїзду (болард-світлофор) на перехресті провул. Монастирський та вул. Воскресенської</t>
  </si>
  <si>
    <t>Забезпечено утримання та технічне обслуговування насосних станцій</t>
  </si>
  <si>
    <t>забезпечено проведення санітарних заходів у прибережній смузі озера Чеха: збирання та вивезення сміття (442,1 куб. м) і рослинних відходів (3,5 т), утримання урн і контейнерів для збирання ТПВ, косіння трави біля доріжки та у місцях масового відпочинку (85 тис. кв. м), видалення порослі, завезення піску та планування поверхні у місці відпочинку. Послуги надано на загальну суму – 1,2 млн гривень.</t>
  </si>
  <si>
    <t>Придбано 30 шт. вуличних урн та 105 шт. паркових урн</t>
  </si>
  <si>
    <t>Надано послуги зі збирання безпечних відходів, непридатних для вторинного використовування (прибирання 70 урн від сміття по місту)</t>
  </si>
  <si>
    <t>надано послуги з ліквідації несанкціонованих і неконтрольованих звалищ відходів , в тому числі в приватному секторі, а саме вивезено ТПВ 889,25 т. та 10813 м.куб. рослинних відходів</t>
  </si>
  <si>
    <t>забезпечено вивезення 19 251,0 т  відходів, що утворились у зв’язку з пошкодженням (руйнуванням) будівель та споруд внаслідок бойових дій, проведенням робіт з ліквідації їх наслідків</t>
  </si>
  <si>
    <t>надано послуги з поховання 50 одиноких громадян</t>
  </si>
  <si>
    <t>Забезпечено утримання спецслужби</t>
  </si>
  <si>
    <t xml:space="preserve">надано послуги з утримання 25 кладовищ старостинських округів СМТГ (площею 24,4 га), </t>
  </si>
  <si>
    <t>Для підтримання належного санітарного стану здійснено поточне утримання  13 кладовищ м. Суми (площа 105,5 га)</t>
  </si>
  <si>
    <t>надано послуги з поточного ремонту скейтпарку в міському парку ім.І.М.Кожедуба,  ремонту малої архітектурної споруди у дитячому парку «Казка» та ремонту споруд благоустрою: стовпчики для вертикального озеленення та лавки у сквері біля фонтану «Садко», сквері «Майдан Незалежності» та сквері Героїв 3-ої окремої штурмової бригади</t>
  </si>
  <si>
    <t>надано послуги з ліквідації (викошування) трави (амброзії) на площі 350,2 тис. кв. м.</t>
  </si>
  <si>
    <t>надавались послуги з утримання дитячого парку «Казка» площею 12,0 га (прибирання території, згрібання та вивезення опалого листя, стовбурів та гілля, косіння та прибирання скошеної трави, утримання громадського туалету, завезення піску на дитячий майданчик «Корабель», поточний ремонт доріжок та малих архітектурних форм (урн)).</t>
  </si>
  <si>
    <t>Виконані роботи по садінню квіткових рослин в кількості 73,87 тис. шт у квітниках з усіма попередніми супровідними роботами на площі 2,1 тис. кв. метрів. Проводились роботи по догляду за трояндами в кількості 5,36 тис. шт, посадка, прополювання, підживлення, полив.</t>
  </si>
  <si>
    <t>надано послуги з садіння 40 дерев (липи - 30 шт. та 10 шт. кленів). Висадили дерева на вул. Харківськ,Героів Сумщини, Іллінська та Петропавлівська</t>
  </si>
  <si>
    <t>надано послуги по догляду за газонами (косіння (викошування) та прибирання скошеної трави по загальних обєктах міста та збирання, вивезення сміття та опалого листя по загальних обєктах міста.</t>
  </si>
  <si>
    <t xml:space="preserve"> надано послуги з утримання та поточного  ремонту скверів , парків та зелених зон на території м. Суми (очищення газонів від випадкового сміття, очищення (підмітання) доріжок, очищення урн від сміття, косіння та прибирання скошеної трави</t>
  </si>
  <si>
    <t>Проведено обрізку крон дерев і кущів, вирізування сухих суків і гілок з навантаженням та вивезенням деревини – 1940 шт, вирізання порослі – 2116 шт, видалено аварійних дерев в кількості 193 шт та самосійних дерев 67 шт.</t>
  </si>
  <si>
    <t>систематично проводився поточний ремонт та утримання мереж вуличного освітлення, в тому числі по старостинських округах СМТГ, зокрема: здійснено ремонт 180 пунктів живлення; замінено 2 090 енергозберігаючих ламп світильників І, ІІ та V групи; замінено 2 168 світильників; 1330 кронштейнів; проведено слабке обрізування в електричних мережах міста 1000 крон дерев; ліквідовано 90 км пошкоджень, коротких замикань та обривів, здійснено заміну 5,4 км самоутримних ізольованих проводів, замінено 20 опор в електричних мережах СМТГ</t>
  </si>
  <si>
    <t>Проведено заміну деяких дорожніх знаків «Пішохідний перехід» на знаки із світлодіодною підсвіткою, встановлено технічні засоби регулювання дорожнього руху на зупинках громадського  транспорту, встановлено технічні засоби регулювання дорожнього руху по вулицях Харківська, Іллінська та комбрига Євгена Коростельова, по вул. Привокзальна та по вул. Петропавлівська</t>
  </si>
  <si>
    <t>відповідно до договору надано послуги з утримання 383 посадкових майданчиків громадського транспорту</t>
  </si>
  <si>
    <t>надано послуги з поточного ремонту низьководного мосту (через р. Псел на автомобільній дорозі с.В.Чернеччина- с.Битиця)</t>
  </si>
  <si>
    <t xml:space="preserve">надано послуги з поточного ремонту тротуарів по вул. Соборна, Воскресенська, Данила Галицького, Нижньохололдногірська, по вул. Привокзальна та вул. Івана Сірка, тротуарної доріжки в сквері Покровський та ін. </t>
  </si>
  <si>
    <t>На замовлення Департаменту проведено поточний ремонт зупинок громадського транспорту (№201, №202, №204, №208, №212, №214 по вул. Герасима Кондратьєва; №184 по вул. Слобідська; №154 по просп. Тараса Шевченка; №10 по вул. Степана Бандери) та зупинки громадського транспорту по вул.Новоселиця в с.Стецьківка</t>
  </si>
  <si>
    <t>проведено поточний ремонт перильного огородження на Харківському мосту через річку Псел по вул.Харківська</t>
  </si>
  <si>
    <t>Забезпечено виконання комплексу робіт з утримання вулично-дорожньої мережі та штучних споруд, зокрема: виконання ручне та механізоване прибирання доріг та тротуарів, обробка доріг та тротуарів протиожеледними матеріалами); утримання 16 мостів та 6 шляхопроводів загальною площею прибирання 35,8 тис. кв. м, зливової каналізації протяжністю 35 тис. м, на якій знаходяться 626 зливоприймальників та 539 оглядових колодязів.</t>
  </si>
  <si>
    <t xml:space="preserve">Виконувались роботи по ремонту автомобільних доріг, а саме: виправлення профілю основ покриттів 92,0 тис. кв. м; ліквідація вибоїн асфальтобетонного покриття пневмоструменевим методом 4,9 тис. кв. м; ямковий ремонт асфальтобетонного покриття за допомогою холодного асфальтобетону 0,5 тис. кв. м; поточний ремонт вулично-дорожньої мережі площею 36,2 тис. кв. метрів.
Підприємством утримувалося 66 світлофорних об’єктів; було нанесено 10,5 тис. кв. м дорожньої розмітки; пофарбовано 0,65 тис. кв. м огорож; встановлено 439 дорожніх знаків; встановлено 1 247 м. п. бортових каменів, перекладено 23 горловини цегляних колодязів. Відремонтовано 10 світлофорних об’єктів на суму 4,6 млн гривень.
</t>
  </si>
  <si>
    <t xml:space="preserve">20.3. "Заходи з проєктування, реставрації та охорони памяток культурної спадщини </t>
  </si>
  <si>
    <t>Надано бюджетну позичку КП "Сумижилкомсервіс" СМР</t>
  </si>
  <si>
    <t xml:space="preserve">Проведено коригування проектно-кошторисної документації  по обєкту "Капітальний ремонт пішохідного переходу на перехресті вул.Харківська та Героїв Сумщини, Сумська область" та виготовлено проектн документацію на Капітальний ремонт прибудинкової території в районі житлового будинку №38 по вул. Героїв Крут </t>
  </si>
  <si>
    <t xml:space="preserve">Укладено договори на виготовлення проектно-кошторисної документації по 20 обєктам "Реконструкція теплових мереж зі встановленням резервного теплогенеруючого обладнання (блочно-модульної котельні) біля існуючого центрального теплового пункту у місті Суми".  </t>
  </si>
  <si>
    <t>Проведено поточний ремонт сходів в міському парку імені І.М. Кожедуба та по вул. Троїцька,1 в м. Суми.Забезпечено утримання та поточний ремонт малої архітектурної форми «Флагшток Державного прапору» по вул.Героїв Сумщини в районі фонтану «Садко».Проведено демонтаж окремих ділянок споруди «підпірної стінки» розташованої від майдану Незалежності до вул. Миколаївський лужок (Вільний лужок). Проведено поточний ремонт малих архітектурних форм по місту (фарбування лавок по місту в кількості 38 шт).</t>
  </si>
  <si>
    <t xml:space="preserve">Додаток 1.2
до звіту про хід виконання "Комплексної цільової програми реформування і розвитку житлово-комунального господарства Сумської міської  територіальної громади на 2025-2027 роки, затвердженої наказом Сумської міської військової адміністрації від 31 грудня 2024 року № 422-СМР (зі змінами), за підсумками 2025 року»
</t>
  </si>
  <si>
    <t xml:space="preserve">Результативні показники/ індікатори 
Комплексної цільової  програми  реформування і розвитку житлово- комунального господарства Сумської міської територіальної громади на 2025- 2027 роки за підсумками 2025 року
</t>
  </si>
  <si>
    <t>Значення показника</t>
  </si>
  <si>
    <t xml:space="preserve">план </t>
  </si>
  <si>
    <t>виконано</t>
  </si>
  <si>
    <t>2025 рік</t>
  </si>
  <si>
    <t>Відсоток виконання кол6/кол5</t>
  </si>
  <si>
    <t xml:space="preserve">В зв'язку із введенням комендантської години, відключення вуличного освітлення у нічній час зменшилося споживання електричної енергії, як наслідок касові  видатки по КЕКВ 2273 "Оплата електроенергії" менше на 5 902,84 грн проти бюджетних призначень.При цьому, відбулося збільшення вартості 1 кВт/год на ринку електричної енергії. </t>
  </si>
  <si>
    <t>Економія коштів після виконання робіт</t>
  </si>
  <si>
    <t xml:space="preserve">В звязку з військовим станом та знаходженням території під можливими бойовими діями відсутні підрядні організації на проведення обстеження мостів </t>
  </si>
  <si>
    <t>Економія коштів після виконання послуг</t>
  </si>
  <si>
    <t xml:space="preserve"> працювали  фонтани не в повній кількості</t>
  </si>
  <si>
    <t>в звязку з зменшенням обсягів деяких робіт та здешевлення фактичної ціни</t>
  </si>
  <si>
    <t>у звязку з наданням пільги на сплату земельного податку</t>
  </si>
  <si>
    <t>проводилась оплата лише за розподіл газу</t>
  </si>
  <si>
    <t>Економія коштів від фактично наданих послуг</t>
  </si>
  <si>
    <t>за рахунок економії коштів при наданні послуг</t>
  </si>
  <si>
    <t xml:space="preserve">  по об’єктах «Реконструкція теплових мереж зі встановленням резервного теплогенеруючого обладнання (блочно-модульної котельні) біля існуючого центрального теплового пункту у місті» невиконанням в повній мірі договірних відносин на виготовлення проектно-кошторисної документації (укладені в кінці бюджетного періоду) 
</t>
  </si>
  <si>
    <t>по об’єкту " Нове будівництво секторів поховань на Ново-Центральному Баранівському кладовищі в м. Суми не були використані в повному обсязі у зв’язку з прийняттям координаційною групою управлінського рішення про відтермінування виконання робіт з благоустрою, які не є критично необхідними у поточному році, з метою концентрації ресурсів на першочергових заходах в умовах воєнного стану, незважаючи на готовність підрядника до їх виконання.</t>
  </si>
  <si>
    <t>використання не в повній мірі видатків зумовлене необхідністю коригуванням проектно-кошторисної документації (виникнення додаткових робіт, уточнення обсягів пошкоджень) по пошкодженому житлу.</t>
  </si>
  <si>
    <t xml:space="preserve">Інформація про виконання програми
за  підсумками 2025 року </t>
  </si>
  <si>
    <t>Захід 21.2. "Надання бюджетних позичок на поворотній основі"</t>
  </si>
  <si>
    <t>Причини не виконання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</si>
</sst>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 _₴_-;\-* #,##0.00\ _₴_-;_-* &quot;-&quot;??\ _₴_-;_-@_-"/>
    <numFmt numFmtId="165" formatCode="_(* #,##0.00_);_(* \(#,##0.00\);_(* &quot;-&quot;??_);_(@_)"/>
    <numFmt numFmtId="166" formatCode="_-* #,##0_-;\-* #,##0_-;_-* &quot;-&quot;??_-;_-@_-"/>
    <numFmt numFmtId="167" formatCode="_-* #,##0.0_-;\-* #,##0.0_-;_-* &quot;-&quot;??_-;_-@_-"/>
    <numFmt numFmtId="168" formatCode="_-* #,##0.000_-;\-* #,##0.000_-;_-* &quot;-&quot;??_-;_-@_-"/>
  </numFmts>
  <fonts count="39" x14ac:knownFonts="1">
    <font>
      <sz val="11"/>
      <color theme="1"/>
      <name val="Calibri"/>
      <family val="2"/>
      <scheme val="minor"/>
    </font>
    <font>
      <sz val="10"/>
      <color theme="1"/>
      <name val="Calibri"/>
      <family val="2"/>
      <charset val="204"/>
      <scheme val="minor"/>
    </font>
    <font>
      <sz val="11"/>
      <color theme="1"/>
      <name val="Calibri"/>
      <family val="2"/>
      <scheme val="minor"/>
    </font>
    <font>
      <sz val="14"/>
      <color theme="1"/>
      <name val="Times New Roman"/>
      <family val="1"/>
      <charset val="204"/>
    </font>
    <font>
      <sz val="14"/>
      <color rgb="FFFF0000"/>
      <name val="Times New Roman"/>
      <family val="1"/>
      <charset val="204"/>
    </font>
    <font>
      <sz val="10"/>
      <name val="Arial"/>
      <family val="2"/>
      <charset val="204"/>
    </font>
    <font>
      <sz val="10"/>
      <name val="Arial"/>
      <family val="2"/>
      <charset val="204"/>
    </font>
    <font>
      <b/>
      <sz val="11"/>
      <color theme="1"/>
      <name val="Calibri"/>
      <family val="2"/>
      <charset val="204"/>
      <scheme val="minor"/>
    </font>
    <font>
      <b/>
      <sz val="12"/>
      <color theme="1"/>
      <name val="Calibri"/>
      <family val="2"/>
      <charset val="204"/>
      <scheme val="minor"/>
    </font>
    <font>
      <sz val="11"/>
      <color rgb="FFFF0000"/>
      <name val="Times New Roman"/>
      <family val="1"/>
      <charset val="204"/>
    </font>
    <font>
      <sz val="11"/>
      <color rgb="FFFF0000"/>
      <name val="Calibri"/>
      <family val="2"/>
      <scheme val="minor"/>
    </font>
    <font>
      <sz val="16"/>
      <color theme="1"/>
      <name val="Times New Roman"/>
      <family val="1"/>
      <charset val="204"/>
    </font>
    <font>
      <b/>
      <sz val="16"/>
      <color theme="1"/>
      <name val="Times New Roman"/>
      <family val="1"/>
      <charset val="204"/>
    </font>
    <font>
      <sz val="16"/>
      <name val="Times New Roman"/>
      <family val="1"/>
      <charset val="204"/>
    </font>
    <font>
      <b/>
      <sz val="16"/>
      <name val="Times New Roman"/>
      <family val="1"/>
      <charset val="204"/>
    </font>
    <font>
      <sz val="16"/>
      <color theme="1"/>
      <name val="Calibri"/>
      <family val="2"/>
      <scheme val="minor"/>
    </font>
    <font>
      <b/>
      <sz val="14"/>
      <name val="Times New Roman"/>
      <family val="1"/>
      <charset val="204"/>
    </font>
    <font>
      <sz val="14"/>
      <name val="Times New Roman"/>
      <family val="1"/>
      <charset val="204"/>
    </font>
    <font>
      <b/>
      <sz val="16"/>
      <color theme="1"/>
      <name val="Calibri"/>
      <family val="2"/>
      <charset val="204"/>
      <scheme val="minor"/>
    </font>
    <font>
      <b/>
      <sz val="14"/>
      <color theme="1"/>
      <name val="Times New Roman"/>
      <family val="1"/>
      <charset val="204"/>
    </font>
    <font>
      <b/>
      <i/>
      <sz val="14"/>
      <color theme="1"/>
      <name val="Times New Roman"/>
      <family val="1"/>
      <charset val="204"/>
    </font>
    <font>
      <b/>
      <i/>
      <sz val="14"/>
      <name val="Times New Roman"/>
      <family val="1"/>
      <charset val="204"/>
    </font>
    <font>
      <sz val="11"/>
      <color theme="1"/>
      <name val="Times New Roman"/>
      <family val="1"/>
      <charset val="204"/>
    </font>
    <font>
      <i/>
      <sz val="14"/>
      <name val="Times New Roman"/>
      <family val="1"/>
      <charset val="204"/>
    </font>
    <font>
      <sz val="10"/>
      <name val="Arial"/>
      <family val="2"/>
      <charset val="204"/>
    </font>
    <font>
      <sz val="20"/>
      <name val="Times New Roman"/>
      <family val="1"/>
      <charset val="204"/>
    </font>
    <font>
      <sz val="20"/>
      <color theme="1"/>
      <name val="Times New Roman"/>
      <family val="1"/>
      <charset val="204"/>
    </font>
    <font>
      <b/>
      <i/>
      <sz val="16"/>
      <name val="Times New Roman"/>
      <family val="1"/>
      <charset val="204"/>
    </font>
    <font>
      <i/>
      <sz val="16"/>
      <name val="Times New Roman"/>
      <family val="1"/>
      <charset val="204"/>
    </font>
    <font>
      <sz val="16"/>
      <color rgb="FFFF0000"/>
      <name val="Times New Roman"/>
      <family val="1"/>
      <charset val="204"/>
    </font>
    <font>
      <b/>
      <sz val="16"/>
      <color rgb="FFFF0000"/>
      <name val="Times New Roman"/>
      <family val="1"/>
      <charset val="204"/>
    </font>
    <font>
      <b/>
      <sz val="12"/>
      <name val="Calibri"/>
      <family val="2"/>
      <charset val="204"/>
      <scheme val="minor"/>
    </font>
    <font>
      <sz val="16"/>
      <name val="Calibri"/>
      <family val="2"/>
      <scheme val="minor"/>
    </font>
    <font>
      <b/>
      <sz val="14"/>
      <color rgb="FFFF0000"/>
      <name val="Times New Roman"/>
      <family val="1"/>
      <charset val="204"/>
    </font>
    <font>
      <sz val="11"/>
      <name val="Calibri"/>
      <family val="2"/>
      <scheme val="minor"/>
    </font>
    <font>
      <sz val="9.5"/>
      <color theme="1"/>
      <name val="Calibri"/>
      <family val="2"/>
      <scheme val="minor"/>
    </font>
    <font>
      <sz val="10"/>
      <color theme="1"/>
      <name val="Times New Roman"/>
      <family val="1"/>
      <charset val="204"/>
    </font>
    <font>
      <sz val="9"/>
      <color theme="1"/>
      <name val="Calibri"/>
      <family val="2"/>
      <scheme val="minor"/>
    </font>
    <font>
      <sz val="13"/>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s>
  <cellStyleXfs count="20">
    <xf numFmtId="0" fontId="0" fillId="0" borderId="0"/>
    <xf numFmtId="43" fontId="2" fillId="0" borderId="0" applyFont="0" applyFill="0" applyBorder="0" applyAlignment="0" applyProtection="0"/>
    <xf numFmtId="0" fontId="5" fillId="0" borderId="0"/>
    <xf numFmtId="0" fontId="6" fillId="0" borderId="0"/>
    <xf numFmtId="165" fontId="5" fillId="0" borderId="0" applyFont="0" applyFill="0" applyBorder="0" applyAlignment="0" applyProtection="0"/>
    <xf numFmtId="165" fontId="6" fillId="0" borderId="0" applyFont="0" applyFill="0" applyBorder="0" applyAlignment="0" applyProtection="0"/>
    <xf numFmtId="0" fontId="1" fillId="0" borderId="0"/>
    <xf numFmtId="0" fontId="24" fillId="0" borderId="0"/>
    <xf numFmtId="165" fontId="24" fillId="0" borderId="0" applyFont="0" applyFill="0" applyBorder="0" applyAlignment="0" applyProtection="0"/>
    <xf numFmtId="0" fontId="5" fillId="0" borderId="0"/>
    <xf numFmtId="43" fontId="2"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524">
    <xf numFmtId="0" fontId="0" fillId="0" borderId="0" xfId="0"/>
    <xf numFmtId="0" fontId="0" fillId="0" borderId="0" xfId="0" applyAlignment="1">
      <alignment wrapText="1"/>
    </xf>
    <xf numFmtId="0" fontId="3" fillId="0" borderId="0" xfId="0" applyFont="1" applyBorder="1"/>
    <xf numFmtId="0" fontId="0" fillId="0" borderId="0" xfId="0" applyBorder="1"/>
    <xf numFmtId="0" fontId="7" fillId="0" borderId="0" xfId="0" applyFont="1"/>
    <xf numFmtId="0" fontId="7" fillId="0" borderId="0" xfId="0" applyFont="1" applyAlignment="1">
      <alignment wrapText="1"/>
    </xf>
    <xf numFmtId="164" fontId="8" fillId="0" borderId="0" xfId="0" applyNumberFormat="1" applyFont="1"/>
    <xf numFmtId="164" fontId="8" fillId="0" borderId="0" xfId="0" applyNumberFormat="1" applyFont="1" applyAlignment="1">
      <alignment horizontal="right"/>
    </xf>
    <xf numFmtId="0" fontId="4" fillId="0" borderId="0" xfId="0" applyFont="1" applyBorder="1"/>
    <xf numFmtId="0" fontId="9" fillId="0" borderId="0" xfId="0" applyFont="1" applyBorder="1"/>
    <xf numFmtId="0" fontId="10" fillId="0" borderId="0" xfId="0" applyFont="1"/>
    <xf numFmtId="43" fontId="12" fillId="3" borderId="1" xfId="1" applyFont="1" applyFill="1" applyBorder="1" applyAlignment="1">
      <alignment horizontal="center" vertical="center"/>
    </xf>
    <xf numFmtId="164" fontId="13" fillId="3" borderId="5" xfId="0" applyNumberFormat="1" applyFont="1" applyFill="1" applyBorder="1"/>
    <xf numFmtId="43" fontId="14" fillId="3" borderId="1" xfId="1" applyFont="1" applyFill="1" applyBorder="1" applyAlignment="1">
      <alignment horizontal="center" vertical="center"/>
    </xf>
    <xf numFmtId="0" fontId="12" fillId="3" borderId="5" xfId="0" applyFont="1" applyFill="1" applyBorder="1" applyAlignment="1"/>
    <xf numFmtId="43" fontId="12" fillId="3" borderId="5" xfId="1" applyFont="1" applyFill="1" applyBorder="1" applyAlignment="1">
      <alignment vertical="center"/>
    </xf>
    <xf numFmtId="0" fontId="12" fillId="3" borderId="1" xfId="0" applyFont="1" applyFill="1" applyBorder="1"/>
    <xf numFmtId="0" fontId="12" fillId="3" borderId="1" xfId="0" applyFont="1" applyFill="1" applyBorder="1" applyAlignment="1">
      <alignment wrapText="1"/>
    </xf>
    <xf numFmtId="0" fontId="11" fillId="3" borderId="5" xfId="0" applyFont="1" applyFill="1" applyBorder="1"/>
    <xf numFmtId="43" fontId="11" fillId="3" borderId="5" xfId="1" applyFont="1" applyFill="1" applyBorder="1" applyAlignment="1">
      <alignment horizontal="center" vertical="center"/>
    </xf>
    <xf numFmtId="0" fontId="11" fillId="3" borderId="1" xfId="0" applyFont="1" applyFill="1" applyBorder="1"/>
    <xf numFmtId="43" fontId="11" fillId="3" borderId="1" xfId="1" applyFont="1" applyFill="1" applyBorder="1" applyAlignment="1">
      <alignment horizontal="center" vertical="center"/>
    </xf>
    <xf numFmtId="0" fontId="11" fillId="3" borderId="1" xfId="0" applyFont="1" applyFill="1" applyBorder="1" applyAlignment="1">
      <alignment wrapText="1"/>
    </xf>
    <xf numFmtId="0" fontId="14" fillId="3" borderId="5" xfId="0" applyFont="1" applyFill="1" applyBorder="1" applyAlignment="1"/>
    <xf numFmtId="43" fontId="14" fillId="3" borderId="5" xfId="1" applyFont="1" applyFill="1" applyBorder="1" applyAlignment="1">
      <alignment vertical="center"/>
    </xf>
    <xf numFmtId="0" fontId="14" fillId="3" borderId="1" xfId="0" applyFont="1" applyFill="1" applyBorder="1"/>
    <xf numFmtId="0" fontId="14" fillId="3" borderId="1" xfId="0" applyFont="1" applyFill="1" applyBorder="1" applyAlignment="1">
      <alignment wrapText="1"/>
    </xf>
    <xf numFmtId="0" fontId="13" fillId="3" borderId="1" xfId="0" applyFont="1" applyFill="1" applyBorder="1"/>
    <xf numFmtId="43" fontId="13" fillId="3" borderId="1" xfId="1" applyFont="1" applyFill="1" applyBorder="1" applyAlignment="1">
      <alignment horizontal="center" vertical="center"/>
    </xf>
    <xf numFmtId="0" fontId="13" fillId="3" borderId="1" xfId="0" applyFont="1" applyFill="1" applyBorder="1" applyAlignment="1">
      <alignment wrapText="1"/>
    </xf>
    <xf numFmtId="0" fontId="13" fillId="3" borderId="5" xfId="0" applyFont="1" applyFill="1" applyBorder="1"/>
    <xf numFmtId="43" fontId="13" fillId="3" borderId="5" xfId="1" applyFont="1" applyFill="1" applyBorder="1" applyAlignment="1">
      <alignment horizontal="center" vertical="center"/>
    </xf>
    <xf numFmtId="164" fontId="8" fillId="0" borderId="0" xfId="0" applyNumberFormat="1" applyFont="1" applyAlignment="1">
      <alignment horizontal="right" vertical="center"/>
    </xf>
    <xf numFmtId="0" fontId="14" fillId="3" borderId="0" xfId="0" applyFont="1" applyFill="1" applyBorder="1" applyAlignment="1">
      <alignment horizontal="center" vertical="center" wrapText="1"/>
    </xf>
    <xf numFmtId="49" fontId="14" fillId="3" borderId="0" xfId="0" applyNumberFormat="1" applyFont="1" applyFill="1" applyBorder="1" applyAlignment="1">
      <alignment horizontal="center" vertical="center" wrapText="1"/>
    </xf>
    <xf numFmtId="0" fontId="14" fillId="3" borderId="0" xfId="0" applyFont="1" applyFill="1" applyBorder="1"/>
    <xf numFmtId="43" fontId="14" fillId="3" borderId="0" xfId="1" applyFont="1" applyFill="1" applyBorder="1" applyAlignment="1">
      <alignment horizontal="center" vertical="center"/>
    </xf>
    <xf numFmtId="43" fontId="14" fillId="0" borderId="5" xfId="1" applyFont="1" applyFill="1" applyBorder="1" applyAlignment="1">
      <alignment vertical="center"/>
    </xf>
    <xf numFmtId="43" fontId="14" fillId="0" borderId="1" xfId="1" applyFont="1" applyFill="1" applyBorder="1" applyAlignment="1">
      <alignment horizontal="center" vertical="center"/>
    </xf>
    <xf numFmtId="164" fontId="0" fillId="0" borderId="0" xfId="0" applyNumberFormat="1"/>
    <xf numFmtId="164" fontId="18" fillId="0" borderId="0" xfId="0" applyNumberFormat="1" applyFont="1" applyAlignment="1">
      <alignment horizontal="right"/>
    </xf>
    <xf numFmtId="0" fontId="17" fillId="0" borderId="0" xfId="0" applyFont="1" applyBorder="1"/>
    <xf numFmtId="43" fontId="13" fillId="3" borderId="7" xfId="1" applyFont="1" applyFill="1" applyBorder="1" applyAlignment="1">
      <alignment horizontal="center" vertical="center" wrapText="1"/>
    </xf>
    <xf numFmtId="0" fontId="3" fillId="0" borderId="0" xfId="0" applyFont="1"/>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20" fillId="0" borderId="5" xfId="0" applyFont="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3"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7" xfId="0" applyFont="1" applyBorder="1" applyAlignment="1">
      <alignment horizontal="center"/>
    </xf>
    <xf numFmtId="0" fontId="3" fillId="0" borderId="1" xfId="0" applyFont="1" applyBorder="1" applyAlignment="1"/>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22" fillId="0" borderId="0" xfId="0" applyFont="1" applyBorder="1"/>
    <xf numFmtId="0" fontId="20" fillId="2" borderId="1" xfId="0" applyFont="1" applyFill="1" applyBorder="1" applyAlignment="1">
      <alignment horizontal="left" wrapText="1"/>
    </xf>
    <xf numFmtId="0" fontId="20" fillId="3" borderId="5"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wrapText="1"/>
    </xf>
    <xf numFmtId="0" fontId="17" fillId="3" borderId="1" xfId="0" applyFont="1" applyFill="1" applyBorder="1" applyAlignment="1">
      <alignment horizontal="left" vertical="center" wrapText="1"/>
    </xf>
    <xf numFmtId="0" fontId="3" fillId="3" borderId="1" xfId="0" applyFont="1" applyFill="1" applyBorder="1" applyAlignment="1">
      <alignment horizontal="left" vertical="top"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xf>
    <xf numFmtId="0" fontId="3" fillId="3" borderId="1" xfId="0" applyFont="1" applyFill="1" applyBorder="1" applyAlignment="1"/>
    <xf numFmtId="43" fontId="12" fillId="5" borderId="5" xfId="1" applyFont="1" applyFill="1" applyBorder="1" applyAlignment="1">
      <alignment vertical="center"/>
    </xf>
    <xf numFmtId="0" fontId="21" fillId="2" borderId="1" xfId="0" applyFont="1" applyFill="1" applyBorder="1" applyAlignment="1">
      <alignment horizontal="left" wrapText="1"/>
    </xf>
    <xf numFmtId="164" fontId="14" fillId="5" borderId="1" xfId="0" applyNumberFormat="1" applyFont="1" applyFill="1" applyBorder="1" applyAlignment="1">
      <alignment horizontal="center" vertical="center"/>
    </xf>
    <xf numFmtId="0" fontId="11" fillId="0" borderId="6" xfId="0" applyFont="1" applyBorder="1" applyAlignment="1">
      <alignment horizontal="center" vertical="center"/>
    </xf>
    <xf numFmtId="0" fontId="12" fillId="5" borderId="1" xfId="0" applyFont="1" applyFill="1" applyBorder="1" applyAlignment="1">
      <alignment horizontal="center" vertical="center"/>
    </xf>
    <xf numFmtId="0" fontId="12" fillId="5" borderId="5" xfId="0" applyFont="1" applyFill="1" applyBorder="1" applyAlignment="1">
      <alignment horizontal="center" vertical="center"/>
    </xf>
    <xf numFmtId="0" fontId="3" fillId="2" borderId="0" xfId="0" applyFont="1" applyFill="1" applyAlignment="1">
      <alignment wrapText="1"/>
    </xf>
    <xf numFmtId="0" fontId="3" fillId="3" borderId="5" xfId="0" applyFont="1" applyFill="1" applyBorder="1" applyAlignment="1">
      <alignment horizontal="center" vertical="center" wrapText="1"/>
    </xf>
    <xf numFmtId="0" fontId="3" fillId="2" borderId="1" xfId="0" applyFont="1" applyFill="1" applyBorder="1" applyAlignment="1">
      <alignment horizontal="center" vertical="center"/>
    </xf>
    <xf numFmtId="4" fontId="17" fillId="4" borderId="1" xfId="0" applyNumberFormat="1" applyFont="1" applyFill="1" applyBorder="1" applyAlignment="1">
      <alignment horizontal="righ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wrapText="1"/>
    </xf>
    <xf numFmtId="0" fontId="17" fillId="3" borderId="0" xfId="0" applyFont="1" applyFill="1" applyBorder="1" applyAlignment="1">
      <alignment horizontal="left" vertical="center" wrapText="1"/>
    </xf>
    <xf numFmtId="0" fontId="3" fillId="3" borderId="5" xfId="0" applyFont="1" applyFill="1" applyBorder="1" applyAlignment="1">
      <alignment vertical="center"/>
    </xf>
    <xf numFmtId="0" fontId="3" fillId="3" borderId="7" xfId="0" applyFont="1" applyFill="1" applyBorder="1" applyAlignment="1">
      <alignment horizontal="center" vertical="center"/>
    </xf>
    <xf numFmtId="0" fontId="17" fillId="3" borderId="1" xfId="0" applyFont="1" applyFill="1" applyBorder="1" applyAlignment="1">
      <alignment horizontal="left" wrapText="1"/>
    </xf>
    <xf numFmtId="0" fontId="17" fillId="3" borderId="1" xfId="0" applyFont="1" applyFill="1" applyBorder="1" applyAlignment="1">
      <alignment horizontal="left" vertical="top" wrapText="1"/>
    </xf>
    <xf numFmtId="0" fontId="17" fillId="3" borderId="5" xfId="0" applyFont="1" applyFill="1" applyBorder="1" applyAlignment="1">
      <alignment horizontal="left" vertical="center" wrapText="1"/>
    </xf>
    <xf numFmtId="0" fontId="17" fillId="3" borderId="0" xfId="0" applyFont="1" applyFill="1" applyBorder="1" applyAlignment="1">
      <alignment horizontal="left" wrapText="1"/>
    </xf>
    <xf numFmtId="0" fontId="17" fillId="3" borderId="15" xfId="0" applyFont="1" applyFill="1" applyBorder="1" applyAlignment="1">
      <alignment horizontal="left" wrapText="1"/>
    </xf>
    <xf numFmtId="0" fontId="17" fillId="3" borderId="16" xfId="0" applyFont="1" applyFill="1" applyBorder="1" applyAlignment="1">
      <alignment horizontal="left" wrapText="1"/>
    </xf>
    <xf numFmtId="0" fontId="17" fillId="3" borderId="1" xfId="0" applyFont="1" applyFill="1" applyBorder="1" applyAlignment="1">
      <alignment wrapText="1"/>
    </xf>
    <xf numFmtId="43" fontId="12" fillId="5" borderId="7" xfId="1" applyFont="1" applyFill="1" applyBorder="1" applyAlignment="1">
      <alignment horizontal="right" vertical="center"/>
    </xf>
    <xf numFmtId="164" fontId="19" fillId="0" borderId="1" xfId="0" applyNumberFormat="1" applyFont="1" applyBorder="1" applyAlignment="1">
      <alignment horizontal="right" vertical="center"/>
    </xf>
    <xf numFmtId="166" fontId="3" fillId="0" borderId="1" xfId="0" applyNumberFormat="1" applyFont="1" applyBorder="1" applyAlignment="1">
      <alignment horizontal="right" vertical="center"/>
    </xf>
    <xf numFmtId="43" fontId="19" fillId="2" borderId="7" xfId="0" applyNumberFormat="1" applyFont="1" applyFill="1" applyBorder="1" applyAlignment="1">
      <alignment horizontal="right" vertical="center"/>
    </xf>
    <xf numFmtId="43" fontId="3" fillId="2" borderId="7" xfId="1" applyNumberFormat="1" applyFont="1" applyFill="1" applyBorder="1" applyAlignment="1">
      <alignment horizontal="right" vertical="center"/>
    </xf>
    <xf numFmtId="43" fontId="17" fillId="2" borderId="7" xfId="1" applyNumberFormat="1" applyFont="1" applyFill="1" applyBorder="1" applyAlignment="1">
      <alignment horizontal="right" vertical="center"/>
    </xf>
    <xf numFmtId="167" fontId="3" fillId="0" borderId="7" xfId="1" applyNumberFormat="1" applyFont="1" applyBorder="1" applyAlignment="1">
      <alignment horizontal="right" vertical="center"/>
    </xf>
    <xf numFmtId="168" fontId="3" fillId="0" borderId="1" xfId="1" applyNumberFormat="1" applyFont="1" applyBorder="1" applyAlignment="1">
      <alignment horizontal="right" vertical="center"/>
    </xf>
    <xf numFmtId="43" fontId="3" fillId="0" borderId="1" xfId="1" applyFont="1" applyBorder="1" applyAlignment="1">
      <alignment horizontal="right" vertical="center"/>
    </xf>
    <xf numFmtId="166" fontId="3" fillId="0" borderId="1" xfId="1" applyNumberFormat="1" applyFont="1" applyBorder="1" applyAlignment="1">
      <alignment horizontal="right" vertical="center"/>
    </xf>
    <xf numFmtId="43" fontId="3" fillId="0" borderId="1" xfId="1" applyNumberFormat="1" applyFont="1" applyBorder="1" applyAlignment="1">
      <alignment horizontal="right" vertical="center"/>
    </xf>
    <xf numFmtId="43" fontId="3" fillId="0" borderId="7" xfId="1" applyNumberFormat="1" applyFont="1" applyBorder="1" applyAlignment="1">
      <alignment horizontal="right" vertical="center"/>
    </xf>
    <xf numFmtId="166" fontId="3" fillId="0" borderId="7" xfId="1" applyNumberFormat="1" applyFont="1" applyBorder="1" applyAlignment="1">
      <alignment horizontal="right" vertical="center"/>
    </xf>
    <xf numFmtId="167" fontId="3" fillId="0" borderId="1" xfId="1" applyNumberFormat="1" applyFont="1" applyBorder="1" applyAlignment="1">
      <alignment horizontal="right" vertical="center"/>
    </xf>
    <xf numFmtId="4" fontId="17" fillId="3" borderId="1" xfId="0" applyNumberFormat="1" applyFont="1" applyFill="1" applyBorder="1" applyAlignment="1">
      <alignment horizontal="right" vertical="center" wrapText="1"/>
    </xf>
    <xf numFmtId="3" fontId="17" fillId="4" borderId="1" xfId="0" applyNumberFormat="1" applyFont="1" applyFill="1" applyBorder="1" applyAlignment="1">
      <alignment horizontal="right" vertical="center" wrapText="1"/>
    </xf>
    <xf numFmtId="166" fontId="3" fillId="3" borderId="7" xfId="1" applyNumberFormat="1" applyFont="1" applyFill="1" applyBorder="1" applyAlignment="1">
      <alignment horizontal="right" vertical="center"/>
    </xf>
    <xf numFmtId="0" fontId="13" fillId="3" borderId="1" xfId="0" applyFont="1" applyFill="1" applyBorder="1" applyAlignment="1">
      <alignment horizontal="left" vertical="center" wrapText="1"/>
    </xf>
    <xf numFmtId="166" fontId="11" fillId="0" borderId="7" xfId="1" applyNumberFormat="1" applyFont="1" applyBorder="1" applyAlignment="1">
      <alignment horizontal="center" vertical="center"/>
    </xf>
    <xf numFmtId="43" fontId="11" fillId="0" borderId="7" xfId="1" applyNumberFormat="1" applyFont="1" applyBorder="1" applyAlignment="1">
      <alignment horizontal="center" vertical="center"/>
    </xf>
    <xf numFmtId="43" fontId="11" fillId="0" borderId="7" xfId="1" applyFont="1" applyBorder="1" applyAlignment="1">
      <alignment horizontal="right" vertical="center"/>
    </xf>
    <xf numFmtId="43" fontId="11" fillId="0" borderId="1" xfId="1" applyNumberFormat="1" applyFont="1" applyBorder="1" applyAlignment="1">
      <alignment horizontal="right" vertical="center"/>
    </xf>
    <xf numFmtId="0" fontId="11" fillId="3" borderId="5" xfId="0" applyFont="1" applyFill="1" applyBorder="1" applyAlignment="1">
      <alignment horizontal="left" vertical="center" wrapText="1"/>
    </xf>
    <xf numFmtId="166" fontId="11" fillId="3" borderId="7" xfId="1" applyNumberFormat="1" applyFont="1" applyFill="1" applyBorder="1" applyAlignment="1">
      <alignment horizontal="center" vertical="center"/>
    </xf>
    <xf numFmtId="0" fontId="3" fillId="3" borderId="5" xfId="0" applyFont="1" applyFill="1" applyBorder="1" applyAlignment="1">
      <alignment horizontal="center" vertical="center"/>
    </xf>
    <xf numFmtId="0" fontId="13" fillId="3" borderId="5" xfId="0" applyFont="1" applyFill="1" applyBorder="1" applyAlignment="1">
      <alignment vertical="center"/>
    </xf>
    <xf numFmtId="0" fontId="13" fillId="3" borderId="1" xfId="0" applyFont="1" applyFill="1" applyBorder="1" applyAlignment="1">
      <alignment vertical="center"/>
    </xf>
    <xf numFmtId="3" fontId="17" fillId="0" borderId="1" xfId="0" applyNumberFormat="1" applyFont="1" applyFill="1" applyBorder="1" applyAlignment="1">
      <alignment horizontal="right" vertical="center" wrapText="1"/>
    </xf>
    <xf numFmtId="0" fontId="3" fillId="3" borderId="5" xfId="0" applyFont="1" applyFill="1" applyBorder="1" applyAlignment="1">
      <alignment horizontal="center" vertical="center" wrapText="1"/>
    </xf>
    <xf numFmtId="0" fontId="3" fillId="3" borderId="1" xfId="0" applyFont="1" applyFill="1" applyBorder="1" applyAlignment="1">
      <alignment horizontal="center" vertical="center"/>
    </xf>
    <xf numFmtId="43" fontId="15" fillId="0" borderId="0" xfId="1" applyFont="1"/>
    <xf numFmtId="43" fontId="3" fillId="3" borderId="1" xfId="1" applyNumberFormat="1" applyFont="1" applyFill="1" applyBorder="1" applyAlignment="1">
      <alignment horizontal="right" vertical="center"/>
    </xf>
    <xf numFmtId="43" fontId="17" fillId="3" borderId="1" xfId="1" applyNumberFormat="1" applyFont="1" applyFill="1" applyBorder="1" applyAlignment="1">
      <alignment horizontal="right" vertical="center"/>
    </xf>
    <xf numFmtId="43" fontId="17" fillId="3" borderId="1" xfId="1" applyFont="1" applyFill="1" applyBorder="1" applyAlignment="1">
      <alignment horizontal="right" vertical="center"/>
    </xf>
    <xf numFmtId="0" fontId="3" fillId="3" borderId="1" xfId="0" applyFont="1" applyFill="1" applyBorder="1" applyAlignment="1">
      <alignment horizontal="center" vertical="center"/>
    </xf>
    <xf numFmtId="0" fontId="3" fillId="3" borderId="5" xfId="0" applyFont="1" applyFill="1" applyBorder="1" applyAlignment="1">
      <alignment horizontal="center" vertical="center"/>
    </xf>
    <xf numFmtId="0" fontId="26" fillId="3" borderId="0" xfId="0" applyFont="1" applyFill="1" applyBorder="1" applyAlignment="1">
      <alignment horizontal="center"/>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21" fillId="3" borderId="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166" fontId="3" fillId="3" borderId="1" xfId="1" applyNumberFormat="1" applyFont="1" applyFill="1" applyBorder="1" applyAlignment="1">
      <alignment horizontal="right" vertical="center"/>
    </xf>
    <xf numFmtId="0" fontId="3" fillId="3" borderId="1" xfId="0" applyFont="1" applyFill="1" applyBorder="1" applyAlignment="1">
      <alignment horizontal="center" vertical="center"/>
    </xf>
    <xf numFmtId="0" fontId="21" fillId="3" borderId="5" xfId="0" applyFont="1" applyFill="1" applyBorder="1" applyAlignment="1">
      <alignment horizontal="center" vertical="center" wrapText="1"/>
    </xf>
    <xf numFmtId="0" fontId="3" fillId="0" borderId="1" xfId="0" applyFont="1" applyBorder="1" applyAlignment="1">
      <alignment horizontal="center" vertical="center"/>
    </xf>
    <xf numFmtId="43" fontId="3" fillId="0" borderId="7" xfId="1" applyFont="1" applyBorder="1" applyAlignment="1">
      <alignment horizontal="right" vertical="center"/>
    </xf>
    <xf numFmtId="43" fontId="19" fillId="2" borderId="7" xfId="1" applyFont="1" applyFill="1" applyBorder="1" applyAlignment="1">
      <alignment horizontal="right" vertical="center"/>
    </xf>
    <xf numFmtId="164" fontId="8" fillId="3" borderId="0" xfId="0" applyNumberFormat="1" applyFont="1" applyFill="1"/>
    <xf numFmtId="0" fontId="0" fillId="3" borderId="0" xfId="0" applyFill="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43" fontId="19" fillId="0" borderId="7" xfId="1" applyFont="1" applyBorder="1" applyAlignment="1">
      <alignment horizontal="right" vertical="center"/>
    </xf>
    <xf numFmtId="164" fontId="19" fillId="3" borderId="1" xfId="0" applyNumberFormat="1" applyFont="1" applyFill="1" applyBorder="1" applyAlignment="1">
      <alignment horizontal="right" vertical="center"/>
    </xf>
    <xf numFmtId="166" fontId="3" fillId="3" borderId="1" xfId="0" applyNumberFormat="1" applyFont="1" applyFill="1" applyBorder="1" applyAlignment="1">
      <alignment horizontal="right" vertical="center"/>
    </xf>
    <xf numFmtId="0" fontId="17" fillId="3" borderId="1" xfId="0" applyFont="1" applyFill="1" applyBorder="1" applyAlignment="1">
      <alignment vertical="top"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167" fontId="3" fillId="3" borderId="1" xfId="1" applyNumberFormat="1" applyFont="1" applyFill="1" applyBorder="1" applyAlignment="1">
      <alignment horizontal="right" vertical="center"/>
    </xf>
    <xf numFmtId="0" fontId="3" fillId="0" borderId="5" xfId="0" applyFont="1" applyBorder="1" applyAlignment="1">
      <alignment horizontal="center" vertical="center"/>
    </xf>
    <xf numFmtId="0" fontId="3" fillId="3" borderId="5" xfId="0" applyFont="1" applyFill="1" applyBorder="1" applyAlignment="1">
      <alignment horizontal="center" vertical="center"/>
    </xf>
    <xf numFmtId="0" fontId="3" fillId="3" borderId="5" xfId="0" applyFont="1" applyFill="1" applyBorder="1" applyAlignment="1">
      <alignment horizontal="left" vertical="center" wrapText="1"/>
    </xf>
    <xf numFmtId="43" fontId="3" fillId="0" borderId="5" xfId="1" applyFont="1" applyBorder="1" applyAlignment="1">
      <alignment horizontal="right" vertical="center"/>
    </xf>
    <xf numFmtId="4" fontId="17" fillId="2" borderId="1" xfId="0" applyNumberFormat="1" applyFont="1" applyFill="1" applyBorder="1" applyAlignment="1">
      <alignment horizontal="right" vertical="center"/>
    </xf>
    <xf numFmtId="0" fontId="21" fillId="2" borderId="7" xfId="0" applyFont="1" applyFill="1" applyBorder="1" applyAlignment="1">
      <alignment horizontal="left" wrapText="1"/>
    </xf>
    <xf numFmtId="0" fontId="3" fillId="3" borderId="7" xfId="0" applyFont="1" applyFill="1" applyBorder="1" applyAlignment="1"/>
    <xf numFmtId="43" fontId="19" fillId="2" borderId="1" xfId="1" applyFont="1" applyFill="1" applyBorder="1" applyAlignment="1">
      <alignment horizontal="right" vertical="center"/>
    </xf>
    <xf numFmtId="0" fontId="3" fillId="0" borderId="5" xfId="0" applyFont="1" applyBorder="1" applyAlignment="1">
      <alignment horizontal="center" vertical="center"/>
    </xf>
    <xf numFmtId="0" fontId="17" fillId="3" borderId="14" xfId="0" applyFont="1" applyFill="1" applyBorder="1" applyAlignment="1">
      <alignment horizontal="left" vertical="center" wrapText="1"/>
    </xf>
    <xf numFmtId="43" fontId="11" fillId="3" borderId="5" xfId="1" applyFont="1" applyFill="1" applyBorder="1" applyAlignment="1">
      <alignment horizontal="right" vertical="center"/>
    </xf>
    <xf numFmtId="4" fontId="13" fillId="3" borderId="4" xfId="0" applyNumberFormat="1" applyFont="1" applyFill="1" applyBorder="1" applyAlignment="1">
      <alignment horizontal="right" vertical="center" wrapText="1"/>
    </xf>
    <xf numFmtId="0" fontId="3" fillId="3" borderId="1" xfId="0" applyFont="1" applyFill="1" applyBorder="1" applyAlignment="1">
      <alignment horizontal="center" vertical="center"/>
    </xf>
    <xf numFmtId="0" fontId="21" fillId="3" borderId="5" xfId="0" applyFont="1" applyFill="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3" fillId="0" borderId="5" xfId="0" applyFont="1" applyBorder="1" applyAlignment="1">
      <alignment horizontal="center" vertical="center"/>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xf>
    <xf numFmtId="43" fontId="3" fillId="2" borderId="1" xfId="1" applyFont="1" applyFill="1" applyBorder="1" applyAlignment="1">
      <alignment horizontal="right" vertical="center"/>
    </xf>
    <xf numFmtId="43" fontId="3" fillId="3" borderId="1" xfId="1" applyFont="1" applyFill="1" applyBorder="1" applyAlignment="1">
      <alignment horizontal="right" vertical="center"/>
    </xf>
    <xf numFmtId="0" fontId="21" fillId="3" borderId="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3" fillId="3" borderId="5" xfId="0" applyFont="1" applyFill="1" applyBorder="1" applyAlignment="1">
      <alignment horizontal="center" vertical="center"/>
    </xf>
    <xf numFmtId="43" fontId="3" fillId="2" borderId="1" xfId="1" applyNumberFormat="1" applyFont="1" applyFill="1" applyBorder="1" applyAlignment="1">
      <alignment horizontal="right" vertical="center"/>
    </xf>
    <xf numFmtId="0" fontId="17" fillId="3" borderId="1" xfId="0" applyFont="1" applyFill="1" applyBorder="1" applyAlignment="1">
      <alignment horizontal="right" vertical="center" wrapText="1"/>
    </xf>
    <xf numFmtId="0" fontId="0" fillId="0" borderId="0" xfId="0"/>
    <xf numFmtId="164" fontId="8" fillId="0" borderId="0" xfId="0" applyNumberFormat="1" applyFont="1"/>
    <xf numFmtId="0" fontId="11" fillId="3" borderId="5" xfId="0" applyFont="1" applyFill="1" applyBorder="1"/>
    <xf numFmtId="0" fontId="3" fillId="0" borderId="5"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21" fillId="3" borderId="5" xfId="0" applyFont="1" applyFill="1" applyBorder="1" applyAlignment="1">
      <alignment horizontal="center" vertical="center" wrapText="1"/>
    </xf>
    <xf numFmtId="0" fontId="14" fillId="3" borderId="5" xfId="0" applyFont="1" applyFill="1" applyBorder="1"/>
    <xf numFmtId="43" fontId="14" fillId="3" borderId="5" xfId="1" applyFont="1" applyFill="1" applyBorder="1" applyAlignment="1">
      <alignment horizontal="center" vertical="center"/>
    </xf>
    <xf numFmtId="0" fontId="14" fillId="3" borderId="1" xfId="0" applyFont="1" applyFill="1" applyBorder="1" applyAlignment="1"/>
    <xf numFmtId="43" fontId="14" fillId="3" borderId="1" xfId="1" applyFont="1" applyFill="1" applyBorder="1" applyAlignment="1">
      <alignment vertical="center"/>
    </xf>
    <xf numFmtId="49" fontId="12" fillId="3" borderId="6" xfId="0" applyNumberFormat="1" applyFont="1" applyFill="1" applyBorder="1" applyAlignment="1">
      <alignment horizontal="center" vertical="center" wrapText="1"/>
    </xf>
    <xf numFmtId="0" fontId="3" fillId="0" borderId="5" xfId="0" applyFont="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27" fillId="3" borderId="5" xfId="0" applyFont="1" applyFill="1" applyBorder="1" applyAlignment="1">
      <alignment horizontal="right" wrapText="1"/>
    </xf>
    <xf numFmtId="0" fontId="28" fillId="3" borderId="5" xfId="0" applyFont="1" applyFill="1" applyBorder="1" applyAlignment="1">
      <alignment horizontal="right" wrapText="1"/>
    </xf>
    <xf numFmtId="43" fontId="14" fillId="3" borderId="1" xfId="1" applyFont="1" applyFill="1" applyBorder="1" applyAlignment="1">
      <alignment horizontal="center"/>
    </xf>
    <xf numFmtId="0" fontId="13" fillId="3" borderId="1" xfId="0" applyFont="1" applyFill="1" applyBorder="1" applyAlignment="1"/>
    <xf numFmtId="0" fontId="13" fillId="3" borderId="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5" xfId="0" applyFont="1" applyFill="1" applyBorder="1" applyAlignment="1">
      <alignment horizontal="center"/>
    </xf>
    <xf numFmtId="43" fontId="30" fillId="3" borderId="1" xfId="1" applyFont="1" applyFill="1" applyBorder="1" applyAlignment="1">
      <alignment horizontal="center" vertical="center"/>
    </xf>
    <xf numFmtId="43" fontId="30" fillId="3" borderId="5" xfId="1" applyFont="1" applyFill="1" applyBorder="1" applyAlignment="1">
      <alignment vertical="center"/>
    </xf>
    <xf numFmtId="43" fontId="29" fillId="3" borderId="5" xfId="1" applyFont="1" applyFill="1" applyBorder="1" applyAlignment="1">
      <alignment horizontal="center" vertical="center"/>
    </xf>
    <xf numFmtId="43" fontId="29" fillId="3" borderId="1" xfId="1" applyFont="1" applyFill="1" applyBorder="1" applyAlignment="1">
      <alignment horizontal="center" vertical="center"/>
    </xf>
    <xf numFmtId="43" fontId="30" fillId="3" borderId="5" xfId="1" applyFont="1" applyFill="1" applyBorder="1" applyAlignment="1">
      <alignment horizontal="center" vertical="center"/>
    </xf>
    <xf numFmtId="43" fontId="29" fillId="3" borderId="7" xfId="1" applyFont="1" applyFill="1" applyBorder="1" applyAlignment="1">
      <alignment horizontal="center" vertical="center" wrapText="1"/>
    </xf>
    <xf numFmtId="43" fontId="30" fillId="0" borderId="1" xfId="1" applyFont="1" applyFill="1" applyBorder="1" applyAlignment="1">
      <alignment horizontal="center" vertical="center"/>
    </xf>
    <xf numFmtId="43" fontId="30" fillId="3" borderId="0" xfId="1" applyFont="1" applyFill="1" applyBorder="1" applyAlignment="1">
      <alignment horizontal="center" vertical="center"/>
    </xf>
    <xf numFmtId="0" fontId="4" fillId="0" borderId="0" xfId="0" applyFont="1" applyBorder="1" applyAlignment="1"/>
    <xf numFmtId="0" fontId="13" fillId="0" borderId="0" xfId="0" applyFont="1"/>
    <xf numFmtId="0" fontId="13" fillId="0" borderId="1" xfId="0" applyFont="1" applyBorder="1" applyAlignment="1">
      <alignment vertical="center" wrapText="1"/>
    </xf>
    <xf numFmtId="0" fontId="13" fillId="0" borderId="1" xfId="0" applyFont="1" applyBorder="1" applyAlignment="1">
      <alignment horizontal="center" vertical="center"/>
    </xf>
    <xf numFmtId="0" fontId="14" fillId="0" borderId="0" xfId="0" applyFont="1" applyAlignment="1">
      <alignment horizontal="center" wrapText="1"/>
    </xf>
    <xf numFmtId="164" fontId="31" fillId="0" borderId="0" xfId="0" applyNumberFormat="1" applyFont="1"/>
    <xf numFmtId="0" fontId="32" fillId="3" borderId="1" xfId="0" applyFont="1" applyFill="1" applyBorder="1"/>
    <xf numFmtId="43" fontId="14" fillId="3" borderId="1" xfId="1" applyFont="1" applyFill="1" applyBorder="1" applyAlignment="1">
      <alignment horizontal="left" vertical="center"/>
    </xf>
    <xf numFmtId="164" fontId="14" fillId="3" borderId="1" xfId="0" applyNumberFormat="1" applyFont="1" applyFill="1" applyBorder="1" applyAlignment="1">
      <alignment horizontal="center" vertical="center"/>
    </xf>
    <xf numFmtId="43" fontId="14" fillId="0" borderId="1" xfId="0" applyNumberFormat="1" applyFont="1" applyBorder="1" applyAlignment="1">
      <alignment horizontal="center" vertical="center"/>
    </xf>
    <xf numFmtId="0" fontId="13" fillId="0" borderId="1" xfId="0" applyFont="1" applyBorder="1"/>
    <xf numFmtId="0" fontId="14" fillId="0" borderId="1" xfId="0" applyFont="1" applyBorder="1" applyAlignment="1">
      <alignment vertical="center" wrapText="1"/>
    </xf>
    <xf numFmtId="0" fontId="14" fillId="0" borderId="1" xfId="0" applyFont="1" applyBorder="1"/>
    <xf numFmtId="0" fontId="14" fillId="2" borderId="1" xfId="0" applyFont="1" applyFill="1" applyBorder="1" applyAlignment="1">
      <alignment horizontal="center" wrapText="1"/>
    </xf>
    <xf numFmtId="164" fontId="14" fillId="2" borderId="5" xfId="0" applyNumberFormat="1" applyFont="1" applyFill="1" applyBorder="1" applyAlignment="1">
      <alignment vertical="center" wrapText="1"/>
    </xf>
    <xf numFmtId="0" fontId="13" fillId="0" borderId="5" xfId="0" applyFont="1" applyBorder="1" applyAlignment="1">
      <alignment vertical="center" wrapText="1"/>
    </xf>
    <xf numFmtId="164" fontId="14" fillId="0" borderId="1" xfId="0" applyNumberFormat="1" applyFont="1" applyBorder="1"/>
    <xf numFmtId="0" fontId="14" fillId="2" borderId="1" xfId="0" applyFont="1" applyFill="1" applyBorder="1"/>
    <xf numFmtId="164" fontId="14" fillId="2" borderId="1" xfId="0" applyNumberFormat="1" applyFont="1" applyFill="1" applyBorder="1" applyAlignment="1"/>
    <xf numFmtId="0" fontId="14" fillId="2" borderId="1" xfId="0" applyFont="1" applyFill="1" applyBorder="1" applyAlignment="1">
      <alignment wrapText="1"/>
    </xf>
    <xf numFmtId="0" fontId="14" fillId="0" borderId="1" xfId="0" applyFont="1" applyBorder="1" applyAlignment="1">
      <alignment wrapText="1"/>
    </xf>
    <xf numFmtId="43" fontId="14" fillId="0" borderId="1" xfId="1" applyFont="1" applyBorder="1" applyAlignment="1">
      <alignment horizontal="center" vertical="center"/>
    </xf>
    <xf numFmtId="2" fontId="14" fillId="0" borderId="1" xfId="0" applyNumberFormat="1" applyFont="1" applyBorder="1" applyAlignment="1">
      <alignment horizontal="center" vertical="center"/>
    </xf>
    <xf numFmtId="43" fontId="28" fillId="3" borderId="5" xfId="1" applyFont="1" applyFill="1" applyBorder="1" applyAlignment="1">
      <alignment horizontal="center" vertical="center"/>
    </xf>
    <xf numFmtId="0" fontId="13" fillId="3" borderId="6" xfId="0" applyFont="1" applyFill="1" applyBorder="1" applyAlignment="1">
      <alignment horizontal="center"/>
    </xf>
    <xf numFmtId="0" fontId="3" fillId="3" borderId="6"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0" borderId="1" xfId="0" applyFont="1" applyBorder="1" applyAlignment="1">
      <alignment horizontal="center" vertical="center"/>
    </xf>
    <xf numFmtId="164" fontId="33" fillId="0" borderId="1" xfId="0" applyNumberFormat="1" applyFont="1" applyBorder="1" applyAlignment="1">
      <alignment horizontal="right" vertical="center"/>
    </xf>
    <xf numFmtId="166" fontId="4" fillId="0" borderId="1" xfId="0" applyNumberFormat="1" applyFont="1" applyBorder="1" applyAlignment="1">
      <alignment horizontal="right" vertical="center"/>
    </xf>
    <xf numFmtId="43" fontId="33" fillId="2" borderId="7" xfId="0" applyNumberFormat="1" applyFont="1" applyFill="1" applyBorder="1" applyAlignment="1">
      <alignment horizontal="right" vertical="center"/>
    </xf>
    <xf numFmtId="43" fontId="4" fillId="2" borderId="7" xfId="1" applyNumberFormat="1" applyFont="1" applyFill="1" applyBorder="1" applyAlignment="1">
      <alignment horizontal="right" vertical="center"/>
    </xf>
    <xf numFmtId="166" fontId="4" fillId="0" borderId="7" xfId="1" applyNumberFormat="1" applyFont="1" applyBorder="1" applyAlignment="1">
      <alignment horizontal="right" vertical="center"/>
    </xf>
    <xf numFmtId="167" fontId="4" fillId="0" borderId="1" xfId="1" applyNumberFormat="1" applyFont="1" applyBorder="1" applyAlignment="1">
      <alignment horizontal="right" vertical="center"/>
    </xf>
    <xf numFmtId="43" fontId="4" fillId="0" borderId="1" xfId="1" applyFont="1" applyBorder="1" applyAlignment="1">
      <alignment horizontal="right" vertical="center"/>
    </xf>
    <xf numFmtId="166" fontId="4" fillId="0" borderId="1" xfId="1" applyNumberFormat="1" applyFont="1" applyBorder="1" applyAlignment="1">
      <alignment horizontal="right" vertical="center"/>
    </xf>
    <xf numFmtId="4" fontId="4" fillId="4" borderId="1" xfId="0" applyNumberFormat="1" applyFont="1" applyFill="1" applyBorder="1" applyAlignment="1">
      <alignment horizontal="right" vertical="center" wrapText="1"/>
    </xf>
    <xf numFmtId="43" fontId="4" fillId="0" borderId="1" xfId="1" applyNumberFormat="1" applyFont="1" applyBorder="1" applyAlignment="1">
      <alignment horizontal="right" vertical="center"/>
    </xf>
    <xf numFmtId="167" fontId="4" fillId="0" borderId="7" xfId="1" applyNumberFormat="1" applyFont="1" applyBorder="1" applyAlignment="1">
      <alignment horizontal="right" vertical="center"/>
    </xf>
    <xf numFmtId="43" fontId="4" fillId="0" borderId="7" xfId="1" applyFont="1" applyBorder="1" applyAlignment="1">
      <alignment horizontal="right" vertical="center"/>
    </xf>
    <xf numFmtId="166" fontId="4" fillId="3" borderId="7" xfId="1" applyNumberFormat="1" applyFont="1" applyFill="1" applyBorder="1" applyAlignment="1">
      <alignment horizontal="right" vertical="center"/>
    </xf>
    <xf numFmtId="3" fontId="4" fillId="4" borderId="1" xfId="0" applyNumberFormat="1" applyFont="1" applyFill="1" applyBorder="1" applyAlignment="1">
      <alignment horizontal="right" vertical="center" wrapText="1"/>
    </xf>
    <xf numFmtId="167" fontId="4" fillId="3" borderId="1" xfId="1" applyNumberFormat="1" applyFont="1" applyFill="1" applyBorder="1" applyAlignment="1">
      <alignment horizontal="right" vertical="center"/>
    </xf>
    <xf numFmtId="164" fontId="33" fillId="3" borderId="1" xfId="0" applyNumberFormat="1" applyFont="1" applyFill="1" applyBorder="1" applyAlignment="1">
      <alignment horizontal="right" vertical="center"/>
    </xf>
    <xf numFmtId="166" fontId="4" fillId="3" borderId="1" xfId="0" applyNumberFormat="1" applyFont="1" applyFill="1" applyBorder="1" applyAlignment="1">
      <alignment horizontal="right" vertical="center"/>
    </xf>
    <xf numFmtId="43" fontId="16" fillId="2" borderId="1" xfId="1" applyFont="1" applyFill="1" applyBorder="1" applyAlignment="1">
      <alignment horizontal="right" vertical="center"/>
    </xf>
    <xf numFmtId="43" fontId="17" fillId="0" borderId="1" xfId="1" applyFont="1" applyBorder="1" applyAlignment="1">
      <alignment horizontal="right" vertical="center"/>
    </xf>
    <xf numFmtId="43" fontId="16" fillId="2" borderId="7" xfId="0" applyNumberFormat="1" applyFont="1" applyFill="1" applyBorder="1" applyAlignment="1">
      <alignment horizontal="right" vertical="center"/>
    </xf>
    <xf numFmtId="166" fontId="17" fillId="3" borderId="1" xfId="1" applyNumberFormat="1" applyFont="1" applyFill="1" applyBorder="1" applyAlignment="1">
      <alignment horizontal="right" vertical="center"/>
    </xf>
    <xf numFmtId="167" fontId="17" fillId="3" borderId="1" xfId="1" applyNumberFormat="1" applyFont="1" applyFill="1" applyBorder="1" applyAlignment="1">
      <alignment horizontal="right" vertical="center"/>
    </xf>
    <xf numFmtId="164" fontId="16" fillId="0" borderId="1" xfId="0" applyNumberFormat="1" applyFont="1" applyBorder="1" applyAlignment="1">
      <alignment horizontal="right" vertical="center"/>
    </xf>
    <xf numFmtId="166" fontId="17" fillId="0" borderId="1" xfId="0" applyNumberFormat="1" applyFont="1" applyBorder="1" applyAlignment="1">
      <alignment horizontal="right" vertical="center"/>
    </xf>
    <xf numFmtId="166" fontId="17" fillId="0" borderId="7" xfId="1" applyNumberFormat="1" applyFont="1" applyBorder="1" applyAlignment="1">
      <alignment horizontal="right" vertical="center"/>
    </xf>
    <xf numFmtId="167" fontId="17" fillId="0" borderId="1" xfId="1" applyNumberFormat="1" applyFont="1" applyBorder="1" applyAlignment="1">
      <alignment horizontal="right" vertical="center"/>
    </xf>
    <xf numFmtId="43" fontId="17" fillId="0" borderId="5" xfId="1" applyFont="1" applyBorder="1" applyAlignment="1">
      <alignment horizontal="right" vertical="center"/>
    </xf>
    <xf numFmtId="43" fontId="17" fillId="2" borderId="1" xfId="1" applyFont="1" applyFill="1" applyBorder="1" applyAlignment="1">
      <alignment horizontal="right" vertical="center"/>
    </xf>
    <xf numFmtId="43" fontId="17" fillId="0" borderId="1" xfId="1" applyNumberFormat="1" applyFont="1" applyBorder="1" applyAlignment="1">
      <alignment horizontal="right" vertical="center"/>
    </xf>
    <xf numFmtId="166" fontId="17" fillId="3" borderId="7" xfId="1" applyNumberFormat="1" applyFont="1" applyFill="1" applyBorder="1" applyAlignment="1">
      <alignment horizontal="right" vertical="center"/>
    </xf>
    <xf numFmtId="168" fontId="17" fillId="0" borderId="1" xfId="1" applyNumberFormat="1" applyFont="1" applyBorder="1" applyAlignment="1">
      <alignment horizontal="right" vertical="center"/>
    </xf>
    <xf numFmtId="166" fontId="17" fillId="0" borderId="1" xfId="1" applyNumberFormat="1" applyFont="1" applyBorder="1" applyAlignment="1">
      <alignment horizontal="right" vertical="center"/>
    </xf>
    <xf numFmtId="167" fontId="17" fillId="0" borderId="7" xfId="1" applyNumberFormat="1" applyFont="1" applyBorder="1" applyAlignment="1">
      <alignment horizontal="right" vertical="center"/>
    </xf>
    <xf numFmtId="43" fontId="16" fillId="0" borderId="7" xfId="1" applyFont="1" applyBorder="1" applyAlignment="1">
      <alignment horizontal="right" vertical="center"/>
    </xf>
    <xf numFmtId="43" fontId="17" fillId="0" borderId="7" xfId="1" applyNumberFormat="1" applyFont="1" applyBorder="1" applyAlignment="1">
      <alignment horizontal="right" vertical="center"/>
    </xf>
    <xf numFmtId="3" fontId="17" fillId="0" borderId="1" xfId="1" applyNumberFormat="1" applyFont="1" applyBorder="1" applyAlignment="1">
      <alignment horizontal="right" vertical="center"/>
    </xf>
    <xf numFmtId="0" fontId="17" fillId="0" borderId="2" xfId="0" applyFont="1" applyBorder="1" applyAlignment="1">
      <alignment horizontal="center" vertical="center"/>
    </xf>
    <xf numFmtId="0" fontId="17" fillId="0" borderId="5" xfId="0" applyFont="1" applyBorder="1" applyAlignment="1">
      <alignment horizontal="center" vertical="center"/>
    </xf>
    <xf numFmtId="166" fontId="13" fillId="0" borderId="7" xfId="1" applyNumberFormat="1" applyFont="1" applyBorder="1" applyAlignment="1">
      <alignment horizontal="center" vertical="center"/>
    </xf>
    <xf numFmtId="43" fontId="13" fillId="0" borderId="7" xfId="1" applyNumberFormat="1" applyFont="1" applyBorder="1" applyAlignment="1">
      <alignment horizontal="center" vertical="center"/>
    </xf>
    <xf numFmtId="43" fontId="13" fillId="0" borderId="7" xfId="1" applyFont="1" applyBorder="1" applyAlignment="1">
      <alignment horizontal="right" vertical="center"/>
    </xf>
    <xf numFmtId="43" fontId="13" fillId="0" borderId="1" xfId="1" applyNumberFormat="1" applyFont="1" applyBorder="1" applyAlignment="1">
      <alignment horizontal="right" vertical="center"/>
    </xf>
    <xf numFmtId="166" fontId="13" fillId="3" borderId="7" xfId="1" applyNumberFormat="1" applyFont="1" applyFill="1" applyBorder="1" applyAlignment="1">
      <alignment horizontal="center" vertical="center"/>
    </xf>
    <xf numFmtId="0" fontId="17" fillId="0" borderId="3" xfId="0" applyFont="1" applyBorder="1" applyAlignment="1">
      <alignment vertical="center" wrapText="1"/>
    </xf>
    <xf numFmtId="0" fontId="17" fillId="0" borderId="8" xfId="0" applyFont="1" applyBorder="1" applyAlignment="1">
      <alignment horizontal="center" vertical="center"/>
    </xf>
    <xf numFmtId="0" fontId="34" fillId="0" borderId="0" xfId="0" applyFont="1"/>
    <xf numFmtId="43" fontId="14" fillId="5" borderId="12" xfId="1" applyFont="1" applyFill="1" applyBorder="1" applyAlignment="1">
      <alignment horizontal="right" vertical="center"/>
    </xf>
    <xf numFmtId="166" fontId="13" fillId="0" borderId="12" xfId="1" applyNumberFormat="1" applyFont="1" applyBorder="1" applyAlignment="1">
      <alignment horizontal="center" vertical="center"/>
    </xf>
    <xf numFmtId="43" fontId="13" fillId="0" borderId="12" xfId="1" applyNumberFormat="1" applyFont="1" applyBorder="1" applyAlignment="1">
      <alignment horizontal="center" vertical="center"/>
    </xf>
    <xf numFmtId="43" fontId="13" fillId="0" borderId="12" xfId="1" applyFont="1" applyBorder="1" applyAlignment="1">
      <alignment horizontal="right" vertical="center"/>
    </xf>
    <xf numFmtId="43" fontId="13" fillId="0" borderId="2" xfId="1" applyNumberFormat="1" applyFont="1" applyBorder="1" applyAlignment="1">
      <alignment horizontal="right" vertical="center"/>
    </xf>
    <xf numFmtId="166" fontId="13" fillId="3" borderId="12" xfId="1" applyNumberFormat="1" applyFont="1" applyFill="1" applyBorder="1" applyAlignment="1">
      <alignment horizontal="center" vertical="center"/>
    </xf>
    <xf numFmtId="164" fontId="16" fillId="0" borderId="2" xfId="0" applyNumberFormat="1" applyFont="1" applyBorder="1" applyAlignment="1">
      <alignment horizontal="right" vertical="center"/>
    </xf>
    <xf numFmtId="166" fontId="17" fillId="0" borderId="2" xfId="0" applyNumberFormat="1" applyFont="1" applyBorder="1" applyAlignment="1">
      <alignment horizontal="right" vertical="center"/>
    </xf>
    <xf numFmtId="43" fontId="16" fillId="2" borderId="12" xfId="0" applyNumberFormat="1" applyFont="1" applyFill="1" applyBorder="1" applyAlignment="1">
      <alignment horizontal="right" vertical="center"/>
    </xf>
    <xf numFmtId="43" fontId="17" fillId="2" borderId="12" xfId="1" applyNumberFormat="1" applyFont="1" applyFill="1" applyBorder="1" applyAlignment="1">
      <alignment horizontal="right" vertical="center"/>
    </xf>
    <xf numFmtId="166" fontId="17" fillId="0" borderId="12" xfId="1" applyNumberFormat="1" applyFont="1" applyBorder="1" applyAlignment="1">
      <alignment horizontal="right" vertical="center"/>
    </xf>
    <xf numFmtId="167" fontId="17" fillId="0" borderId="2" xfId="1" applyNumberFormat="1" applyFont="1" applyBorder="1" applyAlignment="1">
      <alignment horizontal="right" vertical="center"/>
    </xf>
    <xf numFmtId="43" fontId="17" fillId="0" borderId="2" xfId="1" applyFont="1" applyBorder="1" applyAlignment="1">
      <alignment horizontal="right" vertical="center"/>
    </xf>
    <xf numFmtId="166" fontId="17" fillId="0" borderId="2" xfId="1" applyNumberFormat="1" applyFont="1" applyBorder="1" applyAlignment="1">
      <alignment horizontal="right" vertical="center"/>
    </xf>
    <xf numFmtId="4" fontId="17" fillId="4" borderId="2" xfId="0" applyNumberFormat="1" applyFont="1" applyFill="1" applyBorder="1" applyAlignment="1">
      <alignment horizontal="right" vertical="center" wrapText="1"/>
    </xf>
    <xf numFmtId="43" fontId="17" fillId="0" borderId="2" xfId="1" applyNumberFormat="1" applyFont="1" applyBorder="1" applyAlignment="1">
      <alignment horizontal="right" vertical="center"/>
    </xf>
    <xf numFmtId="3" fontId="17" fillId="0" borderId="2" xfId="1" applyNumberFormat="1" applyFont="1" applyBorder="1" applyAlignment="1">
      <alignment horizontal="right" vertical="center"/>
    </xf>
    <xf numFmtId="167" fontId="17" fillId="0" borderId="12" xfId="1" applyNumberFormat="1" applyFont="1" applyBorder="1" applyAlignment="1">
      <alignment horizontal="right" vertical="center"/>
    </xf>
    <xf numFmtId="43" fontId="17" fillId="0" borderId="12" xfId="1" applyNumberFormat="1" applyFont="1" applyBorder="1" applyAlignment="1">
      <alignment horizontal="right" vertical="center"/>
    </xf>
    <xf numFmtId="43" fontId="17" fillId="3" borderId="2" xfId="1" applyNumberFormat="1" applyFont="1" applyFill="1" applyBorder="1" applyAlignment="1">
      <alignment horizontal="right" vertical="center"/>
    </xf>
    <xf numFmtId="43" fontId="17" fillId="3" borderId="2" xfId="1" applyFont="1" applyFill="1" applyBorder="1" applyAlignment="1">
      <alignment horizontal="right" vertical="center"/>
    </xf>
    <xf numFmtId="166" fontId="17" fillId="3" borderId="2" xfId="1" applyNumberFormat="1" applyFont="1" applyFill="1" applyBorder="1" applyAlignment="1">
      <alignment horizontal="right" vertical="center"/>
    </xf>
    <xf numFmtId="4" fontId="17" fillId="3" borderId="2" xfId="0" applyNumberFormat="1" applyFont="1" applyFill="1" applyBorder="1" applyAlignment="1">
      <alignment horizontal="right" vertical="center" wrapText="1"/>
    </xf>
    <xf numFmtId="168" fontId="17" fillId="0" borderId="2" xfId="1" applyNumberFormat="1" applyFont="1" applyBorder="1" applyAlignment="1">
      <alignment horizontal="right" vertical="center"/>
    </xf>
    <xf numFmtId="43" fontId="16" fillId="0" borderId="12" xfId="1" applyFont="1" applyBorder="1" applyAlignment="1">
      <alignment horizontal="right" vertical="center"/>
    </xf>
    <xf numFmtId="43" fontId="17" fillId="0" borderId="12" xfId="1" applyFont="1" applyBorder="1" applyAlignment="1">
      <alignment horizontal="right" vertical="center"/>
    </xf>
    <xf numFmtId="43" fontId="16" fillId="2" borderId="12" xfId="1" applyFont="1" applyFill="1" applyBorder="1" applyAlignment="1">
      <alignment horizontal="right" vertical="center"/>
    </xf>
    <xf numFmtId="166" fontId="17" fillId="3" borderId="12" xfId="1" applyNumberFormat="1" applyFont="1" applyFill="1" applyBorder="1" applyAlignment="1">
      <alignment horizontal="right" vertical="center"/>
    </xf>
    <xf numFmtId="3" fontId="17" fillId="4" borderId="2" xfId="0" applyNumberFormat="1" applyFont="1" applyFill="1" applyBorder="1" applyAlignment="1">
      <alignment horizontal="right" vertical="center" wrapText="1"/>
    </xf>
    <xf numFmtId="167" fontId="17" fillId="3" borderId="2" xfId="1" applyNumberFormat="1" applyFont="1" applyFill="1" applyBorder="1" applyAlignment="1">
      <alignment horizontal="right" vertical="center"/>
    </xf>
    <xf numFmtId="164" fontId="16" fillId="3" borderId="2" xfId="0" applyNumberFormat="1" applyFont="1" applyFill="1" applyBorder="1" applyAlignment="1">
      <alignment horizontal="right" vertical="center"/>
    </xf>
    <xf numFmtId="166" fontId="17" fillId="3" borderId="2" xfId="0" applyNumberFormat="1" applyFont="1" applyFill="1" applyBorder="1" applyAlignment="1">
      <alignment horizontal="right" vertical="center"/>
    </xf>
    <xf numFmtId="43" fontId="17" fillId="0" borderId="8" xfId="1" applyFont="1" applyBorder="1" applyAlignment="1">
      <alignment horizontal="right" vertical="center"/>
    </xf>
    <xf numFmtId="43" fontId="16" fillId="2" borderId="2" xfId="1" applyFont="1" applyFill="1" applyBorder="1" applyAlignment="1">
      <alignment horizontal="right" vertical="center"/>
    </xf>
    <xf numFmtId="0" fontId="0" fillId="0" borderId="1" xfId="0" applyBorder="1"/>
    <xf numFmtId="43" fontId="15" fillId="0" borderId="1" xfId="1" applyFont="1" applyBorder="1"/>
    <xf numFmtId="0" fontId="0" fillId="0" borderId="1"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38" fillId="0" borderId="1" xfId="0" applyFont="1" applyBorder="1"/>
    <xf numFmtId="0" fontId="11" fillId="3" borderId="1" xfId="0" applyFont="1" applyFill="1" applyBorder="1" applyAlignment="1">
      <alignment horizontal="center" vertical="center" wrapText="1"/>
    </xf>
    <xf numFmtId="0" fontId="11" fillId="3" borderId="1" xfId="0" applyFont="1" applyFill="1" applyBorder="1" applyAlignment="1">
      <alignment horizontal="right" vertical="center" wrapText="1"/>
    </xf>
    <xf numFmtId="0" fontId="11" fillId="3" borderId="1" xfId="0" applyFont="1" applyFill="1" applyBorder="1" applyAlignment="1">
      <alignment horizontal="center" vertic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1" fillId="3" borderId="1" xfId="0" applyFont="1" applyFill="1" applyBorder="1" applyAlignment="1">
      <alignment horizontal="center"/>
    </xf>
    <xf numFmtId="49" fontId="14" fillId="3" borderId="5" xfId="0" applyNumberFormat="1" applyFont="1" applyFill="1" applyBorder="1" applyAlignment="1">
      <alignment horizontal="center" vertical="center" wrapText="1"/>
    </xf>
    <xf numFmtId="49" fontId="14" fillId="3" borderId="6" xfId="0" applyNumberFormat="1" applyFont="1" applyFill="1" applyBorder="1" applyAlignment="1">
      <alignment horizontal="center" vertical="center" wrapText="1"/>
    </xf>
    <xf numFmtId="49" fontId="14" fillId="3" borderId="7" xfId="0" applyNumberFormat="1"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49" fontId="12" fillId="3" borderId="5" xfId="0" applyNumberFormat="1" applyFont="1" applyFill="1" applyBorder="1" applyAlignment="1">
      <alignment horizontal="center" vertical="center" wrapText="1"/>
    </xf>
    <xf numFmtId="49" fontId="12" fillId="3" borderId="6" xfId="0" applyNumberFormat="1" applyFont="1" applyFill="1" applyBorder="1" applyAlignment="1">
      <alignment horizontal="center" vertical="center" wrapText="1"/>
    </xf>
    <xf numFmtId="49" fontId="12" fillId="3" borderId="7" xfId="0" applyNumberFormat="1" applyFont="1" applyFill="1" applyBorder="1" applyAlignment="1">
      <alignment horizontal="center" vertical="center" wrapText="1"/>
    </xf>
    <xf numFmtId="0" fontId="13" fillId="3" borderId="1" xfId="0" applyFont="1" applyFill="1" applyBorder="1" applyAlignment="1">
      <alignment horizontal="right" vertical="center" wrapText="1"/>
    </xf>
    <xf numFmtId="0" fontId="13" fillId="3" borderId="1" xfId="0" applyFont="1" applyFill="1" applyBorder="1" applyAlignment="1">
      <alignment horizontal="center"/>
    </xf>
    <xf numFmtId="0" fontId="13" fillId="3" borderId="8" xfId="0" applyFont="1" applyFill="1" applyBorder="1" applyAlignment="1">
      <alignment horizontal="right" vertical="center" wrapText="1"/>
    </xf>
    <xf numFmtId="0" fontId="13" fillId="3" borderId="9" xfId="0" applyFont="1" applyFill="1" applyBorder="1" applyAlignment="1">
      <alignment horizontal="right" vertical="center" wrapText="1"/>
    </xf>
    <xf numFmtId="0" fontId="13" fillId="3" borderId="10" xfId="0" applyFont="1" applyFill="1" applyBorder="1" applyAlignment="1">
      <alignment horizontal="right" vertical="center" wrapText="1"/>
    </xf>
    <xf numFmtId="0" fontId="13" fillId="3" borderId="11" xfId="0" applyFont="1" applyFill="1" applyBorder="1" applyAlignment="1">
      <alignment horizontal="right" vertical="center" wrapText="1"/>
    </xf>
    <xf numFmtId="0" fontId="13" fillId="3" borderId="12" xfId="0" applyFont="1" applyFill="1" applyBorder="1" applyAlignment="1">
      <alignment horizontal="right" vertical="center" wrapText="1"/>
    </xf>
    <xf numFmtId="0" fontId="13" fillId="3" borderId="13" xfId="0" applyFont="1" applyFill="1" applyBorder="1" applyAlignment="1">
      <alignment horizontal="right" vertical="center" wrapText="1"/>
    </xf>
    <xf numFmtId="0" fontId="13" fillId="3" borderId="1"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5" fillId="0" borderId="0" xfId="0" applyFont="1" applyAlignment="1">
      <alignment horizont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1" fillId="3" borderId="8" xfId="0" applyFont="1" applyFill="1" applyBorder="1" applyAlignment="1">
      <alignment horizontal="right" vertical="center" wrapText="1"/>
    </xf>
    <xf numFmtId="0" fontId="11" fillId="3" borderId="9" xfId="0" applyFont="1" applyFill="1" applyBorder="1" applyAlignment="1">
      <alignment horizontal="right" vertical="center" wrapText="1"/>
    </xf>
    <xf numFmtId="0" fontId="11" fillId="3" borderId="10" xfId="0" applyFont="1" applyFill="1" applyBorder="1" applyAlignment="1">
      <alignment horizontal="right" vertical="center" wrapText="1"/>
    </xf>
    <xf numFmtId="0" fontId="11" fillId="3" borderId="11" xfId="0" applyFont="1" applyFill="1" applyBorder="1" applyAlignment="1">
      <alignment horizontal="right" vertical="center" wrapText="1"/>
    </xf>
    <xf numFmtId="0" fontId="11" fillId="3" borderId="12" xfId="0" applyFont="1" applyFill="1" applyBorder="1" applyAlignment="1">
      <alignment horizontal="right" vertical="center" wrapText="1"/>
    </xf>
    <xf numFmtId="0" fontId="11" fillId="3" borderId="13" xfId="0" applyFont="1" applyFill="1" applyBorder="1" applyAlignment="1">
      <alignment horizontal="right" vertical="center" wrapText="1"/>
    </xf>
    <xf numFmtId="0" fontId="11" fillId="3" borderId="5" xfId="0" applyFont="1" applyFill="1" applyBorder="1" applyAlignment="1">
      <alignment horizontal="center"/>
    </xf>
    <xf numFmtId="0" fontId="11" fillId="3" borderId="6" xfId="0" applyFont="1" applyFill="1" applyBorder="1" applyAlignment="1">
      <alignment horizontal="center"/>
    </xf>
    <xf numFmtId="0" fontId="11" fillId="3" borderId="7" xfId="0" applyFont="1" applyFill="1" applyBorder="1" applyAlignment="1">
      <alignment horizontal="center"/>
    </xf>
    <xf numFmtId="0" fontId="3" fillId="3" borderId="1" xfId="0" applyFont="1" applyFill="1" applyBorder="1" applyAlignment="1">
      <alignment horizontal="center" vertical="center" wrapText="1"/>
    </xf>
    <xf numFmtId="1" fontId="14" fillId="3" borderId="5" xfId="0" applyNumberFormat="1" applyFont="1" applyFill="1" applyBorder="1" applyAlignment="1">
      <alignment horizontal="center" vertical="center" wrapText="1"/>
    </xf>
    <xf numFmtId="1" fontId="14" fillId="3" borderId="6" xfId="0" applyNumberFormat="1" applyFont="1" applyFill="1" applyBorder="1" applyAlignment="1">
      <alignment horizontal="center" vertical="center" wrapText="1"/>
    </xf>
    <xf numFmtId="1" fontId="14" fillId="3" borderId="7"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1" fontId="12" fillId="3" borderId="5" xfId="0" applyNumberFormat="1" applyFont="1" applyFill="1" applyBorder="1" applyAlignment="1">
      <alignment horizontal="center" vertical="center" wrapText="1"/>
    </xf>
    <xf numFmtId="1" fontId="12" fillId="3" borderId="6" xfId="0" applyNumberFormat="1" applyFont="1" applyFill="1" applyBorder="1" applyAlignment="1">
      <alignment horizontal="center" vertical="center" wrapText="1"/>
    </xf>
    <xf numFmtId="1" fontId="12" fillId="3" borderId="7" xfId="0" applyNumberFormat="1"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 xfId="0" applyFont="1" applyBorder="1" applyAlignment="1">
      <alignment horizontal="center"/>
    </xf>
    <xf numFmtId="0" fontId="14" fillId="0" borderId="4" xfId="0" applyFont="1" applyBorder="1" applyAlignment="1">
      <alignment horizontal="center"/>
    </xf>
    <xf numFmtId="0" fontId="3" fillId="0" borderId="0" xfId="0" applyFont="1" applyAlignment="1">
      <alignment horizontal="left" vertical="top" wrapText="1"/>
    </xf>
    <xf numFmtId="0" fontId="14" fillId="0" borderId="0" xfId="0" applyFont="1" applyAlignment="1">
      <alignment horizontal="center" vertical="center" wrapText="1"/>
    </xf>
    <xf numFmtId="0" fontId="13" fillId="0" borderId="0" xfId="0" applyFont="1" applyAlignment="1">
      <alignment horizontal="left" vertical="top"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3" xfId="0" applyFont="1" applyBorder="1" applyAlignment="1">
      <alignment horizontal="left" wrapText="1"/>
    </xf>
    <xf numFmtId="0" fontId="13" fillId="0" borderId="5"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7" fillId="3" borderId="5" xfId="2" applyFont="1" applyFill="1" applyBorder="1" applyAlignment="1">
      <alignment horizontal="center" vertical="center" wrapText="1"/>
    </xf>
    <xf numFmtId="0" fontId="17" fillId="3" borderId="6" xfId="2" applyFont="1" applyFill="1" applyBorder="1" applyAlignment="1">
      <alignment horizontal="center" vertical="center" wrapText="1"/>
    </xf>
    <xf numFmtId="0" fontId="17" fillId="3" borderId="7" xfId="2" applyFont="1" applyFill="1" applyBorder="1" applyAlignment="1">
      <alignment horizontal="center" vertical="center" wrapText="1"/>
    </xf>
    <xf numFmtId="0" fontId="13" fillId="3" borderId="5" xfId="0" applyFont="1" applyFill="1" applyBorder="1" applyAlignment="1">
      <alignment horizontal="center"/>
    </xf>
    <xf numFmtId="0" fontId="13" fillId="3" borderId="6" xfId="0" applyFont="1" applyFill="1" applyBorder="1" applyAlignment="1">
      <alignment horizontal="center"/>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8" xfId="0" applyFont="1" applyBorder="1" applyAlignment="1">
      <alignment horizontal="center" vertical="center"/>
    </xf>
    <xf numFmtId="0" fontId="13" fillId="0" borderId="17"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center" vertical="center"/>
    </xf>
    <xf numFmtId="0" fontId="13" fillId="0" borderId="18" xfId="0" applyFont="1" applyBorder="1" applyAlignment="1">
      <alignment horizontal="center" vertical="center"/>
    </xf>
    <xf numFmtId="0" fontId="13" fillId="0" borderId="13" xfId="0" applyFont="1" applyBorder="1" applyAlignment="1">
      <alignment horizontal="center" vertical="center"/>
    </xf>
    <xf numFmtId="0" fontId="14" fillId="0" borderId="0" xfId="0" applyFont="1" applyAlignment="1">
      <alignment horizontal="left" wrapText="1"/>
    </xf>
    <xf numFmtId="0" fontId="14" fillId="0" borderId="18" xfId="0" applyFont="1" applyBorder="1" applyAlignment="1">
      <alignment horizontal="left"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25" fillId="0" borderId="0" xfId="0" applyFont="1" applyBorder="1" applyAlignment="1">
      <alignment horizontal="left"/>
    </xf>
    <xf numFmtId="0" fontId="12" fillId="3" borderId="1" xfId="0" applyFont="1" applyFill="1" applyBorder="1" applyAlignment="1">
      <alignment horizontal="center" vertical="center" wrapText="1"/>
    </xf>
    <xf numFmtId="49" fontId="14" fillId="3" borderId="1" xfId="0" applyNumberFormat="1" applyFont="1" applyFill="1" applyBorder="1" applyAlignment="1">
      <alignment horizontal="center" vertical="center" wrapText="1"/>
    </xf>
    <xf numFmtId="0" fontId="0" fillId="0" borderId="5" xfId="0" applyBorder="1" applyAlignment="1">
      <alignment horizontal="center" wrapText="1"/>
    </xf>
    <xf numFmtId="0" fontId="0" fillId="0" borderId="7" xfId="0" applyBorder="1" applyAlignment="1">
      <alignment horizontal="center" wrapText="1"/>
    </xf>
    <xf numFmtId="0" fontId="0" fillId="0" borderId="6" xfId="0" applyBorder="1" applyAlignment="1">
      <alignment horizontal="center" wrapText="1"/>
    </xf>
    <xf numFmtId="0" fontId="37" fillId="0" borderId="5" xfId="0" applyFont="1" applyBorder="1" applyAlignment="1">
      <alignment horizontal="center" wrapText="1"/>
    </xf>
    <xf numFmtId="0" fontId="37" fillId="0" borderId="6" xfId="0" applyFont="1" applyBorder="1" applyAlignment="1">
      <alignment horizontal="center" wrapText="1"/>
    </xf>
    <xf numFmtId="0" fontId="37" fillId="0" borderId="7" xfId="0" applyFont="1" applyBorder="1" applyAlignment="1">
      <alignment horizont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23" fillId="3" borderId="1"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3" borderId="1" xfId="0" applyFont="1" applyFill="1" applyBorder="1" applyAlignment="1">
      <alignment horizontal="center" vertical="center"/>
    </xf>
    <xf numFmtId="164" fontId="12" fillId="5" borderId="5" xfId="0" applyNumberFormat="1" applyFont="1" applyFill="1" applyBorder="1" applyAlignment="1">
      <alignment horizontal="right" vertical="center"/>
    </xf>
    <xf numFmtId="0" fontId="12" fillId="5" borderId="7" xfId="0" applyFont="1" applyFill="1" applyBorder="1" applyAlignment="1">
      <alignment horizontal="righ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23" fillId="3" borderId="5" xfId="0" applyFont="1" applyFill="1" applyBorder="1" applyAlignment="1">
      <alignment horizontal="right" vertical="center" wrapText="1"/>
    </xf>
    <xf numFmtId="0" fontId="23" fillId="3" borderId="6" xfId="0" applyFont="1" applyFill="1" applyBorder="1" applyAlignment="1">
      <alignment horizontal="right" vertical="center" wrapText="1"/>
    </xf>
    <xf numFmtId="0" fontId="23" fillId="3" borderId="7" xfId="0" applyFont="1" applyFill="1" applyBorder="1" applyAlignment="1">
      <alignment horizontal="right" vertical="center" wrapText="1"/>
    </xf>
    <xf numFmtId="0" fontId="23" fillId="3" borderId="1" xfId="0" applyFont="1" applyFill="1" applyBorder="1" applyAlignment="1">
      <alignment horizontal="right" vertical="center" wrapText="1"/>
    </xf>
    <xf numFmtId="0" fontId="3" fillId="3" borderId="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0" borderId="6" xfId="0" applyFont="1" applyBorder="1" applyAlignment="1">
      <alignment horizontal="center" vertical="center"/>
    </xf>
    <xf numFmtId="164" fontId="14" fillId="5" borderId="8" xfId="0" applyNumberFormat="1" applyFont="1" applyFill="1" applyBorder="1" applyAlignment="1">
      <alignment horizontal="right" vertical="center"/>
    </xf>
    <xf numFmtId="0" fontId="14" fillId="5" borderId="12" xfId="0" applyFont="1" applyFill="1" applyBorder="1" applyAlignment="1">
      <alignment horizontal="righ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1" fillId="3" borderId="5" xfId="0" applyFont="1" applyFill="1" applyBorder="1" applyAlignment="1">
      <alignment horizontal="center" vertical="top"/>
    </xf>
    <xf numFmtId="0" fontId="11" fillId="3" borderId="7" xfId="0" applyFont="1" applyFill="1" applyBorder="1" applyAlignment="1">
      <alignment horizontal="center" vertical="top"/>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0" fillId="0" borderId="5" xfId="0" applyBorder="1" applyAlignment="1">
      <alignment horizontal="center"/>
    </xf>
    <xf numFmtId="0" fontId="0" fillId="0" borderId="7" xfId="0" applyBorder="1" applyAlignment="1">
      <alignment horizontal="center"/>
    </xf>
    <xf numFmtId="0" fontId="35" fillId="0" borderId="5" xfId="0" applyFont="1" applyBorder="1" applyAlignment="1">
      <alignment horizontal="center" wrapText="1"/>
    </xf>
    <xf numFmtId="0" fontId="35" fillId="0" borderId="6" xfId="0" applyFont="1" applyBorder="1" applyAlignment="1">
      <alignment horizontal="center" wrapText="1"/>
    </xf>
    <xf numFmtId="0" fontId="35" fillId="0" borderId="7" xfId="0" applyFont="1" applyBorder="1" applyAlignment="1">
      <alignment horizontal="center" wrapText="1"/>
    </xf>
    <xf numFmtId="0" fontId="36" fillId="0" borderId="5" xfId="0" applyFont="1" applyBorder="1" applyAlignment="1">
      <alignment horizontal="center" wrapText="1"/>
    </xf>
    <xf numFmtId="0" fontId="36" fillId="0" borderId="6" xfId="0" applyFont="1" applyBorder="1" applyAlignment="1">
      <alignment horizontal="center" wrapText="1"/>
    </xf>
    <xf numFmtId="0" fontId="36" fillId="0" borderId="7" xfId="0" applyFont="1" applyBorder="1" applyAlignment="1">
      <alignment horizontal="center" wrapText="1"/>
    </xf>
    <xf numFmtId="0" fontId="3" fillId="0" borderId="1" xfId="0" applyFont="1" applyBorder="1" applyAlignment="1">
      <alignment horizontal="center" vertical="center"/>
    </xf>
    <xf numFmtId="0" fontId="23" fillId="3" borderId="17"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3" borderId="18" xfId="0" applyFont="1" applyFill="1" applyBorder="1" applyAlignment="1">
      <alignment horizontal="center" vertical="center" wrapText="1"/>
    </xf>
    <xf numFmtId="49" fontId="17" fillId="0" borderId="0" xfId="0" applyNumberFormat="1" applyFont="1" applyAlignment="1">
      <alignment horizontal="left" vertical="center" wrapText="1"/>
    </xf>
    <xf numFmtId="164" fontId="16" fillId="3" borderId="5" xfId="0" applyNumberFormat="1" applyFont="1" applyFill="1" applyBorder="1" applyAlignment="1">
      <alignment horizontal="center" vertical="center"/>
    </xf>
    <xf numFmtId="164" fontId="16" fillId="3" borderId="6" xfId="0" applyNumberFormat="1" applyFont="1" applyFill="1" applyBorder="1" applyAlignment="1">
      <alignment horizontal="center" vertical="center"/>
    </xf>
    <xf numFmtId="164" fontId="16" fillId="3" borderId="7" xfId="0" applyNumberFormat="1" applyFont="1" applyFill="1" applyBorder="1" applyAlignment="1">
      <alignment horizontal="center" vertical="center"/>
    </xf>
    <xf numFmtId="0" fontId="12" fillId="0" borderId="0" xfId="0" applyFont="1" applyAlignment="1">
      <alignment horizont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cellXfs>
  <cellStyles count="20">
    <cellStyle name="Обычный" xfId="0" builtinId="0"/>
    <cellStyle name="Обычный 2" xfId="2"/>
    <cellStyle name="Обычный 3" xfId="3"/>
    <cellStyle name="Обычный 3 2" xfId="6"/>
    <cellStyle name="Обычный 3 3" xfId="11"/>
    <cellStyle name="Обычный 4" xfId="7"/>
    <cellStyle name="Обычный 4 2" xfId="9"/>
    <cellStyle name="Финансовый" xfId="1" builtinId="3"/>
    <cellStyle name="Финансовый 2" xfId="5"/>
    <cellStyle name="Финансовый 2 2" xfId="13"/>
    <cellStyle name="Финансовый 2 2 2" xfId="18"/>
    <cellStyle name="Финансовый 3" xfId="4"/>
    <cellStyle name="Финансовый 3 2" xfId="12"/>
    <cellStyle name="Финансовый 3 2 2" xfId="17"/>
    <cellStyle name="Финансовый 4" xfId="8"/>
    <cellStyle name="Финансовый 4 2" xfId="14"/>
    <cellStyle name="Финансовый 4 2 2" xfId="19"/>
    <cellStyle name="Финансовый 5" xfId="10"/>
    <cellStyle name="Финансовый 5 2" xfId="16"/>
    <cellStyle name="Финансовый 6"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32"/>
  <sheetViews>
    <sheetView view="pageBreakPreview" zoomScale="60" zoomScaleNormal="100" workbookViewId="0">
      <pane ySplit="8" topLeftCell="A39" activePane="bottomLeft" state="frozen"/>
      <selection pane="bottomLeft" activeCell="E29" sqref="E29"/>
    </sheetView>
  </sheetViews>
  <sheetFormatPr defaultRowHeight="15" x14ac:dyDescent="0.25"/>
  <cols>
    <col min="1" max="1" width="21.5703125" customWidth="1"/>
    <col min="2" max="2" width="107.7109375" customWidth="1"/>
    <col min="3" max="3" width="20" customWidth="1"/>
    <col min="4" max="4" width="65.85546875" customWidth="1"/>
    <col min="5" max="5" width="19.7109375" customWidth="1"/>
    <col min="6" max="6" width="20.7109375" customWidth="1"/>
    <col min="7" max="7" width="24.28515625" customWidth="1"/>
    <col min="8" max="8" width="23.42578125" customWidth="1"/>
    <col min="9" max="9" width="19.85546875" style="10" customWidth="1"/>
    <col min="10" max="10" width="18.42578125" style="10" bestFit="1" customWidth="1"/>
    <col min="11" max="11" width="22.42578125" style="10" customWidth="1"/>
    <col min="12" max="12" width="22" style="10" customWidth="1"/>
    <col min="13" max="13" width="23.140625" style="10" customWidth="1"/>
    <col min="14" max="14" width="19.5703125" style="10" customWidth="1"/>
    <col min="15" max="15" width="17.85546875" style="4" bestFit="1" customWidth="1"/>
    <col min="16" max="16" width="17.42578125" bestFit="1" customWidth="1"/>
  </cols>
  <sheetData>
    <row r="1" spans="1:31" ht="124.5" customHeight="1" x14ac:dyDescent="0.3">
      <c r="A1" s="226"/>
      <c r="B1" s="226"/>
      <c r="C1" s="226"/>
      <c r="D1" s="226"/>
      <c r="E1" s="226"/>
      <c r="F1" s="226"/>
      <c r="G1" s="226"/>
      <c r="H1" s="226"/>
      <c r="I1" s="226"/>
      <c r="J1" s="433" t="s">
        <v>558</v>
      </c>
      <c r="K1" s="433"/>
      <c r="L1" s="433"/>
      <c r="M1" s="433"/>
      <c r="N1" s="433"/>
      <c r="X1" s="431" t="s">
        <v>6</v>
      </c>
      <c r="Y1" s="431"/>
      <c r="Z1" s="431"/>
      <c r="AA1" s="431"/>
      <c r="AB1" s="431"/>
      <c r="AC1" s="431"/>
      <c r="AD1" s="431"/>
      <c r="AE1" s="431"/>
    </row>
    <row r="2" spans="1:31" ht="45.75" customHeight="1" x14ac:dyDescent="0.25">
      <c r="A2" s="432" t="s">
        <v>649</v>
      </c>
      <c r="B2" s="432"/>
      <c r="C2" s="432"/>
      <c r="D2" s="432"/>
      <c r="E2" s="432"/>
      <c r="F2" s="432"/>
      <c r="G2" s="432"/>
      <c r="H2" s="432"/>
      <c r="I2" s="432"/>
      <c r="J2" s="432"/>
      <c r="K2" s="432"/>
      <c r="L2" s="432"/>
      <c r="M2" s="432"/>
      <c r="N2" s="432"/>
    </row>
    <row r="3" spans="1:31" s="192" customFormat="1" ht="27" customHeight="1" x14ac:dyDescent="0.3">
      <c r="A3" s="454" t="s">
        <v>564</v>
      </c>
      <c r="B3" s="454"/>
      <c r="C3" s="454"/>
      <c r="D3" s="454"/>
      <c r="E3" s="454"/>
      <c r="F3" s="454"/>
      <c r="G3" s="454"/>
      <c r="H3" s="229"/>
      <c r="I3" s="229"/>
      <c r="J3" s="229"/>
      <c r="K3" s="229"/>
      <c r="L3" s="229"/>
      <c r="M3" s="229"/>
      <c r="N3" s="229"/>
      <c r="O3" s="4"/>
    </row>
    <row r="4" spans="1:31" s="192" customFormat="1" ht="36" customHeight="1" x14ac:dyDescent="0.3">
      <c r="A4" s="455" t="s">
        <v>563</v>
      </c>
      <c r="B4" s="455"/>
      <c r="C4" s="455"/>
      <c r="D4" s="455"/>
      <c r="E4" s="455"/>
      <c r="F4" s="455"/>
      <c r="G4" s="455"/>
      <c r="H4" s="455"/>
      <c r="I4" s="455"/>
      <c r="J4" s="455"/>
      <c r="K4" s="455"/>
      <c r="L4" s="455"/>
      <c r="M4" s="455"/>
      <c r="N4" s="455"/>
      <c r="O4" s="4"/>
    </row>
    <row r="5" spans="1:31" ht="56.25" customHeight="1" x14ac:dyDescent="0.25">
      <c r="A5" s="419" t="s">
        <v>0</v>
      </c>
      <c r="B5" s="420"/>
      <c r="C5" s="434" t="s">
        <v>1</v>
      </c>
      <c r="D5" s="434" t="s">
        <v>559</v>
      </c>
      <c r="E5" s="434" t="s">
        <v>2</v>
      </c>
      <c r="F5" s="419" t="s">
        <v>560</v>
      </c>
      <c r="G5" s="446"/>
      <c r="H5" s="420"/>
      <c r="I5" s="448" t="s">
        <v>561</v>
      </c>
      <c r="J5" s="449"/>
      <c r="K5" s="450"/>
      <c r="L5" s="448" t="s">
        <v>562</v>
      </c>
      <c r="M5" s="449"/>
      <c r="N5" s="450"/>
      <c r="O5" s="5"/>
      <c r="P5" s="1"/>
      <c r="Q5" s="1"/>
      <c r="R5" s="1"/>
      <c r="S5" s="1"/>
    </row>
    <row r="6" spans="1:31" ht="20.25" customHeight="1" x14ac:dyDescent="0.25">
      <c r="A6" s="421"/>
      <c r="B6" s="422"/>
      <c r="C6" s="435"/>
      <c r="D6" s="435"/>
      <c r="E6" s="435"/>
      <c r="F6" s="423"/>
      <c r="G6" s="447"/>
      <c r="H6" s="424"/>
      <c r="I6" s="451"/>
      <c r="J6" s="452"/>
      <c r="K6" s="453"/>
      <c r="L6" s="451"/>
      <c r="M6" s="452"/>
      <c r="N6" s="453"/>
    </row>
    <row r="7" spans="1:31" ht="20.25" x14ac:dyDescent="0.25">
      <c r="A7" s="423"/>
      <c r="B7" s="424"/>
      <c r="C7" s="436"/>
      <c r="D7" s="436"/>
      <c r="E7" s="436"/>
      <c r="F7" s="227" t="s">
        <v>3</v>
      </c>
      <c r="G7" s="227" t="s">
        <v>4</v>
      </c>
      <c r="H7" s="227" t="s">
        <v>5</v>
      </c>
      <c r="I7" s="227" t="s">
        <v>3</v>
      </c>
      <c r="J7" s="227" t="s">
        <v>4</v>
      </c>
      <c r="K7" s="227" t="s">
        <v>5</v>
      </c>
      <c r="L7" s="227" t="s">
        <v>3</v>
      </c>
      <c r="M7" s="227" t="s">
        <v>4</v>
      </c>
      <c r="N7" s="227" t="s">
        <v>5</v>
      </c>
    </row>
    <row r="8" spans="1:31" ht="52.5" customHeight="1" x14ac:dyDescent="0.25">
      <c r="A8" s="425">
        <v>2</v>
      </c>
      <c r="B8" s="426"/>
      <c r="C8" s="228">
        <v>3</v>
      </c>
      <c r="D8" s="228">
        <v>4</v>
      </c>
      <c r="E8" s="228">
        <v>5</v>
      </c>
      <c r="F8" s="228">
        <v>6</v>
      </c>
      <c r="G8" s="228">
        <v>7</v>
      </c>
      <c r="H8" s="228">
        <v>8</v>
      </c>
      <c r="I8" s="228">
        <v>9</v>
      </c>
      <c r="J8" s="228">
        <v>10</v>
      </c>
      <c r="K8" s="228">
        <v>11</v>
      </c>
      <c r="L8" s="228">
        <v>12</v>
      </c>
      <c r="M8" s="228">
        <v>13</v>
      </c>
      <c r="N8" s="228">
        <v>14</v>
      </c>
    </row>
    <row r="9" spans="1:31" ht="44.25" customHeight="1" x14ac:dyDescent="0.3">
      <c r="A9" s="437"/>
      <c r="B9" s="437"/>
      <c r="C9" s="437"/>
      <c r="D9" s="437"/>
      <c r="E9" s="437"/>
      <c r="F9" s="437"/>
      <c r="G9" s="437"/>
      <c r="H9" s="437"/>
      <c r="I9" s="437"/>
      <c r="J9" s="437"/>
      <c r="K9" s="437"/>
      <c r="L9" s="437"/>
      <c r="M9" s="437"/>
      <c r="N9" s="437"/>
    </row>
    <row r="10" spans="1:31" ht="101.25" x14ac:dyDescent="0.3">
      <c r="A10" s="427" t="s">
        <v>7</v>
      </c>
      <c r="B10" s="428"/>
      <c r="C10" s="235"/>
      <c r="D10" s="236" t="s">
        <v>13</v>
      </c>
      <c r="E10" s="237"/>
      <c r="F10" s="13">
        <f>G10+H10</f>
        <v>679406.27</v>
      </c>
      <c r="G10" s="233">
        <f>G12+G13+G14+G15</f>
        <v>434470.95</v>
      </c>
      <c r="H10" s="233">
        <f>H12+H13+H14+H15</f>
        <v>244935.32</v>
      </c>
      <c r="I10" s="13">
        <f>J10+K10</f>
        <v>655538.51</v>
      </c>
      <c r="J10" s="232">
        <f>J12+J13+J15</f>
        <v>434470.95</v>
      </c>
      <c r="K10" s="13">
        <f>K12+K13+K15+K14</f>
        <v>221067.56</v>
      </c>
      <c r="L10" s="13">
        <f>M10+N10</f>
        <v>586276.94499999995</v>
      </c>
      <c r="M10" s="232">
        <f>M12+M13+M15</f>
        <v>396498.56999999995</v>
      </c>
      <c r="N10" s="13">
        <f>N12+N13+N15+N14</f>
        <v>189778.37499999997</v>
      </c>
      <c r="O10" s="32"/>
    </row>
    <row r="11" spans="1:31" ht="21" x14ac:dyDescent="0.35">
      <c r="A11" s="238" t="s">
        <v>12</v>
      </c>
      <c r="B11" s="239">
        <f>F10+I10+L10</f>
        <v>1921221.7250000001</v>
      </c>
      <c r="C11" s="12"/>
      <c r="D11" s="240"/>
      <c r="E11" s="241"/>
      <c r="F11" s="13"/>
      <c r="G11" s="233"/>
      <c r="H11" s="233"/>
      <c r="I11" s="13"/>
      <c r="J11" s="232"/>
      <c r="K11" s="233"/>
      <c r="L11" s="13"/>
      <c r="M11" s="232"/>
      <c r="N11" s="233"/>
      <c r="O11" s="40"/>
    </row>
    <row r="12" spans="1:31" ht="20.25" x14ac:dyDescent="0.3">
      <c r="A12" s="242" t="s">
        <v>8</v>
      </c>
      <c r="B12" s="243">
        <f>F12+I12+L12</f>
        <v>1508540.4099999997</v>
      </c>
      <c r="C12" s="438"/>
      <c r="D12" s="438"/>
      <c r="E12" s="237" t="s">
        <v>8</v>
      </c>
      <c r="F12" s="13">
        <f>G12+H12</f>
        <v>527566.36</v>
      </c>
      <c r="G12" s="234">
        <f>G18+G66+G78+G122+G142+G158+G186+G222+G226+G230+G238+G242+G278+G311+G286+G315+G331+G344+G348+G352+G384+G396+G411+G415+G419+G423+178.11</f>
        <v>434157.59</v>
      </c>
      <c r="H12" s="234">
        <f>H18+H66+H78+H122+H142+H158+H186+H222+H226+H230+H238+H242+H278+H311+H286+H315+H331+H344+H348+H352+H384+H396+H411+H415+H419+H423</f>
        <v>93408.76999999999</v>
      </c>
      <c r="I12" s="13">
        <f>J12+K12</f>
        <v>527387.96</v>
      </c>
      <c r="J12" s="234">
        <f>J18+J66+J78+J122+J142+J158+J186+J222+J226+J230+J238+J242+J278+J311+J286+J315+J331+J344+J348+J352+J384+J396+180.79</f>
        <v>434157.59</v>
      </c>
      <c r="K12" s="234">
        <f>K18+K66+K78+K122+K142+K158+K186+K222+K226+K230+K238+K242+K278+K311+K286+K315+K331+K344+K348+K352+K384+K396+K411+K415+K419+K423</f>
        <v>93230.37</v>
      </c>
      <c r="L12" s="13">
        <f>M12+N12</f>
        <v>453586.08999999997</v>
      </c>
      <c r="M12" s="234">
        <f>M18+M66+M78+M122+M142+M158+M186+M222+M226+M230+M238+M242+M278+M311+M286+M315+M331+M344+M348+M352+M384+M396</f>
        <v>396185.26999999996</v>
      </c>
      <c r="N12" s="234">
        <f>N18+N66+N78+N122+N142+N158+N186+N222+N226+N230+N238+N242+N278+N311+N286+N315+N331+N344+N348+N352+N384+N396+N411+N415+N419+N423</f>
        <v>57400.82</v>
      </c>
      <c r="O12" s="7">
        <f>M18+M66+M78+M122+M142+M158+M186+M222+M238+M242+M286+M311+M315+M348+M384+M396</f>
        <v>396185.26999999996</v>
      </c>
    </row>
    <row r="13" spans="1:31" ht="41.25" customHeight="1" x14ac:dyDescent="0.3">
      <c r="A13" s="244" t="s">
        <v>9</v>
      </c>
      <c r="B13" s="243">
        <f>F13+I13+L13</f>
        <v>348167.815</v>
      </c>
      <c r="C13" s="439"/>
      <c r="D13" s="439"/>
      <c r="E13" s="245" t="s">
        <v>9</v>
      </c>
      <c r="F13" s="13">
        <f>G13+H13</f>
        <v>121753.68000000001</v>
      </c>
      <c r="G13" s="234">
        <f>G19+G67+G79+G123+G143+G159+G187+G223+G227+G231+G239+G243+G279+G312+G287+G316+G332+G345+G349+G353+G385+G397+G412+G416+G420+G424</f>
        <v>313.36</v>
      </c>
      <c r="H13" s="234">
        <f>H19+H67+H79+H123+H143+H159+H187+H223+H227+H231+H239+H243+H279+H312+H287+H316+H332+H345+H349+H353+H385+H397+H412+H416+H420+H424</f>
        <v>121440.32000000001</v>
      </c>
      <c r="I13" s="13">
        <f>J13+K13</f>
        <v>121753.67</v>
      </c>
      <c r="J13" s="234">
        <f>J19+J67+J79+J123+J143+J159+J187+J223+J227+J231+J239+J243+J279+J312+J287+J316+J332+J345+J349+J353+J385+J397+J412+J416+J420+J424</f>
        <v>313.36</v>
      </c>
      <c r="K13" s="234">
        <f>K19+K67+K79+K123+K143+K159+K187+K223+K227+K231+K239+K243+K279+K312+K287+K316+K332+K345+K349+K353+K385+K397+K412+K416+K420+K424</f>
        <v>121440.31</v>
      </c>
      <c r="L13" s="233">
        <f>M13+N13</f>
        <v>104660.465</v>
      </c>
      <c r="M13" s="234">
        <f>M19+M67+M79+M123+M143+M159+M187+M223+M227+M231+M239+M243+M279+M312+M287+M316+M332+M345+M349+M353+M385+M397+M412+M416+M420+M424</f>
        <v>313.3</v>
      </c>
      <c r="N13" s="234">
        <f>N19+N67+N79+N123+N143+N159+N187+N223+N227+N231+N239+N243+N279+N312+N287+N316+N332+N345+N349+N353+N385+N397+N412+N416+N420+N424</f>
        <v>104347.16499999999</v>
      </c>
      <c r="O13" s="7"/>
    </row>
    <row r="14" spans="1:31" ht="62.25" customHeight="1" x14ac:dyDescent="0.3">
      <c r="A14" s="244" t="s">
        <v>439</v>
      </c>
      <c r="B14" s="243">
        <f>F14+I14+L14</f>
        <v>18199.88</v>
      </c>
      <c r="C14" s="439"/>
      <c r="D14" s="439"/>
      <c r="E14" s="26" t="s">
        <v>439</v>
      </c>
      <c r="F14" s="13">
        <f>G14+H14</f>
        <v>6396.91</v>
      </c>
      <c r="G14" s="234">
        <f>G398</f>
        <v>0</v>
      </c>
      <c r="H14" s="234">
        <f>H398</f>
        <v>6396.91</v>
      </c>
      <c r="I14" s="13">
        <f t="shared" ref="I14:I15" si="0">J14+K14</f>
        <v>6396.88</v>
      </c>
      <c r="J14" s="234">
        <f>J398</f>
        <v>0</v>
      </c>
      <c r="K14" s="234">
        <f>K398</f>
        <v>6396.88</v>
      </c>
      <c r="L14" s="233">
        <f>M14+N14</f>
        <v>5406.09</v>
      </c>
      <c r="M14" s="234">
        <f>M398</f>
        <v>0</v>
      </c>
      <c r="N14" s="234">
        <f>N398</f>
        <v>5406.09</v>
      </c>
      <c r="O14" s="7"/>
    </row>
    <row r="15" spans="1:31" ht="30.75" customHeight="1" x14ac:dyDescent="0.3">
      <c r="A15" s="242" t="s">
        <v>10</v>
      </c>
      <c r="B15" s="243">
        <f>F15+I15+L15</f>
        <v>46313.619999999995</v>
      </c>
      <c r="C15" s="440"/>
      <c r="D15" s="440"/>
      <c r="E15" s="237" t="s">
        <v>10</v>
      </c>
      <c r="F15" s="246">
        <f>G15+H15</f>
        <v>23689.32</v>
      </c>
      <c r="G15" s="234">
        <f>G20+G68+G80+G124+G144+G160+G188+G224+G228+G232+G240+G244+G280+G288+G313+G317+G333+G346+G350+G354+G386+G399+G413+G417+G421+G425</f>
        <v>0</v>
      </c>
      <c r="H15" s="234">
        <f>H20+H68+H80+H124+H144+H160+H188+H224+H228+H232+H240+H244+H280+H288+H313+H317+H333+H346+H350+H354+H386+H399+H413+H417+H421+H425</f>
        <v>23689.32</v>
      </c>
      <c r="I15" s="13">
        <f t="shared" si="0"/>
        <v>0</v>
      </c>
      <c r="J15" s="234">
        <f>J20+J68+J80+J124+J144+J160+J188+J224+J228+J232+J240+J244+J280+J288+J313+J317+J333+J346+J350+J354+J386+J399+J413+J417+J421+J425</f>
        <v>0</v>
      </c>
      <c r="K15" s="234">
        <f>K20+K68+K80+K124+K144+K160+K188+K224+K228+K232+K240+K244+K280+K288+K313+K317+K333+K346+K350+K354+K386+K399+K413+K417+K421+K425</f>
        <v>0</v>
      </c>
      <c r="L15" s="247">
        <f>M15+N15</f>
        <v>22624.3</v>
      </c>
      <c r="M15" s="234">
        <f>M20+M68+M80+M124+M144+M160+M188+M224+M228+M232+M240+M244+M280+M288+M313+M317+M333+M346+M350+M354+M386+M399+M413+M417+M421+M425</f>
        <v>0</v>
      </c>
      <c r="N15" s="234">
        <f>N20+N68+N80+N124+N144+N160+N188+N224+N228+N232+N240+N244+N280+N288+N313+N317+N333+N346+N350+N354+N386+N399+N413+N417+N421+N425</f>
        <v>22624.3</v>
      </c>
      <c r="O15" s="7"/>
    </row>
    <row r="16" spans="1:31" ht="20.25" x14ac:dyDescent="0.3">
      <c r="A16" s="429"/>
      <c r="B16" s="429"/>
      <c r="C16" s="429"/>
      <c r="D16" s="429"/>
      <c r="E16" s="429"/>
      <c r="F16" s="429"/>
      <c r="G16" s="429"/>
      <c r="H16" s="429"/>
      <c r="I16" s="429"/>
      <c r="J16" s="429"/>
      <c r="K16" s="429"/>
      <c r="L16" s="429"/>
      <c r="M16" s="429"/>
      <c r="N16" s="430"/>
      <c r="O16" s="7"/>
    </row>
    <row r="17" spans="1:16" ht="76.5" customHeight="1" x14ac:dyDescent="0.3">
      <c r="A17" s="343" t="s">
        <v>308</v>
      </c>
      <c r="B17" s="344"/>
      <c r="C17" s="407">
        <v>6030</v>
      </c>
      <c r="D17" s="374" t="s">
        <v>11</v>
      </c>
      <c r="E17" s="23"/>
      <c r="F17" s="24">
        <f t="shared" ref="F17:N17" si="1">F18+F19+F20</f>
        <v>175193.74</v>
      </c>
      <c r="G17" s="24">
        <f t="shared" si="1"/>
        <v>174944.19999999998</v>
      </c>
      <c r="H17" s="24">
        <f t="shared" si="1"/>
        <v>249.54000000000002</v>
      </c>
      <c r="I17" s="24">
        <f t="shared" si="1"/>
        <v>175165.45</v>
      </c>
      <c r="J17" s="24">
        <f t="shared" si="1"/>
        <v>174944.19</v>
      </c>
      <c r="K17" s="24">
        <f>K18+K19+K20</f>
        <v>221.26</v>
      </c>
      <c r="L17" s="24">
        <f>L18+L19+L20</f>
        <v>171974.88000000003</v>
      </c>
      <c r="M17" s="24">
        <f t="shared" si="1"/>
        <v>171837.90000000002</v>
      </c>
      <c r="N17" s="24">
        <f t="shared" si="1"/>
        <v>136.98000000000002</v>
      </c>
      <c r="O17" s="7"/>
    </row>
    <row r="18" spans="1:16" ht="30" customHeight="1" x14ac:dyDescent="0.3">
      <c r="A18" s="345"/>
      <c r="B18" s="346"/>
      <c r="C18" s="408"/>
      <c r="D18" s="375"/>
      <c r="E18" s="25" t="s">
        <v>8</v>
      </c>
      <c r="F18" s="13">
        <f>G18+H18</f>
        <v>175193.74</v>
      </c>
      <c r="G18" s="13">
        <f t="shared" ref="G18:H20" si="2">G22+G34+G38+G42+G46+G50+G54+G58+G62</f>
        <v>174944.19999999998</v>
      </c>
      <c r="H18" s="13">
        <f t="shared" si="2"/>
        <v>249.54000000000002</v>
      </c>
      <c r="I18" s="13">
        <f>J18+K18</f>
        <v>175165.45</v>
      </c>
      <c r="J18" s="13">
        <f>J22+J34+J38+J42+J46+J50+J54+J58+J62</f>
        <v>174944.19</v>
      </c>
      <c r="K18" s="13">
        <f>K22+K34+K38+K42+K46+K50+K54+K58+K62</f>
        <v>221.26</v>
      </c>
      <c r="L18" s="13">
        <f>M18+N18</f>
        <v>171974.88000000003</v>
      </c>
      <c r="M18" s="13">
        <f>M22+M34+M38+M42+M46+M50+M54+M58+M62</f>
        <v>171837.90000000002</v>
      </c>
      <c r="N18" s="13">
        <f>N22+N34+N38+N42+N46+N50+N54+N58+N62</f>
        <v>136.98000000000002</v>
      </c>
      <c r="O18" s="6">
        <f>J18+J66+J78+J122+J142+J186+J222</f>
        <v>302267.17000000004</v>
      </c>
      <c r="P18" s="193">
        <f>K18+K66+K78+K122+K142+K186+K222</f>
        <v>221.26</v>
      </c>
    </row>
    <row r="19" spans="1:16" ht="38.25" customHeight="1" x14ac:dyDescent="0.3">
      <c r="A19" s="345"/>
      <c r="B19" s="346"/>
      <c r="C19" s="408"/>
      <c r="D19" s="375"/>
      <c r="E19" s="26" t="s">
        <v>9</v>
      </c>
      <c r="F19" s="13">
        <f>G19+H19</f>
        <v>0</v>
      </c>
      <c r="G19" s="13">
        <f t="shared" si="2"/>
        <v>0</v>
      </c>
      <c r="H19" s="13">
        <f t="shared" si="2"/>
        <v>0</v>
      </c>
      <c r="I19" s="13">
        <f>J19+K19</f>
        <v>0</v>
      </c>
      <c r="J19" s="13">
        <f t="shared" ref="J19:K20" si="3">J23+J35+J39+J43+J47+J51+J55+J59+J63</f>
        <v>0</v>
      </c>
      <c r="K19" s="13">
        <f t="shared" si="3"/>
        <v>0</v>
      </c>
      <c r="L19" s="13">
        <f>M19+N19</f>
        <v>0</v>
      </c>
      <c r="M19" s="13">
        <f t="shared" ref="M19:N20" si="4">M23+M35+M39+M43+M47+M51+M55+M59+M63</f>
        <v>0</v>
      </c>
      <c r="N19" s="13">
        <f t="shared" si="4"/>
        <v>0</v>
      </c>
      <c r="O19" s="6"/>
    </row>
    <row r="20" spans="1:16" ht="24.75" customHeight="1" x14ac:dyDescent="0.3">
      <c r="A20" s="347"/>
      <c r="B20" s="348"/>
      <c r="C20" s="409"/>
      <c r="D20" s="376"/>
      <c r="E20" s="25" t="s">
        <v>10</v>
      </c>
      <c r="F20" s="13">
        <f>G20+H20</f>
        <v>0</v>
      </c>
      <c r="G20" s="13">
        <f t="shared" si="2"/>
        <v>0</v>
      </c>
      <c r="H20" s="13">
        <f t="shared" si="2"/>
        <v>0</v>
      </c>
      <c r="I20" s="13">
        <f>J20+K20</f>
        <v>0</v>
      </c>
      <c r="J20" s="13">
        <f t="shared" si="3"/>
        <v>0</v>
      </c>
      <c r="K20" s="13">
        <f t="shared" si="3"/>
        <v>0</v>
      </c>
      <c r="L20" s="13">
        <f>M20+N20</f>
        <v>0</v>
      </c>
      <c r="M20" s="13">
        <f t="shared" si="4"/>
        <v>0</v>
      </c>
      <c r="N20" s="13">
        <f t="shared" si="4"/>
        <v>0</v>
      </c>
      <c r="O20" s="6"/>
    </row>
    <row r="21" spans="1:16" ht="61.5" customHeight="1" x14ac:dyDescent="0.3">
      <c r="A21" s="377" t="s">
        <v>460</v>
      </c>
      <c r="B21" s="378"/>
      <c r="C21" s="444"/>
      <c r="D21" s="359" t="s">
        <v>626</v>
      </c>
      <c r="E21" s="30"/>
      <c r="F21" s="31">
        <f t="shared" ref="F21:K21" si="5">F22+F23+F24</f>
        <v>175</v>
      </c>
      <c r="G21" s="31">
        <f t="shared" si="5"/>
        <v>0</v>
      </c>
      <c r="H21" s="31">
        <f t="shared" si="5"/>
        <v>175</v>
      </c>
      <c r="I21" s="31">
        <f t="shared" si="5"/>
        <v>146.72</v>
      </c>
      <c r="J21" s="31">
        <f t="shared" si="5"/>
        <v>0</v>
      </c>
      <c r="K21" s="31">
        <f t="shared" si="5"/>
        <v>146.72</v>
      </c>
      <c r="L21" s="31">
        <f>L22+L23+L24</f>
        <v>136.98000000000002</v>
      </c>
      <c r="M21" s="31">
        <f t="shared" ref="M21:N21" si="6">M22+M23+M24</f>
        <v>0</v>
      </c>
      <c r="N21" s="31">
        <f t="shared" si="6"/>
        <v>136.98000000000002</v>
      </c>
      <c r="O21" s="6"/>
    </row>
    <row r="22" spans="1:16" ht="24.75" customHeight="1" x14ac:dyDescent="0.3">
      <c r="A22" s="379"/>
      <c r="B22" s="380"/>
      <c r="C22" s="445"/>
      <c r="D22" s="360"/>
      <c r="E22" s="27" t="s">
        <v>8</v>
      </c>
      <c r="F22" s="28">
        <f>G22+H22</f>
        <v>175</v>
      </c>
      <c r="G22" s="31"/>
      <c r="H22" s="31">
        <f>H26+H30</f>
        <v>175</v>
      </c>
      <c r="I22" s="28">
        <f t="shared" ref="I22:I32" si="7">J22+K22</f>
        <v>146.72</v>
      </c>
      <c r="J22" s="31">
        <f>J26+J30</f>
        <v>0</v>
      </c>
      <c r="K22" s="31">
        <f>K26+K30</f>
        <v>146.72</v>
      </c>
      <c r="L22" s="31">
        <f>L26+L30</f>
        <v>136.98000000000002</v>
      </c>
      <c r="M22" s="31">
        <f t="shared" ref="M22:N22" si="8">M26+M30</f>
        <v>0</v>
      </c>
      <c r="N22" s="31">
        <f t="shared" si="8"/>
        <v>136.98000000000002</v>
      </c>
      <c r="O22" s="6"/>
    </row>
    <row r="23" spans="1:16" ht="40.5" x14ac:dyDescent="0.3">
      <c r="A23" s="379"/>
      <c r="B23" s="380"/>
      <c r="C23" s="445"/>
      <c r="D23" s="360"/>
      <c r="E23" s="29" t="s">
        <v>9</v>
      </c>
      <c r="F23" s="28">
        <f>G23+H23</f>
        <v>0</v>
      </c>
      <c r="G23" s="31"/>
      <c r="H23" s="31"/>
      <c r="I23" s="28">
        <f t="shared" si="7"/>
        <v>0</v>
      </c>
      <c r="J23" s="31">
        <f>J27+J31</f>
        <v>0</v>
      </c>
      <c r="K23" s="31"/>
      <c r="L23" s="28">
        <f>M23+N23</f>
        <v>0</v>
      </c>
      <c r="M23" s="31"/>
      <c r="N23" s="31"/>
      <c r="O23" s="6"/>
    </row>
    <row r="24" spans="1:16" ht="24.75" customHeight="1" x14ac:dyDescent="0.3">
      <c r="A24" s="379"/>
      <c r="B24" s="380"/>
      <c r="C24" s="445"/>
      <c r="D24" s="360"/>
      <c r="E24" s="27" t="s">
        <v>10</v>
      </c>
      <c r="F24" s="28">
        <f>G24+H24</f>
        <v>0</v>
      </c>
      <c r="G24" s="31"/>
      <c r="H24" s="31"/>
      <c r="I24" s="28">
        <f t="shared" si="7"/>
        <v>0</v>
      </c>
      <c r="J24" s="31">
        <f>J28+J32</f>
        <v>0</v>
      </c>
      <c r="K24" s="31"/>
      <c r="L24" s="28">
        <f>M24+N24</f>
        <v>0</v>
      </c>
      <c r="M24" s="31"/>
      <c r="N24" s="31"/>
      <c r="O24" s="6"/>
    </row>
    <row r="25" spans="1:16" s="192" customFormat="1" ht="60.75" customHeight="1" x14ac:dyDescent="0.3">
      <c r="A25" s="379"/>
      <c r="B25" s="380"/>
      <c r="C25" s="445"/>
      <c r="D25" s="360"/>
      <c r="E25" s="210" t="s">
        <v>28</v>
      </c>
      <c r="F25" s="248">
        <f>H25</f>
        <v>95</v>
      </c>
      <c r="G25" s="31"/>
      <c r="H25" s="248">
        <f>H26+H27+H28</f>
        <v>95</v>
      </c>
      <c r="I25" s="31">
        <f t="shared" si="7"/>
        <v>95</v>
      </c>
      <c r="J25" s="31">
        <f>J26+J27+J28</f>
        <v>0</v>
      </c>
      <c r="K25" s="31">
        <f>K26+K27+K28</f>
        <v>95</v>
      </c>
      <c r="L25" s="28">
        <f>M25+N25</f>
        <v>94.84</v>
      </c>
      <c r="M25" s="31">
        <f t="shared" ref="M25:N25" si="9">M26+M27+M28</f>
        <v>0</v>
      </c>
      <c r="N25" s="31">
        <f t="shared" si="9"/>
        <v>94.84</v>
      </c>
      <c r="O25" s="193"/>
    </row>
    <row r="26" spans="1:16" s="192" customFormat="1" ht="24.75" customHeight="1" x14ac:dyDescent="0.3">
      <c r="A26" s="379"/>
      <c r="B26" s="380"/>
      <c r="C26" s="445"/>
      <c r="D26" s="360"/>
      <c r="E26" s="27" t="s">
        <v>8</v>
      </c>
      <c r="F26" s="31">
        <f>H26</f>
        <v>95</v>
      </c>
      <c r="G26" s="31"/>
      <c r="H26" s="31">
        <f>3549.9-3454.9</f>
        <v>95</v>
      </c>
      <c r="I26" s="31">
        <f t="shared" si="7"/>
        <v>95</v>
      </c>
      <c r="J26" s="31">
        <v>0</v>
      </c>
      <c r="K26" s="31">
        <v>95</v>
      </c>
      <c r="L26" s="28">
        <f>M26+N26</f>
        <v>94.84</v>
      </c>
      <c r="M26" s="31"/>
      <c r="N26" s="31">
        <v>94.84</v>
      </c>
      <c r="O26" s="193"/>
    </row>
    <row r="27" spans="1:16" s="192" customFormat="1" ht="24.75" customHeight="1" x14ac:dyDescent="0.3">
      <c r="A27" s="379"/>
      <c r="B27" s="380"/>
      <c r="C27" s="445"/>
      <c r="D27" s="360"/>
      <c r="E27" s="29" t="s">
        <v>9</v>
      </c>
      <c r="F27" s="31"/>
      <c r="G27" s="31"/>
      <c r="H27" s="31"/>
      <c r="I27" s="31">
        <f t="shared" si="7"/>
        <v>0</v>
      </c>
      <c r="J27" s="31"/>
      <c r="K27" s="31"/>
      <c r="L27" s="31"/>
      <c r="M27" s="31"/>
      <c r="N27" s="31"/>
      <c r="O27" s="193"/>
    </row>
    <row r="28" spans="1:16" s="192" customFormat="1" ht="24.75" customHeight="1" x14ac:dyDescent="0.3">
      <c r="A28" s="379"/>
      <c r="B28" s="380"/>
      <c r="C28" s="445"/>
      <c r="D28" s="360"/>
      <c r="E28" s="27" t="s">
        <v>10</v>
      </c>
      <c r="F28" s="31"/>
      <c r="G28" s="31"/>
      <c r="H28" s="31"/>
      <c r="I28" s="31">
        <f t="shared" si="7"/>
        <v>0</v>
      </c>
      <c r="J28" s="31"/>
      <c r="K28" s="31"/>
      <c r="L28" s="31"/>
      <c r="M28" s="31"/>
      <c r="N28" s="31"/>
      <c r="O28" s="193"/>
    </row>
    <row r="29" spans="1:16" s="192" customFormat="1" ht="70.5" customHeight="1" x14ac:dyDescent="0.3">
      <c r="A29" s="379"/>
      <c r="B29" s="380"/>
      <c r="C29" s="445"/>
      <c r="D29" s="360"/>
      <c r="E29" s="210" t="s">
        <v>544</v>
      </c>
      <c r="F29" s="248">
        <f>H29</f>
        <v>80</v>
      </c>
      <c r="G29" s="248"/>
      <c r="H29" s="248">
        <f>H30+H31+H32</f>
        <v>80</v>
      </c>
      <c r="I29" s="31">
        <f t="shared" si="7"/>
        <v>51.72</v>
      </c>
      <c r="J29" s="31">
        <f>J30+J31+J32</f>
        <v>0</v>
      </c>
      <c r="K29" s="31">
        <f>K30+K31+K32</f>
        <v>51.72</v>
      </c>
      <c r="L29" s="31">
        <f t="shared" ref="L29:L32" si="10">M29+N29</f>
        <v>42.14</v>
      </c>
      <c r="M29" s="31">
        <f>M30+M31+M32</f>
        <v>0</v>
      </c>
      <c r="N29" s="31">
        <f>N30+N31+N32</f>
        <v>42.14</v>
      </c>
      <c r="O29" s="193"/>
    </row>
    <row r="30" spans="1:16" s="192" customFormat="1" ht="24.75" customHeight="1" x14ac:dyDescent="0.3">
      <c r="A30" s="379"/>
      <c r="B30" s="380"/>
      <c r="C30" s="249"/>
      <c r="D30" s="360"/>
      <c r="E30" s="27" t="s">
        <v>8</v>
      </c>
      <c r="F30" s="31">
        <f>H30</f>
        <v>80</v>
      </c>
      <c r="G30" s="31"/>
      <c r="H30" s="31">
        <v>80</v>
      </c>
      <c r="I30" s="31">
        <f t="shared" si="7"/>
        <v>51.72</v>
      </c>
      <c r="J30" s="31">
        <v>0</v>
      </c>
      <c r="K30" s="31">
        <f>51.73-0.01</f>
        <v>51.72</v>
      </c>
      <c r="L30" s="31">
        <f t="shared" si="10"/>
        <v>42.14</v>
      </c>
      <c r="M30" s="31"/>
      <c r="N30" s="31">
        <v>42.14</v>
      </c>
      <c r="O30" s="193"/>
    </row>
    <row r="31" spans="1:16" s="192" customFormat="1" ht="24.75" customHeight="1" x14ac:dyDescent="0.3">
      <c r="A31" s="379"/>
      <c r="B31" s="380"/>
      <c r="C31" s="249"/>
      <c r="D31" s="360"/>
      <c r="E31" s="29" t="s">
        <v>9</v>
      </c>
      <c r="F31" s="31"/>
      <c r="G31" s="31"/>
      <c r="H31" s="31"/>
      <c r="I31" s="31">
        <f t="shared" si="7"/>
        <v>0</v>
      </c>
      <c r="J31" s="31"/>
      <c r="K31" s="31"/>
      <c r="L31" s="31">
        <f t="shared" si="10"/>
        <v>0</v>
      </c>
      <c r="M31" s="31"/>
      <c r="N31" s="31"/>
      <c r="O31" s="193"/>
    </row>
    <row r="32" spans="1:16" s="192" customFormat="1" ht="24.75" customHeight="1" x14ac:dyDescent="0.3">
      <c r="A32" s="381"/>
      <c r="B32" s="382"/>
      <c r="C32" s="249"/>
      <c r="D32" s="361"/>
      <c r="E32" s="27" t="s">
        <v>10</v>
      </c>
      <c r="F32" s="31"/>
      <c r="G32" s="31"/>
      <c r="H32" s="31"/>
      <c r="I32" s="31">
        <f t="shared" si="7"/>
        <v>0</v>
      </c>
      <c r="J32" s="31"/>
      <c r="K32" s="31"/>
      <c r="L32" s="31">
        <f t="shared" si="10"/>
        <v>0</v>
      </c>
      <c r="M32" s="31"/>
      <c r="N32" s="31"/>
      <c r="O32" s="193"/>
    </row>
    <row r="33" spans="1:15" ht="78" customHeight="1" x14ac:dyDescent="0.3">
      <c r="A33" s="397" t="s">
        <v>461</v>
      </c>
      <c r="B33" s="398"/>
      <c r="C33" s="403"/>
      <c r="D33" s="441" t="s">
        <v>623</v>
      </c>
      <c r="E33" s="18"/>
      <c r="F33" s="19">
        <f t="shared" ref="F33:N33" si="11">F34+F35+F36</f>
        <v>91453.700000000012</v>
      </c>
      <c r="G33" s="19">
        <f t="shared" si="11"/>
        <v>91453.700000000012</v>
      </c>
      <c r="H33" s="19">
        <f t="shared" si="11"/>
        <v>0</v>
      </c>
      <c r="I33" s="31">
        <f t="shared" si="11"/>
        <v>91453.7</v>
      </c>
      <c r="J33" s="31">
        <f t="shared" si="11"/>
        <v>91453.7</v>
      </c>
      <c r="K33" s="31">
        <f t="shared" si="11"/>
        <v>0</v>
      </c>
      <c r="L33" s="31">
        <f t="shared" si="11"/>
        <v>90649.75</v>
      </c>
      <c r="M33" s="31">
        <f t="shared" si="11"/>
        <v>90649.75</v>
      </c>
      <c r="N33" s="31">
        <f t="shared" si="11"/>
        <v>0</v>
      </c>
      <c r="O33" s="6"/>
    </row>
    <row r="34" spans="1:15" ht="69.75" customHeight="1" x14ac:dyDescent="0.3">
      <c r="A34" s="399"/>
      <c r="B34" s="400"/>
      <c r="C34" s="404"/>
      <c r="D34" s="442"/>
      <c r="E34" s="20" t="s">
        <v>8</v>
      </c>
      <c r="F34" s="21">
        <f>G34+H34</f>
        <v>91453.700000000012</v>
      </c>
      <c r="G34" s="19">
        <f>87750+2663.1+458.96+149.94-28.48-41.82+502+180.79-180.79</f>
        <v>91453.700000000012</v>
      </c>
      <c r="H34" s="19"/>
      <c r="I34" s="28">
        <f>J34+K34</f>
        <v>91453.7</v>
      </c>
      <c r="J34" s="28">
        <f>90951.7-0.01+502.01+180.79-180.79</f>
        <v>91453.7</v>
      </c>
      <c r="K34" s="31"/>
      <c r="L34" s="28">
        <f>M34+N34</f>
        <v>90649.75</v>
      </c>
      <c r="M34" s="31">
        <v>90649.75</v>
      </c>
      <c r="N34" s="31"/>
      <c r="O34" s="6"/>
    </row>
    <row r="35" spans="1:15" ht="72.75" customHeight="1" x14ac:dyDescent="0.35">
      <c r="A35" s="399"/>
      <c r="B35" s="400"/>
      <c r="C35" s="404"/>
      <c r="D35" s="442"/>
      <c r="E35" s="22" t="s">
        <v>9</v>
      </c>
      <c r="F35" s="21">
        <f>G35+H35</f>
        <v>0</v>
      </c>
      <c r="G35" s="19">
        <v>0</v>
      </c>
      <c r="H35" s="19"/>
      <c r="I35" s="28">
        <f>J35+K35</f>
        <v>0</v>
      </c>
      <c r="J35" s="231"/>
      <c r="K35" s="31"/>
      <c r="L35" s="28">
        <f>M35+N35</f>
        <v>0</v>
      </c>
      <c r="M35" s="31">
        <v>0</v>
      </c>
      <c r="N35" s="31">
        <v>0</v>
      </c>
      <c r="O35" s="6"/>
    </row>
    <row r="36" spans="1:15" ht="81" customHeight="1" x14ac:dyDescent="0.3">
      <c r="A36" s="401"/>
      <c r="B36" s="402"/>
      <c r="C36" s="405"/>
      <c r="D36" s="443"/>
      <c r="E36" s="20" t="s">
        <v>10</v>
      </c>
      <c r="F36" s="21">
        <f>G36+H36</f>
        <v>0</v>
      </c>
      <c r="G36" s="19">
        <f>0</f>
        <v>0</v>
      </c>
      <c r="H36" s="19"/>
      <c r="I36" s="28">
        <f>J36+K36</f>
        <v>0</v>
      </c>
      <c r="J36" s="31">
        <v>0</v>
      </c>
      <c r="K36" s="31"/>
      <c r="L36" s="28">
        <f>M36+N36</f>
        <v>0</v>
      </c>
      <c r="M36" s="31">
        <v>0</v>
      </c>
      <c r="N36" s="31"/>
      <c r="O36" s="6"/>
    </row>
    <row r="37" spans="1:15" ht="66.75" customHeight="1" x14ac:dyDescent="0.3">
      <c r="A37" s="397" t="s">
        <v>462</v>
      </c>
      <c r="B37" s="398"/>
      <c r="C37" s="403"/>
      <c r="D37" s="456" t="s">
        <v>622</v>
      </c>
      <c r="E37" s="18"/>
      <c r="F37" s="19">
        <f t="shared" ref="F37:N37" si="12">F38+F39+F40</f>
        <v>75571.719999999987</v>
      </c>
      <c r="G37" s="19">
        <f t="shared" si="12"/>
        <v>75571.719999999987</v>
      </c>
      <c r="H37" s="19">
        <f t="shared" si="12"/>
        <v>0</v>
      </c>
      <c r="I37" s="31">
        <f t="shared" si="12"/>
        <v>75571.710000000006</v>
      </c>
      <c r="J37" s="31">
        <f t="shared" si="12"/>
        <v>75571.710000000006</v>
      </c>
      <c r="K37" s="31">
        <f t="shared" si="12"/>
        <v>0</v>
      </c>
      <c r="L37" s="31">
        <f t="shared" si="12"/>
        <v>74351.41</v>
      </c>
      <c r="M37" s="31">
        <f t="shared" si="12"/>
        <v>74351.41</v>
      </c>
      <c r="N37" s="31">
        <f t="shared" si="12"/>
        <v>0</v>
      </c>
      <c r="O37" s="6"/>
    </row>
    <row r="38" spans="1:15" ht="54.75" customHeight="1" x14ac:dyDescent="0.3">
      <c r="A38" s="399"/>
      <c r="B38" s="400"/>
      <c r="C38" s="404"/>
      <c r="D38" s="457"/>
      <c r="E38" s="20" t="s">
        <v>8</v>
      </c>
      <c r="F38" s="21">
        <f>G38+H38</f>
        <v>75571.719999999987</v>
      </c>
      <c r="G38" s="19">
        <f>90550-15515.29+537.01</f>
        <v>75571.719999999987</v>
      </c>
      <c r="H38" s="19"/>
      <c r="I38" s="28">
        <f>J38+K38</f>
        <v>75571.710000000006</v>
      </c>
      <c r="J38" s="31">
        <f>75571.72-0.01</f>
        <v>75571.710000000006</v>
      </c>
      <c r="K38" s="31"/>
      <c r="L38" s="28">
        <f>M38+N38</f>
        <v>74351.41</v>
      </c>
      <c r="M38" s="31">
        <v>74351.41</v>
      </c>
      <c r="N38" s="31"/>
      <c r="O38" s="6"/>
    </row>
    <row r="39" spans="1:15" ht="45.75" customHeight="1" x14ac:dyDescent="0.3">
      <c r="A39" s="399"/>
      <c r="B39" s="400"/>
      <c r="C39" s="404"/>
      <c r="D39" s="457"/>
      <c r="E39" s="22" t="s">
        <v>9</v>
      </c>
      <c r="F39" s="21">
        <f>G39+H39</f>
        <v>0</v>
      </c>
      <c r="G39" s="19"/>
      <c r="H39" s="19"/>
      <c r="I39" s="28">
        <f>J39+K39</f>
        <v>0</v>
      </c>
      <c r="J39" s="31"/>
      <c r="K39" s="31"/>
      <c r="L39" s="28">
        <f>M39+N39</f>
        <v>0</v>
      </c>
      <c r="M39" s="31"/>
      <c r="N39" s="31"/>
      <c r="O39" s="6"/>
    </row>
    <row r="40" spans="1:15" ht="40.5" customHeight="1" x14ac:dyDescent="0.3">
      <c r="A40" s="401"/>
      <c r="B40" s="402"/>
      <c r="C40" s="405"/>
      <c r="D40" s="458"/>
      <c r="E40" s="20" t="s">
        <v>10</v>
      </c>
      <c r="F40" s="21">
        <f>G40+H40</f>
        <v>0</v>
      </c>
      <c r="G40" s="19"/>
      <c r="H40" s="19"/>
      <c r="I40" s="28">
        <f>J40+K40</f>
        <v>0</v>
      </c>
      <c r="J40" s="31"/>
      <c r="K40" s="31"/>
      <c r="L40" s="28">
        <f>M40+N40</f>
        <v>0</v>
      </c>
      <c r="M40" s="31"/>
      <c r="N40" s="31"/>
      <c r="O40" s="6"/>
    </row>
    <row r="41" spans="1:15" ht="43.5" customHeight="1" x14ac:dyDescent="0.3">
      <c r="A41" s="367" t="s">
        <v>463</v>
      </c>
      <c r="B41" s="368"/>
      <c r="C41" s="403"/>
      <c r="D41" s="456" t="s">
        <v>621</v>
      </c>
      <c r="E41" s="18"/>
      <c r="F41" s="19">
        <f t="shared" ref="F41:N41" si="13">F42+F43+F44</f>
        <v>26.199999999999989</v>
      </c>
      <c r="G41" s="19">
        <f t="shared" si="13"/>
        <v>26.199999999999989</v>
      </c>
      <c r="H41" s="19">
        <f t="shared" si="13"/>
        <v>0</v>
      </c>
      <c r="I41" s="31">
        <f t="shared" si="13"/>
        <v>26.2</v>
      </c>
      <c r="J41" s="31">
        <f t="shared" si="13"/>
        <v>26.2</v>
      </c>
      <c r="K41" s="31">
        <f t="shared" si="13"/>
        <v>0</v>
      </c>
      <c r="L41" s="31">
        <f t="shared" si="13"/>
        <v>26.2</v>
      </c>
      <c r="M41" s="31">
        <f t="shared" si="13"/>
        <v>26.2</v>
      </c>
      <c r="N41" s="31">
        <f t="shared" si="13"/>
        <v>0</v>
      </c>
      <c r="O41" s="6"/>
    </row>
    <row r="42" spans="1:15" ht="24.75" customHeight="1" x14ac:dyDescent="0.3">
      <c r="A42" s="369"/>
      <c r="B42" s="370"/>
      <c r="C42" s="404"/>
      <c r="D42" s="457"/>
      <c r="E42" s="20" t="s">
        <v>8</v>
      </c>
      <c r="F42" s="19">
        <f>G42+H42</f>
        <v>26.199999999999989</v>
      </c>
      <c r="G42" s="19">
        <f>250-223.8</f>
        <v>26.199999999999989</v>
      </c>
      <c r="H42" s="19"/>
      <c r="I42" s="31">
        <f>J42+K42</f>
        <v>26.2</v>
      </c>
      <c r="J42" s="31">
        <v>26.2</v>
      </c>
      <c r="K42" s="31"/>
      <c r="L42" s="31">
        <f>M42+N42</f>
        <v>26.2</v>
      </c>
      <c r="M42" s="31">
        <v>26.2</v>
      </c>
      <c r="N42" s="31"/>
      <c r="O42" s="6"/>
    </row>
    <row r="43" spans="1:15" ht="40.5" customHeight="1" x14ac:dyDescent="0.3">
      <c r="A43" s="369"/>
      <c r="B43" s="370"/>
      <c r="C43" s="404"/>
      <c r="D43" s="457"/>
      <c r="E43" s="22" t="s">
        <v>9</v>
      </c>
      <c r="F43" s="19">
        <f>G43+H43</f>
        <v>0</v>
      </c>
      <c r="G43" s="19"/>
      <c r="H43" s="19"/>
      <c r="I43" s="31">
        <f>J43+K43</f>
        <v>0</v>
      </c>
      <c r="J43" s="31"/>
      <c r="K43" s="31"/>
      <c r="L43" s="31">
        <f>M43+N43</f>
        <v>0</v>
      </c>
      <c r="M43" s="31"/>
      <c r="N43" s="31"/>
      <c r="O43" s="6"/>
    </row>
    <row r="44" spans="1:15" ht="24.75" customHeight="1" x14ac:dyDescent="0.3">
      <c r="A44" s="371"/>
      <c r="B44" s="372"/>
      <c r="C44" s="405"/>
      <c r="D44" s="458"/>
      <c r="E44" s="20" t="s">
        <v>10</v>
      </c>
      <c r="F44" s="19">
        <f>G44+H44</f>
        <v>0</v>
      </c>
      <c r="G44" s="19"/>
      <c r="H44" s="19"/>
      <c r="I44" s="31">
        <f>J44+K44</f>
        <v>0</v>
      </c>
      <c r="J44" s="31"/>
      <c r="K44" s="31"/>
      <c r="L44" s="31">
        <f>M44+N44</f>
        <v>0</v>
      </c>
      <c r="M44" s="31"/>
      <c r="N44" s="31"/>
      <c r="O44" s="6"/>
    </row>
    <row r="45" spans="1:15" ht="50.25" customHeight="1" x14ac:dyDescent="0.3">
      <c r="A45" s="367" t="s">
        <v>464</v>
      </c>
      <c r="B45" s="368"/>
      <c r="C45" s="403"/>
      <c r="D45" s="456" t="s">
        <v>620</v>
      </c>
      <c r="E45" s="18"/>
      <c r="F45" s="19">
        <f t="shared" ref="F45:N45" si="14">F46+F47+F48</f>
        <v>258.34999999999997</v>
      </c>
      <c r="G45" s="19">
        <f t="shared" si="14"/>
        <v>183.80999999999995</v>
      </c>
      <c r="H45" s="19">
        <f t="shared" si="14"/>
        <v>74.540000000000006</v>
      </c>
      <c r="I45" s="31">
        <f t="shared" si="14"/>
        <v>258.35000000000002</v>
      </c>
      <c r="J45" s="31">
        <f t="shared" si="14"/>
        <v>183.81</v>
      </c>
      <c r="K45" s="31">
        <f t="shared" si="14"/>
        <v>74.540000000000006</v>
      </c>
      <c r="L45" s="31">
        <f t="shared" si="14"/>
        <v>177.88</v>
      </c>
      <c r="M45" s="31">
        <f t="shared" si="14"/>
        <v>177.88</v>
      </c>
      <c r="N45" s="31">
        <f t="shared" si="14"/>
        <v>0</v>
      </c>
      <c r="O45" s="6"/>
    </row>
    <row r="46" spans="1:15" ht="34.5" customHeight="1" x14ac:dyDescent="0.3">
      <c r="A46" s="369"/>
      <c r="B46" s="370"/>
      <c r="C46" s="404"/>
      <c r="D46" s="457"/>
      <c r="E46" s="20" t="s">
        <v>8</v>
      </c>
      <c r="F46" s="19">
        <f>G46+H46</f>
        <v>258.34999999999997</v>
      </c>
      <c r="G46" s="19">
        <f>1000-816.19</f>
        <v>183.80999999999995</v>
      </c>
      <c r="H46" s="19">
        <f>0+74.54</f>
        <v>74.540000000000006</v>
      </c>
      <c r="I46" s="31">
        <f>J46+K46</f>
        <v>258.35000000000002</v>
      </c>
      <c r="J46" s="31">
        <v>183.81</v>
      </c>
      <c r="K46" s="31">
        <v>74.540000000000006</v>
      </c>
      <c r="L46" s="31">
        <f>M46+N46</f>
        <v>177.88</v>
      </c>
      <c r="M46" s="31">
        <v>177.88</v>
      </c>
      <c r="N46" s="31">
        <v>0</v>
      </c>
      <c r="O46" s="6"/>
    </row>
    <row r="47" spans="1:15" ht="41.25" customHeight="1" x14ac:dyDescent="0.3">
      <c r="A47" s="369"/>
      <c r="B47" s="370"/>
      <c r="C47" s="404"/>
      <c r="D47" s="457"/>
      <c r="E47" s="22" t="s">
        <v>9</v>
      </c>
      <c r="F47" s="19">
        <f>G47+H47</f>
        <v>0</v>
      </c>
      <c r="G47" s="19"/>
      <c r="H47" s="19"/>
      <c r="I47" s="31">
        <f>J47+K47</f>
        <v>0</v>
      </c>
      <c r="J47" s="31"/>
      <c r="K47" s="31"/>
      <c r="L47" s="31">
        <f>M47+N47</f>
        <v>0</v>
      </c>
      <c r="M47" s="31"/>
      <c r="N47" s="31"/>
      <c r="O47" s="6"/>
    </row>
    <row r="48" spans="1:15" ht="41.25" customHeight="1" x14ac:dyDescent="0.3">
      <c r="A48" s="371"/>
      <c r="B48" s="372"/>
      <c r="C48" s="405"/>
      <c r="D48" s="458"/>
      <c r="E48" s="20" t="s">
        <v>10</v>
      </c>
      <c r="F48" s="19">
        <f>G48+H48</f>
        <v>0</v>
      </c>
      <c r="G48" s="19"/>
      <c r="H48" s="19"/>
      <c r="I48" s="31">
        <f>J48+K48</f>
        <v>0</v>
      </c>
      <c r="J48" s="31"/>
      <c r="K48" s="31"/>
      <c r="L48" s="31">
        <f>M48+N48</f>
        <v>0</v>
      </c>
      <c r="M48" s="31"/>
      <c r="N48" s="31"/>
      <c r="O48" s="6"/>
    </row>
    <row r="49" spans="1:15" ht="51.75" customHeight="1" x14ac:dyDescent="0.3">
      <c r="A49" s="367" t="s">
        <v>465</v>
      </c>
      <c r="B49" s="368"/>
      <c r="C49" s="403"/>
      <c r="D49" s="456" t="s">
        <v>619</v>
      </c>
      <c r="E49" s="18"/>
      <c r="F49" s="19">
        <f t="shared" ref="F49:N49" si="15">F50+F51+F52</f>
        <v>1603.2</v>
      </c>
      <c r="G49" s="19">
        <f t="shared" si="15"/>
        <v>1603.2</v>
      </c>
      <c r="H49" s="19">
        <f t="shared" si="15"/>
        <v>0</v>
      </c>
      <c r="I49" s="31">
        <f t="shared" si="15"/>
        <v>1603.2</v>
      </c>
      <c r="J49" s="31">
        <f t="shared" si="15"/>
        <v>1603.2</v>
      </c>
      <c r="K49" s="31">
        <f t="shared" si="15"/>
        <v>0</v>
      </c>
      <c r="L49" s="31">
        <f t="shared" si="15"/>
        <v>1590.3</v>
      </c>
      <c r="M49" s="31">
        <f t="shared" si="15"/>
        <v>1590.3</v>
      </c>
      <c r="N49" s="31">
        <f t="shared" si="15"/>
        <v>0</v>
      </c>
      <c r="O49" s="6"/>
    </row>
    <row r="50" spans="1:15" ht="24.75" customHeight="1" x14ac:dyDescent="0.3">
      <c r="A50" s="369"/>
      <c r="B50" s="370"/>
      <c r="C50" s="404"/>
      <c r="D50" s="457"/>
      <c r="E50" s="20" t="s">
        <v>8</v>
      </c>
      <c r="F50" s="19">
        <f>G50+H50</f>
        <v>1603.2</v>
      </c>
      <c r="G50" s="19">
        <f>5000-3413+28.48-12.3+0.02</f>
        <v>1603.2</v>
      </c>
      <c r="H50" s="19"/>
      <c r="I50" s="31">
        <f>J50+K50</f>
        <v>1603.2</v>
      </c>
      <c r="J50" s="31">
        <v>1603.2</v>
      </c>
      <c r="K50" s="31"/>
      <c r="L50" s="31">
        <f>M50+N50</f>
        <v>1590.3</v>
      </c>
      <c r="M50" s="31">
        <v>1590.3</v>
      </c>
      <c r="N50" s="31"/>
      <c r="O50" s="6"/>
    </row>
    <row r="51" spans="1:15" ht="38.25" customHeight="1" x14ac:dyDescent="0.3">
      <c r="A51" s="369"/>
      <c r="B51" s="370"/>
      <c r="C51" s="404"/>
      <c r="D51" s="457"/>
      <c r="E51" s="22" t="s">
        <v>9</v>
      </c>
      <c r="F51" s="19">
        <f>G51+H51</f>
        <v>0</v>
      </c>
      <c r="G51" s="19"/>
      <c r="H51" s="19"/>
      <c r="I51" s="31">
        <f>J51+K51</f>
        <v>0</v>
      </c>
      <c r="J51" s="31"/>
      <c r="K51" s="31"/>
      <c r="L51" s="31">
        <f>M51+N51</f>
        <v>0</v>
      </c>
      <c r="M51" s="31"/>
      <c r="N51" s="31"/>
      <c r="O51" s="6"/>
    </row>
    <row r="52" spans="1:15" ht="24.75" customHeight="1" x14ac:dyDescent="0.3">
      <c r="A52" s="371"/>
      <c r="B52" s="372"/>
      <c r="C52" s="405"/>
      <c r="D52" s="458"/>
      <c r="E52" s="20" t="s">
        <v>10</v>
      </c>
      <c r="F52" s="19">
        <f>G52+H52</f>
        <v>0</v>
      </c>
      <c r="G52" s="19"/>
      <c r="H52" s="19"/>
      <c r="I52" s="31">
        <f>J52+K52</f>
        <v>0</v>
      </c>
      <c r="J52" s="31"/>
      <c r="K52" s="31"/>
      <c r="L52" s="31">
        <f>M52+N52</f>
        <v>0</v>
      </c>
      <c r="M52" s="31"/>
      <c r="N52" s="31"/>
      <c r="O52" s="6"/>
    </row>
    <row r="53" spans="1:15" ht="35.25" customHeight="1" x14ac:dyDescent="0.3">
      <c r="A53" s="367" t="s">
        <v>466</v>
      </c>
      <c r="B53" s="368"/>
      <c r="C53" s="403"/>
      <c r="D53" s="456" t="s">
        <v>618</v>
      </c>
      <c r="E53" s="18"/>
      <c r="F53" s="19">
        <f t="shared" ref="F53:N53" si="16">F54+F55+F56</f>
        <v>1223.83</v>
      </c>
      <c r="G53" s="19">
        <f t="shared" si="16"/>
        <v>1223.83</v>
      </c>
      <c r="H53" s="19">
        <f t="shared" si="16"/>
        <v>0</v>
      </c>
      <c r="I53" s="31">
        <f t="shared" si="16"/>
        <v>1223.83</v>
      </c>
      <c r="J53" s="31">
        <f t="shared" si="16"/>
        <v>1223.83</v>
      </c>
      <c r="K53" s="31">
        <f t="shared" si="16"/>
        <v>0</v>
      </c>
      <c r="L53" s="31">
        <f t="shared" si="16"/>
        <v>201.39</v>
      </c>
      <c r="M53" s="31">
        <f t="shared" si="16"/>
        <v>201.39</v>
      </c>
      <c r="N53" s="31">
        <f t="shared" si="16"/>
        <v>0</v>
      </c>
      <c r="O53" s="6"/>
    </row>
    <row r="54" spans="1:15" ht="24.75" customHeight="1" x14ac:dyDescent="0.3">
      <c r="A54" s="369"/>
      <c r="B54" s="370"/>
      <c r="C54" s="404"/>
      <c r="D54" s="457"/>
      <c r="E54" s="20" t="s">
        <v>8</v>
      </c>
      <c r="F54" s="19">
        <f>G54+H54</f>
        <v>1223.83</v>
      </c>
      <c r="G54" s="19">
        <f>1500-276.17</f>
        <v>1223.83</v>
      </c>
      <c r="H54" s="19">
        <v>0</v>
      </c>
      <c r="I54" s="31">
        <f>J54+K54</f>
        <v>1223.83</v>
      </c>
      <c r="J54" s="31">
        <v>1223.83</v>
      </c>
      <c r="K54" s="31">
        <v>0</v>
      </c>
      <c r="L54" s="31">
        <f>M54+N54</f>
        <v>201.39</v>
      </c>
      <c r="M54" s="31">
        <v>201.39</v>
      </c>
      <c r="N54" s="31">
        <v>0</v>
      </c>
      <c r="O54" s="6"/>
    </row>
    <row r="55" spans="1:15" ht="57.75" customHeight="1" x14ac:dyDescent="0.3">
      <c r="A55" s="369"/>
      <c r="B55" s="370"/>
      <c r="C55" s="404"/>
      <c r="D55" s="457"/>
      <c r="E55" s="22" t="s">
        <v>9</v>
      </c>
      <c r="F55" s="19">
        <f>G55+H55</f>
        <v>0</v>
      </c>
      <c r="G55" s="19"/>
      <c r="H55" s="19"/>
      <c r="I55" s="31">
        <f>J55+K55</f>
        <v>0</v>
      </c>
      <c r="J55" s="31"/>
      <c r="K55" s="31"/>
      <c r="L55" s="31">
        <f>M55+N55</f>
        <v>0</v>
      </c>
      <c r="M55" s="31"/>
      <c r="N55" s="31"/>
      <c r="O55" s="6"/>
    </row>
    <row r="56" spans="1:15" ht="24.75" customHeight="1" x14ac:dyDescent="0.3">
      <c r="A56" s="371"/>
      <c r="B56" s="372"/>
      <c r="C56" s="405"/>
      <c r="D56" s="458"/>
      <c r="E56" s="20" t="s">
        <v>10</v>
      </c>
      <c r="F56" s="19">
        <f>G56+H56</f>
        <v>0</v>
      </c>
      <c r="G56" s="19"/>
      <c r="H56" s="19"/>
      <c r="I56" s="31">
        <f>J56+K56</f>
        <v>0</v>
      </c>
      <c r="J56" s="31"/>
      <c r="K56" s="31"/>
      <c r="L56" s="31">
        <f>M56+N56</f>
        <v>0</v>
      </c>
      <c r="M56" s="31"/>
      <c r="N56" s="31"/>
      <c r="O56" s="6"/>
    </row>
    <row r="57" spans="1:15" s="154" customFormat="1" ht="24.75" customHeight="1" x14ac:dyDescent="0.3">
      <c r="A57" s="341" t="s">
        <v>467</v>
      </c>
      <c r="B57" s="341"/>
      <c r="C57" s="342"/>
      <c r="D57" s="340" t="s">
        <v>617</v>
      </c>
      <c r="E57" s="20"/>
      <c r="F57" s="21">
        <f t="shared" ref="F57:N57" si="17">F58+F59+F60</f>
        <v>4294.49</v>
      </c>
      <c r="G57" s="21">
        <f t="shared" si="17"/>
        <v>4294.49</v>
      </c>
      <c r="H57" s="21">
        <f t="shared" si="17"/>
        <v>0</v>
      </c>
      <c r="I57" s="28">
        <f t="shared" si="17"/>
        <v>4294.49</v>
      </c>
      <c r="J57" s="28">
        <f t="shared" si="17"/>
        <v>4294.49</v>
      </c>
      <c r="K57" s="28">
        <f t="shared" si="17"/>
        <v>0</v>
      </c>
      <c r="L57" s="28">
        <f t="shared" si="17"/>
        <v>4294.49</v>
      </c>
      <c r="M57" s="28">
        <f t="shared" si="17"/>
        <v>4294.49</v>
      </c>
      <c r="N57" s="28">
        <f t="shared" si="17"/>
        <v>0</v>
      </c>
      <c r="O57" s="153"/>
    </row>
    <row r="58" spans="1:15" s="154" customFormat="1" ht="24.75" customHeight="1" x14ac:dyDescent="0.3">
      <c r="A58" s="341"/>
      <c r="B58" s="341"/>
      <c r="C58" s="342"/>
      <c r="D58" s="340"/>
      <c r="E58" s="20" t="s">
        <v>8</v>
      </c>
      <c r="F58" s="21">
        <f>G58+H58</f>
        <v>4294.49</v>
      </c>
      <c r="G58" s="21">
        <f>5000-500-205.51</f>
        <v>4294.49</v>
      </c>
      <c r="H58" s="21">
        <v>0</v>
      </c>
      <c r="I58" s="28">
        <f>J58+K58</f>
        <v>4294.49</v>
      </c>
      <c r="J58" s="28">
        <f>4294.49-0.01+0.01</f>
        <v>4294.49</v>
      </c>
      <c r="K58" s="28">
        <v>0</v>
      </c>
      <c r="L58" s="28">
        <f>M58+N58</f>
        <v>4294.49</v>
      </c>
      <c r="M58" s="28">
        <v>4294.49</v>
      </c>
      <c r="N58" s="28">
        <v>0</v>
      </c>
      <c r="O58" s="153"/>
    </row>
    <row r="59" spans="1:15" s="154" customFormat="1" ht="51" customHeight="1" x14ac:dyDescent="0.3">
      <c r="A59" s="341"/>
      <c r="B59" s="341"/>
      <c r="C59" s="342"/>
      <c r="D59" s="340"/>
      <c r="E59" s="22" t="s">
        <v>9</v>
      </c>
      <c r="F59" s="21">
        <f>G59+H59</f>
        <v>0</v>
      </c>
      <c r="G59" s="21"/>
      <c r="H59" s="21"/>
      <c r="I59" s="28">
        <f>J59+K59</f>
        <v>0</v>
      </c>
      <c r="J59" s="28"/>
      <c r="K59" s="28"/>
      <c r="L59" s="28">
        <f>M59+N59</f>
        <v>0</v>
      </c>
      <c r="M59" s="28"/>
      <c r="N59" s="28"/>
      <c r="O59" s="153"/>
    </row>
    <row r="60" spans="1:15" s="154" customFormat="1" ht="24.75" customHeight="1" x14ac:dyDescent="0.3">
      <c r="A60" s="341"/>
      <c r="B60" s="341"/>
      <c r="C60" s="342"/>
      <c r="D60" s="340"/>
      <c r="E60" s="20" t="s">
        <v>10</v>
      </c>
      <c r="F60" s="21">
        <f>G60+H60</f>
        <v>0</v>
      </c>
      <c r="G60" s="21"/>
      <c r="H60" s="21"/>
      <c r="I60" s="28">
        <f>J60+K60</f>
        <v>0</v>
      </c>
      <c r="J60" s="28"/>
      <c r="K60" s="28"/>
      <c r="L60" s="28">
        <f>M60+N60</f>
        <v>0</v>
      </c>
      <c r="M60" s="28"/>
      <c r="N60" s="28"/>
      <c r="O60" s="153"/>
    </row>
    <row r="61" spans="1:15" s="154" customFormat="1" ht="24.75" customHeight="1" x14ac:dyDescent="0.3">
      <c r="A61" s="367" t="s">
        <v>468</v>
      </c>
      <c r="B61" s="368"/>
      <c r="C61" s="342"/>
      <c r="D61" s="406" t="s">
        <v>616</v>
      </c>
      <c r="E61" s="20"/>
      <c r="F61" s="21">
        <f t="shared" ref="F61:N61" si="18">F62+F63+F64</f>
        <v>587.25</v>
      </c>
      <c r="G61" s="21">
        <f t="shared" si="18"/>
        <v>587.25</v>
      </c>
      <c r="H61" s="21">
        <f t="shared" si="18"/>
        <v>0</v>
      </c>
      <c r="I61" s="28">
        <f t="shared" si="18"/>
        <v>587.25</v>
      </c>
      <c r="J61" s="28">
        <f t="shared" si="18"/>
        <v>587.25</v>
      </c>
      <c r="K61" s="28">
        <f t="shared" si="18"/>
        <v>0</v>
      </c>
      <c r="L61" s="28">
        <f t="shared" si="18"/>
        <v>546.48</v>
      </c>
      <c r="M61" s="28">
        <f t="shared" si="18"/>
        <v>546.48</v>
      </c>
      <c r="N61" s="28">
        <f t="shared" si="18"/>
        <v>0</v>
      </c>
      <c r="O61" s="153"/>
    </row>
    <row r="62" spans="1:15" s="154" customFormat="1" ht="40.5" customHeight="1" x14ac:dyDescent="0.3">
      <c r="A62" s="369"/>
      <c r="B62" s="370"/>
      <c r="C62" s="342"/>
      <c r="D62" s="406"/>
      <c r="E62" s="20" t="s">
        <v>8</v>
      </c>
      <c r="F62" s="21">
        <f>G62+H62</f>
        <v>587.25</v>
      </c>
      <c r="G62" s="21">
        <f>850-262.7-0.05</f>
        <v>587.25</v>
      </c>
      <c r="H62" s="21">
        <v>0</v>
      </c>
      <c r="I62" s="28">
        <f>J62+K62</f>
        <v>587.25</v>
      </c>
      <c r="J62" s="28">
        <v>587.25</v>
      </c>
      <c r="K62" s="28">
        <v>0</v>
      </c>
      <c r="L62" s="28">
        <f>M62+N62</f>
        <v>546.48</v>
      </c>
      <c r="M62" s="28">
        <v>546.48</v>
      </c>
      <c r="N62" s="28">
        <v>0</v>
      </c>
      <c r="O62" s="153"/>
    </row>
    <row r="63" spans="1:15" s="154" customFormat="1" ht="50.25" customHeight="1" x14ac:dyDescent="0.3">
      <c r="A63" s="369"/>
      <c r="B63" s="370"/>
      <c r="C63" s="342"/>
      <c r="D63" s="406"/>
      <c r="E63" s="22" t="s">
        <v>9</v>
      </c>
      <c r="F63" s="21">
        <f>G63+H63</f>
        <v>0</v>
      </c>
      <c r="G63" s="21"/>
      <c r="H63" s="21"/>
      <c r="I63" s="28">
        <f>J63+K63</f>
        <v>0</v>
      </c>
      <c r="J63" s="28"/>
      <c r="K63" s="28"/>
      <c r="L63" s="28">
        <f>M63+N63</f>
        <v>0</v>
      </c>
      <c r="M63" s="28"/>
      <c r="N63" s="28"/>
      <c r="O63" s="153"/>
    </row>
    <row r="64" spans="1:15" s="154" customFormat="1" ht="45.75" customHeight="1" x14ac:dyDescent="0.3">
      <c r="A64" s="371"/>
      <c r="B64" s="372"/>
      <c r="C64" s="342"/>
      <c r="D64" s="406"/>
      <c r="E64" s="20" t="s">
        <v>10</v>
      </c>
      <c r="F64" s="21">
        <f>G64+H64</f>
        <v>0</v>
      </c>
      <c r="G64" s="21"/>
      <c r="H64" s="21"/>
      <c r="I64" s="220">
        <f>J64+K64</f>
        <v>0</v>
      </c>
      <c r="J64" s="220"/>
      <c r="K64" s="220"/>
      <c r="L64" s="220">
        <f>M64+N64</f>
        <v>0</v>
      </c>
      <c r="M64" s="220"/>
      <c r="N64" s="220"/>
      <c r="O64" s="153"/>
    </row>
    <row r="65" spans="1:15" ht="35.25" customHeight="1" x14ac:dyDescent="0.3">
      <c r="A65" s="343" t="s">
        <v>309</v>
      </c>
      <c r="B65" s="344"/>
      <c r="C65" s="407">
        <v>6030</v>
      </c>
      <c r="D65" s="374"/>
      <c r="E65" s="23"/>
      <c r="F65" s="24">
        <f t="shared" ref="F65:N65" si="19">F66+F67+F68</f>
        <v>57288.72</v>
      </c>
      <c r="G65" s="24">
        <f t="shared" si="19"/>
        <v>57288.72</v>
      </c>
      <c r="H65" s="24">
        <f t="shared" si="19"/>
        <v>0</v>
      </c>
      <c r="I65" s="24">
        <f t="shared" si="19"/>
        <v>57288.72</v>
      </c>
      <c r="J65" s="24">
        <f t="shared" si="19"/>
        <v>57288.72</v>
      </c>
      <c r="K65" s="24">
        <f t="shared" si="19"/>
        <v>0</v>
      </c>
      <c r="L65" s="24">
        <f t="shared" si="19"/>
        <v>49861.45</v>
      </c>
      <c r="M65" s="24">
        <f t="shared" si="19"/>
        <v>49861.45</v>
      </c>
      <c r="N65" s="24">
        <f t="shared" si="19"/>
        <v>0</v>
      </c>
      <c r="O65" s="6"/>
    </row>
    <row r="66" spans="1:15" ht="35.25" customHeight="1" x14ac:dyDescent="0.3">
      <c r="A66" s="345"/>
      <c r="B66" s="346"/>
      <c r="C66" s="408"/>
      <c r="D66" s="375"/>
      <c r="E66" s="25" t="s">
        <v>8</v>
      </c>
      <c r="F66" s="13">
        <f>G66+H66</f>
        <v>57288.72</v>
      </c>
      <c r="G66" s="13">
        <f t="shared" ref="G66:H68" si="20">G70+G74</f>
        <v>57288.72</v>
      </c>
      <c r="H66" s="13">
        <f t="shared" si="20"/>
        <v>0</v>
      </c>
      <c r="I66" s="13">
        <f>J66+K66</f>
        <v>57288.72</v>
      </c>
      <c r="J66" s="13">
        <f>J70+J74</f>
        <v>57288.72</v>
      </c>
      <c r="K66" s="13">
        <f t="shared" ref="J66:K68" si="21">K70+K74</f>
        <v>0</v>
      </c>
      <c r="L66" s="13">
        <f>M66+N66</f>
        <v>49861.45</v>
      </c>
      <c r="M66" s="13">
        <f>M70+M74</f>
        <v>49861.45</v>
      </c>
      <c r="N66" s="13">
        <f t="shared" ref="M66:N68" si="22">N70+N74</f>
        <v>0</v>
      </c>
      <c r="O66" s="6"/>
    </row>
    <row r="67" spans="1:15" ht="35.25" customHeight="1" x14ac:dyDescent="0.3">
      <c r="A67" s="345"/>
      <c r="B67" s="346"/>
      <c r="C67" s="408"/>
      <c r="D67" s="375"/>
      <c r="E67" s="26" t="s">
        <v>9</v>
      </c>
      <c r="F67" s="13">
        <f>G67+H67</f>
        <v>0</v>
      </c>
      <c r="G67" s="13">
        <f t="shared" si="20"/>
        <v>0</v>
      </c>
      <c r="H67" s="13">
        <f t="shared" si="20"/>
        <v>0</v>
      </c>
      <c r="I67" s="13">
        <f>J67+K67</f>
        <v>0</v>
      </c>
      <c r="J67" s="13">
        <f t="shared" si="21"/>
        <v>0</v>
      </c>
      <c r="K67" s="13">
        <f t="shared" si="21"/>
        <v>0</v>
      </c>
      <c r="L67" s="13">
        <f>M67+N67</f>
        <v>0</v>
      </c>
      <c r="M67" s="13">
        <f t="shared" si="22"/>
        <v>0</v>
      </c>
      <c r="N67" s="13">
        <f t="shared" si="22"/>
        <v>0</v>
      </c>
      <c r="O67" s="6"/>
    </row>
    <row r="68" spans="1:15" ht="35.25" customHeight="1" x14ac:dyDescent="0.3">
      <c r="A68" s="347"/>
      <c r="B68" s="348"/>
      <c r="C68" s="409"/>
      <c r="D68" s="376"/>
      <c r="E68" s="25" t="s">
        <v>10</v>
      </c>
      <c r="F68" s="13">
        <f>G68+H68</f>
        <v>0</v>
      </c>
      <c r="G68" s="13">
        <f t="shared" si="20"/>
        <v>0</v>
      </c>
      <c r="H68" s="13">
        <f t="shared" si="20"/>
        <v>0</v>
      </c>
      <c r="I68" s="13">
        <f>J68+K68</f>
        <v>0</v>
      </c>
      <c r="J68" s="13">
        <f t="shared" si="21"/>
        <v>0</v>
      </c>
      <c r="K68" s="13">
        <f t="shared" si="21"/>
        <v>0</v>
      </c>
      <c r="L68" s="13">
        <f>M68+N68</f>
        <v>0</v>
      </c>
      <c r="M68" s="13">
        <f t="shared" si="22"/>
        <v>0</v>
      </c>
      <c r="N68" s="13">
        <f t="shared" si="22"/>
        <v>0</v>
      </c>
      <c r="O68" s="6"/>
    </row>
    <row r="69" spans="1:15" ht="57" customHeight="1" x14ac:dyDescent="0.3">
      <c r="A69" s="397" t="s">
        <v>469</v>
      </c>
      <c r="B69" s="398"/>
      <c r="C69" s="403"/>
      <c r="D69" s="394" t="s">
        <v>615</v>
      </c>
      <c r="E69" s="18"/>
      <c r="F69" s="19">
        <f t="shared" ref="F69:N69" si="23">F70+F71+F72</f>
        <v>24137.24</v>
      </c>
      <c r="G69" s="19">
        <f t="shared" si="23"/>
        <v>24137.24</v>
      </c>
      <c r="H69" s="19">
        <f t="shared" si="23"/>
        <v>0</v>
      </c>
      <c r="I69" s="31">
        <f t="shared" si="23"/>
        <v>24137.24</v>
      </c>
      <c r="J69" s="31">
        <f t="shared" si="23"/>
        <v>24137.24</v>
      </c>
      <c r="K69" s="31">
        <f t="shared" si="23"/>
        <v>0</v>
      </c>
      <c r="L69" s="31">
        <f t="shared" si="23"/>
        <v>22612.86</v>
      </c>
      <c r="M69" s="31">
        <f t="shared" si="23"/>
        <v>22612.86</v>
      </c>
      <c r="N69" s="31">
        <f t="shared" si="23"/>
        <v>0</v>
      </c>
      <c r="O69" s="6"/>
    </row>
    <row r="70" spans="1:15" ht="54" customHeight="1" x14ac:dyDescent="0.3">
      <c r="A70" s="399"/>
      <c r="B70" s="400"/>
      <c r="C70" s="404"/>
      <c r="D70" s="395"/>
      <c r="E70" s="20" t="s">
        <v>8</v>
      </c>
      <c r="F70" s="21">
        <f>G70+H70</f>
        <v>24137.24</v>
      </c>
      <c r="G70" s="19">
        <f>31500-6000-1362.76</f>
        <v>24137.24</v>
      </c>
      <c r="H70" s="19">
        <f>7014.36-7014.36</f>
        <v>0</v>
      </c>
      <c r="I70" s="28">
        <f>J70+K70</f>
        <v>24137.24</v>
      </c>
      <c r="J70" s="31">
        <f>24137.24-0.01+0.01</f>
        <v>24137.24</v>
      </c>
      <c r="K70" s="31">
        <v>0</v>
      </c>
      <c r="L70" s="28">
        <f>M70+N70</f>
        <v>22612.86</v>
      </c>
      <c r="M70" s="31">
        <v>22612.86</v>
      </c>
      <c r="N70" s="31">
        <v>0</v>
      </c>
      <c r="O70" s="6"/>
    </row>
    <row r="71" spans="1:15" ht="51" customHeight="1" x14ac:dyDescent="0.3">
      <c r="A71" s="399"/>
      <c r="B71" s="400"/>
      <c r="C71" s="404"/>
      <c r="D71" s="395"/>
      <c r="E71" s="22" t="s">
        <v>9</v>
      </c>
      <c r="F71" s="21">
        <f>G71+H71</f>
        <v>0</v>
      </c>
      <c r="G71" s="19"/>
      <c r="H71" s="19"/>
      <c r="I71" s="28">
        <f>J71+K71</f>
        <v>0</v>
      </c>
      <c r="J71" s="31"/>
      <c r="K71" s="31"/>
      <c r="L71" s="28">
        <f>M71+N71</f>
        <v>0</v>
      </c>
      <c r="M71" s="31"/>
      <c r="N71" s="31"/>
      <c r="O71" s="6"/>
    </row>
    <row r="72" spans="1:15" ht="51.75" customHeight="1" x14ac:dyDescent="0.3">
      <c r="A72" s="401"/>
      <c r="B72" s="402"/>
      <c r="C72" s="405"/>
      <c r="D72" s="396"/>
      <c r="E72" s="20" t="s">
        <v>10</v>
      </c>
      <c r="F72" s="21">
        <f>G72+H72</f>
        <v>0</v>
      </c>
      <c r="G72" s="19"/>
      <c r="H72" s="19"/>
      <c r="I72" s="28">
        <f>J72+K72</f>
        <v>0</v>
      </c>
      <c r="J72" s="31"/>
      <c r="K72" s="31"/>
      <c r="L72" s="28">
        <f>M72+N72</f>
        <v>0</v>
      </c>
      <c r="M72" s="31"/>
      <c r="N72" s="31"/>
      <c r="O72" s="6"/>
    </row>
    <row r="73" spans="1:15" ht="35.25" customHeight="1" x14ac:dyDescent="0.3">
      <c r="A73" s="341" t="s">
        <v>545</v>
      </c>
      <c r="B73" s="341"/>
      <c r="C73" s="352"/>
      <c r="D73" s="340" t="s">
        <v>576</v>
      </c>
      <c r="E73" s="20"/>
      <c r="F73" s="21">
        <f t="shared" ref="F73:N73" si="24">F74+F75+F76</f>
        <v>33151.480000000003</v>
      </c>
      <c r="G73" s="21">
        <f t="shared" si="24"/>
        <v>33151.480000000003</v>
      </c>
      <c r="H73" s="21">
        <f t="shared" si="24"/>
        <v>0</v>
      </c>
      <c r="I73" s="28">
        <f t="shared" si="24"/>
        <v>33151.480000000003</v>
      </c>
      <c r="J73" s="28">
        <f t="shared" si="24"/>
        <v>33151.480000000003</v>
      </c>
      <c r="K73" s="28">
        <f t="shared" si="24"/>
        <v>0</v>
      </c>
      <c r="L73" s="28">
        <f t="shared" si="24"/>
        <v>27248.59</v>
      </c>
      <c r="M73" s="28">
        <f t="shared" si="24"/>
        <v>27248.59</v>
      </c>
      <c r="N73" s="28">
        <f t="shared" si="24"/>
        <v>0</v>
      </c>
      <c r="O73" s="6"/>
    </row>
    <row r="74" spans="1:15" ht="35.25" customHeight="1" x14ac:dyDescent="0.3">
      <c r="A74" s="341"/>
      <c r="B74" s="341"/>
      <c r="C74" s="352"/>
      <c r="D74" s="340"/>
      <c r="E74" s="20" t="s">
        <v>8</v>
      </c>
      <c r="F74" s="21">
        <f>G74+H74</f>
        <v>33151.480000000003</v>
      </c>
      <c r="G74" s="21">
        <f>81794.6-26794.6-3571.05-18277.48+0.01</f>
        <v>33151.480000000003</v>
      </c>
      <c r="H74" s="21">
        <v>0</v>
      </c>
      <c r="I74" s="28">
        <f>J74+K74</f>
        <v>33151.480000000003</v>
      </c>
      <c r="J74" s="28">
        <f>33151.48-0.01+0.01</f>
        <v>33151.480000000003</v>
      </c>
      <c r="K74" s="28">
        <v>0</v>
      </c>
      <c r="L74" s="28">
        <f>M74+N74</f>
        <v>27248.59</v>
      </c>
      <c r="M74" s="28">
        <f>27347.04+4.3-102.7-0.05</f>
        <v>27248.59</v>
      </c>
      <c r="N74" s="28">
        <v>0</v>
      </c>
      <c r="O74" s="6"/>
    </row>
    <row r="75" spans="1:15" ht="40.5" customHeight="1" x14ac:dyDescent="0.3">
      <c r="A75" s="341"/>
      <c r="B75" s="341"/>
      <c r="C75" s="352"/>
      <c r="D75" s="340"/>
      <c r="E75" s="22" t="s">
        <v>9</v>
      </c>
      <c r="F75" s="21">
        <f>G75+H75</f>
        <v>0</v>
      </c>
      <c r="G75" s="21"/>
      <c r="H75" s="21"/>
      <c r="I75" s="28">
        <f>J75+K75</f>
        <v>0</v>
      </c>
      <c r="J75" s="28"/>
      <c r="K75" s="28"/>
      <c r="L75" s="28">
        <f>M75+N75</f>
        <v>0</v>
      </c>
      <c r="M75" s="28"/>
      <c r="N75" s="28"/>
      <c r="O75" s="6"/>
    </row>
    <row r="76" spans="1:15" ht="35.25" customHeight="1" x14ac:dyDescent="0.3">
      <c r="A76" s="341"/>
      <c r="B76" s="341"/>
      <c r="C76" s="352"/>
      <c r="D76" s="340"/>
      <c r="E76" s="20" t="s">
        <v>10</v>
      </c>
      <c r="F76" s="21">
        <f>G76+H76</f>
        <v>0</v>
      </c>
      <c r="G76" s="21"/>
      <c r="H76" s="21"/>
      <c r="I76" s="28">
        <f>J76+K76</f>
        <v>0</v>
      </c>
      <c r="J76" s="28"/>
      <c r="K76" s="28"/>
      <c r="L76" s="28">
        <f>M76+N76</f>
        <v>0</v>
      </c>
      <c r="M76" s="28"/>
      <c r="N76" s="28"/>
      <c r="O76" s="6"/>
    </row>
    <row r="77" spans="1:15" ht="35.25" customHeight="1" x14ac:dyDescent="0.3">
      <c r="A77" s="410" t="s">
        <v>14</v>
      </c>
      <c r="B77" s="411"/>
      <c r="C77" s="416" t="s">
        <v>16</v>
      </c>
      <c r="D77" s="349"/>
      <c r="E77" s="14"/>
      <c r="F77" s="15">
        <f t="shared" ref="F77:N77" si="25">F78+F79+F80</f>
        <v>36184.199999999997</v>
      </c>
      <c r="G77" s="15">
        <f t="shared" si="25"/>
        <v>36084.199999999997</v>
      </c>
      <c r="H77" s="15">
        <f t="shared" si="25"/>
        <v>100</v>
      </c>
      <c r="I77" s="24">
        <f t="shared" si="25"/>
        <v>36084.18</v>
      </c>
      <c r="J77" s="24">
        <f t="shared" si="25"/>
        <v>36084.18</v>
      </c>
      <c r="K77" s="24">
        <f t="shared" si="25"/>
        <v>0</v>
      </c>
      <c r="L77" s="24">
        <f t="shared" si="25"/>
        <v>33124.630000000005</v>
      </c>
      <c r="M77" s="24">
        <f t="shared" si="25"/>
        <v>33074.630000000005</v>
      </c>
      <c r="N77" s="24">
        <f t="shared" si="25"/>
        <v>50</v>
      </c>
      <c r="O77" s="6"/>
    </row>
    <row r="78" spans="1:15" ht="35.25" customHeight="1" x14ac:dyDescent="0.3">
      <c r="A78" s="412"/>
      <c r="B78" s="413"/>
      <c r="C78" s="417"/>
      <c r="D78" s="350"/>
      <c r="E78" s="16" t="s">
        <v>8</v>
      </c>
      <c r="F78" s="11">
        <f>G78+H78</f>
        <v>36084.199999999997</v>
      </c>
      <c r="G78" s="11">
        <f t="shared" ref="G78:H80" si="26">G82+G86+G90+G94+G98+G102+G106+G110+G114+G118</f>
        <v>36084.199999999997</v>
      </c>
      <c r="H78" s="11">
        <f t="shared" si="26"/>
        <v>0</v>
      </c>
      <c r="I78" s="13">
        <f>J78+K78</f>
        <v>36084.18</v>
      </c>
      <c r="J78" s="13">
        <f>J82+J86+J90+J94+J98+J102+J106+J110+J114+J118</f>
        <v>36084.18</v>
      </c>
      <c r="K78" s="13">
        <f t="shared" ref="J78:K80" si="27">K82+K86+K90+K94+K98+K102+K106+K110+K114+K118</f>
        <v>0</v>
      </c>
      <c r="L78" s="13">
        <f>M78+N78</f>
        <v>33074.630000000005</v>
      </c>
      <c r="M78" s="13">
        <f>M82+M86+M90+M94+M98+M102+M106+M110+M114+M118</f>
        <v>33074.630000000005</v>
      </c>
      <c r="N78" s="13">
        <f t="shared" ref="M78:N80" si="28">N82+N86+N90+N94+N98+N102+N106+N110+N114+N118</f>
        <v>0</v>
      </c>
      <c r="O78" s="6"/>
    </row>
    <row r="79" spans="1:15" ht="46.5" customHeight="1" x14ac:dyDescent="0.3">
      <c r="A79" s="412"/>
      <c r="B79" s="413"/>
      <c r="C79" s="417"/>
      <c r="D79" s="350"/>
      <c r="E79" s="17" t="s">
        <v>9</v>
      </c>
      <c r="F79" s="11">
        <f>G79+H79</f>
        <v>0</v>
      </c>
      <c r="G79" s="11">
        <f t="shared" si="26"/>
        <v>0</v>
      </c>
      <c r="H79" s="11">
        <f t="shared" si="26"/>
        <v>0</v>
      </c>
      <c r="I79" s="13">
        <f>J79+K79</f>
        <v>0</v>
      </c>
      <c r="J79" s="13">
        <f t="shared" si="27"/>
        <v>0</v>
      </c>
      <c r="K79" s="13">
        <f t="shared" si="27"/>
        <v>0</v>
      </c>
      <c r="L79" s="13">
        <f>M79+N79</f>
        <v>0</v>
      </c>
      <c r="M79" s="13">
        <f t="shared" si="28"/>
        <v>0</v>
      </c>
      <c r="N79" s="13">
        <f t="shared" si="28"/>
        <v>0</v>
      </c>
      <c r="O79" s="6"/>
    </row>
    <row r="80" spans="1:15" ht="35.25" customHeight="1" x14ac:dyDescent="0.3">
      <c r="A80" s="414"/>
      <c r="B80" s="415"/>
      <c r="C80" s="418"/>
      <c r="D80" s="351"/>
      <c r="E80" s="16" t="s">
        <v>10</v>
      </c>
      <c r="F80" s="11">
        <f>G80+H80</f>
        <v>100</v>
      </c>
      <c r="G80" s="11">
        <f t="shared" si="26"/>
        <v>0</v>
      </c>
      <c r="H80" s="11">
        <f t="shared" si="26"/>
        <v>100</v>
      </c>
      <c r="I80" s="13">
        <f>J80+K80</f>
        <v>0</v>
      </c>
      <c r="J80" s="13">
        <f t="shared" si="27"/>
        <v>0</v>
      </c>
      <c r="K80" s="13">
        <f t="shared" si="27"/>
        <v>0</v>
      </c>
      <c r="L80" s="13">
        <f>M80+N80</f>
        <v>50</v>
      </c>
      <c r="M80" s="13">
        <f t="shared" si="28"/>
        <v>0</v>
      </c>
      <c r="N80" s="13">
        <f t="shared" si="28"/>
        <v>50</v>
      </c>
      <c r="O80" s="6"/>
    </row>
    <row r="81" spans="1:15" ht="35.25" customHeight="1" x14ac:dyDescent="0.3">
      <c r="A81" s="397" t="s">
        <v>470</v>
      </c>
      <c r="B81" s="398"/>
      <c r="C81" s="403"/>
      <c r="D81" s="386" t="s">
        <v>614</v>
      </c>
      <c r="E81" s="18"/>
      <c r="F81" s="19">
        <f t="shared" ref="F81:N81" si="29">F82+F83+F84</f>
        <v>4201.6899999999996</v>
      </c>
      <c r="G81" s="19">
        <f t="shared" si="29"/>
        <v>4201.6899999999996</v>
      </c>
      <c r="H81" s="19">
        <f t="shared" si="29"/>
        <v>0</v>
      </c>
      <c r="I81" s="31">
        <f t="shared" si="29"/>
        <v>4201.6899999999996</v>
      </c>
      <c r="J81" s="31">
        <f t="shared" si="29"/>
        <v>4201.6899999999996</v>
      </c>
      <c r="K81" s="31">
        <f t="shared" si="29"/>
        <v>0</v>
      </c>
      <c r="L81" s="31">
        <f t="shared" si="29"/>
        <v>3231.56</v>
      </c>
      <c r="M81" s="31">
        <f t="shared" si="29"/>
        <v>3231.56</v>
      </c>
      <c r="N81" s="31">
        <f t="shared" si="29"/>
        <v>0</v>
      </c>
      <c r="O81" s="6"/>
    </row>
    <row r="82" spans="1:15" ht="35.25" customHeight="1" x14ac:dyDescent="0.3">
      <c r="A82" s="399"/>
      <c r="B82" s="400"/>
      <c r="C82" s="404"/>
      <c r="D82" s="387"/>
      <c r="E82" s="20" t="s">
        <v>8</v>
      </c>
      <c r="F82" s="21">
        <f>G82+H82</f>
        <v>4201.6899999999996</v>
      </c>
      <c r="G82" s="19">
        <v>4201.6899999999996</v>
      </c>
      <c r="H82" s="19">
        <v>0</v>
      </c>
      <c r="I82" s="28">
        <f>J82+K82</f>
        <v>4201.6899999999996</v>
      </c>
      <c r="J82" s="31">
        <f>4151.69+50</f>
        <v>4201.6899999999996</v>
      </c>
      <c r="K82" s="31">
        <v>0</v>
      </c>
      <c r="L82" s="28">
        <f>M82+N82</f>
        <v>3231.56</v>
      </c>
      <c r="M82" s="31">
        <v>3231.56</v>
      </c>
      <c r="N82" s="31">
        <v>0</v>
      </c>
      <c r="O82" s="6"/>
    </row>
    <row r="83" spans="1:15" ht="35.25" customHeight="1" x14ac:dyDescent="0.3">
      <c r="A83" s="399"/>
      <c r="B83" s="400"/>
      <c r="C83" s="404"/>
      <c r="D83" s="387"/>
      <c r="E83" s="22" t="s">
        <v>9</v>
      </c>
      <c r="F83" s="21">
        <f>G83+H83</f>
        <v>0</v>
      </c>
      <c r="G83" s="19"/>
      <c r="H83" s="19"/>
      <c r="I83" s="28">
        <f>J83+K83</f>
        <v>0</v>
      </c>
      <c r="J83" s="31"/>
      <c r="K83" s="31"/>
      <c r="L83" s="28">
        <f>M83+N83</f>
        <v>0</v>
      </c>
      <c r="M83" s="31"/>
      <c r="N83" s="31"/>
      <c r="O83" s="6"/>
    </row>
    <row r="84" spans="1:15" ht="35.25" customHeight="1" x14ac:dyDescent="0.3">
      <c r="A84" s="401"/>
      <c r="B84" s="402"/>
      <c r="C84" s="405"/>
      <c r="D84" s="388"/>
      <c r="E84" s="20" t="s">
        <v>10</v>
      </c>
      <c r="F84" s="21">
        <f>G84+H84</f>
        <v>0</v>
      </c>
      <c r="G84" s="19"/>
      <c r="H84" s="19"/>
      <c r="I84" s="28">
        <f>J84+K84</f>
        <v>0</v>
      </c>
      <c r="J84" s="31"/>
      <c r="K84" s="31"/>
      <c r="L84" s="28">
        <f>M84+N84</f>
        <v>0</v>
      </c>
      <c r="M84" s="31"/>
      <c r="N84" s="31"/>
      <c r="O84" s="6"/>
    </row>
    <row r="85" spans="1:15" ht="35.25" customHeight="1" x14ac:dyDescent="0.3">
      <c r="A85" s="341" t="s">
        <v>471</v>
      </c>
      <c r="B85" s="341"/>
      <c r="C85" s="352"/>
      <c r="D85" s="340" t="s">
        <v>613</v>
      </c>
      <c r="E85" s="20"/>
      <c r="F85" s="21">
        <f t="shared" ref="F85:N85" si="30">F86+F87+F88</f>
        <v>17159.41</v>
      </c>
      <c r="G85" s="21">
        <f t="shared" si="30"/>
        <v>17159.41</v>
      </c>
      <c r="H85" s="21">
        <f t="shared" si="30"/>
        <v>0</v>
      </c>
      <c r="I85" s="28">
        <f t="shared" si="30"/>
        <v>17159.41</v>
      </c>
      <c r="J85" s="28">
        <f t="shared" si="30"/>
        <v>17159.41</v>
      </c>
      <c r="K85" s="28">
        <f t="shared" si="30"/>
        <v>0</v>
      </c>
      <c r="L85" s="28">
        <f t="shared" si="30"/>
        <v>15879.73</v>
      </c>
      <c r="M85" s="28">
        <f t="shared" si="30"/>
        <v>15879.73</v>
      </c>
      <c r="N85" s="28">
        <f t="shared" si="30"/>
        <v>0</v>
      </c>
      <c r="O85" s="6"/>
    </row>
    <row r="86" spans="1:15" ht="35.25" customHeight="1" x14ac:dyDescent="0.3">
      <c r="A86" s="341"/>
      <c r="B86" s="341"/>
      <c r="C86" s="352"/>
      <c r="D86" s="340"/>
      <c r="E86" s="20" t="s">
        <v>8</v>
      </c>
      <c r="F86" s="21">
        <f>G86+H86</f>
        <v>17159.41</v>
      </c>
      <c r="G86" s="21">
        <f>21550-4390.59</f>
        <v>17159.41</v>
      </c>
      <c r="H86" s="21">
        <v>0</v>
      </c>
      <c r="I86" s="28">
        <f>J86+K86</f>
        <v>17159.41</v>
      </c>
      <c r="J86" s="28">
        <v>17159.41</v>
      </c>
      <c r="K86" s="28">
        <v>0</v>
      </c>
      <c r="L86" s="28">
        <f>M86+N86</f>
        <v>15879.73</v>
      </c>
      <c r="M86" s="28">
        <v>15879.73</v>
      </c>
      <c r="N86" s="28">
        <v>0</v>
      </c>
      <c r="O86" s="6"/>
    </row>
    <row r="87" spans="1:15" ht="35.25" customHeight="1" x14ac:dyDescent="0.3">
      <c r="A87" s="341"/>
      <c r="B87" s="341"/>
      <c r="C87" s="352"/>
      <c r="D87" s="340"/>
      <c r="E87" s="22" t="s">
        <v>9</v>
      </c>
      <c r="F87" s="21">
        <f>G87+H87</f>
        <v>0</v>
      </c>
      <c r="G87" s="21"/>
      <c r="H87" s="21"/>
      <c r="I87" s="28">
        <f>J87+K87</f>
        <v>0</v>
      </c>
      <c r="J87" s="28"/>
      <c r="K87" s="28"/>
      <c r="L87" s="28">
        <f>M87+N87</f>
        <v>0</v>
      </c>
      <c r="M87" s="28"/>
      <c r="N87" s="28"/>
      <c r="O87" s="6"/>
    </row>
    <row r="88" spans="1:15" ht="35.25" customHeight="1" x14ac:dyDescent="0.3">
      <c r="A88" s="341"/>
      <c r="B88" s="341"/>
      <c r="C88" s="352"/>
      <c r="D88" s="340"/>
      <c r="E88" s="20" t="s">
        <v>10</v>
      </c>
      <c r="F88" s="21">
        <f>G88+H88</f>
        <v>0</v>
      </c>
      <c r="G88" s="21"/>
      <c r="H88" s="21"/>
      <c r="I88" s="28">
        <f>J88+K88</f>
        <v>0</v>
      </c>
      <c r="J88" s="28"/>
      <c r="K88" s="28"/>
      <c r="L88" s="28">
        <f>M88+N88</f>
        <v>0</v>
      </c>
      <c r="M88" s="28"/>
      <c r="N88" s="28"/>
      <c r="O88" s="6"/>
    </row>
    <row r="89" spans="1:15" ht="35.25" customHeight="1" x14ac:dyDescent="0.3">
      <c r="A89" s="397" t="s">
        <v>472</v>
      </c>
      <c r="B89" s="398"/>
      <c r="C89" s="403"/>
      <c r="D89" s="386" t="s">
        <v>612</v>
      </c>
      <c r="E89" s="18"/>
      <c r="F89" s="19">
        <f t="shared" ref="F89:N89" si="31">F90+F91+F92</f>
        <v>8197.7099999999991</v>
      </c>
      <c r="G89" s="19">
        <f t="shared" si="31"/>
        <v>8197.7099999999991</v>
      </c>
      <c r="H89" s="19">
        <f t="shared" si="31"/>
        <v>0</v>
      </c>
      <c r="I89" s="31">
        <f t="shared" si="31"/>
        <v>8197.7000000000007</v>
      </c>
      <c r="J89" s="31">
        <f t="shared" si="31"/>
        <v>8197.7000000000007</v>
      </c>
      <c r="K89" s="31">
        <f t="shared" si="31"/>
        <v>0</v>
      </c>
      <c r="L89" s="31">
        <f t="shared" si="31"/>
        <v>7997.65</v>
      </c>
      <c r="M89" s="31">
        <f t="shared" si="31"/>
        <v>7997.65</v>
      </c>
      <c r="N89" s="31">
        <f t="shared" si="31"/>
        <v>0</v>
      </c>
      <c r="O89" s="6"/>
    </row>
    <row r="90" spans="1:15" ht="35.25" customHeight="1" x14ac:dyDescent="0.3">
      <c r="A90" s="399"/>
      <c r="B90" s="400"/>
      <c r="C90" s="404"/>
      <c r="D90" s="387"/>
      <c r="E90" s="20" t="s">
        <v>8</v>
      </c>
      <c r="F90" s="21">
        <f>G90+H90</f>
        <v>8197.7099999999991</v>
      </c>
      <c r="G90" s="19">
        <f>9050-852.29</f>
        <v>8197.7099999999991</v>
      </c>
      <c r="H90" s="19">
        <v>0</v>
      </c>
      <c r="I90" s="28">
        <f>J90+K90</f>
        <v>8197.7000000000007</v>
      </c>
      <c r="J90" s="31">
        <v>8197.7000000000007</v>
      </c>
      <c r="K90" s="31">
        <v>0</v>
      </c>
      <c r="L90" s="28">
        <f>M90+N90</f>
        <v>7997.65</v>
      </c>
      <c r="M90" s="31">
        <v>7997.65</v>
      </c>
      <c r="N90" s="31">
        <v>0</v>
      </c>
      <c r="O90" s="6"/>
    </row>
    <row r="91" spans="1:15" ht="35.25" customHeight="1" x14ac:dyDescent="0.3">
      <c r="A91" s="399"/>
      <c r="B91" s="400"/>
      <c r="C91" s="404"/>
      <c r="D91" s="387"/>
      <c r="E91" s="22" t="s">
        <v>9</v>
      </c>
      <c r="F91" s="21">
        <f>G91+H91</f>
        <v>0</v>
      </c>
      <c r="G91" s="19"/>
      <c r="H91" s="19"/>
      <c r="I91" s="28">
        <f>J91+K91</f>
        <v>0</v>
      </c>
      <c r="J91" s="31"/>
      <c r="K91" s="31"/>
      <c r="L91" s="28">
        <f>M91+N91</f>
        <v>0</v>
      </c>
      <c r="M91" s="31"/>
      <c r="N91" s="31"/>
      <c r="O91" s="6"/>
    </row>
    <row r="92" spans="1:15" ht="35.25" customHeight="1" x14ac:dyDescent="0.3">
      <c r="A92" s="401"/>
      <c r="B92" s="402"/>
      <c r="C92" s="405"/>
      <c r="D92" s="388"/>
      <c r="E92" s="20" t="s">
        <v>10</v>
      </c>
      <c r="F92" s="21">
        <f>G92+H92</f>
        <v>0</v>
      </c>
      <c r="G92" s="19"/>
      <c r="H92" s="19"/>
      <c r="I92" s="28">
        <f>J92+K92</f>
        <v>0</v>
      </c>
      <c r="J92" s="31"/>
      <c r="K92" s="31"/>
      <c r="L92" s="28">
        <f>M92+N92</f>
        <v>0</v>
      </c>
      <c r="M92" s="31"/>
      <c r="N92" s="31"/>
      <c r="O92" s="6"/>
    </row>
    <row r="93" spans="1:15" ht="35.25" customHeight="1" x14ac:dyDescent="0.3">
      <c r="A93" s="341" t="s">
        <v>473</v>
      </c>
      <c r="B93" s="341"/>
      <c r="C93" s="352"/>
      <c r="D93" s="340" t="s">
        <v>611</v>
      </c>
      <c r="E93" s="20"/>
      <c r="F93" s="21">
        <f t="shared" ref="F93:N93" si="32">F94+F95+F96</f>
        <v>200</v>
      </c>
      <c r="G93" s="21">
        <f t="shared" si="32"/>
        <v>200</v>
      </c>
      <c r="H93" s="21">
        <f t="shared" si="32"/>
        <v>0</v>
      </c>
      <c r="I93" s="28">
        <f t="shared" si="32"/>
        <v>200</v>
      </c>
      <c r="J93" s="28">
        <f t="shared" si="32"/>
        <v>200</v>
      </c>
      <c r="K93" s="28">
        <f t="shared" si="32"/>
        <v>0</v>
      </c>
      <c r="L93" s="28">
        <f t="shared" si="32"/>
        <v>157.59</v>
      </c>
      <c r="M93" s="28">
        <f t="shared" si="32"/>
        <v>157.59</v>
      </c>
      <c r="N93" s="28">
        <f t="shared" si="32"/>
        <v>0</v>
      </c>
      <c r="O93" s="6"/>
    </row>
    <row r="94" spans="1:15" ht="35.25" customHeight="1" x14ac:dyDescent="0.3">
      <c r="A94" s="341"/>
      <c r="B94" s="341"/>
      <c r="C94" s="352"/>
      <c r="D94" s="340"/>
      <c r="E94" s="20" t="s">
        <v>8</v>
      </c>
      <c r="F94" s="21">
        <f>G94+H94</f>
        <v>200</v>
      </c>
      <c r="G94" s="21">
        <f>1200-1000</f>
        <v>200</v>
      </c>
      <c r="H94" s="21">
        <v>0</v>
      </c>
      <c r="I94" s="28">
        <f>J94+K94</f>
        <v>200</v>
      </c>
      <c r="J94" s="28">
        <f>0+200</f>
        <v>200</v>
      </c>
      <c r="K94" s="28">
        <v>0</v>
      </c>
      <c r="L94" s="28">
        <f>M94+N94</f>
        <v>157.59</v>
      </c>
      <c r="M94" s="28">
        <v>157.59</v>
      </c>
      <c r="N94" s="28">
        <v>0</v>
      </c>
      <c r="O94" s="6"/>
    </row>
    <row r="95" spans="1:15" ht="35.25" customHeight="1" x14ac:dyDescent="0.3">
      <c r="A95" s="341"/>
      <c r="B95" s="341"/>
      <c r="C95" s="352"/>
      <c r="D95" s="340"/>
      <c r="E95" s="22" t="s">
        <v>9</v>
      </c>
      <c r="F95" s="21">
        <f>G95+H95</f>
        <v>0</v>
      </c>
      <c r="G95" s="21"/>
      <c r="H95" s="21"/>
      <c r="I95" s="28">
        <f>J95+K95</f>
        <v>0</v>
      </c>
      <c r="J95" s="28"/>
      <c r="K95" s="28"/>
      <c r="L95" s="28">
        <f>M95+N95</f>
        <v>0</v>
      </c>
      <c r="M95" s="28"/>
      <c r="N95" s="28"/>
      <c r="O95" s="6"/>
    </row>
    <row r="96" spans="1:15" ht="35.25" customHeight="1" x14ac:dyDescent="0.3">
      <c r="A96" s="341"/>
      <c r="B96" s="341"/>
      <c r="C96" s="352"/>
      <c r="D96" s="340"/>
      <c r="E96" s="20" t="s">
        <v>10</v>
      </c>
      <c r="F96" s="21">
        <f>G96+H96</f>
        <v>0</v>
      </c>
      <c r="G96" s="21"/>
      <c r="H96" s="21"/>
      <c r="I96" s="28">
        <f>J96+K96</f>
        <v>0</v>
      </c>
      <c r="J96" s="28"/>
      <c r="K96" s="28"/>
      <c r="L96" s="28">
        <f>M96+N96</f>
        <v>0</v>
      </c>
      <c r="M96" s="28"/>
      <c r="N96" s="28"/>
      <c r="O96" s="6"/>
    </row>
    <row r="97" spans="1:15" ht="35.25" customHeight="1" x14ac:dyDescent="0.3">
      <c r="A97" s="397" t="s">
        <v>474</v>
      </c>
      <c r="B97" s="398"/>
      <c r="C97" s="403"/>
      <c r="D97" s="386" t="s">
        <v>610</v>
      </c>
      <c r="E97" s="18"/>
      <c r="F97" s="19">
        <f t="shared" ref="F97:N97" si="33">F98+F99+F100</f>
        <v>4030.96</v>
      </c>
      <c r="G97" s="19">
        <f t="shared" si="33"/>
        <v>4030.96</v>
      </c>
      <c r="H97" s="19">
        <f t="shared" si="33"/>
        <v>0</v>
      </c>
      <c r="I97" s="31">
        <f t="shared" si="33"/>
        <v>4030.96</v>
      </c>
      <c r="J97" s="31">
        <f t="shared" si="33"/>
        <v>4030.96</v>
      </c>
      <c r="K97" s="31">
        <f t="shared" si="33"/>
        <v>0</v>
      </c>
      <c r="L97" s="31">
        <f t="shared" si="33"/>
        <v>3967.21</v>
      </c>
      <c r="M97" s="31">
        <f t="shared" si="33"/>
        <v>3967.21</v>
      </c>
      <c r="N97" s="31">
        <f t="shared" si="33"/>
        <v>0</v>
      </c>
      <c r="O97" s="6"/>
    </row>
    <row r="98" spans="1:15" ht="35.25" customHeight="1" x14ac:dyDescent="0.3">
      <c r="A98" s="399"/>
      <c r="B98" s="400"/>
      <c r="C98" s="404"/>
      <c r="D98" s="387"/>
      <c r="E98" s="20" t="s">
        <v>8</v>
      </c>
      <c r="F98" s="21">
        <f>G98+H98</f>
        <v>4030.96</v>
      </c>
      <c r="G98" s="19">
        <f>5400-1369.04</f>
        <v>4030.96</v>
      </c>
      <c r="H98" s="19">
        <v>0</v>
      </c>
      <c r="I98" s="28">
        <f>J98+K98</f>
        <v>4030.96</v>
      </c>
      <c r="J98" s="31">
        <v>4030.96</v>
      </c>
      <c r="K98" s="31">
        <v>0</v>
      </c>
      <c r="L98" s="28">
        <f t="shared" ref="L98:L104" si="34">M98+N98</f>
        <v>3967.21</v>
      </c>
      <c r="M98" s="31">
        <v>3967.21</v>
      </c>
      <c r="N98" s="31">
        <v>0</v>
      </c>
      <c r="O98" s="6"/>
    </row>
    <row r="99" spans="1:15" ht="35.25" customHeight="1" x14ac:dyDescent="0.3">
      <c r="A99" s="399"/>
      <c r="B99" s="400"/>
      <c r="C99" s="404"/>
      <c r="D99" s="387"/>
      <c r="E99" s="22" t="s">
        <v>9</v>
      </c>
      <c r="F99" s="21">
        <f>G99+H99</f>
        <v>0</v>
      </c>
      <c r="G99" s="19"/>
      <c r="H99" s="19"/>
      <c r="I99" s="28">
        <f>J99+K99</f>
        <v>0</v>
      </c>
      <c r="J99" s="31"/>
      <c r="K99" s="31"/>
      <c r="L99" s="28">
        <f t="shared" si="34"/>
        <v>0</v>
      </c>
      <c r="M99" s="31"/>
      <c r="N99" s="31"/>
      <c r="O99" s="6"/>
    </row>
    <row r="100" spans="1:15" ht="35.25" customHeight="1" x14ac:dyDescent="0.3">
      <c r="A100" s="401"/>
      <c r="B100" s="402"/>
      <c r="C100" s="405"/>
      <c r="D100" s="388"/>
      <c r="E100" s="20" t="s">
        <v>10</v>
      </c>
      <c r="F100" s="21">
        <f>G100+H100</f>
        <v>0</v>
      </c>
      <c r="G100" s="19"/>
      <c r="H100" s="19"/>
      <c r="I100" s="28">
        <f>J100+K100</f>
        <v>0</v>
      </c>
      <c r="J100" s="31"/>
      <c r="K100" s="31"/>
      <c r="L100" s="28">
        <f t="shared" si="34"/>
        <v>0</v>
      </c>
      <c r="M100" s="31"/>
      <c r="N100" s="31"/>
      <c r="O100" s="6"/>
    </row>
    <row r="101" spans="1:15" ht="35.25" customHeight="1" x14ac:dyDescent="0.3">
      <c r="A101" s="341" t="s">
        <v>475</v>
      </c>
      <c r="B101" s="341"/>
      <c r="C101" s="342">
        <v>3210</v>
      </c>
      <c r="D101" s="340"/>
      <c r="E101" s="20"/>
      <c r="F101" s="21">
        <f t="shared" ref="F101:K101" si="35">F102+F103+F104</f>
        <v>100</v>
      </c>
      <c r="G101" s="21">
        <f t="shared" si="35"/>
        <v>0</v>
      </c>
      <c r="H101" s="21">
        <f t="shared" si="35"/>
        <v>100</v>
      </c>
      <c r="I101" s="28">
        <f t="shared" si="35"/>
        <v>0</v>
      </c>
      <c r="J101" s="28">
        <f t="shared" si="35"/>
        <v>0</v>
      </c>
      <c r="K101" s="28">
        <f t="shared" si="35"/>
        <v>0</v>
      </c>
      <c r="L101" s="28">
        <f t="shared" si="34"/>
        <v>50</v>
      </c>
      <c r="M101" s="28">
        <v>0</v>
      </c>
      <c r="N101" s="28">
        <v>50</v>
      </c>
      <c r="O101" s="6"/>
    </row>
    <row r="102" spans="1:15" ht="35.25" customHeight="1" x14ac:dyDescent="0.3">
      <c r="A102" s="341"/>
      <c r="B102" s="341"/>
      <c r="C102" s="342"/>
      <c r="D102" s="340"/>
      <c r="E102" s="20" t="s">
        <v>8</v>
      </c>
      <c r="F102" s="21">
        <f>G102+H102</f>
        <v>0</v>
      </c>
      <c r="G102" s="21">
        <f>120-120</f>
        <v>0</v>
      </c>
      <c r="H102" s="21">
        <v>0</v>
      </c>
      <c r="I102" s="28">
        <f>J102+K102</f>
        <v>0</v>
      </c>
      <c r="J102" s="28">
        <v>0</v>
      </c>
      <c r="K102" s="28">
        <v>0</v>
      </c>
      <c r="L102" s="28">
        <f t="shared" si="34"/>
        <v>0</v>
      </c>
      <c r="M102" s="28">
        <v>0</v>
      </c>
      <c r="N102" s="28">
        <v>0</v>
      </c>
      <c r="O102" s="6"/>
    </row>
    <row r="103" spans="1:15" ht="35.25" customHeight="1" x14ac:dyDescent="0.3">
      <c r="A103" s="341"/>
      <c r="B103" s="341"/>
      <c r="C103" s="342"/>
      <c r="D103" s="340"/>
      <c r="E103" s="22" t="s">
        <v>9</v>
      </c>
      <c r="F103" s="21">
        <f>G103+H103</f>
        <v>0</v>
      </c>
      <c r="G103" s="21"/>
      <c r="H103" s="21"/>
      <c r="I103" s="28">
        <f>J103+K103</f>
        <v>0</v>
      </c>
      <c r="J103" s="28"/>
      <c r="K103" s="28"/>
      <c r="L103" s="28">
        <f t="shared" si="34"/>
        <v>0</v>
      </c>
      <c r="M103" s="28"/>
      <c r="N103" s="28"/>
      <c r="O103" s="6"/>
    </row>
    <row r="104" spans="1:15" ht="35.25" customHeight="1" x14ac:dyDescent="0.3">
      <c r="A104" s="341"/>
      <c r="B104" s="341"/>
      <c r="C104" s="342"/>
      <c r="D104" s="340"/>
      <c r="E104" s="20" t="s">
        <v>10</v>
      </c>
      <c r="F104" s="21">
        <f>G104+H104</f>
        <v>100</v>
      </c>
      <c r="G104" s="21">
        <f>120-120</f>
        <v>0</v>
      </c>
      <c r="H104" s="21">
        <v>100</v>
      </c>
      <c r="I104" s="28">
        <f>J104+K104</f>
        <v>0</v>
      </c>
      <c r="J104" s="28">
        <v>0</v>
      </c>
      <c r="K104" s="28"/>
      <c r="L104" s="28">
        <f t="shared" si="34"/>
        <v>50</v>
      </c>
      <c r="M104" s="28">
        <v>0</v>
      </c>
      <c r="N104" s="28">
        <v>50</v>
      </c>
      <c r="O104" s="6"/>
    </row>
    <row r="105" spans="1:15" ht="35.25" customHeight="1" x14ac:dyDescent="0.3">
      <c r="A105" s="341" t="s">
        <v>476</v>
      </c>
      <c r="B105" s="341"/>
      <c r="C105" s="352"/>
      <c r="D105" s="340" t="s">
        <v>609</v>
      </c>
      <c r="E105" s="20"/>
      <c r="F105" s="21">
        <f t="shared" ref="F105:N105" si="36">F106+F107+F108</f>
        <v>769.57</v>
      </c>
      <c r="G105" s="21">
        <f t="shared" si="36"/>
        <v>769.57</v>
      </c>
      <c r="H105" s="21">
        <f t="shared" si="36"/>
        <v>0</v>
      </c>
      <c r="I105" s="28">
        <f t="shared" si="36"/>
        <v>769.57</v>
      </c>
      <c r="J105" s="28">
        <f t="shared" si="36"/>
        <v>769.57</v>
      </c>
      <c r="K105" s="28">
        <f t="shared" si="36"/>
        <v>0</v>
      </c>
      <c r="L105" s="28">
        <f t="shared" si="36"/>
        <v>706.63</v>
      </c>
      <c r="M105" s="28">
        <f t="shared" si="36"/>
        <v>706.63</v>
      </c>
      <c r="N105" s="28">
        <f t="shared" si="36"/>
        <v>0</v>
      </c>
      <c r="O105" s="6"/>
    </row>
    <row r="106" spans="1:15" ht="35.25" customHeight="1" x14ac:dyDescent="0.3">
      <c r="A106" s="341"/>
      <c r="B106" s="341"/>
      <c r="C106" s="352"/>
      <c r="D106" s="340"/>
      <c r="E106" s="20" t="s">
        <v>8</v>
      </c>
      <c r="F106" s="21">
        <f>G106+H106</f>
        <v>769.57</v>
      </c>
      <c r="G106" s="21">
        <f>780-10.43</f>
        <v>769.57</v>
      </c>
      <c r="H106" s="21">
        <v>0</v>
      </c>
      <c r="I106" s="28">
        <f>J106+K106</f>
        <v>769.57</v>
      </c>
      <c r="J106" s="28">
        <v>769.57</v>
      </c>
      <c r="K106" s="28">
        <v>0</v>
      </c>
      <c r="L106" s="28">
        <f>M106+N106</f>
        <v>706.63</v>
      </c>
      <c r="M106" s="28">
        <f>706.63-0.01+0.01</f>
        <v>706.63</v>
      </c>
      <c r="N106" s="28">
        <v>0</v>
      </c>
      <c r="O106" s="6"/>
    </row>
    <row r="107" spans="1:15" ht="58.5" customHeight="1" x14ac:dyDescent="0.3">
      <c r="A107" s="341"/>
      <c r="B107" s="341"/>
      <c r="C107" s="352"/>
      <c r="D107" s="340"/>
      <c r="E107" s="22" t="s">
        <v>9</v>
      </c>
      <c r="F107" s="21">
        <f>G107+H107</f>
        <v>0</v>
      </c>
      <c r="G107" s="21"/>
      <c r="H107" s="21"/>
      <c r="I107" s="28">
        <f>J107+K107</f>
        <v>0</v>
      </c>
      <c r="J107" s="28"/>
      <c r="K107" s="28"/>
      <c r="L107" s="28">
        <f>M107+N107</f>
        <v>0</v>
      </c>
      <c r="M107" s="28"/>
      <c r="N107" s="28"/>
      <c r="O107" s="6"/>
    </row>
    <row r="108" spans="1:15" ht="49.5" customHeight="1" x14ac:dyDescent="0.3">
      <c r="A108" s="341"/>
      <c r="B108" s="341"/>
      <c r="C108" s="352"/>
      <c r="D108" s="340"/>
      <c r="E108" s="20" t="s">
        <v>10</v>
      </c>
      <c r="F108" s="21">
        <f>G108+H108</f>
        <v>0</v>
      </c>
      <c r="G108" s="21"/>
      <c r="H108" s="21"/>
      <c r="I108" s="28">
        <f>J108+K108</f>
        <v>0</v>
      </c>
      <c r="J108" s="28"/>
      <c r="K108" s="28"/>
      <c r="L108" s="28">
        <f>M108+N108</f>
        <v>0</v>
      </c>
      <c r="M108" s="28"/>
      <c r="N108" s="28"/>
      <c r="O108" s="6"/>
    </row>
    <row r="109" spans="1:15" ht="35.25" customHeight="1" x14ac:dyDescent="0.3">
      <c r="A109" s="397" t="s">
        <v>477</v>
      </c>
      <c r="B109" s="398"/>
      <c r="C109" s="403"/>
      <c r="D109" s="386" t="s">
        <v>608</v>
      </c>
      <c r="E109" s="20"/>
      <c r="F109" s="21">
        <f t="shared" ref="F109:N109" si="37">F110+F111+F112</f>
        <v>578</v>
      </c>
      <c r="G109" s="21">
        <f t="shared" si="37"/>
        <v>578</v>
      </c>
      <c r="H109" s="21">
        <f t="shared" si="37"/>
        <v>0</v>
      </c>
      <c r="I109" s="28">
        <f t="shared" si="37"/>
        <v>578</v>
      </c>
      <c r="J109" s="28">
        <f t="shared" si="37"/>
        <v>578</v>
      </c>
      <c r="K109" s="28">
        <f t="shared" si="37"/>
        <v>0</v>
      </c>
      <c r="L109" s="28">
        <f t="shared" si="37"/>
        <v>540.47</v>
      </c>
      <c r="M109" s="28">
        <f t="shared" si="37"/>
        <v>540.47</v>
      </c>
      <c r="N109" s="28">
        <f t="shared" si="37"/>
        <v>0</v>
      </c>
      <c r="O109" s="6"/>
    </row>
    <row r="110" spans="1:15" ht="35.25" customHeight="1" x14ac:dyDescent="0.3">
      <c r="A110" s="399"/>
      <c r="B110" s="400"/>
      <c r="C110" s="404"/>
      <c r="D110" s="387"/>
      <c r="E110" s="20" t="s">
        <v>8</v>
      </c>
      <c r="F110" s="21">
        <f>G110+H110</f>
        <v>578</v>
      </c>
      <c r="G110" s="21">
        <f>2585-1885-122</f>
        <v>578</v>
      </c>
      <c r="H110" s="21">
        <v>0</v>
      </c>
      <c r="I110" s="28">
        <f>J110+K110</f>
        <v>578</v>
      </c>
      <c r="J110" s="28">
        <v>578</v>
      </c>
      <c r="K110" s="28">
        <v>0</v>
      </c>
      <c r="L110" s="28">
        <f>M110+N110</f>
        <v>540.47</v>
      </c>
      <c r="M110" s="28">
        <v>540.47</v>
      </c>
      <c r="N110" s="28">
        <v>0</v>
      </c>
      <c r="O110" s="6"/>
    </row>
    <row r="111" spans="1:15" ht="35.25" customHeight="1" x14ac:dyDescent="0.3">
      <c r="A111" s="399"/>
      <c r="B111" s="400"/>
      <c r="C111" s="404"/>
      <c r="D111" s="387"/>
      <c r="E111" s="22" t="s">
        <v>9</v>
      </c>
      <c r="F111" s="21">
        <f>G111+H111</f>
        <v>0</v>
      </c>
      <c r="G111" s="21"/>
      <c r="H111" s="21"/>
      <c r="I111" s="28">
        <f>J111+K111</f>
        <v>0</v>
      </c>
      <c r="J111" s="28"/>
      <c r="K111" s="28"/>
      <c r="L111" s="28">
        <f>M111+N111</f>
        <v>0</v>
      </c>
      <c r="M111" s="28"/>
      <c r="N111" s="28"/>
      <c r="O111" s="6"/>
    </row>
    <row r="112" spans="1:15" ht="35.25" customHeight="1" x14ac:dyDescent="0.3">
      <c r="A112" s="401"/>
      <c r="B112" s="402"/>
      <c r="C112" s="405"/>
      <c r="D112" s="388"/>
      <c r="E112" s="20" t="s">
        <v>10</v>
      </c>
      <c r="F112" s="21">
        <f>G112+H112</f>
        <v>0</v>
      </c>
      <c r="G112" s="21"/>
      <c r="H112" s="21"/>
      <c r="I112" s="28">
        <f>J112+K112</f>
        <v>0</v>
      </c>
      <c r="J112" s="28"/>
      <c r="K112" s="28"/>
      <c r="L112" s="28">
        <f>M112+N112</f>
        <v>0</v>
      </c>
      <c r="M112" s="28"/>
      <c r="N112" s="28"/>
      <c r="O112" s="6"/>
    </row>
    <row r="113" spans="1:15" ht="35.25" customHeight="1" x14ac:dyDescent="0.3">
      <c r="A113" s="341" t="s">
        <v>478</v>
      </c>
      <c r="B113" s="341"/>
      <c r="C113" s="352"/>
      <c r="D113" s="340" t="s">
        <v>607</v>
      </c>
      <c r="E113" s="20"/>
      <c r="F113" s="21">
        <f t="shared" ref="F113:N113" si="38">F114+F115+F116</f>
        <v>946.86</v>
      </c>
      <c r="G113" s="21">
        <f t="shared" si="38"/>
        <v>946.86</v>
      </c>
      <c r="H113" s="21">
        <f t="shared" si="38"/>
        <v>0</v>
      </c>
      <c r="I113" s="28">
        <f t="shared" si="38"/>
        <v>946.85</v>
      </c>
      <c r="J113" s="28">
        <f t="shared" si="38"/>
        <v>946.85</v>
      </c>
      <c r="K113" s="28">
        <f t="shared" si="38"/>
        <v>0</v>
      </c>
      <c r="L113" s="28">
        <f t="shared" si="38"/>
        <v>593.79</v>
      </c>
      <c r="M113" s="28">
        <f t="shared" si="38"/>
        <v>593.79</v>
      </c>
      <c r="N113" s="28">
        <f t="shared" si="38"/>
        <v>0</v>
      </c>
      <c r="O113" s="6"/>
    </row>
    <row r="114" spans="1:15" ht="35.25" customHeight="1" x14ac:dyDescent="0.3">
      <c r="A114" s="341"/>
      <c r="B114" s="341"/>
      <c r="C114" s="352"/>
      <c r="D114" s="340"/>
      <c r="E114" s="20" t="s">
        <v>8</v>
      </c>
      <c r="F114" s="21">
        <f>G114+H114</f>
        <v>946.86</v>
      </c>
      <c r="G114" s="21">
        <f>1370-423.14</f>
        <v>946.86</v>
      </c>
      <c r="H114" s="21">
        <v>0</v>
      </c>
      <c r="I114" s="28">
        <f>J114+K114</f>
        <v>946.85</v>
      </c>
      <c r="J114" s="28">
        <v>946.85</v>
      </c>
      <c r="K114" s="28">
        <v>0</v>
      </c>
      <c r="L114" s="28">
        <f>M114+N114</f>
        <v>593.79</v>
      </c>
      <c r="M114" s="28">
        <f>593.78+0.01</f>
        <v>593.79</v>
      </c>
      <c r="N114" s="28">
        <v>0</v>
      </c>
      <c r="O114" s="6"/>
    </row>
    <row r="115" spans="1:15" ht="47.25" customHeight="1" x14ac:dyDescent="0.3">
      <c r="A115" s="341"/>
      <c r="B115" s="341"/>
      <c r="C115" s="352"/>
      <c r="D115" s="340"/>
      <c r="E115" s="22" t="s">
        <v>9</v>
      </c>
      <c r="F115" s="21">
        <f>G115+H115</f>
        <v>0</v>
      </c>
      <c r="G115" s="21"/>
      <c r="H115" s="21"/>
      <c r="I115" s="28">
        <f>J115+K115</f>
        <v>0</v>
      </c>
      <c r="J115" s="28"/>
      <c r="K115" s="28"/>
      <c r="L115" s="28">
        <f>M115+N115</f>
        <v>0</v>
      </c>
      <c r="M115" s="28"/>
      <c r="N115" s="28"/>
      <c r="O115" s="6"/>
    </row>
    <row r="116" spans="1:15" ht="50.25" customHeight="1" x14ac:dyDescent="0.3">
      <c r="A116" s="341"/>
      <c r="B116" s="341"/>
      <c r="C116" s="352"/>
      <c r="D116" s="340"/>
      <c r="E116" s="20" t="s">
        <v>10</v>
      </c>
      <c r="F116" s="21">
        <f>G116+H116</f>
        <v>0</v>
      </c>
      <c r="G116" s="21"/>
      <c r="H116" s="21"/>
      <c r="I116" s="28">
        <f>J116+K116</f>
        <v>0</v>
      </c>
      <c r="J116" s="28"/>
      <c r="K116" s="28"/>
      <c r="L116" s="28">
        <f>M116+N116</f>
        <v>0</v>
      </c>
      <c r="M116" s="28"/>
      <c r="N116" s="28"/>
      <c r="O116" s="6"/>
    </row>
    <row r="117" spans="1:15" ht="35.25" customHeight="1" x14ac:dyDescent="0.3">
      <c r="A117" s="341" t="s">
        <v>479</v>
      </c>
      <c r="B117" s="341"/>
      <c r="C117" s="352"/>
      <c r="D117" s="340"/>
      <c r="E117" s="20"/>
      <c r="F117" s="21">
        <f t="shared" ref="F117:N117" si="39">F118+F119+F120</f>
        <v>0</v>
      </c>
      <c r="G117" s="21">
        <f t="shared" si="39"/>
        <v>0</v>
      </c>
      <c r="H117" s="21">
        <f t="shared" si="39"/>
        <v>0</v>
      </c>
      <c r="I117" s="28">
        <f t="shared" si="39"/>
        <v>0</v>
      </c>
      <c r="J117" s="28">
        <f t="shared" si="39"/>
        <v>0</v>
      </c>
      <c r="K117" s="28">
        <f t="shared" si="39"/>
        <v>0</v>
      </c>
      <c r="L117" s="28">
        <f t="shared" si="39"/>
        <v>0</v>
      </c>
      <c r="M117" s="28">
        <f t="shared" si="39"/>
        <v>0</v>
      </c>
      <c r="N117" s="28">
        <f t="shared" si="39"/>
        <v>0</v>
      </c>
      <c r="O117" s="6"/>
    </row>
    <row r="118" spans="1:15" ht="35.25" customHeight="1" x14ac:dyDescent="0.3">
      <c r="A118" s="341"/>
      <c r="B118" s="341"/>
      <c r="C118" s="352"/>
      <c r="D118" s="340"/>
      <c r="E118" s="20" t="s">
        <v>8</v>
      </c>
      <c r="F118" s="21">
        <f>G118+H118</f>
        <v>0</v>
      </c>
      <c r="G118" s="21">
        <v>0</v>
      </c>
      <c r="H118" s="21">
        <f>21350.5-21350.5</f>
        <v>0</v>
      </c>
      <c r="I118" s="28">
        <f>J118+K118</f>
        <v>0</v>
      </c>
      <c r="J118" s="28">
        <v>0</v>
      </c>
      <c r="K118" s="28">
        <v>0</v>
      </c>
      <c r="L118" s="28">
        <f>M118+N118</f>
        <v>0</v>
      </c>
      <c r="M118" s="28">
        <v>0</v>
      </c>
      <c r="N118" s="28">
        <v>0</v>
      </c>
      <c r="O118" s="6"/>
    </row>
    <row r="119" spans="1:15" ht="35.25" customHeight="1" x14ac:dyDescent="0.3">
      <c r="A119" s="341"/>
      <c r="B119" s="341"/>
      <c r="C119" s="352"/>
      <c r="D119" s="340"/>
      <c r="E119" s="22" t="s">
        <v>9</v>
      </c>
      <c r="F119" s="21">
        <f>G119+H119</f>
        <v>0</v>
      </c>
      <c r="G119" s="21"/>
      <c r="H119" s="21"/>
      <c r="I119" s="28">
        <f>J119+K119</f>
        <v>0</v>
      </c>
      <c r="J119" s="28"/>
      <c r="K119" s="28"/>
      <c r="L119" s="28">
        <f>M119+N119</f>
        <v>0</v>
      </c>
      <c r="M119" s="28"/>
      <c r="N119" s="28"/>
      <c r="O119" s="6"/>
    </row>
    <row r="120" spans="1:15" ht="35.25" customHeight="1" x14ac:dyDescent="0.3">
      <c r="A120" s="341"/>
      <c r="B120" s="341"/>
      <c r="C120" s="352"/>
      <c r="D120" s="340"/>
      <c r="E120" s="20" t="s">
        <v>10</v>
      </c>
      <c r="F120" s="21">
        <f>G120+H120</f>
        <v>0</v>
      </c>
      <c r="G120" s="21"/>
      <c r="H120" s="21"/>
      <c r="I120" s="28">
        <f>J120+K120</f>
        <v>0</v>
      </c>
      <c r="J120" s="28"/>
      <c r="K120" s="28"/>
      <c r="L120" s="28">
        <f>M120+N120</f>
        <v>0</v>
      </c>
      <c r="M120" s="28"/>
      <c r="N120" s="28"/>
      <c r="O120" s="6"/>
    </row>
    <row r="121" spans="1:15" ht="35.25" customHeight="1" x14ac:dyDescent="0.3">
      <c r="A121" s="343" t="s">
        <v>15</v>
      </c>
      <c r="B121" s="344"/>
      <c r="C121" s="362" t="s">
        <v>18</v>
      </c>
      <c r="D121" s="349"/>
      <c r="E121" s="14"/>
      <c r="F121" s="15">
        <f t="shared" ref="F121:N121" si="40">F122+F123+F124</f>
        <v>23900</v>
      </c>
      <c r="G121" s="15">
        <f t="shared" si="40"/>
        <v>23900</v>
      </c>
      <c r="H121" s="15">
        <f t="shared" si="40"/>
        <v>0</v>
      </c>
      <c r="I121" s="24">
        <f t="shared" si="40"/>
        <v>23900</v>
      </c>
      <c r="J121" s="24">
        <f t="shared" si="40"/>
        <v>23900</v>
      </c>
      <c r="K121" s="24">
        <f t="shared" si="40"/>
        <v>0</v>
      </c>
      <c r="L121" s="24">
        <f t="shared" si="40"/>
        <v>19492.27</v>
      </c>
      <c r="M121" s="24">
        <f t="shared" si="40"/>
        <v>19492.27</v>
      </c>
      <c r="N121" s="24">
        <f t="shared" si="40"/>
        <v>0</v>
      </c>
      <c r="O121" s="6"/>
    </row>
    <row r="122" spans="1:15" ht="35.25" customHeight="1" x14ac:dyDescent="0.3">
      <c r="A122" s="345"/>
      <c r="B122" s="346"/>
      <c r="C122" s="363"/>
      <c r="D122" s="350"/>
      <c r="E122" s="16" t="s">
        <v>8</v>
      </c>
      <c r="F122" s="11">
        <f>G122+H122</f>
        <v>23900</v>
      </c>
      <c r="G122" s="11">
        <f t="shared" ref="G122:H124" si="41">G126+G130+G134+G138</f>
        <v>23900</v>
      </c>
      <c r="H122" s="11">
        <f t="shared" si="41"/>
        <v>0</v>
      </c>
      <c r="I122" s="13">
        <f>J122+K122</f>
        <v>23900</v>
      </c>
      <c r="J122" s="13">
        <f>J126+J130+J134+J138</f>
        <v>23900</v>
      </c>
      <c r="K122" s="13">
        <f t="shared" ref="J122:K124" si="42">K126+K130+K134+K138</f>
        <v>0</v>
      </c>
      <c r="L122" s="13">
        <f>M122+N122</f>
        <v>19492.27</v>
      </c>
      <c r="M122" s="13">
        <f>M126+M130+M134+M138</f>
        <v>19492.27</v>
      </c>
      <c r="N122" s="13">
        <f t="shared" ref="M122:N124" si="43">N126+N130+N134+N138</f>
        <v>0</v>
      </c>
      <c r="O122" s="6"/>
    </row>
    <row r="123" spans="1:15" ht="35.25" customHeight="1" x14ac:dyDescent="0.3">
      <c r="A123" s="345"/>
      <c r="B123" s="346"/>
      <c r="C123" s="363"/>
      <c r="D123" s="350"/>
      <c r="E123" s="17" t="s">
        <v>9</v>
      </c>
      <c r="F123" s="11">
        <f>G123+H123</f>
        <v>0</v>
      </c>
      <c r="G123" s="11">
        <f t="shared" si="41"/>
        <v>0</v>
      </c>
      <c r="H123" s="11">
        <f t="shared" si="41"/>
        <v>0</v>
      </c>
      <c r="I123" s="13">
        <f>J123+K123</f>
        <v>0</v>
      </c>
      <c r="J123" s="13">
        <f t="shared" si="42"/>
        <v>0</v>
      </c>
      <c r="K123" s="13">
        <f t="shared" si="42"/>
        <v>0</v>
      </c>
      <c r="L123" s="13">
        <f>M123+N123</f>
        <v>0</v>
      </c>
      <c r="M123" s="13">
        <f t="shared" si="43"/>
        <v>0</v>
      </c>
      <c r="N123" s="13">
        <f t="shared" si="43"/>
        <v>0</v>
      </c>
      <c r="O123" s="6"/>
    </row>
    <row r="124" spans="1:15" ht="35.25" customHeight="1" x14ac:dyDescent="0.3">
      <c r="A124" s="347"/>
      <c r="B124" s="348"/>
      <c r="C124" s="364"/>
      <c r="D124" s="351"/>
      <c r="E124" s="16" t="s">
        <v>10</v>
      </c>
      <c r="F124" s="11">
        <f>G124+H124</f>
        <v>0</v>
      </c>
      <c r="G124" s="11">
        <f t="shared" si="41"/>
        <v>0</v>
      </c>
      <c r="H124" s="11">
        <f t="shared" si="41"/>
        <v>0</v>
      </c>
      <c r="I124" s="13">
        <f>J124+K124</f>
        <v>0</v>
      </c>
      <c r="J124" s="13">
        <f t="shared" si="42"/>
        <v>0</v>
      </c>
      <c r="K124" s="13">
        <f t="shared" si="42"/>
        <v>0</v>
      </c>
      <c r="L124" s="13">
        <f>M124+N124</f>
        <v>0</v>
      </c>
      <c r="M124" s="13">
        <f t="shared" si="43"/>
        <v>0</v>
      </c>
      <c r="N124" s="13">
        <f t="shared" si="43"/>
        <v>0</v>
      </c>
      <c r="O124" s="6"/>
    </row>
    <row r="125" spans="1:15" ht="35.25" customHeight="1" x14ac:dyDescent="0.3">
      <c r="A125" s="397" t="s">
        <v>480</v>
      </c>
      <c r="B125" s="398"/>
      <c r="C125" s="403"/>
      <c r="D125" s="386" t="s">
        <v>606</v>
      </c>
      <c r="E125" s="18"/>
      <c r="F125" s="19">
        <f t="shared" ref="F125:N125" si="44">F126+F127+F128</f>
        <v>15000.000000000002</v>
      </c>
      <c r="G125" s="19">
        <f t="shared" si="44"/>
        <v>15000.000000000002</v>
      </c>
      <c r="H125" s="19">
        <f t="shared" si="44"/>
        <v>0</v>
      </c>
      <c r="I125" s="31">
        <f t="shared" si="44"/>
        <v>15000</v>
      </c>
      <c r="J125" s="31">
        <f t="shared" si="44"/>
        <v>15000</v>
      </c>
      <c r="K125" s="31">
        <f t="shared" si="44"/>
        <v>0</v>
      </c>
      <c r="L125" s="31">
        <f t="shared" si="44"/>
        <v>11091.07</v>
      </c>
      <c r="M125" s="31">
        <f t="shared" si="44"/>
        <v>11091.07</v>
      </c>
      <c r="N125" s="31">
        <f t="shared" si="44"/>
        <v>0</v>
      </c>
      <c r="O125" s="6"/>
    </row>
    <row r="126" spans="1:15" ht="35.25" customHeight="1" x14ac:dyDescent="0.3">
      <c r="A126" s="399"/>
      <c r="B126" s="400"/>
      <c r="C126" s="404"/>
      <c r="D126" s="387"/>
      <c r="E126" s="20" t="s">
        <v>8</v>
      </c>
      <c r="F126" s="21">
        <f>G126+H126</f>
        <v>15000.000000000002</v>
      </c>
      <c r="G126" s="19">
        <f>22705.4-7705.4</f>
        <v>15000.000000000002</v>
      </c>
      <c r="H126" s="19">
        <v>0</v>
      </c>
      <c r="I126" s="28">
        <f>J126+K126</f>
        <v>15000</v>
      </c>
      <c r="J126" s="31">
        <v>15000</v>
      </c>
      <c r="K126" s="31">
        <v>0</v>
      </c>
      <c r="L126" s="28">
        <f>M126+N126</f>
        <v>11091.07</v>
      </c>
      <c r="M126" s="31">
        <v>11091.07</v>
      </c>
      <c r="N126" s="31">
        <v>0</v>
      </c>
      <c r="O126" s="6"/>
    </row>
    <row r="127" spans="1:15" ht="35.25" customHeight="1" x14ac:dyDescent="0.3">
      <c r="A127" s="399"/>
      <c r="B127" s="400"/>
      <c r="C127" s="404"/>
      <c r="D127" s="387"/>
      <c r="E127" s="22" t="s">
        <v>9</v>
      </c>
      <c r="F127" s="21">
        <f>G127+H127</f>
        <v>0</v>
      </c>
      <c r="G127" s="19"/>
      <c r="H127" s="19">
        <v>0</v>
      </c>
      <c r="I127" s="28">
        <f>J127+K127</f>
        <v>0</v>
      </c>
      <c r="J127" s="31"/>
      <c r="K127" s="31"/>
      <c r="L127" s="28">
        <f>M127+N127</f>
        <v>0</v>
      </c>
      <c r="M127" s="31"/>
      <c r="N127" s="31"/>
      <c r="O127" s="6"/>
    </row>
    <row r="128" spans="1:15" ht="35.25" customHeight="1" x14ac:dyDescent="0.3">
      <c r="A128" s="401"/>
      <c r="B128" s="402"/>
      <c r="C128" s="405"/>
      <c r="D128" s="388"/>
      <c r="E128" s="20" t="s">
        <v>10</v>
      </c>
      <c r="F128" s="21">
        <f>G128+H128</f>
        <v>0</v>
      </c>
      <c r="G128" s="19"/>
      <c r="H128" s="19"/>
      <c r="I128" s="28">
        <f>J128+K128</f>
        <v>0</v>
      </c>
      <c r="J128" s="31"/>
      <c r="K128" s="31"/>
      <c r="L128" s="28">
        <f>M128+N128</f>
        <v>0</v>
      </c>
      <c r="M128" s="31"/>
      <c r="N128" s="31"/>
      <c r="O128" s="6"/>
    </row>
    <row r="129" spans="1:15" ht="35.25" customHeight="1" x14ac:dyDescent="0.3">
      <c r="A129" s="341" t="s">
        <v>481</v>
      </c>
      <c r="B129" s="341"/>
      <c r="C129" s="352"/>
      <c r="D129" s="340" t="s">
        <v>605</v>
      </c>
      <c r="E129" s="20"/>
      <c r="F129" s="21">
        <f t="shared" ref="F129:N129" si="45">F130+F131+F132</f>
        <v>2199.9999999999995</v>
      </c>
      <c r="G129" s="21">
        <f t="shared" si="45"/>
        <v>2199.9999999999995</v>
      </c>
      <c r="H129" s="21">
        <f t="shared" si="45"/>
        <v>0</v>
      </c>
      <c r="I129" s="28">
        <f t="shared" si="45"/>
        <v>2200</v>
      </c>
      <c r="J129" s="28">
        <f t="shared" si="45"/>
        <v>2200</v>
      </c>
      <c r="K129" s="28">
        <f t="shared" si="45"/>
        <v>0</v>
      </c>
      <c r="L129" s="28">
        <f t="shared" si="45"/>
        <v>1960.61</v>
      </c>
      <c r="M129" s="28">
        <f t="shared" si="45"/>
        <v>1960.61</v>
      </c>
      <c r="N129" s="28">
        <f t="shared" si="45"/>
        <v>0</v>
      </c>
      <c r="O129" s="6"/>
    </row>
    <row r="130" spans="1:15" ht="35.25" customHeight="1" x14ac:dyDescent="0.3">
      <c r="A130" s="341"/>
      <c r="B130" s="341"/>
      <c r="C130" s="352"/>
      <c r="D130" s="340"/>
      <c r="E130" s="20" t="s">
        <v>8</v>
      </c>
      <c r="F130" s="21">
        <f>G130+H130</f>
        <v>2199.9999999999995</v>
      </c>
      <c r="G130" s="21">
        <f>4650.4-2450.4</f>
        <v>2199.9999999999995</v>
      </c>
      <c r="H130" s="21">
        <v>0</v>
      </c>
      <c r="I130" s="28">
        <f>J130+K130</f>
        <v>2200</v>
      </c>
      <c r="J130" s="28">
        <v>2200</v>
      </c>
      <c r="K130" s="28">
        <v>0</v>
      </c>
      <c r="L130" s="28">
        <f>M130+N130</f>
        <v>1960.61</v>
      </c>
      <c r="M130" s="28">
        <v>1960.61</v>
      </c>
      <c r="N130" s="28">
        <v>0</v>
      </c>
      <c r="O130" s="6"/>
    </row>
    <row r="131" spans="1:15" ht="35.25" customHeight="1" x14ac:dyDescent="0.3">
      <c r="A131" s="341"/>
      <c r="B131" s="341"/>
      <c r="C131" s="352"/>
      <c r="D131" s="340"/>
      <c r="E131" s="22" t="s">
        <v>9</v>
      </c>
      <c r="F131" s="21">
        <f>G131+H131</f>
        <v>0</v>
      </c>
      <c r="G131" s="21"/>
      <c r="H131" s="21"/>
      <c r="I131" s="28">
        <f>J131+K131</f>
        <v>0</v>
      </c>
      <c r="J131" s="28"/>
      <c r="K131" s="28"/>
      <c r="L131" s="28">
        <f>M131+N131</f>
        <v>0</v>
      </c>
      <c r="M131" s="28"/>
      <c r="N131" s="28"/>
      <c r="O131" s="6"/>
    </row>
    <row r="132" spans="1:15" ht="35.25" customHeight="1" x14ac:dyDescent="0.3">
      <c r="A132" s="341"/>
      <c r="B132" s="341"/>
      <c r="C132" s="352"/>
      <c r="D132" s="340"/>
      <c r="E132" s="20" t="s">
        <v>10</v>
      </c>
      <c r="F132" s="21">
        <f>G132+H132</f>
        <v>0</v>
      </c>
      <c r="G132" s="21"/>
      <c r="H132" s="21"/>
      <c r="I132" s="28">
        <f>J132+K132</f>
        <v>0</v>
      </c>
      <c r="J132" s="28"/>
      <c r="K132" s="28"/>
      <c r="L132" s="28">
        <f>M132+N132</f>
        <v>0</v>
      </c>
      <c r="M132" s="28"/>
      <c r="N132" s="28"/>
      <c r="O132" s="6"/>
    </row>
    <row r="133" spans="1:15" ht="35.25" customHeight="1" x14ac:dyDescent="0.3">
      <c r="A133" s="341" t="s">
        <v>482</v>
      </c>
      <c r="B133" s="341"/>
      <c r="C133" s="352"/>
      <c r="D133" s="340" t="s">
        <v>604</v>
      </c>
      <c r="E133" s="20"/>
      <c r="F133" s="21">
        <f t="shared" ref="F133:N133" si="46">F134+F135+F136</f>
        <v>6400</v>
      </c>
      <c r="G133" s="21">
        <f t="shared" si="46"/>
        <v>6400</v>
      </c>
      <c r="H133" s="21">
        <f t="shared" si="46"/>
        <v>0</v>
      </c>
      <c r="I133" s="28">
        <f t="shared" si="46"/>
        <v>6400</v>
      </c>
      <c r="J133" s="28">
        <f t="shared" si="46"/>
        <v>6400</v>
      </c>
      <c r="K133" s="28">
        <f t="shared" si="46"/>
        <v>0</v>
      </c>
      <c r="L133" s="28">
        <f t="shared" si="46"/>
        <v>6148.62</v>
      </c>
      <c r="M133" s="28">
        <f t="shared" si="46"/>
        <v>6148.62</v>
      </c>
      <c r="N133" s="28">
        <f t="shared" si="46"/>
        <v>0</v>
      </c>
      <c r="O133" s="6"/>
    </row>
    <row r="134" spans="1:15" ht="35.25" customHeight="1" x14ac:dyDescent="0.3">
      <c r="A134" s="341"/>
      <c r="B134" s="341"/>
      <c r="C134" s="352"/>
      <c r="D134" s="340"/>
      <c r="E134" s="20" t="s">
        <v>8</v>
      </c>
      <c r="F134" s="21">
        <f>G134+H134</f>
        <v>6400</v>
      </c>
      <c r="G134" s="21">
        <f>7411.9-1011.9</f>
        <v>6400</v>
      </c>
      <c r="H134" s="21">
        <v>0</v>
      </c>
      <c r="I134" s="28">
        <f>J134+K134</f>
        <v>6400</v>
      </c>
      <c r="J134" s="28">
        <v>6400</v>
      </c>
      <c r="K134" s="28">
        <v>0</v>
      </c>
      <c r="L134" s="28">
        <f>M134+N134</f>
        <v>6148.62</v>
      </c>
      <c r="M134" s="28">
        <v>6148.62</v>
      </c>
      <c r="N134" s="28">
        <v>0</v>
      </c>
      <c r="O134" s="6"/>
    </row>
    <row r="135" spans="1:15" ht="35.25" customHeight="1" x14ac:dyDescent="0.3">
      <c r="A135" s="341"/>
      <c r="B135" s="341"/>
      <c r="C135" s="352"/>
      <c r="D135" s="340"/>
      <c r="E135" s="22" t="s">
        <v>9</v>
      </c>
      <c r="F135" s="21">
        <f>G135+H135</f>
        <v>0</v>
      </c>
      <c r="G135" s="21"/>
      <c r="H135" s="21"/>
      <c r="I135" s="28">
        <f>J135+K135</f>
        <v>0</v>
      </c>
      <c r="J135" s="28"/>
      <c r="K135" s="28"/>
      <c r="L135" s="28">
        <f>M135+N135</f>
        <v>0</v>
      </c>
      <c r="M135" s="28"/>
      <c r="N135" s="28"/>
      <c r="O135" s="6"/>
    </row>
    <row r="136" spans="1:15" ht="35.25" customHeight="1" x14ac:dyDescent="0.3">
      <c r="A136" s="341"/>
      <c r="B136" s="341"/>
      <c r="C136" s="352"/>
      <c r="D136" s="340"/>
      <c r="E136" s="20" t="s">
        <v>10</v>
      </c>
      <c r="F136" s="21">
        <f>G136+H136</f>
        <v>0</v>
      </c>
      <c r="G136" s="21"/>
      <c r="H136" s="21"/>
      <c r="I136" s="28">
        <f>J136+K136</f>
        <v>0</v>
      </c>
      <c r="J136" s="28"/>
      <c r="K136" s="28"/>
      <c r="L136" s="28">
        <f>M136+N136</f>
        <v>0</v>
      </c>
      <c r="M136" s="28"/>
      <c r="N136" s="28"/>
      <c r="O136" s="6"/>
    </row>
    <row r="137" spans="1:15" ht="35.25" customHeight="1" x14ac:dyDescent="0.3">
      <c r="A137" s="397" t="s">
        <v>483</v>
      </c>
      <c r="B137" s="398"/>
      <c r="C137" s="403"/>
      <c r="D137" s="386" t="s">
        <v>603</v>
      </c>
      <c r="E137" s="18"/>
      <c r="F137" s="19">
        <f t="shared" ref="F137:N137" si="47">F138+F139+F140</f>
        <v>300</v>
      </c>
      <c r="G137" s="19">
        <f t="shared" si="47"/>
        <v>300</v>
      </c>
      <c r="H137" s="19">
        <f t="shared" si="47"/>
        <v>0</v>
      </c>
      <c r="I137" s="31">
        <f t="shared" si="47"/>
        <v>300</v>
      </c>
      <c r="J137" s="31">
        <f t="shared" si="47"/>
        <v>300</v>
      </c>
      <c r="K137" s="31">
        <f t="shared" si="47"/>
        <v>0</v>
      </c>
      <c r="L137" s="31">
        <f t="shared" si="47"/>
        <v>291.97000000000003</v>
      </c>
      <c r="M137" s="31">
        <f t="shared" si="47"/>
        <v>291.97000000000003</v>
      </c>
      <c r="N137" s="31">
        <f t="shared" si="47"/>
        <v>0</v>
      </c>
      <c r="O137" s="6"/>
    </row>
    <row r="138" spans="1:15" ht="35.25" customHeight="1" x14ac:dyDescent="0.3">
      <c r="A138" s="399"/>
      <c r="B138" s="400"/>
      <c r="C138" s="404"/>
      <c r="D138" s="387"/>
      <c r="E138" s="20" t="s">
        <v>8</v>
      </c>
      <c r="F138" s="21">
        <f>G138+H138</f>
        <v>300</v>
      </c>
      <c r="G138" s="19">
        <v>300</v>
      </c>
      <c r="H138" s="19">
        <v>0</v>
      </c>
      <c r="I138" s="28">
        <f>J138+K138</f>
        <v>300</v>
      </c>
      <c r="J138" s="31">
        <v>300</v>
      </c>
      <c r="K138" s="31">
        <v>0</v>
      </c>
      <c r="L138" s="28">
        <f>M138+N138</f>
        <v>291.97000000000003</v>
      </c>
      <c r="M138" s="31">
        <v>291.97000000000003</v>
      </c>
      <c r="N138" s="31">
        <v>0</v>
      </c>
      <c r="O138" s="6"/>
    </row>
    <row r="139" spans="1:15" ht="35.25" customHeight="1" x14ac:dyDescent="0.3">
      <c r="A139" s="399"/>
      <c r="B139" s="400"/>
      <c r="C139" s="404"/>
      <c r="D139" s="387"/>
      <c r="E139" s="22" t="s">
        <v>9</v>
      </c>
      <c r="F139" s="21">
        <f>G139+H139</f>
        <v>0</v>
      </c>
      <c r="G139" s="19"/>
      <c r="H139" s="19"/>
      <c r="I139" s="28">
        <f>J139+K139</f>
        <v>0</v>
      </c>
      <c r="J139" s="31"/>
      <c r="K139" s="31"/>
      <c r="L139" s="28">
        <f>M139+N139</f>
        <v>0</v>
      </c>
      <c r="M139" s="31"/>
      <c r="N139" s="31"/>
      <c r="O139" s="6"/>
    </row>
    <row r="140" spans="1:15" ht="35.25" customHeight="1" x14ac:dyDescent="0.3">
      <c r="A140" s="401"/>
      <c r="B140" s="402"/>
      <c r="C140" s="405"/>
      <c r="D140" s="388"/>
      <c r="E140" s="20" t="s">
        <v>10</v>
      </c>
      <c r="F140" s="21">
        <f>G140+H140</f>
        <v>0</v>
      </c>
      <c r="G140" s="19"/>
      <c r="H140" s="19"/>
      <c r="I140" s="28">
        <f>J140+K140</f>
        <v>0</v>
      </c>
      <c r="J140" s="31"/>
      <c r="K140" s="31"/>
      <c r="L140" s="28">
        <f>M140+N140</f>
        <v>0</v>
      </c>
      <c r="M140" s="31"/>
      <c r="N140" s="31"/>
      <c r="O140" s="6"/>
    </row>
    <row r="141" spans="1:15" ht="35.25" customHeight="1" x14ac:dyDescent="0.3">
      <c r="A141" s="343" t="s">
        <v>17</v>
      </c>
      <c r="B141" s="344"/>
      <c r="C141" s="362" t="s">
        <v>18</v>
      </c>
      <c r="D141" s="349"/>
      <c r="E141" s="14"/>
      <c r="F141" s="15">
        <f t="shared" ref="F141:N141" si="48">F142+F143+F144</f>
        <v>1942.07</v>
      </c>
      <c r="G141" s="15">
        <f t="shared" si="48"/>
        <v>1942.07</v>
      </c>
      <c r="H141" s="15">
        <f t="shared" si="48"/>
        <v>0</v>
      </c>
      <c r="I141" s="24">
        <f t="shared" si="48"/>
        <v>1942.06</v>
      </c>
      <c r="J141" s="24">
        <f t="shared" si="48"/>
        <v>1942.06</v>
      </c>
      <c r="K141" s="24">
        <f t="shared" si="48"/>
        <v>0</v>
      </c>
      <c r="L141" s="24">
        <f t="shared" si="48"/>
        <v>1835.47</v>
      </c>
      <c r="M141" s="24">
        <f t="shared" si="48"/>
        <v>1835.47</v>
      </c>
      <c r="N141" s="24">
        <f t="shared" si="48"/>
        <v>0</v>
      </c>
      <c r="O141" s="6"/>
    </row>
    <row r="142" spans="1:15" ht="35.25" customHeight="1" x14ac:dyDescent="0.3">
      <c r="A142" s="345"/>
      <c r="B142" s="346"/>
      <c r="C142" s="363"/>
      <c r="D142" s="350"/>
      <c r="E142" s="16" t="s">
        <v>8</v>
      </c>
      <c r="F142" s="11">
        <f>G142+H142</f>
        <v>1942.07</v>
      </c>
      <c r="G142" s="11">
        <f>G146+G150+G154</f>
        <v>1942.07</v>
      </c>
      <c r="H142" s="11">
        <f>H146+H150+H154</f>
        <v>0</v>
      </c>
      <c r="I142" s="13">
        <f>J142+K142</f>
        <v>1942.06</v>
      </c>
      <c r="J142" s="13">
        <f>J146+J150+J154</f>
        <v>1942.06</v>
      </c>
      <c r="K142" s="13">
        <f>K146+K150+K154</f>
        <v>0</v>
      </c>
      <c r="L142" s="13">
        <f>M142+N142</f>
        <v>1835.47</v>
      </c>
      <c r="M142" s="13">
        <f>M146+M150+M154</f>
        <v>1835.47</v>
      </c>
      <c r="N142" s="13">
        <f>N146+N150+N154</f>
        <v>0</v>
      </c>
      <c r="O142" s="6"/>
    </row>
    <row r="143" spans="1:15" ht="35.25" customHeight="1" x14ac:dyDescent="0.3">
      <c r="A143" s="345"/>
      <c r="B143" s="346"/>
      <c r="C143" s="363"/>
      <c r="D143" s="350"/>
      <c r="E143" s="17" t="s">
        <v>9</v>
      </c>
      <c r="F143" s="11">
        <f>G143+H143</f>
        <v>0</v>
      </c>
      <c r="G143" s="11">
        <f>G147+G151+G155+G163</f>
        <v>0</v>
      </c>
      <c r="H143" s="11">
        <f>H147+H151+H155+H163</f>
        <v>0</v>
      </c>
      <c r="I143" s="13">
        <f>J143+K143</f>
        <v>0</v>
      </c>
      <c r="J143" s="13">
        <f>J147+J151+J155+J163</f>
        <v>0</v>
      </c>
      <c r="K143" s="13">
        <f>K147+K151+K155+K163</f>
        <v>0</v>
      </c>
      <c r="L143" s="13">
        <f>M143+N143</f>
        <v>0</v>
      </c>
      <c r="M143" s="13">
        <f>M147+M151+M155+M163</f>
        <v>0</v>
      </c>
      <c r="N143" s="13">
        <f>N147+N151+N155+N163</f>
        <v>0</v>
      </c>
      <c r="O143" s="6"/>
    </row>
    <row r="144" spans="1:15" ht="35.25" customHeight="1" x14ac:dyDescent="0.3">
      <c r="A144" s="347"/>
      <c r="B144" s="348"/>
      <c r="C144" s="364"/>
      <c r="D144" s="351"/>
      <c r="E144" s="16" t="s">
        <v>10</v>
      </c>
      <c r="F144" s="11">
        <f>G144+H144</f>
        <v>0</v>
      </c>
      <c r="G144" s="11">
        <f>G148+G152+G156+G164</f>
        <v>0</v>
      </c>
      <c r="H144" s="11">
        <f>H148+H152+H156+H164</f>
        <v>0</v>
      </c>
      <c r="I144" s="13">
        <f>J144+K144</f>
        <v>0</v>
      </c>
      <c r="J144" s="13">
        <f>J148+J152+J156+J164</f>
        <v>0</v>
      </c>
      <c r="K144" s="13">
        <f>K148+K152+K156+K164</f>
        <v>0</v>
      </c>
      <c r="L144" s="13">
        <f>M144+N144</f>
        <v>0</v>
      </c>
      <c r="M144" s="13">
        <f>M148+M152+M156+M164</f>
        <v>0</v>
      </c>
      <c r="N144" s="13">
        <f>N148+N152+N156+N164</f>
        <v>0</v>
      </c>
      <c r="O144" s="6"/>
    </row>
    <row r="145" spans="1:15" ht="35.25" customHeight="1" x14ac:dyDescent="0.3">
      <c r="A145" s="341" t="s">
        <v>484</v>
      </c>
      <c r="B145" s="341"/>
      <c r="C145" s="342">
        <v>6030</v>
      </c>
      <c r="D145" s="340" t="s">
        <v>600</v>
      </c>
      <c r="E145" s="20"/>
      <c r="F145" s="21">
        <f t="shared" ref="F145:N145" si="49">F146+F147+F148</f>
        <v>168.38</v>
      </c>
      <c r="G145" s="21">
        <f t="shared" si="49"/>
        <v>168.38</v>
      </c>
      <c r="H145" s="21">
        <f t="shared" si="49"/>
        <v>0</v>
      </c>
      <c r="I145" s="28">
        <f t="shared" si="49"/>
        <v>168.38</v>
      </c>
      <c r="J145" s="28">
        <f t="shared" si="49"/>
        <v>168.38</v>
      </c>
      <c r="K145" s="28">
        <f t="shared" si="49"/>
        <v>0</v>
      </c>
      <c r="L145" s="28">
        <f t="shared" si="49"/>
        <v>168.38</v>
      </c>
      <c r="M145" s="28">
        <f t="shared" si="49"/>
        <v>168.38</v>
      </c>
      <c r="N145" s="28">
        <f t="shared" si="49"/>
        <v>0</v>
      </c>
      <c r="O145" s="6"/>
    </row>
    <row r="146" spans="1:15" ht="35.25" customHeight="1" x14ac:dyDescent="0.3">
      <c r="A146" s="341"/>
      <c r="B146" s="341"/>
      <c r="C146" s="342"/>
      <c r="D146" s="340"/>
      <c r="E146" s="20" t="s">
        <v>8</v>
      </c>
      <c r="F146" s="21">
        <f>G146+H146</f>
        <v>168.38</v>
      </c>
      <c r="G146" s="21">
        <f>800-250-381.62</f>
        <v>168.38</v>
      </c>
      <c r="H146" s="21">
        <v>0</v>
      </c>
      <c r="I146" s="28">
        <f>J146+K146</f>
        <v>168.38</v>
      </c>
      <c r="J146" s="28">
        <v>168.38</v>
      </c>
      <c r="K146" s="28">
        <v>0</v>
      </c>
      <c r="L146" s="28">
        <f>M146+N146</f>
        <v>168.38</v>
      </c>
      <c r="M146" s="28">
        <v>168.38</v>
      </c>
      <c r="N146" s="28">
        <v>0</v>
      </c>
      <c r="O146" s="6"/>
    </row>
    <row r="147" spans="1:15" ht="35.25" customHeight="1" x14ac:dyDescent="0.3">
      <c r="A147" s="341"/>
      <c r="B147" s="341"/>
      <c r="C147" s="342"/>
      <c r="D147" s="340"/>
      <c r="E147" s="22" t="s">
        <v>9</v>
      </c>
      <c r="F147" s="21">
        <f>G147+H147</f>
        <v>0</v>
      </c>
      <c r="G147" s="21"/>
      <c r="H147" s="21"/>
      <c r="I147" s="28">
        <f>J147+K147</f>
        <v>0</v>
      </c>
      <c r="J147" s="28"/>
      <c r="K147" s="28"/>
      <c r="L147" s="28">
        <f>M147+N147</f>
        <v>0</v>
      </c>
      <c r="M147" s="28"/>
      <c r="N147" s="28"/>
      <c r="O147" s="6"/>
    </row>
    <row r="148" spans="1:15" ht="35.25" customHeight="1" x14ac:dyDescent="0.3">
      <c r="A148" s="341"/>
      <c r="B148" s="341"/>
      <c r="C148" s="342"/>
      <c r="D148" s="340"/>
      <c r="E148" s="20" t="s">
        <v>10</v>
      </c>
      <c r="F148" s="21">
        <f>G148+H148</f>
        <v>0</v>
      </c>
      <c r="G148" s="21"/>
      <c r="H148" s="21"/>
      <c r="I148" s="28">
        <f>J148+K148</f>
        <v>0</v>
      </c>
      <c r="J148" s="28"/>
      <c r="K148" s="28"/>
      <c r="L148" s="28">
        <f>M148+N148</f>
        <v>0</v>
      </c>
      <c r="M148" s="28"/>
      <c r="N148" s="28"/>
      <c r="O148" s="6"/>
    </row>
    <row r="149" spans="1:15" ht="35.25" customHeight="1" x14ac:dyDescent="0.3">
      <c r="A149" s="341" t="s">
        <v>485</v>
      </c>
      <c r="B149" s="341"/>
      <c r="C149" s="342">
        <v>6030</v>
      </c>
      <c r="D149" s="340" t="s">
        <v>599</v>
      </c>
      <c r="E149" s="20"/>
      <c r="F149" s="21">
        <f t="shared" ref="F149:N149" si="50">F150+F151+F152</f>
        <v>480.2</v>
      </c>
      <c r="G149" s="21">
        <f t="shared" si="50"/>
        <v>480.2</v>
      </c>
      <c r="H149" s="21">
        <f t="shared" si="50"/>
        <v>0</v>
      </c>
      <c r="I149" s="28">
        <f t="shared" si="50"/>
        <v>480.19</v>
      </c>
      <c r="J149" s="28">
        <f t="shared" si="50"/>
        <v>480.19</v>
      </c>
      <c r="K149" s="28">
        <f t="shared" si="50"/>
        <v>0</v>
      </c>
      <c r="L149" s="28">
        <f t="shared" si="50"/>
        <v>421.32</v>
      </c>
      <c r="M149" s="28">
        <f t="shared" si="50"/>
        <v>421.32</v>
      </c>
      <c r="N149" s="28">
        <f t="shared" si="50"/>
        <v>0</v>
      </c>
      <c r="O149" s="6"/>
    </row>
    <row r="150" spans="1:15" ht="35.25" customHeight="1" x14ac:dyDescent="0.3">
      <c r="A150" s="341"/>
      <c r="B150" s="341"/>
      <c r="C150" s="342"/>
      <c r="D150" s="340"/>
      <c r="E150" s="20" t="s">
        <v>8</v>
      </c>
      <c r="F150" s="21">
        <f>G150+H150</f>
        <v>480.2</v>
      </c>
      <c r="G150" s="21">
        <f>500+4.7-24.5</f>
        <v>480.2</v>
      </c>
      <c r="H150" s="21">
        <v>0</v>
      </c>
      <c r="I150" s="28">
        <f>J150+K150</f>
        <v>480.19</v>
      </c>
      <c r="J150" s="28">
        <v>480.19</v>
      </c>
      <c r="K150" s="28">
        <v>0</v>
      </c>
      <c r="L150" s="28">
        <f>M150+N150</f>
        <v>421.32</v>
      </c>
      <c r="M150" s="28">
        <v>421.32</v>
      </c>
      <c r="N150" s="28">
        <v>0</v>
      </c>
      <c r="O150" s="6"/>
    </row>
    <row r="151" spans="1:15" ht="35.25" customHeight="1" x14ac:dyDescent="0.3">
      <c r="A151" s="341"/>
      <c r="B151" s="341"/>
      <c r="C151" s="342"/>
      <c r="D151" s="340"/>
      <c r="E151" s="22" t="s">
        <v>9</v>
      </c>
      <c r="F151" s="21">
        <f>G151+H151</f>
        <v>0</v>
      </c>
      <c r="G151" s="21"/>
      <c r="H151" s="21"/>
      <c r="I151" s="28">
        <f>J151+K151</f>
        <v>0</v>
      </c>
      <c r="J151" s="28"/>
      <c r="K151" s="28"/>
      <c r="L151" s="28">
        <f>M151+N151</f>
        <v>0</v>
      </c>
      <c r="M151" s="28"/>
      <c r="N151" s="28"/>
      <c r="O151" s="6"/>
    </row>
    <row r="152" spans="1:15" ht="35.25" customHeight="1" x14ac:dyDescent="0.3">
      <c r="A152" s="341"/>
      <c r="B152" s="341"/>
      <c r="C152" s="342"/>
      <c r="D152" s="340"/>
      <c r="E152" s="20" t="s">
        <v>10</v>
      </c>
      <c r="F152" s="21">
        <f>G152+H152</f>
        <v>0</v>
      </c>
      <c r="G152" s="21"/>
      <c r="H152" s="21"/>
      <c r="I152" s="28">
        <f>J152+K152</f>
        <v>0</v>
      </c>
      <c r="J152" s="28"/>
      <c r="K152" s="28"/>
      <c r="L152" s="28">
        <f>M152+N152</f>
        <v>0</v>
      </c>
      <c r="M152" s="28"/>
      <c r="N152" s="28"/>
      <c r="O152" s="6"/>
    </row>
    <row r="153" spans="1:15" ht="35.25" customHeight="1" x14ac:dyDescent="0.3">
      <c r="A153" s="341" t="s">
        <v>486</v>
      </c>
      <c r="B153" s="341"/>
      <c r="C153" s="342">
        <v>6030</v>
      </c>
      <c r="D153" s="406" t="s">
        <v>598</v>
      </c>
      <c r="E153" s="20"/>
      <c r="F153" s="21">
        <f t="shared" ref="F153:N153" si="51">F154+F155+F156</f>
        <v>1293.49</v>
      </c>
      <c r="G153" s="21">
        <f t="shared" si="51"/>
        <v>1293.49</v>
      </c>
      <c r="H153" s="21">
        <f t="shared" si="51"/>
        <v>0</v>
      </c>
      <c r="I153" s="28">
        <f t="shared" si="51"/>
        <v>1293.49</v>
      </c>
      <c r="J153" s="28">
        <f t="shared" si="51"/>
        <v>1293.49</v>
      </c>
      <c r="K153" s="28">
        <f t="shared" si="51"/>
        <v>0</v>
      </c>
      <c r="L153" s="28">
        <f t="shared" si="51"/>
        <v>1245.77</v>
      </c>
      <c r="M153" s="28">
        <f t="shared" si="51"/>
        <v>1245.77</v>
      </c>
      <c r="N153" s="28">
        <f t="shared" si="51"/>
        <v>0</v>
      </c>
      <c r="O153" s="6"/>
    </row>
    <row r="154" spans="1:15" ht="35.25" customHeight="1" x14ac:dyDescent="0.3">
      <c r="A154" s="341"/>
      <c r="B154" s="341"/>
      <c r="C154" s="342"/>
      <c r="D154" s="406"/>
      <c r="E154" s="20" t="s">
        <v>8</v>
      </c>
      <c r="F154" s="21">
        <f>G154+H154</f>
        <v>1293.49</v>
      </c>
      <c r="G154" s="21">
        <f>1300-6.51</f>
        <v>1293.49</v>
      </c>
      <c r="H154" s="21">
        <v>0</v>
      </c>
      <c r="I154" s="28">
        <f>J154+K154</f>
        <v>1293.49</v>
      </c>
      <c r="J154" s="28">
        <v>1293.49</v>
      </c>
      <c r="K154" s="28">
        <v>0</v>
      </c>
      <c r="L154" s="28">
        <f>M154+N154</f>
        <v>1245.77</v>
      </c>
      <c r="M154" s="28">
        <v>1245.77</v>
      </c>
      <c r="N154" s="28">
        <v>0</v>
      </c>
      <c r="O154" s="6"/>
    </row>
    <row r="155" spans="1:15" ht="51.75" customHeight="1" x14ac:dyDescent="0.3">
      <c r="A155" s="341"/>
      <c r="B155" s="341"/>
      <c r="C155" s="342"/>
      <c r="D155" s="406"/>
      <c r="E155" s="22" t="s">
        <v>9</v>
      </c>
      <c r="F155" s="21">
        <f>G155+H155</f>
        <v>0</v>
      </c>
      <c r="G155" s="21"/>
      <c r="H155" s="21"/>
      <c r="I155" s="28">
        <f>J155+K155</f>
        <v>0</v>
      </c>
      <c r="J155" s="28"/>
      <c r="K155" s="28"/>
      <c r="L155" s="28">
        <f>M155+N155</f>
        <v>0</v>
      </c>
      <c r="M155" s="28"/>
      <c r="N155" s="28"/>
      <c r="O155" s="6"/>
    </row>
    <row r="156" spans="1:15" ht="54.75" customHeight="1" x14ac:dyDescent="0.3">
      <c r="A156" s="341"/>
      <c r="B156" s="341"/>
      <c r="C156" s="342"/>
      <c r="D156" s="406"/>
      <c r="E156" s="20" t="s">
        <v>10</v>
      </c>
      <c r="F156" s="21">
        <f>G156+H156</f>
        <v>0</v>
      </c>
      <c r="G156" s="21"/>
      <c r="H156" s="21"/>
      <c r="I156" s="28">
        <f>J156+K156</f>
        <v>0</v>
      </c>
      <c r="J156" s="28"/>
      <c r="K156" s="28"/>
      <c r="L156" s="28">
        <f>M156+N156</f>
        <v>0</v>
      </c>
      <c r="M156" s="28"/>
      <c r="N156" s="28"/>
      <c r="O156" s="6"/>
    </row>
    <row r="157" spans="1:15" ht="35.25" customHeight="1" x14ac:dyDescent="0.3">
      <c r="A157" s="343" t="s">
        <v>337</v>
      </c>
      <c r="B157" s="344"/>
      <c r="C157" s="362" t="s">
        <v>336</v>
      </c>
      <c r="D157" s="349"/>
      <c r="E157" s="14"/>
      <c r="F157" s="15">
        <f t="shared" ref="F157:N157" si="52">F158+F159+F160</f>
        <v>7815.24</v>
      </c>
      <c r="G157" s="15">
        <f t="shared" si="52"/>
        <v>7815.24</v>
      </c>
      <c r="H157" s="15">
        <f t="shared" si="52"/>
        <v>0</v>
      </c>
      <c r="I157" s="24">
        <f t="shared" si="52"/>
        <v>7815.21</v>
      </c>
      <c r="J157" s="24">
        <f t="shared" si="52"/>
        <v>7815.21</v>
      </c>
      <c r="K157" s="24">
        <f t="shared" si="52"/>
        <v>0</v>
      </c>
      <c r="L157" s="24">
        <f t="shared" si="52"/>
        <v>6295.64</v>
      </c>
      <c r="M157" s="24">
        <f t="shared" si="52"/>
        <v>6295.64</v>
      </c>
      <c r="N157" s="24">
        <f t="shared" si="52"/>
        <v>0</v>
      </c>
      <c r="O157" s="6"/>
    </row>
    <row r="158" spans="1:15" ht="35.25" customHeight="1" x14ac:dyDescent="0.3">
      <c r="A158" s="345"/>
      <c r="B158" s="346"/>
      <c r="C158" s="363"/>
      <c r="D158" s="350"/>
      <c r="E158" s="16" t="s">
        <v>8</v>
      </c>
      <c r="F158" s="11">
        <f>G158+H158</f>
        <v>7815.24</v>
      </c>
      <c r="G158" s="11">
        <f>G162+G166+G170+G174+G178+G182</f>
        <v>7815.24</v>
      </c>
      <c r="H158" s="11">
        <f>H162+H166+H170+H174</f>
        <v>0</v>
      </c>
      <c r="I158" s="13">
        <f>J158+K158</f>
        <v>7815.21</v>
      </c>
      <c r="J158" s="13">
        <f>J162+J166+J170+J174+J178+J182</f>
        <v>7815.21</v>
      </c>
      <c r="K158" s="13">
        <f t="shared" ref="J158:K160" si="53">K162+K166+K170+K174</f>
        <v>0</v>
      </c>
      <c r="L158" s="13">
        <f>M158+N158</f>
        <v>6295.64</v>
      </c>
      <c r="M158" s="13">
        <f>M162+M166+M170+M174+M178+M182</f>
        <v>6295.64</v>
      </c>
      <c r="N158" s="13">
        <f t="shared" ref="M158:N160" si="54">N162+N166+N170+N174</f>
        <v>0</v>
      </c>
      <c r="O158" s="6"/>
    </row>
    <row r="159" spans="1:15" ht="42.75" customHeight="1" x14ac:dyDescent="0.3">
      <c r="A159" s="345"/>
      <c r="B159" s="346"/>
      <c r="C159" s="363"/>
      <c r="D159" s="350"/>
      <c r="E159" s="17" t="s">
        <v>9</v>
      </c>
      <c r="F159" s="11">
        <f>G159+H159</f>
        <v>0</v>
      </c>
      <c r="G159" s="11">
        <f>G163+G167+G171+G175</f>
        <v>0</v>
      </c>
      <c r="H159" s="11">
        <f>H163+H167+H171+H175</f>
        <v>0</v>
      </c>
      <c r="I159" s="13">
        <f>J159+K159</f>
        <v>0</v>
      </c>
      <c r="J159" s="13">
        <f t="shared" si="53"/>
        <v>0</v>
      </c>
      <c r="K159" s="13">
        <f t="shared" si="53"/>
        <v>0</v>
      </c>
      <c r="L159" s="13">
        <f>M159+N159</f>
        <v>0</v>
      </c>
      <c r="M159" s="13">
        <f t="shared" si="54"/>
        <v>0</v>
      </c>
      <c r="N159" s="13">
        <f t="shared" si="54"/>
        <v>0</v>
      </c>
      <c r="O159" s="6"/>
    </row>
    <row r="160" spans="1:15" ht="35.25" customHeight="1" x14ac:dyDescent="0.3">
      <c r="A160" s="347"/>
      <c r="B160" s="348"/>
      <c r="C160" s="364"/>
      <c r="D160" s="351"/>
      <c r="E160" s="16" t="s">
        <v>10</v>
      </c>
      <c r="F160" s="11">
        <f>G160+H160</f>
        <v>0</v>
      </c>
      <c r="G160" s="11">
        <f>G164+G168+G172+G176</f>
        <v>0</v>
      </c>
      <c r="H160" s="11">
        <f>H164+H168+H172+H176</f>
        <v>0</v>
      </c>
      <c r="I160" s="13">
        <f>J160+K160</f>
        <v>0</v>
      </c>
      <c r="J160" s="13">
        <f t="shared" si="53"/>
        <v>0</v>
      </c>
      <c r="K160" s="13">
        <f t="shared" si="53"/>
        <v>0</v>
      </c>
      <c r="L160" s="13">
        <f>M160+N160</f>
        <v>0</v>
      </c>
      <c r="M160" s="13">
        <f t="shared" si="54"/>
        <v>0</v>
      </c>
      <c r="N160" s="13">
        <f t="shared" si="54"/>
        <v>0</v>
      </c>
      <c r="O160" s="6"/>
    </row>
    <row r="161" spans="1:15" ht="35.25" customHeight="1" x14ac:dyDescent="0.3">
      <c r="A161" s="341" t="s">
        <v>487</v>
      </c>
      <c r="B161" s="341"/>
      <c r="C161" s="342">
        <v>6014</v>
      </c>
      <c r="D161" s="340" t="s">
        <v>601</v>
      </c>
      <c r="E161" s="20"/>
      <c r="F161" s="21">
        <f t="shared" ref="F161:N161" si="55">F162+F163+F164</f>
        <v>5339.73</v>
      </c>
      <c r="G161" s="21">
        <f t="shared" si="55"/>
        <v>5339.73</v>
      </c>
      <c r="H161" s="21">
        <f t="shared" si="55"/>
        <v>0</v>
      </c>
      <c r="I161" s="28">
        <f t="shared" si="55"/>
        <v>5339.73</v>
      </c>
      <c r="J161" s="28">
        <f t="shared" si="55"/>
        <v>5339.73</v>
      </c>
      <c r="K161" s="28">
        <f t="shared" si="55"/>
        <v>0</v>
      </c>
      <c r="L161" s="28">
        <f t="shared" si="55"/>
        <v>5238.67</v>
      </c>
      <c r="M161" s="28">
        <f t="shared" si="55"/>
        <v>5238.67</v>
      </c>
      <c r="N161" s="28">
        <f t="shared" si="55"/>
        <v>0</v>
      </c>
      <c r="O161" s="6"/>
    </row>
    <row r="162" spans="1:15" ht="35.25" customHeight="1" x14ac:dyDescent="0.3">
      <c r="A162" s="341"/>
      <c r="B162" s="341"/>
      <c r="C162" s="342"/>
      <c r="D162" s="340"/>
      <c r="E162" s="20" t="s">
        <v>8</v>
      </c>
      <c r="F162" s="21">
        <f>G162+H162</f>
        <v>5339.73</v>
      </c>
      <c r="G162" s="21">
        <f>7000-87-1673+99.73</f>
        <v>5339.73</v>
      </c>
      <c r="H162" s="21">
        <v>0</v>
      </c>
      <c r="I162" s="28">
        <f>J162+K162</f>
        <v>5339.73</v>
      </c>
      <c r="J162" s="28">
        <v>5339.73</v>
      </c>
      <c r="K162" s="28">
        <v>0</v>
      </c>
      <c r="L162" s="28">
        <f>M162+N162</f>
        <v>5238.67</v>
      </c>
      <c r="M162" s="28">
        <f>5238.67-0.01+0.01</f>
        <v>5238.67</v>
      </c>
      <c r="N162" s="28">
        <v>0</v>
      </c>
      <c r="O162" s="6"/>
    </row>
    <row r="163" spans="1:15" ht="35.25" customHeight="1" x14ac:dyDescent="0.3">
      <c r="A163" s="341"/>
      <c r="B163" s="341"/>
      <c r="C163" s="342"/>
      <c r="D163" s="340"/>
      <c r="E163" s="22" t="s">
        <v>9</v>
      </c>
      <c r="F163" s="21">
        <f>G163+H163</f>
        <v>0</v>
      </c>
      <c r="G163" s="21"/>
      <c r="H163" s="21"/>
      <c r="I163" s="28">
        <f>J163+K163</f>
        <v>0</v>
      </c>
      <c r="J163" s="28"/>
      <c r="K163" s="28"/>
      <c r="L163" s="28">
        <f>M163+N163</f>
        <v>0</v>
      </c>
      <c r="M163" s="28"/>
      <c r="N163" s="28"/>
      <c r="O163" s="6"/>
    </row>
    <row r="164" spans="1:15" ht="35.25" customHeight="1" x14ac:dyDescent="0.3">
      <c r="A164" s="341"/>
      <c r="B164" s="341"/>
      <c r="C164" s="342"/>
      <c r="D164" s="340"/>
      <c r="E164" s="20" t="s">
        <v>10</v>
      </c>
      <c r="F164" s="21">
        <f>G164+H164</f>
        <v>0</v>
      </c>
      <c r="G164" s="21"/>
      <c r="H164" s="21"/>
      <c r="I164" s="220">
        <f>J164+K164</f>
        <v>0</v>
      </c>
      <c r="J164" s="220"/>
      <c r="K164" s="220"/>
      <c r="L164" s="220">
        <f>M164+N164</f>
        <v>0</v>
      </c>
      <c r="M164" s="220"/>
      <c r="N164" s="220"/>
      <c r="O164" s="6"/>
    </row>
    <row r="165" spans="1:15" ht="35.25" customHeight="1" x14ac:dyDescent="0.3">
      <c r="A165" s="341" t="s">
        <v>488</v>
      </c>
      <c r="B165" s="341"/>
      <c r="C165" s="342">
        <v>6014</v>
      </c>
      <c r="D165" s="340"/>
      <c r="E165" s="20"/>
      <c r="F165" s="21">
        <f t="shared" ref="F165:N165" si="56">F166+F167+F168</f>
        <v>0</v>
      </c>
      <c r="G165" s="21">
        <f t="shared" si="56"/>
        <v>0</v>
      </c>
      <c r="H165" s="21">
        <f t="shared" si="56"/>
        <v>0</v>
      </c>
      <c r="I165" s="220">
        <f t="shared" si="56"/>
        <v>0</v>
      </c>
      <c r="J165" s="220">
        <f t="shared" si="56"/>
        <v>0</v>
      </c>
      <c r="K165" s="220">
        <f t="shared" si="56"/>
        <v>0</v>
      </c>
      <c r="L165" s="220">
        <f t="shared" si="56"/>
        <v>0</v>
      </c>
      <c r="M165" s="220">
        <f t="shared" si="56"/>
        <v>0</v>
      </c>
      <c r="N165" s="220">
        <f t="shared" si="56"/>
        <v>0</v>
      </c>
      <c r="O165" s="6"/>
    </row>
    <row r="166" spans="1:15" ht="35.25" customHeight="1" x14ac:dyDescent="0.3">
      <c r="A166" s="341"/>
      <c r="B166" s="341"/>
      <c r="C166" s="342"/>
      <c r="D166" s="340"/>
      <c r="E166" s="20" t="s">
        <v>8</v>
      </c>
      <c r="F166" s="21">
        <f>G166+H166</f>
        <v>0</v>
      </c>
      <c r="G166" s="21">
        <f>4000-550-3450</f>
        <v>0</v>
      </c>
      <c r="H166" s="21">
        <v>0</v>
      </c>
      <c r="I166" s="220">
        <f>J166+K166</f>
        <v>0</v>
      </c>
      <c r="J166" s="220">
        <v>0</v>
      </c>
      <c r="K166" s="220">
        <v>0</v>
      </c>
      <c r="L166" s="220">
        <f>M166+N166</f>
        <v>0</v>
      </c>
      <c r="M166" s="220">
        <v>0</v>
      </c>
      <c r="N166" s="220">
        <v>0</v>
      </c>
      <c r="O166" s="6"/>
    </row>
    <row r="167" spans="1:15" ht="35.25" customHeight="1" x14ac:dyDescent="0.3">
      <c r="A167" s="341"/>
      <c r="B167" s="341"/>
      <c r="C167" s="342"/>
      <c r="D167" s="340"/>
      <c r="E167" s="22" t="s">
        <v>9</v>
      </c>
      <c r="F167" s="21">
        <f>G167+H167</f>
        <v>0</v>
      </c>
      <c r="G167" s="21"/>
      <c r="H167" s="21"/>
      <c r="I167" s="220">
        <f>J167+K167</f>
        <v>0</v>
      </c>
      <c r="J167" s="220"/>
      <c r="K167" s="220"/>
      <c r="L167" s="220">
        <f>M167+N167</f>
        <v>0</v>
      </c>
      <c r="M167" s="220"/>
      <c r="N167" s="220"/>
      <c r="O167" s="6"/>
    </row>
    <row r="168" spans="1:15" ht="35.25" customHeight="1" x14ac:dyDescent="0.3">
      <c r="A168" s="341"/>
      <c r="B168" s="341"/>
      <c r="C168" s="342"/>
      <c r="D168" s="340"/>
      <c r="E168" s="20" t="s">
        <v>10</v>
      </c>
      <c r="F168" s="21">
        <f>G168+H168</f>
        <v>0</v>
      </c>
      <c r="G168" s="21"/>
      <c r="H168" s="21"/>
      <c r="I168" s="220">
        <f>J168+K168</f>
        <v>0</v>
      </c>
      <c r="J168" s="220"/>
      <c r="K168" s="220"/>
      <c r="L168" s="220">
        <f>M168+N168</f>
        <v>0</v>
      </c>
      <c r="M168" s="220"/>
      <c r="N168" s="220"/>
      <c r="O168" s="6"/>
    </row>
    <row r="169" spans="1:15" ht="35.25" customHeight="1" x14ac:dyDescent="0.3">
      <c r="A169" s="341" t="s">
        <v>489</v>
      </c>
      <c r="B169" s="341"/>
      <c r="C169" s="342">
        <v>6014</v>
      </c>
      <c r="D169" s="340"/>
      <c r="E169" s="20"/>
      <c r="F169" s="21">
        <f t="shared" ref="F169:N169" si="57">F170+F171+F172</f>
        <v>0</v>
      </c>
      <c r="G169" s="21">
        <f t="shared" si="57"/>
        <v>0</v>
      </c>
      <c r="H169" s="21">
        <f t="shared" si="57"/>
        <v>0</v>
      </c>
      <c r="I169" s="220">
        <f t="shared" si="57"/>
        <v>0</v>
      </c>
      <c r="J169" s="220">
        <f t="shared" si="57"/>
        <v>0</v>
      </c>
      <c r="K169" s="220">
        <f t="shared" si="57"/>
        <v>0</v>
      </c>
      <c r="L169" s="220">
        <f t="shared" si="57"/>
        <v>0</v>
      </c>
      <c r="M169" s="220">
        <f t="shared" si="57"/>
        <v>0</v>
      </c>
      <c r="N169" s="220">
        <f t="shared" si="57"/>
        <v>0</v>
      </c>
      <c r="O169" s="6"/>
    </row>
    <row r="170" spans="1:15" ht="35.25" customHeight="1" x14ac:dyDescent="0.3">
      <c r="A170" s="341"/>
      <c r="B170" s="341"/>
      <c r="C170" s="342"/>
      <c r="D170" s="340"/>
      <c r="E170" s="20" t="s">
        <v>8</v>
      </c>
      <c r="F170" s="21">
        <f>G170+H170</f>
        <v>0</v>
      </c>
      <c r="G170" s="21">
        <f>450-450</f>
        <v>0</v>
      </c>
      <c r="H170" s="21">
        <v>0</v>
      </c>
      <c r="I170" s="220">
        <f>J170+K170</f>
        <v>0</v>
      </c>
      <c r="J170" s="220">
        <v>0</v>
      </c>
      <c r="K170" s="220">
        <v>0</v>
      </c>
      <c r="L170" s="220">
        <f>M170+N170</f>
        <v>0</v>
      </c>
      <c r="M170" s="220">
        <v>0</v>
      </c>
      <c r="N170" s="220">
        <v>0</v>
      </c>
      <c r="O170" s="6"/>
    </row>
    <row r="171" spans="1:15" ht="35.25" customHeight="1" x14ac:dyDescent="0.3">
      <c r="A171" s="341"/>
      <c r="B171" s="341"/>
      <c r="C171" s="342"/>
      <c r="D171" s="340"/>
      <c r="E171" s="22" t="s">
        <v>9</v>
      </c>
      <c r="F171" s="21">
        <f>G171+H171</f>
        <v>0</v>
      </c>
      <c r="G171" s="21"/>
      <c r="H171" s="21"/>
      <c r="I171" s="28">
        <f>J171+K171</f>
        <v>0</v>
      </c>
      <c r="J171" s="28"/>
      <c r="K171" s="28"/>
      <c r="L171" s="28">
        <f>M171+N171</f>
        <v>0</v>
      </c>
      <c r="M171" s="28"/>
      <c r="N171" s="28"/>
      <c r="O171" s="6"/>
    </row>
    <row r="172" spans="1:15" ht="35.25" customHeight="1" x14ac:dyDescent="0.3">
      <c r="A172" s="341"/>
      <c r="B172" s="341"/>
      <c r="C172" s="342"/>
      <c r="D172" s="340"/>
      <c r="E172" s="20" t="s">
        <v>10</v>
      </c>
      <c r="F172" s="21">
        <f>G172+H172</f>
        <v>0</v>
      </c>
      <c r="G172" s="21"/>
      <c r="H172" s="21"/>
      <c r="I172" s="28">
        <f>J172+K172</f>
        <v>0</v>
      </c>
      <c r="J172" s="28"/>
      <c r="K172" s="28"/>
      <c r="L172" s="28">
        <f>M172+N172</f>
        <v>0</v>
      </c>
      <c r="M172" s="28"/>
      <c r="N172" s="28"/>
      <c r="O172" s="6"/>
    </row>
    <row r="173" spans="1:15" ht="35.25" customHeight="1" x14ac:dyDescent="0.3">
      <c r="A173" s="341" t="s">
        <v>490</v>
      </c>
      <c r="B173" s="341"/>
      <c r="C173" s="342">
        <v>6014</v>
      </c>
      <c r="D173" s="340"/>
      <c r="E173" s="20"/>
      <c r="F173" s="21">
        <f t="shared" ref="F173:N173" si="58">F174+F175+F176</f>
        <v>868.51</v>
      </c>
      <c r="G173" s="21">
        <f t="shared" si="58"/>
        <v>868.51</v>
      </c>
      <c r="H173" s="21">
        <f t="shared" si="58"/>
        <v>0</v>
      </c>
      <c r="I173" s="28">
        <f t="shared" si="58"/>
        <v>868.51</v>
      </c>
      <c r="J173" s="28">
        <f t="shared" si="58"/>
        <v>868.51</v>
      </c>
      <c r="K173" s="28">
        <f t="shared" si="58"/>
        <v>0</v>
      </c>
      <c r="L173" s="28">
        <f t="shared" si="58"/>
        <v>0</v>
      </c>
      <c r="M173" s="28">
        <f t="shared" si="58"/>
        <v>0</v>
      </c>
      <c r="N173" s="28">
        <f t="shared" si="58"/>
        <v>0</v>
      </c>
      <c r="O173" s="6"/>
    </row>
    <row r="174" spans="1:15" ht="35.25" customHeight="1" x14ac:dyDescent="0.3">
      <c r="A174" s="341"/>
      <c r="B174" s="341"/>
      <c r="C174" s="342"/>
      <c r="D174" s="340"/>
      <c r="E174" s="20" t="s">
        <v>8</v>
      </c>
      <c r="F174" s="21">
        <f>G174+H174</f>
        <v>868.51</v>
      </c>
      <c r="G174" s="21">
        <f>3000-1900-131.76-99.73</f>
        <v>868.51</v>
      </c>
      <c r="H174" s="21">
        <v>0</v>
      </c>
      <c r="I174" s="28">
        <f>J174+K174</f>
        <v>868.51</v>
      </c>
      <c r="J174" s="28">
        <v>868.51</v>
      </c>
      <c r="K174" s="28">
        <v>0</v>
      </c>
      <c r="L174" s="28">
        <f>M174+N174</f>
        <v>0</v>
      </c>
      <c r="M174" s="28">
        <v>0</v>
      </c>
      <c r="N174" s="28">
        <v>0</v>
      </c>
      <c r="O174" s="6"/>
    </row>
    <row r="175" spans="1:15" ht="35.25" customHeight="1" x14ac:dyDescent="0.3">
      <c r="A175" s="341"/>
      <c r="B175" s="341"/>
      <c r="C175" s="342"/>
      <c r="D175" s="340"/>
      <c r="E175" s="22" t="s">
        <v>9</v>
      </c>
      <c r="F175" s="21">
        <f>G175+H175</f>
        <v>0</v>
      </c>
      <c r="G175" s="21"/>
      <c r="H175" s="21"/>
      <c r="I175" s="28">
        <f>J175+K175</f>
        <v>0</v>
      </c>
      <c r="J175" s="28"/>
      <c r="K175" s="28"/>
      <c r="L175" s="28">
        <f>M175+N175</f>
        <v>0</v>
      </c>
      <c r="M175" s="28"/>
      <c r="N175" s="28"/>
      <c r="O175" s="6"/>
    </row>
    <row r="176" spans="1:15" ht="35.25" customHeight="1" x14ac:dyDescent="0.3">
      <c r="A176" s="341"/>
      <c r="B176" s="341"/>
      <c r="C176" s="342"/>
      <c r="D176" s="340"/>
      <c r="E176" s="20" t="s">
        <v>10</v>
      </c>
      <c r="F176" s="21">
        <f>G176+H176</f>
        <v>0</v>
      </c>
      <c r="G176" s="21"/>
      <c r="H176" s="21"/>
      <c r="I176" s="28">
        <f>J176+K176</f>
        <v>0</v>
      </c>
      <c r="J176" s="28"/>
      <c r="K176" s="28"/>
      <c r="L176" s="28">
        <f>M176+N176</f>
        <v>0</v>
      </c>
      <c r="M176" s="28"/>
      <c r="N176" s="28"/>
      <c r="O176" s="6"/>
    </row>
    <row r="177" spans="1:15" s="192" customFormat="1" ht="35.25" customHeight="1" x14ac:dyDescent="0.3">
      <c r="A177" s="341" t="s">
        <v>491</v>
      </c>
      <c r="B177" s="341"/>
      <c r="C177" s="342">
        <v>6014</v>
      </c>
      <c r="D177" s="340" t="s">
        <v>602</v>
      </c>
      <c r="E177" s="20"/>
      <c r="F177" s="21">
        <f t="shared" ref="F177:N177" si="59">F178+F179+F180</f>
        <v>1057</v>
      </c>
      <c r="G177" s="21">
        <f t="shared" si="59"/>
        <v>1057</v>
      </c>
      <c r="H177" s="21">
        <f t="shared" si="59"/>
        <v>0</v>
      </c>
      <c r="I177" s="28">
        <f t="shared" si="59"/>
        <v>1056.97</v>
      </c>
      <c r="J177" s="28">
        <f t="shared" si="59"/>
        <v>1056.97</v>
      </c>
      <c r="K177" s="28">
        <f t="shared" si="59"/>
        <v>0</v>
      </c>
      <c r="L177" s="28">
        <f t="shared" si="59"/>
        <v>1056.97</v>
      </c>
      <c r="M177" s="28">
        <f t="shared" si="59"/>
        <v>1056.97</v>
      </c>
      <c r="N177" s="28">
        <f t="shared" si="59"/>
        <v>0</v>
      </c>
      <c r="O177" s="193"/>
    </row>
    <row r="178" spans="1:15" s="192" customFormat="1" ht="35.25" customHeight="1" x14ac:dyDescent="0.3">
      <c r="A178" s="341"/>
      <c r="B178" s="341"/>
      <c r="C178" s="342"/>
      <c r="D178" s="340"/>
      <c r="E178" s="20" t="s">
        <v>8</v>
      </c>
      <c r="F178" s="21">
        <f>G178+H178</f>
        <v>1057</v>
      </c>
      <c r="G178" s="21">
        <f>970+87</f>
        <v>1057</v>
      </c>
      <c r="H178" s="21">
        <v>0</v>
      </c>
      <c r="I178" s="28">
        <f>J178+K178</f>
        <v>1056.97</v>
      </c>
      <c r="J178" s="28">
        <f>1057-0.03</f>
        <v>1056.97</v>
      </c>
      <c r="K178" s="28">
        <v>0</v>
      </c>
      <c r="L178" s="28">
        <f>M178+N178</f>
        <v>1056.97</v>
      </c>
      <c r="M178" s="28">
        <v>1056.97</v>
      </c>
      <c r="N178" s="28">
        <v>0</v>
      </c>
      <c r="O178" s="193"/>
    </row>
    <row r="179" spans="1:15" s="192" customFormat="1" ht="41.25" customHeight="1" x14ac:dyDescent="0.3">
      <c r="A179" s="341"/>
      <c r="B179" s="341"/>
      <c r="C179" s="342"/>
      <c r="D179" s="340"/>
      <c r="E179" s="22" t="s">
        <v>9</v>
      </c>
      <c r="F179" s="21">
        <f>G179+H179</f>
        <v>0</v>
      </c>
      <c r="G179" s="21"/>
      <c r="H179" s="21"/>
      <c r="I179" s="28">
        <f>J179+K179</f>
        <v>0</v>
      </c>
      <c r="J179" s="28"/>
      <c r="K179" s="28"/>
      <c r="L179" s="28">
        <f>M179+N179</f>
        <v>0</v>
      </c>
      <c r="M179" s="28"/>
      <c r="N179" s="28"/>
      <c r="O179" s="193"/>
    </row>
    <row r="180" spans="1:15" s="192" customFormat="1" ht="35.25" customHeight="1" x14ac:dyDescent="0.3">
      <c r="A180" s="341"/>
      <c r="B180" s="341"/>
      <c r="C180" s="342"/>
      <c r="D180" s="340"/>
      <c r="E180" s="20" t="s">
        <v>10</v>
      </c>
      <c r="F180" s="21">
        <f>G180+H180</f>
        <v>0</v>
      </c>
      <c r="G180" s="21"/>
      <c r="H180" s="21"/>
      <c r="I180" s="28">
        <f>J180+K180</f>
        <v>0</v>
      </c>
      <c r="J180" s="28"/>
      <c r="K180" s="28"/>
      <c r="L180" s="28">
        <f>M180+N180</f>
        <v>0</v>
      </c>
      <c r="M180" s="28"/>
      <c r="N180" s="28"/>
      <c r="O180" s="193"/>
    </row>
    <row r="181" spans="1:15" s="192" customFormat="1" ht="35.25" customHeight="1" x14ac:dyDescent="0.3">
      <c r="A181" s="341" t="s">
        <v>492</v>
      </c>
      <c r="B181" s="341"/>
      <c r="C181" s="342">
        <v>6014</v>
      </c>
      <c r="D181" s="340"/>
      <c r="E181" s="20"/>
      <c r="F181" s="21">
        <f t="shared" ref="F181:N181" si="60">F182+F183+F184</f>
        <v>550</v>
      </c>
      <c r="G181" s="21">
        <f t="shared" si="60"/>
        <v>550</v>
      </c>
      <c r="H181" s="21">
        <f t="shared" si="60"/>
        <v>0</v>
      </c>
      <c r="I181" s="28">
        <f t="shared" si="60"/>
        <v>550</v>
      </c>
      <c r="J181" s="28">
        <f t="shared" si="60"/>
        <v>550</v>
      </c>
      <c r="K181" s="28">
        <f t="shared" si="60"/>
        <v>0</v>
      </c>
      <c r="L181" s="28">
        <f t="shared" si="60"/>
        <v>0</v>
      </c>
      <c r="M181" s="28">
        <f t="shared" si="60"/>
        <v>0</v>
      </c>
      <c r="N181" s="28">
        <f t="shared" si="60"/>
        <v>0</v>
      </c>
      <c r="O181" s="193"/>
    </row>
    <row r="182" spans="1:15" s="192" customFormat="1" ht="35.25" customHeight="1" x14ac:dyDescent="0.3">
      <c r="A182" s="341"/>
      <c r="B182" s="341"/>
      <c r="C182" s="342"/>
      <c r="D182" s="340"/>
      <c r="E182" s="20" t="s">
        <v>8</v>
      </c>
      <c r="F182" s="21">
        <f>G182+H182</f>
        <v>550</v>
      </c>
      <c r="G182" s="21">
        <f>0+550</f>
        <v>550</v>
      </c>
      <c r="H182" s="21">
        <v>0</v>
      </c>
      <c r="I182" s="28">
        <f>J182+K182</f>
        <v>550</v>
      </c>
      <c r="J182" s="28">
        <v>550</v>
      </c>
      <c r="K182" s="28">
        <v>0</v>
      </c>
      <c r="L182" s="28">
        <f>M182+N182</f>
        <v>0</v>
      </c>
      <c r="M182" s="28">
        <v>0</v>
      </c>
      <c r="N182" s="28">
        <v>0</v>
      </c>
      <c r="O182" s="193"/>
    </row>
    <row r="183" spans="1:15" s="192" customFormat="1" ht="41.25" customHeight="1" x14ac:dyDescent="0.3">
      <c r="A183" s="341"/>
      <c r="B183" s="341"/>
      <c r="C183" s="342"/>
      <c r="D183" s="340"/>
      <c r="E183" s="22" t="s">
        <v>9</v>
      </c>
      <c r="F183" s="21">
        <f>G183+H183</f>
        <v>0</v>
      </c>
      <c r="G183" s="21"/>
      <c r="H183" s="21"/>
      <c r="I183" s="220">
        <f>J183+K183</f>
        <v>0</v>
      </c>
      <c r="J183" s="220"/>
      <c r="K183" s="220"/>
      <c r="L183" s="220">
        <f>M183+N183</f>
        <v>0</v>
      </c>
      <c r="M183" s="220"/>
      <c r="N183" s="220"/>
      <c r="O183" s="193"/>
    </row>
    <row r="184" spans="1:15" s="192" customFormat="1" ht="35.25" customHeight="1" x14ac:dyDescent="0.3">
      <c r="A184" s="341"/>
      <c r="B184" s="341"/>
      <c r="C184" s="342"/>
      <c r="D184" s="340"/>
      <c r="E184" s="20" t="s">
        <v>10</v>
      </c>
      <c r="F184" s="21">
        <f>G184+H184</f>
        <v>0</v>
      </c>
      <c r="G184" s="21"/>
      <c r="H184" s="21"/>
      <c r="I184" s="220">
        <f>J184+K184</f>
        <v>0</v>
      </c>
      <c r="J184" s="220"/>
      <c r="K184" s="220"/>
      <c r="L184" s="220">
        <f>M184+N184</f>
        <v>0</v>
      </c>
      <c r="M184" s="220"/>
      <c r="N184" s="220"/>
      <c r="O184" s="193"/>
    </row>
    <row r="185" spans="1:15" ht="35.25" customHeight="1" x14ac:dyDescent="0.3">
      <c r="A185" s="343" t="s">
        <v>350</v>
      </c>
      <c r="B185" s="344"/>
      <c r="C185" s="362" t="s">
        <v>18</v>
      </c>
      <c r="D185" s="349"/>
      <c r="E185" s="14"/>
      <c r="F185" s="15">
        <f t="shared" ref="F185:N185" si="61">F186+F187+F188</f>
        <v>5758.0300000000007</v>
      </c>
      <c r="G185" s="15">
        <f t="shared" si="61"/>
        <v>5758.0300000000007</v>
      </c>
      <c r="H185" s="15">
        <f t="shared" si="61"/>
        <v>0</v>
      </c>
      <c r="I185" s="24">
        <f t="shared" si="61"/>
        <v>5758.0199999999986</v>
      </c>
      <c r="J185" s="24">
        <f t="shared" si="61"/>
        <v>5758.0199999999986</v>
      </c>
      <c r="K185" s="24">
        <f t="shared" si="61"/>
        <v>0</v>
      </c>
      <c r="L185" s="24">
        <f t="shared" si="61"/>
        <v>4841.2900000000009</v>
      </c>
      <c r="M185" s="24">
        <f t="shared" si="61"/>
        <v>4841.2900000000009</v>
      </c>
      <c r="N185" s="24">
        <f t="shared" si="61"/>
        <v>0</v>
      </c>
      <c r="O185" s="6"/>
    </row>
    <row r="186" spans="1:15" ht="35.25" customHeight="1" x14ac:dyDescent="0.3">
      <c r="A186" s="345"/>
      <c r="B186" s="346"/>
      <c r="C186" s="363"/>
      <c r="D186" s="350"/>
      <c r="E186" s="16" t="s">
        <v>8</v>
      </c>
      <c r="F186" s="11">
        <f>G186+H186</f>
        <v>5758.0300000000007</v>
      </c>
      <c r="G186" s="11">
        <f t="shared" ref="G186:H188" si="62">G190+G194+G198+G202+G206+G210+G214+G218</f>
        <v>5758.0300000000007</v>
      </c>
      <c r="H186" s="11">
        <f t="shared" si="62"/>
        <v>0</v>
      </c>
      <c r="I186" s="13">
        <f>J186+K186</f>
        <v>5758.0199999999986</v>
      </c>
      <c r="J186" s="13">
        <f>J190+J194+J198+J202+J206+J210+J214+J218</f>
        <v>5758.0199999999986</v>
      </c>
      <c r="K186" s="13">
        <f t="shared" ref="J186:K188" si="63">K190+K194+K198+K202+K206+K210+K214+K218</f>
        <v>0</v>
      </c>
      <c r="L186" s="13">
        <f>M186+N186</f>
        <v>4841.2900000000009</v>
      </c>
      <c r="M186" s="13">
        <f>M190+M194+M198+M202+M206+M210+M214+M218</f>
        <v>4841.2900000000009</v>
      </c>
      <c r="N186" s="13">
        <f t="shared" ref="M186:N188" si="64">N190+N194+N198+N202+N206+N210+N214+N218</f>
        <v>0</v>
      </c>
      <c r="O186" s="6"/>
    </row>
    <row r="187" spans="1:15" ht="35.25" customHeight="1" x14ac:dyDescent="0.3">
      <c r="A187" s="345"/>
      <c r="B187" s="346"/>
      <c r="C187" s="363"/>
      <c r="D187" s="350"/>
      <c r="E187" s="17" t="s">
        <v>9</v>
      </c>
      <c r="F187" s="11">
        <f>G187+H187</f>
        <v>0</v>
      </c>
      <c r="G187" s="11">
        <f t="shared" si="62"/>
        <v>0</v>
      </c>
      <c r="H187" s="11">
        <f t="shared" si="62"/>
        <v>0</v>
      </c>
      <c r="I187" s="13">
        <f>J187+K187</f>
        <v>0</v>
      </c>
      <c r="J187" s="13">
        <f t="shared" si="63"/>
        <v>0</v>
      </c>
      <c r="K187" s="13">
        <f t="shared" si="63"/>
        <v>0</v>
      </c>
      <c r="L187" s="13">
        <f>M187+N187</f>
        <v>0</v>
      </c>
      <c r="M187" s="13">
        <f t="shared" si="64"/>
        <v>0</v>
      </c>
      <c r="N187" s="13">
        <f t="shared" si="64"/>
        <v>0</v>
      </c>
      <c r="O187" s="6"/>
    </row>
    <row r="188" spans="1:15" ht="35.25" customHeight="1" x14ac:dyDescent="0.3">
      <c r="A188" s="347"/>
      <c r="B188" s="348"/>
      <c r="C188" s="364"/>
      <c r="D188" s="351"/>
      <c r="E188" s="16" t="s">
        <v>10</v>
      </c>
      <c r="F188" s="11">
        <f>G188+H188</f>
        <v>0</v>
      </c>
      <c r="G188" s="11">
        <f t="shared" si="62"/>
        <v>0</v>
      </c>
      <c r="H188" s="11">
        <f t="shared" si="62"/>
        <v>0</v>
      </c>
      <c r="I188" s="13">
        <f>J188+K188</f>
        <v>0</v>
      </c>
      <c r="J188" s="13">
        <f t="shared" si="63"/>
        <v>0</v>
      </c>
      <c r="K188" s="13">
        <f t="shared" si="63"/>
        <v>0</v>
      </c>
      <c r="L188" s="13">
        <f>M188+N188</f>
        <v>0</v>
      </c>
      <c r="M188" s="13">
        <f t="shared" si="64"/>
        <v>0</v>
      </c>
      <c r="N188" s="13">
        <f t="shared" si="64"/>
        <v>0</v>
      </c>
      <c r="O188" s="6"/>
    </row>
    <row r="189" spans="1:15" ht="35.25" customHeight="1" x14ac:dyDescent="0.3">
      <c r="A189" s="341" t="s">
        <v>493</v>
      </c>
      <c r="B189" s="341"/>
      <c r="C189" s="352"/>
      <c r="D189" s="340" t="s">
        <v>597</v>
      </c>
      <c r="E189" s="20"/>
      <c r="F189" s="21">
        <f t="shared" ref="F189:N189" si="65">F190+F191+F192</f>
        <v>705.6</v>
      </c>
      <c r="G189" s="21">
        <f t="shared" si="65"/>
        <v>705.6</v>
      </c>
      <c r="H189" s="21">
        <f t="shared" si="65"/>
        <v>0</v>
      </c>
      <c r="I189" s="28">
        <f t="shared" si="65"/>
        <v>705.6</v>
      </c>
      <c r="J189" s="28">
        <f t="shared" si="65"/>
        <v>705.6</v>
      </c>
      <c r="K189" s="28">
        <f t="shared" si="65"/>
        <v>0</v>
      </c>
      <c r="L189" s="28">
        <f t="shared" si="65"/>
        <v>578.76</v>
      </c>
      <c r="M189" s="28">
        <f t="shared" si="65"/>
        <v>578.76</v>
      </c>
      <c r="N189" s="28">
        <f t="shared" si="65"/>
        <v>0</v>
      </c>
      <c r="O189" s="6"/>
    </row>
    <row r="190" spans="1:15" ht="35.25" customHeight="1" x14ac:dyDescent="0.3">
      <c r="A190" s="341"/>
      <c r="B190" s="341"/>
      <c r="C190" s="352"/>
      <c r="D190" s="340"/>
      <c r="E190" s="20" t="s">
        <v>8</v>
      </c>
      <c r="F190" s="21">
        <f>G190+H190</f>
        <v>705.6</v>
      </c>
      <c r="G190" s="21">
        <f>770-64.4</f>
        <v>705.6</v>
      </c>
      <c r="H190" s="21">
        <v>0</v>
      </c>
      <c r="I190" s="28">
        <f>J190+K190</f>
        <v>705.6</v>
      </c>
      <c r="J190" s="28">
        <v>705.6</v>
      </c>
      <c r="K190" s="28">
        <v>0</v>
      </c>
      <c r="L190" s="28">
        <f>M190+N190</f>
        <v>578.76</v>
      </c>
      <c r="M190" s="28">
        <v>578.76</v>
      </c>
      <c r="N190" s="28">
        <v>0</v>
      </c>
      <c r="O190" s="6"/>
    </row>
    <row r="191" spans="1:15" ht="35.25" customHeight="1" x14ac:dyDescent="0.3">
      <c r="A191" s="341"/>
      <c r="B191" s="341"/>
      <c r="C191" s="352"/>
      <c r="D191" s="340"/>
      <c r="E191" s="22" t="s">
        <v>9</v>
      </c>
      <c r="F191" s="21">
        <f>G191+H191</f>
        <v>0</v>
      </c>
      <c r="G191" s="21"/>
      <c r="H191" s="21"/>
      <c r="I191" s="28">
        <f>J191+K191</f>
        <v>0</v>
      </c>
      <c r="J191" s="28"/>
      <c r="K191" s="28"/>
      <c r="L191" s="28">
        <f>M191+N191</f>
        <v>0</v>
      </c>
      <c r="M191" s="28"/>
      <c r="N191" s="28"/>
      <c r="O191" s="6"/>
    </row>
    <row r="192" spans="1:15" ht="35.25" customHeight="1" x14ac:dyDescent="0.3">
      <c r="A192" s="341"/>
      <c r="B192" s="341"/>
      <c r="C192" s="352"/>
      <c r="D192" s="340"/>
      <c r="E192" s="20" t="s">
        <v>10</v>
      </c>
      <c r="F192" s="21">
        <f>G192+H192</f>
        <v>0</v>
      </c>
      <c r="G192" s="21"/>
      <c r="H192" s="21"/>
      <c r="I192" s="28">
        <f>J192+K192</f>
        <v>0</v>
      </c>
      <c r="J192" s="28"/>
      <c r="K192" s="28"/>
      <c r="L192" s="28">
        <f>M192+N192</f>
        <v>0</v>
      </c>
      <c r="M192" s="28"/>
      <c r="N192" s="28"/>
      <c r="O192" s="6"/>
    </row>
    <row r="193" spans="1:15" ht="35.25" customHeight="1" x14ac:dyDescent="0.3">
      <c r="A193" s="341" t="s">
        <v>494</v>
      </c>
      <c r="B193" s="341"/>
      <c r="C193" s="352"/>
      <c r="D193" s="340" t="s">
        <v>596</v>
      </c>
      <c r="E193" s="20"/>
      <c r="F193" s="21">
        <f t="shared" ref="F193:N193" si="66">F194+F195+F196</f>
        <v>150</v>
      </c>
      <c r="G193" s="21">
        <f t="shared" si="66"/>
        <v>150</v>
      </c>
      <c r="H193" s="21">
        <f t="shared" si="66"/>
        <v>0</v>
      </c>
      <c r="I193" s="28">
        <f t="shared" si="66"/>
        <v>150</v>
      </c>
      <c r="J193" s="28">
        <f t="shared" si="66"/>
        <v>150</v>
      </c>
      <c r="K193" s="28">
        <f t="shared" si="66"/>
        <v>0</v>
      </c>
      <c r="L193" s="28">
        <f t="shared" si="66"/>
        <v>140.04</v>
      </c>
      <c r="M193" s="28">
        <f t="shared" si="66"/>
        <v>140.04</v>
      </c>
      <c r="N193" s="28">
        <f t="shared" si="66"/>
        <v>0</v>
      </c>
      <c r="O193" s="6"/>
    </row>
    <row r="194" spans="1:15" ht="35.25" customHeight="1" x14ac:dyDescent="0.3">
      <c r="A194" s="341"/>
      <c r="B194" s="341"/>
      <c r="C194" s="352"/>
      <c r="D194" s="340"/>
      <c r="E194" s="20" t="s">
        <v>8</v>
      </c>
      <c r="F194" s="21">
        <f>G194+H194</f>
        <v>150</v>
      </c>
      <c r="G194" s="21">
        <f>200-50</f>
        <v>150</v>
      </c>
      <c r="H194" s="21">
        <v>0</v>
      </c>
      <c r="I194" s="28">
        <f>J194+K194</f>
        <v>150</v>
      </c>
      <c r="J194" s="28">
        <v>150</v>
      </c>
      <c r="K194" s="28">
        <v>0</v>
      </c>
      <c r="L194" s="28">
        <f>M194+N194</f>
        <v>140.04</v>
      </c>
      <c r="M194" s="28">
        <v>140.04</v>
      </c>
      <c r="N194" s="28">
        <v>0</v>
      </c>
      <c r="O194" s="6"/>
    </row>
    <row r="195" spans="1:15" ht="35.25" customHeight="1" x14ac:dyDescent="0.3">
      <c r="A195" s="341"/>
      <c r="B195" s="341"/>
      <c r="C195" s="352"/>
      <c r="D195" s="340"/>
      <c r="E195" s="22" t="s">
        <v>9</v>
      </c>
      <c r="F195" s="21">
        <f>G195+H195</f>
        <v>0</v>
      </c>
      <c r="G195" s="21"/>
      <c r="H195" s="21"/>
      <c r="I195" s="28">
        <f>J195+K195</f>
        <v>0</v>
      </c>
      <c r="J195" s="28"/>
      <c r="K195" s="28"/>
      <c r="L195" s="28">
        <f>M195+N195</f>
        <v>0</v>
      </c>
      <c r="M195" s="28"/>
      <c r="N195" s="28"/>
      <c r="O195" s="6"/>
    </row>
    <row r="196" spans="1:15" ht="35.25" customHeight="1" x14ac:dyDescent="0.3">
      <c r="A196" s="341"/>
      <c r="B196" s="341"/>
      <c r="C196" s="352"/>
      <c r="D196" s="340"/>
      <c r="E196" s="20" t="s">
        <v>10</v>
      </c>
      <c r="F196" s="21">
        <f>G196+H196</f>
        <v>0</v>
      </c>
      <c r="G196" s="21"/>
      <c r="H196" s="21"/>
      <c r="I196" s="28">
        <f>J196+K196</f>
        <v>0</v>
      </c>
      <c r="J196" s="28"/>
      <c r="K196" s="28"/>
      <c r="L196" s="28">
        <f>M196+N196</f>
        <v>0</v>
      </c>
      <c r="M196" s="28"/>
      <c r="N196" s="28"/>
      <c r="O196" s="6"/>
    </row>
    <row r="197" spans="1:15" ht="47.25" customHeight="1" x14ac:dyDescent="0.3">
      <c r="A197" s="341" t="s">
        <v>552</v>
      </c>
      <c r="B197" s="341"/>
      <c r="C197" s="352"/>
      <c r="D197" s="340" t="s">
        <v>628</v>
      </c>
      <c r="E197" s="20"/>
      <c r="F197" s="21">
        <f t="shared" ref="F197:N197" si="67">F198+F199+F200</f>
        <v>892.3</v>
      </c>
      <c r="G197" s="21">
        <f t="shared" si="67"/>
        <v>892.3</v>
      </c>
      <c r="H197" s="21">
        <f t="shared" si="67"/>
        <v>0</v>
      </c>
      <c r="I197" s="28">
        <f t="shared" si="67"/>
        <v>892.29</v>
      </c>
      <c r="J197" s="28">
        <f t="shared" si="67"/>
        <v>892.29</v>
      </c>
      <c r="K197" s="28">
        <f t="shared" si="67"/>
        <v>0</v>
      </c>
      <c r="L197" s="28">
        <f t="shared" si="67"/>
        <v>776.25</v>
      </c>
      <c r="M197" s="28">
        <f t="shared" si="67"/>
        <v>776.25</v>
      </c>
      <c r="N197" s="28">
        <f t="shared" si="67"/>
        <v>0</v>
      </c>
      <c r="O197" s="6"/>
    </row>
    <row r="198" spans="1:15" ht="46.5" customHeight="1" x14ac:dyDescent="0.3">
      <c r="A198" s="341"/>
      <c r="B198" s="341"/>
      <c r="C198" s="352"/>
      <c r="D198" s="340"/>
      <c r="E198" s="20" t="s">
        <v>8</v>
      </c>
      <c r="F198" s="21">
        <f>G198+H198</f>
        <v>892.3</v>
      </c>
      <c r="G198" s="21">
        <f>3690-2893.42+95.72</f>
        <v>892.3</v>
      </c>
      <c r="H198" s="21">
        <v>0</v>
      </c>
      <c r="I198" s="28">
        <f>J198+K198</f>
        <v>892.29</v>
      </c>
      <c r="J198" s="28">
        <v>892.29</v>
      </c>
      <c r="K198" s="28">
        <v>0</v>
      </c>
      <c r="L198" s="28">
        <f>M198+N198</f>
        <v>776.25</v>
      </c>
      <c r="M198" s="28">
        <f>776.25-0.01+0.01</f>
        <v>776.25</v>
      </c>
      <c r="N198" s="28">
        <v>0</v>
      </c>
      <c r="O198" s="6"/>
    </row>
    <row r="199" spans="1:15" ht="67.5" customHeight="1" x14ac:dyDescent="0.3">
      <c r="A199" s="341"/>
      <c r="B199" s="341"/>
      <c r="C199" s="352"/>
      <c r="D199" s="340"/>
      <c r="E199" s="22" t="s">
        <v>9</v>
      </c>
      <c r="F199" s="21">
        <f>G199+H199</f>
        <v>0</v>
      </c>
      <c r="G199" s="21"/>
      <c r="H199" s="21"/>
      <c r="I199" s="28">
        <f>J199+K199</f>
        <v>0</v>
      </c>
      <c r="J199" s="28"/>
      <c r="K199" s="28"/>
      <c r="L199" s="28">
        <f>M199+N199</f>
        <v>0</v>
      </c>
      <c r="M199" s="28"/>
      <c r="N199" s="28"/>
      <c r="O199" s="6"/>
    </row>
    <row r="200" spans="1:15" ht="78.75" customHeight="1" x14ac:dyDescent="0.3">
      <c r="A200" s="341"/>
      <c r="B200" s="341"/>
      <c r="C200" s="352"/>
      <c r="D200" s="340"/>
      <c r="E200" s="20" t="s">
        <v>10</v>
      </c>
      <c r="F200" s="21">
        <f>G200+H200</f>
        <v>0</v>
      </c>
      <c r="G200" s="21"/>
      <c r="H200" s="21"/>
      <c r="I200" s="28">
        <f>J200+K200</f>
        <v>0</v>
      </c>
      <c r="J200" s="28"/>
      <c r="K200" s="28"/>
      <c r="L200" s="28">
        <f>M200+N200</f>
        <v>0</v>
      </c>
      <c r="M200" s="28"/>
      <c r="N200" s="28"/>
      <c r="O200" s="6"/>
    </row>
    <row r="201" spans="1:15" ht="35.25" customHeight="1" x14ac:dyDescent="0.3">
      <c r="A201" s="341" t="s">
        <v>495</v>
      </c>
      <c r="B201" s="341"/>
      <c r="C201" s="352"/>
      <c r="D201" s="340" t="s">
        <v>595</v>
      </c>
      <c r="E201" s="20"/>
      <c r="F201" s="21">
        <f t="shared" ref="F201:N201" si="68">F202+F203+F204</f>
        <v>962.09999999999991</v>
      </c>
      <c r="G201" s="21">
        <f t="shared" si="68"/>
        <v>962.09999999999991</v>
      </c>
      <c r="H201" s="21">
        <f t="shared" si="68"/>
        <v>0</v>
      </c>
      <c r="I201" s="28">
        <f t="shared" si="68"/>
        <v>962.1</v>
      </c>
      <c r="J201" s="28">
        <f t="shared" si="68"/>
        <v>962.1</v>
      </c>
      <c r="K201" s="28">
        <f t="shared" si="68"/>
        <v>0</v>
      </c>
      <c r="L201" s="28">
        <f t="shared" si="68"/>
        <v>928.83</v>
      </c>
      <c r="M201" s="28">
        <f t="shared" si="68"/>
        <v>928.83</v>
      </c>
      <c r="N201" s="28">
        <f t="shared" si="68"/>
        <v>0</v>
      </c>
      <c r="O201" s="6"/>
    </row>
    <row r="202" spans="1:15" ht="35.25" customHeight="1" x14ac:dyDescent="0.3">
      <c r="A202" s="341"/>
      <c r="B202" s="341"/>
      <c r="C202" s="352"/>
      <c r="D202" s="340"/>
      <c r="E202" s="20" t="s">
        <v>8</v>
      </c>
      <c r="F202" s="21">
        <f>G202+H202</f>
        <v>962.09999999999991</v>
      </c>
      <c r="G202" s="21">
        <f>2505-1542.9</f>
        <v>962.09999999999991</v>
      </c>
      <c r="H202" s="21">
        <v>0</v>
      </c>
      <c r="I202" s="28">
        <f>J202+K202</f>
        <v>962.1</v>
      </c>
      <c r="J202" s="28">
        <v>962.1</v>
      </c>
      <c r="K202" s="28">
        <v>0</v>
      </c>
      <c r="L202" s="28">
        <f>M202+N202</f>
        <v>928.83</v>
      </c>
      <c r="M202" s="28">
        <v>928.83</v>
      </c>
      <c r="N202" s="28">
        <v>0</v>
      </c>
      <c r="O202" s="6"/>
    </row>
    <row r="203" spans="1:15" ht="35.25" customHeight="1" x14ac:dyDescent="0.3">
      <c r="A203" s="341"/>
      <c r="B203" s="341"/>
      <c r="C203" s="352"/>
      <c r="D203" s="340"/>
      <c r="E203" s="22" t="s">
        <v>9</v>
      </c>
      <c r="F203" s="21">
        <f>G203+H203</f>
        <v>0</v>
      </c>
      <c r="G203" s="21"/>
      <c r="H203" s="21"/>
      <c r="I203" s="28">
        <f>J203+K203</f>
        <v>0</v>
      </c>
      <c r="J203" s="28"/>
      <c r="K203" s="28"/>
      <c r="L203" s="28">
        <f>M203+N203</f>
        <v>0</v>
      </c>
      <c r="M203" s="28"/>
      <c r="N203" s="28"/>
      <c r="O203" s="6"/>
    </row>
    <row r="204" spans="1:15" ht="35.25" customHeight="1" x14ac:dyDescent="0.3">
      <c r="A204" s="341"/>
      <c r="B204" s="341"/>
      <c r="C204" s="352"/>
      <c r="D204" s="340"/>
      <c r="E204" s="20" t="s">
        <v>10</v>
      </c>
      <c r="F204" s="21">
        <f>G204+H204</f>
        <v>0</v>
      </c>
      <c r="G204" s="21"/>
      <c r="H204" s="21"/>
      <c r="I204" s="28">
        <f>J204+K204</f>
        <v>0</v>
      </c>
      <c r="J204" s="28"/>
      <c r="K204" s="28"/>
      <c r="L204" s="28">
        <f>M204+N204</f>
        <v>0</v>
      </c>
      <c r="M204" s="28"/>
      <c r="N204" s="28"/>
      <c r="O204" s="6"/>
    </row>
    <row r="205" spans="1:15" ht="35.25" customHeight="1" x14ac:dyDescent="0.3">
      <c r="A205" s="341" t="s">
        <v>496</v>
      </c>
      <c r="B205" s="341"/>
      <c r="C205" s="352"/>
      <c r="D205" s="340" t="s">
        <v>594</v>
      </c>
      <c r="E205" s="20"/>
      <c r="F205" s="21">
        <f t="shared" ref="F205:N205" si="69">F206+F207+F208</f>
        <v>150</v>
      </c>
      <c r="G205" s="21">
        <f t="shared" si="69"/>
        <v>150</v>
      </c>
      <c r="H205" s="21">
        <f t="shared" si="69"/>
        <v>0</v>
      </c>
      <c r="I205" s="28">
        <f t="shared" si="69"/>
        <v>150</v>
      </c>
      <c r="J205" s="28">
        <f t="shared" si="69"/>
        <v>150</v>
      </c>
      <c r="K205" s="28">
        <f t="shared" si="69"/>
        <v>0</v>
      </c>
      <c r="L205" s="28">
        <f t="shared" si="69"/>
        <v>137.59</v>
      </c>
      <c r="M205" s="28">
        <f t="shared" si="69"/>
        <v>137.59</v>
      </c>
      <c r="N205" s="28">
        <f t="shared" si="69"/>
        <v>0</v>
      </c>
      <c r="O205" s="6"/>
    </row>
    <row r="206" spans="1:15" ht="35.25" customHeight="1" x14ac:dyDescent="0.3">
      <c r="A206" s="341"/>
      <c r="B206" s="341"/>
      <c r="C206" s="352"/>
      <c r="D206" s="340"/>
      <c r="E206" s="20" t="s">
        <v>8</v>
      </c>
      <c r="F206" s="21">
        <f>G206+H206</f>
        <v>150</v>
      </c>
      <c r="G206" s="21">
        <f>300-150</f>
        <v>150</v>
      </c>
      <c r="H206" s="21">
        <v>0</v>
      </c>
      <c r="I206" s="28">
        <f>J206+K206</f>
        <v>150</v>
      </c>
      <c r="J206" s="28">
        <v>150</v>
      </c>
      <c r="K206" s="28">
        <v>0</v>
      </c>
      <c r="L206" s="28">
        <f>M206+N206</f>
        <v>137.59</v>
      </c>
      <c r="M206" s="28">
        <v>137.59</v>
      </c>
      <c r="N206" s="28">
        <v>0</v>
      </c>
      <c r="O206" s="6"/>
    </row>
    <row r="207" spans="1:15" ht="35.25" customHeight="1" x14ac:dyDescent="0.3">
      <c r="A207" s="341"/>
      <c r="B207" s="341"/>
      <c r="C207" s="352"/>
      <c r="D207" s="340"/>
      <c r="E207" s="22" t="s">
        <v>9</v>
      </c>
      <c r="F207" s="21">
        <f>G207+H207</f>
        <v>0</v>
      </c>
      <c r="G207" s="21"/>
      <c r="H207" s="21"/>
      <c r="I207" s="28">
        <f>J207+K207</f>
        <v>0</v>
      </c>
      <c r="J207" s="28"/>
      <c r="K207" s="28"/>
      <c r="L207" s="28">
        <f>M207+N207</f>
        <v>0</v>
      </c>
      <c r="M207" s="28"/>
      <c r="N207" s="28"/>
      <c r="O207" s="6"/>
    </row>
    <row r="208" spans="1:15" ht="35.25" customHeight="1" x14ac:dyDescent="0.3">
      <c r="A208" s="341"/>
      <c r="B208" s="341"/>
      <c r="C208" s="352"/>
      <c r="D208" s="340"/>
      <c r="E208" s="20" t="s">
        <v>10</v>
      </c>
      <c r="F208" s="21">
        <f>G208+H208</f>
        <v>0</v>
      </c>
      <c r="G208" s="21"/>
      <c r="H208" s="21"/>
      <c r="I208" s="28">
        <f>J208+K208</f>
        <v>0</v>
      </c>
      <c r="J208" s="28"/>
      <c r="K208" s="28"/>
      <c r="L208" s="28">
        <f>M208+N208</f>
        <v>0</v>
      </c>
      <c r="M208" s="28"/>
      <c r="N208" s="28"/>
      <c r="O208" s="6"/>
    </row>
    <row r="209" spans="1:15" ht="35.25" customHeight="1" x14ac:dyDescent="0.3">
      <c r="A209" s="341" t="s">
        <v>497</v>
      </c>
      <c r="B209" s="341"/>
      <c r="C209" s="352"/>
      <c r="D209" s="340" t="s">
        <v>593</v>
      </c>
      <c r="E209" s="20"/>
      <c r="F209" s="21">
        <f t="shared" ref="F209:N209" si="70">F210+F211+F212</f>
        <v>2378.2200000000003</v>
      </c>
      <c r="G209" s="21">
        <f t="shared" si="70"/>
        <v>2378.2200000000003</v>
      </c>
      <c r="H209" s="21">
        <f t="shared" si="70"/>
        <v>0</v>
      </c>
      <c r="I209" s="28">
        <f t="shared" si="70"/>
        <v>2378.2199999999998</v>
      </c>
      <c r="J209" s="28">
        <f t="shared" si="70"/>
        <v>2378.2199999999998</v>
      </c>
      <c r="K209" s="28">
        <f t="shared" si="70"/>
        <v>0</v>
      </c>
      <c r="L209" s="28">
        <f t="shared" si="70"/>
        <v>1760.01</v>
      </c>
      <c r="M209" s="28">
        <f t="shared" si="70"/>
        <v>1760.01</v>
      </c>
      <c r="N209" s="28">
        <f t="shared" si="70"/>
        <v>0</v>
      </c>
      <c r="O209" s="6"/>
    </row>
    <row r="210" spans="1:15" ht="35.25" customHeight="1" x14ac:dyDescent="0.3">
      <c r="A210" s="341"/>
      <c r="B210" s="341"/>
      <c r="C210" s="352"/>
      <c r="D210" s="340"/>
      <c r="E210" s="20" t="s">
        <v>8</v>
      </c>
      <c r="F210" s="21">
        <f>G210+H210</f>
        <v>2378.2200000000003</v>
      </c>
      <c r="G210" s="21">
        <f>3000-621.78</f>
        <v>2378.2200000000003</v>
      </c>
      <c r="H210" s="21">
        <v>0</v>
      </c>
      <c r="I210" s="28">
        <f>J210+K210</f>
        <v>2378.2199999999998</v>
      </c>
      <c r="J210" s="28">
        <v>2378.2199999999998</v>
      </c>
      <c r="K210" s="28">
        <v>0</v>
      </c>
      <c r="L210" s="28">
        <f>M210+N210</f>
        <v>1760.01</v>
      </c>
      <c r="M210" s="28">
        <v>1760.01</v>
      </c>
      <c r="N210" s="28">
        <v>0</v>
      </c>
      <c r="O210" s="6"/>
    </row>
    <row r="211" spans="1:15" ht="35.25" customHeight="1" x14ac:dyDescent="0.3">
      <c r="A211" s="341"/>
      <c r="B211" s="341"/>
      <c r="C211" s="352"/>
      <c r="D211" s="340"/>
      <c r="E211" s="22" t="s">
        <v>9</v>
      </c>
      <c r="F211" s="21">
        <f>G211+H211</f>
        <v>0</v>
      </c>
      <c r="G211" s="21"/>
      <c r="H211" s="21"/>
      <c r="I211" s="28">
        <f>J211+K211</f>
        <v>0</v>
      </c>
      <c r="J211" s="28"/>
      <c r="K211" s="28"/>
      <c r="L211" s="28">
        <f>M211+N211</f>
        <v>0</v>
      </c>
      <c r="M211" s="28"/>
      <c r="N211" s="28"/>
      <c r="O211" s="6"/>
    </row>
    <row r="212" spans="1:15" ht="35.25" customHeight="1" x14ac:dyDescent="0.3">
      <c r="A212" s="341"/>
      <c r="B212" s="341"/>
      <c r="C212" s="352"/>
      <c r="D212" s="340"/>
      <c r="E212" s="20" t="s">
        <v>10</v>
      </c>
      <c r="F212" s="21">
        <f>G212+H212</f>
        <v>0</v>
      </c>
      <c r="G212" s="21"/>
      <c r="H212" s="21"/>
      <c r="I212" s="28">
        <f>J212+K212</f>
        <v>0</v>
      </c>
      <c r="J212" s="28"/>
      <c r="K212" s="28"/>
      <c r="L212" s="28">
        <f>M212+N212</f>
        <v>0</v>
      </c>
      <c r="M212" s="28"/>
      <c r="N212" s="28"/>
      <c r="O212" s="6"/>
    </row>
    <row r="213" spans="1:15" ht="35.25" customHeight="1" x14ac:dyDescent="0.3">
      <c r="A213" s="341" t="s">
        <v>498</v>
      </c>
      <c r="B213" s="341"/>
      <c r="C213" s="352"/>
      <c r="D213" s="340" t="s">
        <v>592</v>
      </c>
      <c r="E213" s="20"/>
      <c r="F213" s="21">
        <f t="shared" ref="F213:N213" si="71">F214+F215+F216</f>
        <v>519.80999999999995</v>
      </c>
      <c r="G213" s="21">
        <f t="shared" si="71"/>
        <v>519.80999999999995</v>
      </c>
      <c r="H213" s="21">
        <f t="shared" si="71"/>
        <v>0</v>
      </c>
      <c r="I213" s="28">
        <f t="shared" si="71"/>
        <v>519.80999999999995</v>
      </c>
      <c r="J213" s="28">
        <f t="shared" si="71"/>
        <v>519.80999999999995</v>
      </c>
      <c r="K213" s="28">
        <f t="shared" si="71"/>
        <v>0</v>
      </c>
      <c r="L213" s="28">
        <f t="shared" si="71"/>
        <v>519.80999999999995</v>
      </c>
      <c r="M213" s="28">
        <f t="shared" si="71"/>
        <v>519.80999999999995</v>
      </c>
      <c r="N213" s="28">
        <f t="shared" si="71"/>
        <v>0</v>
      </c>
      <c r="O213" s="6"/>
    </row>
    <row r="214" spans="1:15" ht="35.25" customHeight="1" x14ac:dyDescent="0.3">
      <c r="A214" s="341"/>
      <c r="B214" s="341"/>
      <c r="C214" s="352"/>
      <c r="D214" s="340"/>
      <c r="E214" s="20" t="s">
        <v>8</v>
      </c>
      <c r="F214" s="21">
        <f>G214+H214</f>
        <v>519.80999999999995</v>
      </c>
      <c r="G214" s="21">
        <v>519.80999999999995</v>
      </c>
      <c r="H214" s="21">
        <v>0</v>
      </c>
      <c r="I214" s="28">
        <f>J214+K214</f>
        <v>519.80999999999995</v>
      </c>
      <c r="J214" s="28">
        <v>519.80999999999995</v>
      </c>
      <c r="K214" s="28">
        <v>0</v>
      </c>
      <c r="L214" s="28">
        <f>M214+N214</f>
        <v>519.80999999999995</v>
      </c>
      <c r="M214" s="28">
        <v>519.80999999999995</v>
      </c>
      <c r="N214" s="28">
        <v>0</v>
      </c>
      <c r="O214" s="6"/>
    </row>
    <row r="215" spans="1:15" ht="35.25" customHeight="1" x14ac:dyDescent="0.3">
      <c r="A215" s="341"/>
      <c r="B215" s="341"/>
      <c r="C215" s="352"/>
      <c r="D215" s="340"/>
      <c r="E215" s="22" t="s">
        <v>9</v>
      </c>
      <c r="F215" s="21">
        <f>G215+H215</f>
        <v>0</v>
      </c>
      <c r="G215" s="21"/>
      <c r="H215" s="21"/>
      <c r="I215" s="28">
        <f>J215+K215</f>
        <v>0</v>
      </c>
      <c r="J215" s="28"/>
      <c r="K215" s="28"/>
      <c r="L215" s="28">
        <f>M215+N215</f>
        <v>0</v>
      </c>
      <c r="M215" s="28"/>
      <c r="N215" s="28"/>
      <c r="O215" s="6"/>
    </row>
    <row r="216" spans="1:15" ht="35.25" customHeight="1" x14ac:dyDescent="0.3">
      <c r="A216" s="341"/>
      <c r="B216" s="341"/>
      <c r="C216" s="352"/>
      <c r="D216" s="340"/>
      <c r="E216" s="20" t="s">
        <v>10</v>
      </c>
      <c r="F216" s="21">
        <f>G216+H216</f>
        <v>0</v>
      </c>
      <c r="G216" s="21"/>
      <c r="H216" s="21"/>
      <c r="I216" s="28">
        <f>J216+K216</f>
        <v>0</v>
      </c>
      <c r="J216" s="28"/>
      <c r="K216" s="28"/>
      <c r="L216" s="28">
        <f>M216+N216</f>
        <v>0</v>
      </c>
      <c r="M216" s="28"/>
      <c r="N216" s="28"/>
      <c r="O216" s="6"/>
    </row>
    <row r="217" spans="1:15" ht="35.25" customHeight="1" x14ac:dyDescent="0.3">
      <c r="A217" s="341" t="s">
        <v>499</v>
      </c>
      <c r="B217" s="341"/>
      <c r="C217" s="352"/>
      <c r="D217" s="340"/>
      <c r="E217" s="20"/>
      <c r="F217" s="21">
        <f t="shared" ref="F217:N217" si="72">F218+F219+F220</f>
        <v>0</v>
      </c>
      <c r="G217" s="21">
        <f t="shared" si="72"/>
        <v>0</v>
      </c>
      <c r="H217" s="21">
        <f t="shared" si="72"/>
        <v>0</v>
      </c>
      <c r="I217" s="28">
        <f t="shared" si="72"/>
        <v>0</v>
      </c>
      <c r="J217" s="28">
        <f t="shared" si="72"/>
        <v>0</v>
      </c>
      <c r="K217" s="28">
        <f t="shared" si="72"/>
        <v>0</v>
      </c>
      <c r="L217" s="28">
        <f t="shared" si="72"/>
        <v>0</v>
      </c>
      <c r="M217" s="28">
        <f t="shared" si="72"/>
        <v>0</v>
      </c>
      <c r="N217" s="28">
        <f t="shared" si="72"/>
        <v>0</v>
      </c>
      <c r="O217" s="6"/>
    </row>
    <row r="218" spans="1:15" ht="35.25" customHeight="1" x14ac:dyDescent="0.3">
      <c r="A218" s="341"/>
      <c r="B218" s="341"/>
      <c r="C218" s="352"/>
      <c r="D218" s="340"/>
      <c r="E218" s="20" t="s">
        <v>8</v>
      </c>
      <c r="F218" s="21">
        <f>G218+H218</f>
        <v>0</v>
      </c>
      <c r="G218" s="21"/>
      <c r="H218" s="21">
        <v>0</v>
      </c>
      <c r="I218" s="28">
        <f>J218+K218</f>
        <v>0</v>
      </c>
      <c r="J218" s="28">
        <v>0</v>
      </c>
      <c r="K218" s="28">
        <v>0</v>
      </c>
      <c r="L218" s="28">
        <f>M218+N218</f>
        <v>0</v>
      </c>
      <c r="M218" s="28">
        <v>0</v>
      </c>
      <c r="N218" s="28">
        <v>0</v>
      </c>
      <c r="O218" s="6"/>
    </row>
    <row r="219" spans="1:15" ht="35.25" customHeight="1" x14ac:dyDescent="0.3">
      <c r="A219" s="341"/>
      <c r="B219" s="341"/>
      <c r="C219" s="352"/>
      <c r="D219" s="340"/>
      <c r="E219" s="22" t="s">
        <v>9</v>
      </c>
      <c r="F219" s="21">
        <f>G219+H219</f>
        <v>0</v>
      </c>
      <c r="G219" s="21"/>
      <c r="H219" s="21"/>
      <c r="I219" s="28">
        <f>J219+K219</f>
        <v>0</v>
      </c>
      <c r="J219" s="28"/>
      <c r="K219" s="28"/>
      <c r="L219" s="28">
        <f>M219+N219</f>
        <v>0</v>
      </c>
      <c r="M219" s="28"/>
      <c r="N219" s="28"/>
      <c r="O219" s="6"/>
    </row>
    <row r="220" spans="1:15" ht="35.25" customHeight="1" x14ac:dyDescent="0.3">
      <c r="A220" s="341"/>
      <c r="B220" s="341"/>
      <c r="C220" s="352"/>
      <c r="D220" s="340"/>
      <c r="E220" s="20" t="s">
        <v>10</v>
      </c>
      <c r="F220" s="21">
        <f>G220+H220</f>
        <v>0</v>
      </c>
      <c r="G220" s="21"/>
      <c r="H220" s="21"/>
      <c r="I220" s="28">
        <f>J220+K220</f>
        <v>0</v>
      </c>
      <c r="J220" s="28"/>
      <c r="K220" s="28"/>
      <c r="L220" s="28">
        <f>M220+N220</f>
        <v>0</v>
      </c>
      <c r="M220" s="28"/>
      <c r="N220" s="28"/>
      <c r="O220" s="6"/>
    </row>
    <row r="221" spans="1:15" ht="35.25" customHeight="1" x14ac:dyDescent="0.3">
      <c r="A221" s="343" t="s">
        <v>351</v>
      </c>
      <c r="B221" s="344"/>
      <c r="C221" s="353" t="s">
        <v>18</v>
      </c>
      <c r="D221" s="356" t="s">
        <v>591</v>
      </c>
      <c r="E221" s="23"/>
      <c r="F221" s="24">
        <f t="shared" ref="F221:N221" si="73">F222+F223+F224</f>
        <v>2350</v>
      </c>
      <c r="G221" s="24">
        <f t="shared" si="73"/>
        <v>2350</v>
      </c>
      <c r="H221" s="24">
        <f t="shared" si="73"/>
        <v>0</v>
      </c>
      <c r="I221" s="24">
        <f t="shared" si="73"/>
        <v>2350</v>
      </c>
      <c r="J221" s="24">
        <f t="shared" si="73"/>
        <v>2350</v>
      </c>
      <c r="K221" s="24">
        <f t="shared" si="73"/>
        <v>0</v>
      </c>
      <c r="L221" s="24">
        <f t="shared" si="73"/>
        <v>2349.3200000000002</v>
      </c>
      <c r="M221" s="24">
        <f t="shared" si="73"/>
        <v>2349.3200000000002</v>
      </c>
      <c r="N221" s="24">
        <f t="shared" si="73"/>
        <v>0</v>
      </c>
      <c r="O221" s="6"/>
    </row>
    <row r="222" spans="1:15" ht="35.25" customHeight="1" x14ac:dyDescent="0.3">
      <c r="A222" s="345"/>
      <c r="B222" s="346"/>
      <c r="C222" s="354"/>
      <c r="D222" s="357"/>
      <c r="E222" s="25" t="s">
        <v>8</v>
      </c>
      <c r="F222" s="13">
        <f>G222+H222</f>
        <v>2350</v>
      </c>
      <c r="G222" s="13">
        <f>3192.5-842.5</f>
        <v>2350</v>
      </c>
      <c r="H222" s="13">
        <v>0</v>
      </c>
      <c r="I222" s="13">
        <f>J222+K222</f>
        <v>2350</v>
      </c>
      <c r="J222" s="13">
        <v>2350</v>
      </c>
      <c r="K222" s="13">
        <v>0</v>
      </c>
      <c r="L222" s="13">
        <f>M222+N222</f>
        <v>2349.3200000000002</v>
      </c>
      <c r="M222" s="13">
        <v>2349.3200000000002</v>
      </c>
      <c r="N222" s="13">
        <v>0</v>
      </c>
      <c r="O222" s="6"/>
    </row>
    <row r="223" spans="1:15" ht="60" customHeight="1" x14ac:dyDescent="0.3">
      <c r="A223" s="345"/>
      <c r="B223" s="346"/>
      <c r="C223" s="354"/>
      <c r="D223" s="357"/>
      <c r="E223" s="26" t="s">
        <v>9</v>
      </c>
      <c r="F223" s="13">
        <f>G223+H223</f>
        <v>0</v>
      </c>
      <c r="G223" s="13">
        <f>G227+G231</f>
        <v>0</v>
      </c>
      <c r="H223" s="13">
        <f>H227+H231</f>
        <v>0</v>
      </c>
      <c r="I223" s="13">
        <f>J223+K223</f>
        <v>0</v>
      </c>
      <c r="J223" s="13">
        <f>J227+J231</f>
        <v>0</v>
      </c>
      <c r="K223" s="13">
        <f>K227+K231</f>
        <v>0</v>
      </c>
      <c r="L223" s="13">
        <f>M223+N223</f>
        <v>0</v>
      </c>
      <c r="M223" s="13">
        <f>M227+M231</f>
        <v>0</v>
      </c>
      <c r="N223" s="13">
        <f>N227+N231</f>
        <v>0</v>
      </c>
      <c r="O223" s="6"/>
    </row>
    <row r="224" spans="1:15" ht="58.5" customHeight="1" x14ac:dyDescent="0.3">
      <c r="A224" s="347"/>
      <c r="B224" s="348"/>
      <c r="C224" s="355"/>
      <c r="D224" s="358"/>
      <c r="E224" s="25" t="s">
        <v>10</v>
      </c>
      <c r="F224" s="13">
        <f>G224+H224</f>
        <v>0</v>
      </c>
      <c r="G224" s="13">
        <f>G228+G232</f>
        <v>0</v>
      </c>
      <c r="H224" s="13">
        <f>H228+H232</f>
        <v>0</v>
      </c>
      <c r="I224" s="13">
        <f>J224+K224</f>
        <v>0</v>
      </c>
      <c r="J224" s="13">
        <f>J228+J232</f>
        <v>0</v>
      </c>
      <c r="K224" s="13">
        <f>K228+K232</f>
        <v>0</v>
      </c>
      <c r="L224" s="13">
        <f>M224+N224</f>
        <v>0</v>
      </c>
      <c r="M224" s="13">
        <f>M228+M232</f>
        <v>0</v>
      </c>
      <c r="N224" s="13">
        <f>N228+N232</f>
        <v>0</v>
      </c>
      <c r="O224" s="6"/>
    </row>
    <row r="225" spans="1:15" ht="35.25" customHeight="1" x14ac:dyDescent="0.3">
      <c r="A225" s="343" t="s">
        <v>380</v>
      </c>
      <c r="B225" s="344"/>
      <c r="C225" s="353" t="s">
        <v>18</v>
      </c>
      <c r="D225" s="359" t="s">
        <v>590</v>
      </c>
      <c r="E225" s="23"/>
      <c r="F225" s="24">
        <f t="shared" ref="F225:L225" si="74">F226+F227+F228</f>
        <v>71</v>
      </c>
      <c r="G225" s="24">
        <f>G226+G227+G228</f>
        <v>0</v>
      </c>
      <c r="H225" s="24">
        <f>H226+H227+H228</f>
        <v>71</v>
      </c>
      <c r="I225" s="24">
        <f t="shared" si="74"/>
        <v>71</v>
      </c>
      <c r="J225" s="24">
        <f>J226+J227+J228</f>
        <v>0</v>
      </c>
      <c r="K225" s="24">
        <f>K226+K227+K228</f>
        <v>71</v>
      </c>
      <c r="L225" s="24">
        <f t="shared" si="74"/>
        <v>70.92</v>
      </c>
      <c r="M225" s="24">
        <f>M226+M227+M228</f>
        <v>0</v>
      </c>
      <c r="N225" s="24">
        <f>N226+N227+N228</f>
        <v>70.92</v>
      </c>
      <c r="O225" s="6"/>
    </row>
    <row r="226" spans="1:15" ht="35.25" customHeight="1" x14ac:dyDescent="0.3">
      <c r="A226" s="345"/>
      <c r="B226" s="346"/>
      <c r="C226" s="354"/>
      <c r="D226" s="360"/>
      <c r="E226" s="25" t="s">
        <v>8</v>
      </c>
      <c r="F226" s="13">
        <f>G226+H226</f>
        <v>71</v>
      </c>
      <c r="G226" s="13">
        <v>0</v>
      </c>
      <c r="H226" s="13">
        <f>15709.28-15638.28</f>
        <v>71</v>
      </c>
      <c r="I226" s="13">
        <f>J226+K226</f>
        <v>71</v>
      </c>
      <c r="J226" s="13">
        <v>0</v>
      </c>
      <c r="K226" s="13">
        <v>71</v>
      </c>
      <c r="L226" s="13">
        <f>M226+N226</f>
        <v>70.92</v>
      </c>
      <c r="M226" s="13">
        <v>0</v>
      </c>
      <c r="N226" s="13">
        <v>70.92</v>
      </c>
      <c r="O226" s="6">
        <f>L226+L222+L214+L210+L206+L202+L198+L194+L190+L154+L150+L146+L138+L134+L130+L126+L114+L110+L106+L98+L94+L90+L86+L82+L74+L70+L62+L58+L54+L50+L46+L42+L38+L34+L26+L22</f>
        <v>283595.07</v>
      </c>
    </row>
    <row r="227" spans="1:15" ht="47.25" customHeight="1" x14ac:dyDescent="0.3">
      <c r="A227" s="345"/>
      <c r="B227" s="346"/>
      <c r="C227" s="354"/>
      <c r="D227" s="360"/>
      <c r="E227" s="26" t="s">
        <v>9</v>
      </c>
      <c r="F227" s="13">
        <f>G227+H227</f>
        <v>0</v>
      </c>
      <c r="G227" s="13">
        <f>G231+G235</f>
        <v>0</v>
      </c>
      <c r="H227" s="13">
        <f>H231+H235</f>
        <v>0</v>
      </c>
      <c r="I227" s="13">
        <f>J227+K227</f>
        <v>0</v>
      </c>
      <c r="J227" s="13">
        <f>J231+J235</f>
        <v>0</v>
      </c>
      <c r="K227" s="13">
        <f>K231+K235</f>
        <v>0</v>
      </c>
      <c r="L227" s="13">
        <f>M227+N227</f>
        <v>0</v>
      </c>
      <c r="M227" s="13">
        <f>M231+M235</f>
        <v>0</v>
      </c>
      <c r="N227" s="13">
        <f>N231+N235</f>
        <v>0</v>
      </c>
      <c r="O227" s="6"/>
    </row>
    <row r="228" spans="1:15" ht="35.25" customHeight="1" x14ac:dyDescent="0.3">
      <c r="A228" s="347"/>
      <c r="B228" s="348"/>
      <c r="C228" s="355"/>
      <c r="D228" s="361"/>
      <c r="E228" s="25" t="s">
        <v>10</v>
      </c>
      <c r="F228" s="13">
        <f>G228+H228</f>
        <v>0</v>
      </c>
      <c r="G228" s="13">
        <f>G232+G236</f>
        <v>0</v>
      </c>
      <c r="H228" s="13">
        <f>H232+H236</f>
        <v>0</v>
      </c>
      <c r="I228" s="13">
        <f>J228+K228</f>
        <v>0</v>
      </c>
      <c r="J228" s="13">
        <f>J232+J236</f>
        <v>0</v>
      </c>
      <c r="K228" s="13">
        <f>K232+K236</f>
        <v>0</v>
      </c>
      <c r="L228" s="13">
        <f>M228+N228</f>
        <v>0</v>
      </c>
      <c r="M228" s="13">
        <f>M232+M236</f>
        <v>0</v>
      </c>
      <c r="N228" s="13">
        <f>N232+N236</f>
        <v>0</v>
      </c>
      <c r="O228" s="6"/>
    </row>
    <row r="229" spans="1:15" ht="35.25" customHeight="1" x14ac:dyDescent="0.3">
      <c r="A229" s="343" t="s">
        <v>352</v>
      </c>
      <c r="B229" s="344"/>
      <c r="C229" s="353" t="s">
        <v>19</v>
      </c>
      <c r="D229" s="374"/>
      <c r="E229" s="23"/>
      <c r="F229" s="24">
        <f t="shared" ref="F229:N229" si="75">F230+F231+F232</f>
        <v>0</v>
      </c>
      <c r="G229" s="24">
        <f>G230+G231+G232</f>
        <v>0</v>
      </c>
      <c r="H229" s="24">
        <f t="shared" si="75"/>
        <v>0</v>
      </c>
      <c r="I229" s="24">
        <f t="shared" si="75"/>
        <v>0</v>
      </c>
      <c r="J229" s="24">
        <f t="shared" si="75"/>
        <v>0</v>
      </c>
      <c r="K229" s="24">
        <f t="shared" si="75"/>
        <v>0</v>
      </c>
      <c r="L229" s="24">
        <f t="shared" si="75"/>
        <v>0</v>
      </c>
      <c r="M229" s="24">
        <f t="shared" si="75"/>
        <v>0</v>
      </c>
      <c r="N229" s="24">
        <f t="shared" si="75"/>
        <v>0</v>
      </c>
      <c r="O229" s="6"/>
    </row>
    <row r="230" spans="1:15" ht="35.25" customHeight="1" x14ac:dyDescent="0.3">
      <c r="A230" s="345"/>
      <c r="B230" s="346"/>
      <c r="C230" s="354"/>
      <c r="D230" s="375"/>
      <c r="E230" s="25" t="s">
        <v>8</v>
      </c>
      <c r="F230" s="13">
        <f>G230+H230</f>
        <v>0</v>
      </c>
      <c r="G230" s="13">
        <f t="shared" ref="G230:H232" si="76">G234</f>
        <v>0</v>
      </c>
      <c r="H230" s="13">
        <f t="shared" si="76"/>
        <v>0</v>
      </c>
      <c r="I230" s="13">
        <f>J230+K230</f>
        <v>0</v>
      </c>
      <c r="J230" s="13">
        <f t="shared" ref="J230:K232" si="77">J234</f>
        <v>0</v>
      </c>
      <c r="K230" s="13">
        <f t="shared" si="77"/>
        <v>0</v>
      </c>
      <c r="L230" s="13">
        <f>M230+N230</f>
        <v>0</v>
      </c>
      <c r="M230" s="13">
        <f t="shared" ref="M230:N232" si="78">M234</f>
        <v>0</v>
      </c>
      <c r="N230" s="13">
        <f t="shared" si="78"/>
        <v>0</v>
      </c>
      <c r="O230" s="6"/>
    </row>
    <row r="231" spans="1:15" ht="48.75" customHeight="1" x14ac:dyDescent="0.3">
      <c r="A231" s="345"/>
      <c r="B231" s="346"/>
      <c r="C231" s="354"/>
      <c r="D231" s="375"/>
      <c r="E231" s="26" t="s">
        <v>9</v>
      </c>
      <c r="F231" s="13">
        <f>G231+H231</f>
        <v>0</v>
      </c>
      <c r="G231" s="13">
        <f t="shared" si="76"/>
        <v>0</v>
      </c>
      <c r="H231" s="13">
        <f t="shared" si="76"/>
        <v>0</v>
      </c>
      <c r="I231" s="13">
        <f>J231+K231</f>
        <v>0</v>
      </c>
      <c r="J231" s="13">
        <f t="shared" si="77"/>
        <v>0</v>
      </c>
      <c r="K231" s="13">
        <f t="shared" si="77"/>
        <v>0</v>
      </c>
      <c r="L231" s="13">
        <f>M231+N231</f>
        <v>0</v>
      </c>
      <c r="M231" s="13">
        <f t="shared" si="78"/>
        <v>0</v>
      </c>
      <c r="N231" s="13">
        <f t="shared" si="78"/>
        <v>0</v>
      </c>
      <c r="O231" s="6"/>
    </row>
    <row r="232" spans="1:15" ht="35.25" customHeight="1" x14ac:dyDescent="0.3">
      <c r="A232" s="347"/>
      <c r="B232" s="348"/>
      <c r="C232" s="355"/>
      <c r="D232" s="376"/>
      <c r="E232" s="25" t="s">
        <v>10</v>
      </c>
      <c r="F232" s="13">
        <f>G232+H232</f>
        <v>0</v>
      </c>
      <c r="G232" s="13">
        <f t="shared" si="76"/>
        <v>0</v>
      </c>
      <c r="H232" s="13">
        <f t="shared" si="76"/>
        <v>0</v>
      </c>
      <c r="I232" s="217">
        <f>J232+K232</f>
        <v>0</v>
      </c>
      <c r="J232" s="217">
        <f t="shared" si="77"/>
        <v>0</v>
      </c>
      <c r="K232" s="217">
        <f t="shared" si="77"/>
        <v>0</v>
      </c>
      <c r="L232" s="217">
        <f>M232+N232</f>
        <v>0</v>
      </c>
      <c r="M232" s="217">
        <f t="shared" si="78"/>
        <v>0</v>
      </c>
      <c r="N232" s="217">
        <f t="shared" si="78"/>
        <v>0</v>
      </c>
      <c r="O232" s="6"/>
    </row>
    <row r="233" spans="1:15" ht="35.25" customHeight="1" x14ac:dyDescent="0.3">
      <c r="A233" s="365" t="s">
        <v>500</v>
      </c>
      <c r="B233" s="365"/>
      <c r="C233" s="366"/>
      <c r="D233" s="373"/>
      <c r="E233" s="27"/>
      <c r="F233" s="28">
        <f t="shared" ref="F233:N233" si="79">F234+F235+F236</f>
        <v>0</v>
      </c>
      <c r="G233" s="28">
        <f t="shared" si="79"/>
        <v>0</v>
      </c>
      <c r="H233" s="28">
        <f t="shared" si="79"/>
        <v>0</v>
      </c>
      <c r="I233" s="220">
        <f t="shared" si="79"/>
        <v>0</v>
      </c>
      <c r="J233" s="220">
        <f t="shared" si="79"/>
        <v>0</v>
      </c>
      <c r="K233" s="220">
        <f t="shared" si="79"/>
        <v>0</v>
      </c>
      <c r="L233" s="220">
        <f t="shared" si="79"/>
        <v>0</v>
      </c>
      <c r="M233" s="220">
        <f t="shared" si="79"/>
        <v>0</v>
      </c>
      <c r="N233" s="220">
        <f t="shared" si="79"/>
        <v>0</v>
      </c>
      <c r="O233" s="6"/>
    </row>
    <row r="234" spans="1:15" ht="35.25" customHeight="1" x14ac:dyDescent="0.3">
      <c r="A234" s="365"/>
      <c r="B234" s="365"/>
      <c r="C234" s="366"/>
      <c r="D234" s="373"/>
      <c r="E234" s="27" t="s">
        <v>8</v>
      </c>
      <c r="F234" s="28">
        <f>G234+H234</f>
        <v>0</v>
      </c>
      <c r="G234" s="28">
        <v>0</v>
      </c>
      <c r="H234" s="28">
        <f>41775-41775</f>
        <v>0</v>
      </c>
      <c r="I234" s="220">
        <f>J234+K234</f>
        <v>0</v>
      </c>
      <c r="J234" s="220">
        <v>0</v>
      </c>
      <c r="K234" s="220">
        <v>0</v>
      </c>
      <c r="L234" s="220">
        <f>M234+N234</f>
        <v>0</v>
      </c>
      <c r="M234" s="220">
        <v>0</v>
      </c>
      <c r="N234" s="220">
        <v>0</v>
      </c>
      <c r="O234" s="6"/>
    </row>
    <row r="235" spans="1:15" ht="35.25" customHeight="1" x14ac:dyDescent="0.3">
      <c r="A235" s="365"/>
      <c r="B235" s="365"/>
      <c r="C235" s="366"/>
      <c r="D235" s="373"/>
      <c r="E235" s="29" t="s">
        <v>9</v>
      </c>
      <c r="F235" s="28">
        <f>G235+H235</f>
        <v>0</v>
      </c>
      <c r="G235" s="28"/>
      <c r="H235" s="28"/>
      <c r="I235" s="220">
        <f>J235+K235</f>
        <v>0</v>
      </c>
      <c r="J235" s="220"/>
      <c r="K235" s="220"/>
      <c r="L235" s="220">
        <f>M235+N235</f>
        <v>0</v>
      </c>
      <c r="M235" s="220"/>
      <c r="N235" s="220"/>
      <c r="O235" s="6"/>
    </row>
    <row r="236" spans="1:15" ht="35.25" customHeight="1" x14ac:dyDescent="0.3">
      <c r="A236" s="365"/>
      <c r="B236" s="365"/>
      <c r="C236" s="366"/>
      <c r="D236" s="373"/>
      <c r="E236" s="27" t="s">
        <v>10</v>
      </c>
      <c r="F236" s="28">
        <f>G236+H236</f>
        <v>0</v>
      </c>
      <c r="G236" s="28"/>
      <c r="H236" s="28"/>
      <c r="I236" s="220">
        <f>J236+K236</f>
        <v>0</v>
      </c>
      <c r="J236" s="220"/>
      <c r="K236" s="220"/>
      <c r="L236" s="220">
        <f>M236+N236</f>
        <v>0</v>
      </c>
      <c r="M236" s="220"/>
      <c r="N236" s="220"/>
      <c r="O236" s="6"/>
    </row>
    <row r="237" spans="1:15" ht="35.25" customHeight="1" x14ac:dyDescent="0.3">
      <c r="A237" s="343" t="s">
        <v>353</v>
      </c>
      <c r="B237" s="344"/>
      <c r="C237" s="353" t="s">
        <v>20</v>
      </c>
      <c r="D237" s="359" t="s">
        <v>589</v>
      </c>
      <c r="E237" s="23"/>
      <c r="F237" s="24">
        <f t="shared" ref="F237:N237" si="80">F238+F239+F240</f>
        <v>200</v>
      </c>
      <c r="G237" s="24">
        <f t="shared" si="80"/>
        <v>200</v>
      </c>
      <c r="H237" s="24">
        <f t="shared" si="80"/>
        <v>0</v>
      </c>
      <c r="I237" s="24">
        <f t="shared" si="80"/>
        <v>198.5</v>
      </c>
      <c r="J237" s="24">
        <f t="shared" si="80"/>
        <v>198.5</v>
      </c>
      <c r="K237" s="24">
        <f t="shared" si="80"/>
        <v>0</v>
      </c>
      <c r="L237" s="24">
        <f t="shared" si="80"/>
        <v>197.6</v>
      </c>
      <c r="M237" s="24">
        <f t="shared" si="80"/>
        <v>197.6</v>
      </c>
      <c r="N237" s="218">
        <f t="shared" si="80"/>
        <v>0</v>
      </c>
      <c r="O237" s="6"/>
    </row>
    <row r="238" spans="1:15" ht="35.25" customHeight="1" x14ac:dyDescent="0.3">
      <c r="A238" s="345"/>
      <c r="B238" s="346"/>
      <c r="C238" s="354"/>
      <c r="D238" s="360"/>
      <c r="E238" s="25" t="s">
        <v>8</v>
      </c>
      <c r="F238" s="13">
        <f>G238+H238</f>
        <v>200</v>
      </c>
      <c r="G238" s="13">
        <f>1467.25-1267.25</f>
        <v>200</v>
      </c>
      <c r="H238" s="13">
        <v>0</v>
      </c>
      <c r="I238" s="13">
        <f>J238+K238</f>
        <v>198.5</v>
      </c>
      <c r="J238" s="13">
        <v>198.5</v>
      </c>
      <c r="K238" s="13">
        <v>0</v>
      </c>
      <c r="L238" s="13">
        <f>M238+N238</f>
        <v>197.6</v>
      </c>
      <c r="M238" s="13">
        <v>197.6</v>
      </c>
      <c r="N238" s="217">
        <v>0</v>
      </c>
      <c r="O238" s="6"/>
    </row>
    <row r="239" spans="1:15" ht="35.25" customHeight="1" x14ac:dyDescent="0.3">
      <c r="A239" s="345"/>
      <c r="B239" s="346"/>
      <c r="C239" s="354"/>
      <c r="D239" s="360"/>
      <c r="E239" s="26" t="s">
        <v>9</v>
      </c>
      <c r="F239" s="13">
        <f>G239+H239</f>
        <v>0</v>
      </c>
      <c r="G239" s="13">
        <v>0</v>
      </c>
      <c r="H239" s="13">
        <v>0</v>
      </c>
      <c r="I239" s="13">
        <f>J239+K239</f>
        <v>0</v>
      </c>
      <c r="J239" s="13">
        <v>0</v>
      </c>
      <c r="K239" s="13">
        <v>0</v>
      </c>
      <c r="L239" s="13">
        <f>M239+N239</f>
        <v>0</v>
      </c>
      <c r="M239" s="13">
        <v>0</v>
      </c>
      <c r="N239" s="217">
        <v>0</v>
      </c>
      <c r="O239" s="6"/>
    </row>
    <row r="240" spans="1:15" ht="35.25" customHeight="1" x14ac:dyDescent="0.3">
      <c r="A240" s="347"/>
      <c r="B240" s="348"/>
      <c r="C240" s="355"/>
      <c r="D240" s="361"/>
      <c r="E240" s="25" t="s">
        <v>10</v>
      </c>
      <c r="F240" s="13">
        <f>G240+H240</f>
        <v>0</v>
      </c>
      <c r="G240" s="13">
        <v>0</v>
      </c>
      <c r="H240" s="13">
        <v>0</v>
      </c>
      <c r="I240" s="13">
        <f>J240+K240</f>
        <v>0</v>
      </c>
      <c r="J240" s="13">
        <v>0</v>
      </c>
      <c r="K240" s="13">
        <v>0</v>
      </c>
      <c r="L240" s="13">
        <f>M240+N240</f>
        <v>0</v>
      </c>
      <c r="M240" s="13">
        <v>0</v>
      </c>
      <c r="N240" s="217">
        <v>0</v>
      </c>
      <c r="O240" s="6"/>
    </row>
    <row r="241" spans="1:16" ht="35.25" customHeight="1" x14ac:dyDescent="0.3">
      <c r="A241" s="343" t="s">
        <v>354</v>
      </c>
      <c r="B241" s="344"/>
      <c r="C241" s="362" t="s">
        <v>20</v>
      </c>
      <c r="D241" s="349"/>
      <c r="E241" s="14"/>
      <c r="F241" s="15">
        <f t="shared" ref="F241:N241" si="81">F242+F243+F244</f>
        <v>24756.959999999999</v>
      </c>
      <c r="G241" s="15">
        <f t="shared" si="81"/>
        <v>2032.6400000000008</v>
      </c>
      <c r="H241" s="15">
        <f t="shared" si="81"/>
        <v>22724.32</v>
      </c>
      <c r="I241" s="24">
        <f t="shared" si="81"/>
        <v>2031.98</v>
      </c>
      <c r="J241" s="24">
        <f t="shared" si="81"/>
        <v>2031.98</v>
      </c>
      <c r="K241" s="24">
        <f t="shared" si="81"/>
        <v>0</v>
      </c>
      <c r="L241" s="24">
        <f t="shared" si="81"/>
        <v>23818.16</v>
      </c>
      <c r="M241" s="24">
        <f t="shared" si="81"/>
        <v>1243.8599999999999</v>
      </c>
      <c r="N241" s="24">
        <f t="shared" si="81"/>
        <v>22574.3</v>
      </c>
      <c r="O241" s="6"/>
    </row>
    <row r="242" spans="1:16" ht="35.25" customHeight="1" x14ac:dyDescent="0.3">
      <c r="A242" s="345"/>
      <c r="B242" s="346"/>
      <c r="C242" s="363"/>
      <c r="D242" s="350"/>
      <c r="E242" s="16" t="s">
        <v>8</v>
      </c>
      <c r="F242" s="11">
        <f>G242+H242</f>
        <v>2182.6400000000008</v>
      </c>
      <c r="G242" s="11">
        <f t="shared" ref="G242:H244" si="82">G246+G250+G254+G258+G262+G266+G270+G274</f>
        <v>2032.6400000000008</v>
      </c>
      <c r="H242" s="11">
        <f t="shared" si="82"/>
        <v>150</v>
      </c>
      <c r="I242" s="13">
        <f>J242+K242</f>
        <v>2031.98</v>
      </c>
      <c r="J242" s="13">
        <f>J246+J250+J254+J258+J262+J266+J270+J274</f>
        <v>2031.98</v>
      </c>
      <c r="K242" s="13">
        <f t="shared" ref="J242:K244" si="83">K246+K250+K254+K258+K262+K266+K270+K274</f>
        <v>0</v>
      </c>
      <c r="L242" s="13">
        <f>M242+N242</f>
        <v>1243.8599999999999</v>
      </c>
      <c r="M242" s="13">
        <f>M246+M250+M254+M258+M262+M266+M270+M274</f>
        <v>1243.8599999999999</v>
      </c>
      <c r="N242" s="13">
        <f t="shared" ref="M242:N244" si="84">N246+N250+N254+N258+N262+N266+N270+N274</f>
        <v>0</v>
      </c>
      <c r="O242" s="6"/>
      <c r="P242" s="39"/>
    </row>
    <row r="243" spans="1:16" ht="41.25" customHeight="1" x14ac:dyDescent="0.3">
      <c r="A243" s="345"/>
      <c r="B243" s="346"/>
      <c r="C243" s="363"/>
      <c r="D243" s="350"/>
      <c r="E243" s="17" t="s">
        <v>9</v>
      </c>
      <c r="F243" s="11">
        <f>G243+H243</f>
        <v>0</v>
      </c>
      <c r="G243" s="11">
        <f t="shared" si="82"/>
        <v>0</v>
      </c>
      <c r="H243" s="11">
        <f t="shared" si="82"/>
        <v>0</v>
      </c>
      <c r="I243" s="13">
        <f>J243+K243</f>
        <v>0</v>
      </c>
      <c r="J243" s="13">
        <f t="shared" si="83"/>
        <v>0</v>
      </c>
      <c r="K243" s="13">
        <f t="shared" si="83"/>
        <v>0</v>
      </c>
      <c r="L243" s="13">
        <f>M243+N243</f>
        <v>0</v>
      </c>
      <c r="M243" s="13">
        <f t="shared" si="84"/>
        <v>0</v>
      </c>
      <c r="N243" s="13">
        <f t="shared" si="84"/>
        <v>0</v>
      </c>
      <c r="O243" s="6"/>
    </row>
    <row r="244" spans="1:16" ht="35.25" customHeight="1" x14ac:dyDescent="0.3">
      <c r="A244" s="347"/>
      <c r="B244" s="348"/>
      <c r="C244" s="364"/>
      <c r="D244" s="351"/>
      <c r="E244" s="16" t="s">
        <v>10</v>
      </c>
      <c r="F244" s="11">
        <f>G244+H244</f>
        <v>22574.32</v>
      </c>
      <c r="G244" s="11">
        <f t="shared" si="82"/>
        <v>0</v>
      </c>
      <c r="H244" s="11">
        <f>H248+H252+H256+H260+H264+H268+H272+H276</f>
        <v>22574.32</v>
      </c>
      <c r="I244" s="13">
        <f>J244+K244</f>
        <v>0</v>
      </c>
      <c r="J244" s="13">
        <f t="shared" si="83"/>
        <v>0</v>
      </c>
      <c r="K244" s="13">
        <v>0</v>
      </c>
      <c r="L244" s="13">
        <f>M244+N244</f>
        <v>22574.3</v>
      </c>
      <c r="M244" s="13">
        <f t="shared" si="84"/>
        <v>0</v>
      </c>
      <c r="N244" s="13">
        <f t="shared" si="84"/>
        <v>22574.3</v>
      </c>
      <c r="O244" s="6"/>
    </row>
    <row r="245" spans="1:16" ht="35.25" customHeight="1" x14ac:dyDescent="0.3">
      <c r="A245" s="341" t="s">
        <v>501</v>
      </c>
      <c r="B245" s="341"/>
      <c r="C245" s="352"/>
      <c r="D245" s="340" t="s">
        <v>582</v>
      </c>
      <c r="E245" s="20"/>
      <c r="F245" s="21">
        <f t="shared" ref="F245:N245" si="85">F246+F247+F248</f>
        <v>9.1</v>
      </c>
      <c r="G245" s="21">
        <f t="shared" si="85"/>
        <v>9.1</v>
      </c>
      <c r="H245" s="21">
        <f t="shared" si="85"/>
        <v>0</v>
      </c>
      <c r="I245" s="28">
        <f t="shared" si="85"/>
        <v>9.1</v>
      </c>
      <c r="J245" s="28">
        <f>J246+J247+J248</f>
        <v>9.1</v>
      </c>
      <c r="K245" s="28">
        <f t="shared" si="85"/>
        <v>0</v>
      </c>
      <c r="L245" s="28">
        <f t="shared" si="85"/>
        <v>7.58</v>
      </c>
      <c r="M245" s="28">
        <f t="shared" si="85"/>
        <v>7.58</v>
      </c>
      <c r="N245" s="220">
        <f t="shared" si="85"/>
        <v>0</v>
      </c>
      <c r="O245" s="6"/>
    </row>
    <row r="246" spans="1:16" ht="35.25" customHeight="1" x14ac:dyDescent="0.3">
      <c r="A246" s="341"/>
      <c r="B246" s="341"/>
      <c r="C246" s="352"/>
      <c r="D246" s="340"/>
      <c r="E246" s="20" t="s">
        <v>8</v>
      </c>
      <c r="F246" s="21">
        <f>G246+H246</f>
        <v>9.1</v>
      </c>
      <c r="G246" s="21">
        <v>9.1</v>
      </c>
      <c r="H246" s="21">
        <v>0</v>
      </c>
      <c r="I246" s="28">
        <f>J246+K246</f>
        <v>9.1</v>
      </c>
      <c r="J246" s="28">
        <v>9.1</v>
      </c>
      <c r="K246" s="28">
        <v>0</v>
      </c>
      <c r="L246" s="28">
        <f>M246+N246</f>
        <v>7.58</v>
      </c>
      <c r="M246" s="28">
        <v>7.58</v>
      </c>
      <c r="N246" s="220">
        <v>0</v>
      </c>
      <c r="O246" s="6"/>
    </row>
    <row r="247" spans="1:16" ht="39" customHeight="1" x14ac:dyDescent="0.3">
      <c r="A247" s="341"/>
      <c r="B247" s="341"/>
      <c r="C247" s="352"/>
      <c r="D247" s="340"/>
      <c r="E247" s="22" t="s">
        <v>9</v>
      </c>
      <c r="F247" s="21">
        <f>G247+H247</f>
        <v>0</v>
      </c>
      <c r="G247" s="21"/>
      <c r="H247" s="21"/>
      <c r="I247" s="220">
        <f>J247+K247</f>
        <v>0</v>
      </c>
      <c r="J247" s="220"/>
      <c r="K247" s="220"/>
      <c r="L247" s="220">
        <f>M247+N247</f>
        <v>0</v>
      </c>
      <c r="M247" s="220"/>
      <c r="N247" s="220"/>
      <c r="O247" s="6"/>
    </row>
    <row r="248" spans="1:16" ht="35.25" customHeight="1" x14ac:dyDescent="0.3">
      <c r="A248" s="341"/>
      <c r="B248" s="341"/>
      <c r="C248" s="352"/>
      <c r="D248" s="340"/>
      <c r="E248" s="20" t="s">
        <v>10</v>
      </c>
      <c r="F248" s="21">
        <f>G248+H248</f>
        <v>0</v>
      </c>
      <c r="G248" s="21"/>
      <c r="H248" s="21"/>
      <c r="I248" s="220">
        <f>J248+K248</f>
        <v>0</v>
      </c>
      <c r="J248" s="220"/>
      <c r="K248" s="220"/>
      <c r="L248" s="220">
        <f>M248+N248</f>
        <v>0</v>
      </c>
      <c r="M248" s="220"/>
      <c r="N248" s="220"/>
      <c r="O248" s="6"/>
    </row>
    <row r="249" spans="1:16" ht="35.25" customHeight="1" x14ac:dyDescent="0.3">
      <c r="A249" s="365" t="s">
        <v>502</v>
      </c>
      <c r="B249" s="365"/>
      <c r="C249" s="366"/>
      <c r="D249" s="373"/>
      <c r="E249" s="27"/>
      <c r="F249" s="28">
        <f t="shared" ref="F249:N249" si="86">F250+F251+F252</f>
        <v>0</v>
      </c>
      <c r="G249" s="28">
        <f t="shared" si="86"/>
        <v>0</v>
      </c>
      <c r="H249" s="28">
        <f t="shared" si="86"/>
        <v>0</v>
      </c>
      <c r="I249" s="220">
        <f t="shared" si="86"/>
        <v>0</v>
      </c>
      <c r="J249" s="220">
        <f t="shared" si="86"/>
        <v>0</v>
      </c>
      <c r="K249" s="220">
        <f t="shared" si="86"/>
        <v>0</v>
      </c>
      <c r="L249" s="220">
        <f t="shared" si="86"/>
        <v>0</v>
      </c>
      <c r="M249" s="220">
        <f t="shared" si="86"/>
        <v>0</v>
      </c>
      <c r="N249" s="220">
        <f t="shared" si="86"/>
        <v>0</v>
      </c>
      <c r="O249" s="6"/>
    </row>
    <row r="250" spans="1:16" ht="35.25" customHeight="1" x14ac:dyDescent="0.3">
      <c r="A250" s="365"/>
      <c r="B250" s="365"/>
      <c r="C250" s="366"/>
      <c r="D250" s="373"/>
      <c r="E250" s="27" t="s">
        <v>8</v>
      </c>
      <c r="F250" s="28">
        <f>G250+H250</f>
        <v>0</v>
      </c>
      <c r="G250" s="28">
        <f>41.8-41.8</f>
        <v>0</v>
      </c>
      <c r="H250" s="28">
        <v>0</v>
      </c>
      <c r="I250" s="220">
        <f>J250+K250</f>
        <v>0</v>
      </c>
      <c r="J250" s="220">
        <v>0</v>
      </c>
      <c r="K250" s="220">
        <v>0</v>
      </c>
      <c r="L250" s="220">
        <f>M250+N250</f>
        <v>0</v>
      </c>
      <c r="M250" s="220">
        <v>0</v>
      </c>
      <c r="N250" s="220">
        <v>0</v>
      </c>
      <c r="O250" s="6"/>
    </row>
    <row r="251" spans="1:16" ht="39" customHeight="1" x14ac:dyDescent="0.3">
      <c r="A251" s="365"/>
      <c r="B251" s="365"/>
      <c r="C251" s="366"/>
      <c r="D251" s="373"/>
      <c r="E251" s="29" t="s">
        <v>9</v>
      </c>
      <c r="F251" s="28">
        <f>G251+H251</f>
        <v>0</v>
      </c>
      <c r="G251" s="28"/>
      <c r="H251" s="28"/>
      <c r="I251" s="220">
        <f>J251+K251</f>
        <v>0</v>
      </c>
      <c r="J251" s="220"/>
      <c r="K251" s="220"/>
      <c r="L251" s="220">
        <f>M251+N251</f>
        <v>0</v>
      </c>
      <c r="M251" s="220"/>
      <c r="N251" s="220"/>
      <c r="O251" s="6"/>
    </row>
    <row r="252" spans="1:16" ht="35.25" customHeight="1" x14ac:dyDescent="0.3">
      <c r="A252" s="365"/>
      <c r="B252" s="365"/>
      <c r="C252" s="366"/>
      <c r="D252" s="373"/>
      <c r="E252" s="27" t="s">
        <v>10</v>
      </c>
      <c r="F252" s="28">
        <f>G252+H252</f>
        <v>0</v>
      </c>
      <c r="G252" s="28"/>
      <c r="H252" s="28"/>
      <c r="I252" s="220">
        <f>J252+K252</f>
        <v>0</v>
      </c>
      <c r="J252" s="220"/>
      <c r="K252" s="220"/>
      <c r="L252" s="220">
        <f>M252+N252</f>
        <v>0</v>
      </c>
      <c r="M252" s="220"/>
      <c r="N252" s="220"/>
      <c r="O252" s="6"/>
    </row>
    <row r="253" spans="1:16" ht="35.25" customHeight="1" x14ac:dyDescent="0.3">
      <c r="A253" s="397" t="s">
        <v>503</v>
      </c>
      <c r="B253" s="398"/>
      <c r="C253" s="352"/>
      <c r="D253" s="340" t="s">
        <v>583</v>
      </c>
      <c r="E253" s="20"/>
      <c r="F253" s="21">
        <f t="shared" ref="F253:N253" si="87">F254+F255+F256</f>
        <v>6</v>
      </c>
      <c r="G253" s="21">
        <f t="shared" si="87"/>
        <v>6</v>
      </c>
      <c r="H253" s="21">
        <f t="shared" si="87"/>
        <v>0</v>
      </c>
      <c r="I253" s="28">
        <f t="shared" si="87"/>
        <v>6</v>
      </c>
      <c r="J253" s="28">
        <f t="shared" si="87"/>
        <v>6</v>
      </c>
      <c r="K253" s="28">
        <f t="shared" si="87"/>
        <v>0</v>
      </c>
      <c r="L253" s="28">
        <f t="shared" si="87"/>
        <v>0.5</v>
      </c>
      <c r="M253" s="28">
        <f t="shared" si="87"/>
        <v>0.5</v>
      </c>
      <c r="N253" s="28">
        <f t="shared" si="87"/>
        <v>0</v>
      </c>
      <c r="O253" s="6"/>
    </row>
    <row r="254" spans="1:16" ht="35.25" customHeight="1" x14ac:dyDescent="0.3">
      <c r="A254" s="399"/>
      <c r="B254" s="400"/>
      <c r="C254" s="352"/>
      <c r="D254" s="340"/>
      <c r="E254" s="20" t="s">
        <v>8</v>
      </c>
      <c r="F254" s="21">
        <f>G254+H254</f>
        <v>6</v>
      </c>
      <c r="G254" s="21">
        <v>6</v>
      </c>
      <c r="H254" s="21">
        <v>0</v>
      </c>
      <c r="I254" s="28">
        <f>J254+K254</f>
        <v>6</v>
      </c>
      <c r="J254" s="28">
        <v>6</v>
      </c>
      <c r="K254" s="28">
        <v>0</v>
      </c>
      <c r="L254" s="28">
        <f>M254+N254</f>
        <v>0.5</v>
      </c>
      <c r="M254" s="28">
        <v>0.5</v>
      </c>
      <c r="N254" s="28">
        <v>0</v>
      </c>
      <c r="O254" s="6"/>
    </row>
    <row r="255" spans="1:16" ht="35.25" customHeight="1" x14ac:dyDescent="0.3">
      <c r="A255" s="399"/>
      <c r="B255" s="400"/>
      <c r="C255" s="352"/>
      <c r="D255" s="340"/>
      <c r="E255" s="22" t="s">
        <v>9</v>
      </c>
      <c r="F255" s="21">
        <f>G255+H255</f>
        <v>0</v>
      </c>
      <c r="G255" s="21"/>
      <c r="H255" s="21"/>
      <c r="I255" s="28">
        <f>J255+K255</f>
        <v>0</v>
      </c>
      <c r="J255" s="28"/>
      <c r="K255" s="28"/>
      <c r="L255" s="28">
        <f>M255+N255</f>
        <v>0</v>
      </c>
      <c r="M255" s="28"/>
      <c r="N255" s="28"/>
      <c r="O255" s="6"/>
    </row>
    <row r="256" spans="1:16" ht="35.25" customHeight="1" x14ac:dyDescent="0.3">
      <c r="A256" s="401"/>
      <c r="B256" s="402"/>
      <c r="C256" s="352"/>
      <c r="D256" s="340"/>
      <c r="E256" s="20" t="s">
        <v>10</v>
      </c>
      <c r="F256" s="21">
        <f>G256+H256</f>
        <v>0</v>
      </c>
      <c r="G256" s="21"/>
      <c r="H256" s="21"/>
      <c r="I256" s="28">
        <f>J256+K256</f>
        <v>0</v>
      </c>
      <c r="J256" s="28"/>
      <c r="K256" s="28"/>
      <c r="L256" s="28">
        <f>M256+N256</f>
        <v>0</v>
      </c>
      <c r="M256" s="28"/>
      <c r="N256" s="28"/>
      <c r="O256" s="6"/>
    </row>
    <row r="257" spans="1:15" ht="35.25" customHeight="1" x14ac:dyDescent="0.3">
      <c r="A257" s="367" t="s">
        <v>504</v>
      </c>
      <c r="B257" s="368"/>
      <c r="C257" s="366"/>
      <c r="D257" s="373" t="s">
        <v>584</v>
      </c>
      <c r="E257" s="27"/>
      <c r="F257" s="28">
        <f t="shared" ref="F257:N257" si="88">F258+F259+F260</f>
        <v>316.85000000000002</v>
      </c>
      <c r="G257" s="28">
        <f t="shared" si="88"/>
        <v>316.85000000000002</v>
      </c>
      <c r="H257" s="28">
        <f t="shared" si="88"/>
        <v>0</v>
      </c>
      <c r="I257" s="28">
        <f t="shared" si="88"/>
        <v>316.19</v>
      </c>
      <c r="J257" s="28">
        <f t="shared" si="88"/>
        <v>316.19</v>
      </c>
      <c r="K257" s="28">
        <f t="shared" si="88"/>
        <v>0</v>
      </c>
      <c r="L257" s="28">
        <f t="shared" si="88"/>
        <v>314.57</v>
      </c>
      <c r="M257" s="28">
        <f t="shared" si="88"/>
        <v>314.57</v>
      </c>
      <c r="N257" s="28">
        <f t="shared" si="88"/>
        <v>0</v>
      </c>
      <c r="O257" s="6"/>
    </row>
    <row r="258" spans="1:15" ht="35.25" customHeight="1" x14ac:dyDescent="0.3">
      <c r="A258" s="369"/>
      <c r="B258" s="370"/>
      <c r="C258" s="366"/>
      <c r="D258" s="373"/>
      <c r="E258" s="27" t="s">
        <v>8</v>
      </c>
      <c r="F258" s="28">
        <f>G258+H258</f>
        <v>316.85000000000002</v>
      </c>
      <c r="G258" s="28">
        <f>650-333.15</f>
        <v>316.85000000000002</v>
      </c>
      <c r="H258" s="28">
        <v>0</v>
      </c>
      <c r="I258" s="28">
        <f>J258+K258</f>
        <v>316.19</v>
      </c>
      <c r="J258" s="28">
        <v>316.19</v>
      </c>
      <c r="K258" s="28">
        <v>0</v>
      </c>
      <c r="L258" s="28">
        <f>M258+N258</f>
        <v>314.57</v>
      </c>
      <c r="M258" s="28">
        <v>314.57</v>
      </c>
      <c r="N258" s="28">
        <v>0</v>
      </c>
      <c r="O258" s="6"/>
    </row>
    <row r="259" spans="1:15" ht="35.25" customHeight="1" x14ac:dyDescent="0.3">
      <c r="A259" s="369"/>
      <c r="B259" s="370"/>
      <c r="C259" s="366"/>
      <c r="D259" s="373"/>
      <c r="E259" s="29" t="s">
        <v>9</v>
      </c>
      <c r="F259" s="28">
        <f>G259+H259</f>
        <v>0</v>
      </c>
      <c r="G259" s="28"/>
      <c r="H259" s="28"/>
      <c r="I259" s="28">
        <f>J259+K259</f>
        <v>0</v>
      </c>
      <c r="J259" s="28"/>
      <c r="K259" s="28"/>
      <c r="L259" s="28">
        <f>M259+N259</f>
        <v>0</v>
      </c>
      <c r="M259" s="28"/>
      <c r="N259" s="28"/>
      <c r="O259" s="6"/>
    </row>
    <row r="260" spans="1:15" ht="35.25" customHeight="1" x14ac:dyDescent="0.3">
      <c r="A260" s="371"/>
      <c r="B260" s="372"/>
      <c r="C260" s="366"/>
      <c r="D260" s="373"/>
      <c r="E260" s="27" t="s">
        <v>10</v>
      </c>
      <c r="F260" s="28">
        <f>G260+H260</f>
        <v>0</v>
      </c>
      <c r="G260" s="28"/>
      <c r="H260" s="28"/>
      <c r="I260" s="28">
        <f>J260+K260</f>
        <v>0</v>
      </c>
      <c r="J260" s="28"/>
      <c r="K260" s="28"/>
      <c r="L260" s="28">
        <f>M260+N260</f>
        <v>0</v>
      </c>
      <c r="M260" s="28"/>
      <c r="N260" s="28"/>
      <c r="O260" s="6"/>
    </row>
    <row r="261" spans="1:15" ht="35.25" customHeight="1" x14ac:dyDescent="0.3">
      <c r="A261" s="341" t="s">
        <v>505</v>
      </c>
      <c r="B261" s="341"/>
      <c r="C261" s="352"/>
      <c r="D261" s="340" t="s">
        <v>585</v>
      </c>
      <c r="E261" s="20"/>
      <c r="F261" s="21">
        <f t="shared" ref="F261:N261" si="89">F262+F263+F264</f>
        <v>496</v>
      </c>
      <c r="G261" s="21">
        <f t="shared" si="89"/>
        <v>496</v>
      </c>
      <c r="H261" s="21">
        <f t="shared" si="89"/>
        <v>0</v>
      </c>
      <c r="I261" s="28">
        <f t="shared" si="89"/>
        <v>496</v>
      </c>
      <c r="J261" s="28">
        <f t="shared" si="89"/>
        <v>496</v>
      </c>
      <c r="K261" s="28">
        <f t="shared" si="89"/>
        <v>0</v>
      </c>
      <c r="L261" s="28">
        <f t="shared" si="89"/>
        <v>496</v>
      </c>
      <c r="M261" s="28">
        <f t="shared" si="89"/>
        <v>496</v>
      </c>
      <c r="N261" s="28">
        <f t="shared" si="89"/>
        <v>0</v>
      </c>
      <c r="O261" s="6"/>
    </row>
    <row r="262" spans="1:15" ht="35.25" customHeight="1" x14ac:dyDescent="0.3">
      <c r="A262" s="341"/>
      <c r="B262" s="341"/>
      <c r="C262" s="352"/>
      <c r="D262" s="340"/>
      <c r="E262" s="20" t="s">
        <v>8</v>
      </c>
      <c r="F262" s="21">
        <f>G262+H262</f>
        <v>496</v>
      </c>
      <c r="G262" s="21">
        <f>357+43+96</f>
        <v>496</v>
      </c>
      <c r="H262" s="21">
        <v>0</v>
      </c>
      <c r="I262" s="28">
        <f>J262+K262</f>
        <v>496</v>
      </c>
      <c r="J262" s="28">
        <v>496</v>
      </c>
      <c r="K262" s="28">
        <v>0</v>
      </c>
      <c r="L262" s="28">
        <f>M262+N262</f>
        <v>496</v>
      </c>
      <c r="M262" s="28">
        <v>496</v>
      </c>
      <c r="N262" s="28">
        <v>0</v>
      </c>
      <c r="O262" s="6"/>
    </row>
    <row r="263" spans="1:15" ht="35.25" customHeight="1" x14ac:dyDescent="0.3">
      <c r="A263" s="341"/>
      <c r="B263" s="341"/>
      <c r="C263" s="352"/>
      <c r="D263" s="340"/>
      <c r="E263" s="22" t="s">
        <v>9</v>
      </c>
      <c r="F263" s="21">
        <f>G263+H263</f>
        <v>0</v>
      </c>
      <c r="G263" s="21"/>
      <c r="H263" s="21"/>
      <c r="I263" s="28">
        <f>J263+K263</f>
        <v>0</v>
      </c>
      <c r="J263" s="28"/>
      <c r="K263" s="28"/>
      <c r="L263" s="28">
        <f>M263+N263</f>
        <v>0</v>
      </c>
      <c r="M263" s="28"/>
      <c r="N263" s="28"/>
      <c r="O263" s="6"/>
    </row>
    <row r="264" spans="1:15" ht="35.25" customHeight="1" x14ac:dyDescent="0.3">
      <c r="A264" s="341"/>
      <c r="B264" s="341"/>
      <c r="C264" s="352"/>
      <c r="D264" s="340"/>
      <c r="E264" s="20" t="s">
        <v>10</v>
      </c>
      <c r="F264" s="21">
        <f>G264+H264</f>
        <v>0</v>
      </c>
      <c r="G264" s="21"/>
      <c r="H264" s="21"/>
      <c r="I264" s="28">
        <f>J264+K264</f>
        <v>0</v>
      </c>
      <c r="J264" s="28"/>
      <c r="K264" s="28"/>
      <c r="L264" s="28">
        <f>M264+N264</f>
        <v>0</v>
      </c>
      <c r="M264" s="28"/>
      <c r="N264" s="28"/>
      <c r="O264" s="6"/>
    </row>
    <row r="265" spans="1:15" ht="35.25" customHeight="1" x14ac:dyDescent="0.3">
      <c r="A265" s="365" t="s">
        <v>506</v>
      </c>
      <c r="B265" s="365"/>
      <c r="C265" s="352"/>
      <c r="D265" s="340" t="s">
        <v>586</v>
      </c>
      <c r="E265" s="20"/>
      <c r="F265" s="21">
        <f t="shared" ref="F265:N265" si="90">F266+F267+F268</f>
        <v>190.45999999999998</v>
      </c>
      <c r="G265" s="21">
        <f t="shared" si="90"/>
        <v>190.45999999999998</v>
      </c>
      <c r="H265" s="21">
        <f t="shared" si="90"/>
        <v>0</v>
      </c>
      <c r="I265" s="28">
        <f t="shared" si="90"/>
        <v>190.46</v>
      </c>
      <c r="J265" s="28">
        <f t="shared" si="90"/>
        <v>190.46</v>
      </c>
      <c r="K265" s="28">
        <f t="shared" si="90"/>
        <v>0</v>
      </c>
      <c r="L265" s="28">
        <f t="shared" si="90"/>
        <v>160.19999999999999</v>
      </c>
      <c r="M265" s="28">
        <f t="shared" si="90"/>
        <v>160.19999999999999</v>
      </c>
      <c r="N265" s="220">
        <f t="shared" si="90"/>
        <v>0</v>
      </c>
      <c r="O265" s="6"/>
    </row>
    <row r="266" spans="1:15" ht="35.25" customHeight="1" x14ac:dyDescent="0.3">
      <c r="A266" s="365"/>
      <c r="B266" s="365"/>
      <c r="C266" s="352"/>
      <c r="D266" s="340"/>
      <c r="E266" s="20" t="s">
        <v>8</v>
      </c>
      <c r="F266" s="21">
        <f>G266+H266</f>
        <v>190.45999999999998</v>
      </c>
      <c r="G266" s="21">
        <f>110+50.2+30.26</f>
        <v>190.45999999999998</v>
      </c>
      <c r="H266" s="21">
        <v>0</v>
      </c>
      <c r="I266" s="28">
        <f>J266+K266</f>
        <v>190.46</v>
      </c>
      <c r="J266" s="28">
        <v>190.46</v>
      </c>
      <c r="K266" s="28">
        <v>0</v>
      </c>
      <c r="L266" s="28">
        <f>M266+N266</f>
        <v>160.19999999999999</v>
      </c>
      <c r="M266" s="28">
        <v>160.19999999999999</v>
      </c>
      <c r="N266" s="220">
        <v>0</v>
      </c>
      <c r="O266" s="6"/>
    </row>
    <row r="267" spans="1:15" ht="35.25" customHeight="1" x14ac:dyDescent="0.3">
      <c r="A267" s="365"/>
      <c r="B267" s="365"/>
      <c r="C267" s="352"/>
      <c r="D267" s="340"/>
      <c r="E267" s="22" t="s">
        <v>9</v>
      </c>
      <c r="F267" s="21">
        <f>G267+H267</f>
        <v>0</v>
      </c>
      <c r="G267" s="21"/>
      <c r="H267" s="21"/>
      <c r="I267" s="28">
        <f>J267+K267</f>
        <v>0</v>
      </c>
      <c r="J267" s="28"/>
      <c r="K267" s="28"/>
      <c r="L267" s="28">
        <f>M267+N267</f>
        <v>0</v>
      </c>
      <c r="M267" s="28"/>
      <c r="N267" s="220"/>
      <c r="O267" s="6"/>
    </row>
    <row r="268" spans="1:15" ht="35.25" customHeight="1" x14ac:dyDescent="0.3">
      <c r="A268" s="365"/>
      <c r="B268" s="365"/>
      <c r="C268" s="352"/>
      <c r="D268" s="340"/>
      <c r="E268" s="20" t="s">
        <v>10</v>
      </c>
      <c r="F268" s="21">
        <f>G268+H268</f>
        <v>0</v>
      </c>
      <c r="G268" s="21"/>
      <c r="H268" s="21"/>
      <c r="I268" s="28">
        <f>J268+K268</f>
        <v>0</v>
      </c>
      <c r="J268" s="28"/>
      <c r="K268" s="28"/>
      <c r="L268" s="28">
        <f>M268+N268</f>
        <v>0</v>
      </c>
      <c r="M268" s="28"/>
      <c r="N268" s="220"/>
      <c r="O268" s="6"/>
    </row>
    <row r="269" spans="1:15" ht="35.25" customHeight="1" x14ac:dyDescent="0.3">
      <c r="A269" s="365" t="s">
        <v>507</v>
      </c>
      <c r="B269" s="365"/>
      <c r="C269" s="352"/>
      <c r="D269" s="340" t="s">
        <v>587</v>
      </c>
      <c r="E269" s="20"/>
      <c r="F269" s="21">
        <f t="shared" ref="F269:N269" si="91">F270+F271+F272</f>
        <v>74.72</v>
      </c>
      <c r="G269" s="21">
        <f t="shared" si="91"/>
        <v>74.72</v>
      </c>
      <c r="H269" s="21">
        <f t="shared" si="91"/>
        <v>0</v>
      </c>
      <c r="I269" s="28">
        <f t="shared" si="91"/>
        <v>74.72</v>
      </c>
      <c r="J269" s="28">
        <f t="shared" si="91"/>
        <v>74.72</v>
      </c>
      <c r="K269" s="28">
        <f t="shared" si="91"/>
        <v>0</v>
      </c>
      <c r="L269" s="28">
        <f t="shared" si="91"/>
        <v>74.06</v>
      </c>
      <c r="M269" s="28">
        <f t="shared" si="91"/>
        <v>74.06</v>
      </c>
      <c r="N269" s="220">
        <f t="shared" si="91"/>
        <v>0</v>
      </c>
      <c r="O269" s="6"/>
    </row>
    <row r="270" spans="1:15" ht="35.25" customHeight="1" x14ac:dyDescent="0.3">
      <c r="A270" s="365"/>
      <c r="B270" s="365"/>
      <c r="C270" s="352"/>
      <c r="D270" s="340"/>
      <c r="E270" s="20" t="s">
        <v>8</v>
      </c>
      <c r="F270" s="21">
        <f>G270+H270</f>
        <v>74.72</v>
      </c>
      <c r="G270" s="21">
        <f>105-30.28</f>
        <v>74.72</v>
      </c>
      <c r="H270" s="21">
        <v>0</v>
      </c>
      <c r="I270" s="28">
        <f>J270+K270</f>
        <v>74.72</v>
      </c>
      <c r="J270" s="28">
        <v>74.72</v>
      </c>
      <c r="K270" s="28">
        <v>0</v>
      </c>
      <c r="L270" s="28">
        <f>M270+N270</f>
        <v>74.06</v>
      </c>
      <c r="M270" s="28">
        <f>73.41+0.65</f>
        <v>74.06</v>
      </c>
      <c r="N270" s="220">
        <v>0</v>
      </c>
      <c r="O270" s="6"/>
    </row>
    <row r="271" spans="1:15" ht="35.25" customHeight="1" x14ac:dyDescent="0.3">
      <c r="A271" s="365"/>
      <c r="B271" s="365"/>
      <c r="C271" s="352"/>
      <c r="D271" s="340"/>
      <c r="E271" s="22" t="s">
        <v>9</v>
      </c>
      <c r="F271" s="21">
        <f>G271+H271</f>
        <v>0</v>
      </c>
      <c r="G271" s="21"/>
      <c r="H271" s="21"/>
      <c r="I271" s="28">
        <f>J271+K271</f>
        <v>0</v>
      </c>
      <c r="J271" s="28"/>
      <c r="K271" s="28"/>
      <c r="L271" s="28">
        <f>M271+N271</f>
        <v>0</v>
      </c>
      <c r="M271" s="28"/>
      <c r="N271" s="220"/>
      <c r="O271" s="6"/>
    </row>
    <row r="272" spans="1:15" ht="35.25" customHeight="1" x14ac:dyDescent="0.3">
      <c r="A272" s="365"/>
      <c r="B272" s="365"/>
      <c r="C272" s="352"/>
      <c r="D272" s="340"/>
      <c r="E272" s="20" t="s">
        <v>10</v>
      </c>
      <c r="F272" s="21">
        <f>G272+H272</f>
        <v>0</v>
      </c>
      <c r="G272" s="21"/>
      <c r="H272" s="21"/>
      <c r="I272" s="28">
        <f>J272+K272</f>
        <v>0</v>
      </c>
      <c r="J272" s="28"/>
      <c r="K272" s="28"/>
      <c r="L272" s="28">
        <f>M272+N272</f>
        <v>0</v>
      </c>
      <c r="M272" s="28"/>
      <c r="N272" s="220"/>
      <c r="O272" s="6"/>
    </row>
    <row r="273" spans="1:15" ht="32.25" customHeight="1" x14ac:dyDescent="0.3">
      <c r="A273" s="365" t="s">
        <v>508</v>
      </c>
      <c r="B273" s="365"/>
      <c r="C273" s="352"/>
      <c r="D273" s="340" t="s">
        <v>588</v>
      </c>
      <c r="E273" s="20"/>
      <c r="F273" s="21">
        <f t="shared" ref="F273:N273" si="92">F274+F275+F276</f>
        <v>23663.83</v>
      </c>
      <c r="G273" s="21">
        <f t="shared" si="92"/>
        <v>939.51000000000056</v>
      </c>
      <c r="H273" s="21">
        <f t="shared" si="92"/>
        <v>22724.32</v>
      </c>
      <c r="I273" s="28">
        <f t="shared" si="92"/>
        <v>939.51</v>
      </c>
      <c r="J273" s="28">
        <f t="shared" si="92"/>
        <v>939.51</v>
      </c>
      <c r="K273" s="28">
        <f t="shared" si="92"/>
        <v>0</v>
      </c>
      <c r="L273" s="28">
        <f t="shared" si="92"/>
        <v>22765.25</v>
      </c>
      <c r="M273" s="28">
        <f t="shared" si="92"/>
        <v>190.95</v>
      </c>
      <c r="N273" s="28">
        <f t="shared" si="92"/>
        <v>22574.3</v>
      </c>
      <c r="O273" s="6"/>
    </row>
    <row r="274" spans="1:15" ht="66" customHeight="1" x14ac:dyDescent="0.3">
      <c r="A274" s="365"/>
      <c r="B274" s="365"/>
      <c r="C274" s="352"/>
      <c r="D274" s="340"/>
      <c r="E274" s="20" t="s">
        <v>8</v>
      </c>
      <c r="F274" s="21">
        <f>G274+H274</f>
        <v>1089.5100000000007</v>
      </c>
      <c r="G274" s="21">
        <f>10099-150-8911.64-97.85</f>
        <v>939.51000000000056</v>
      </c>
      <c r="H274" s="21">
        <f>0+150</f>
        <v>150</v>
      </c>
      <c r="I274" s="28">
        <f>J274+K274</f>
        <v>939.51</v>
      </c>
      <c r="J274" s="28">
        <v>939.51</v>
      </c>
      <c r="K274" s="28">
        <v>0</v>
      </c>
      <c r="L274" s="28">
        <f>M274+N274</f>
        <v>190.95</v>
      </c>
      <c r="M274" s="28">
        <f>191.59-0.65+0.01</f>
        <v>190.95</v>
      </c>
      <c r="N274" s="28">
        <v>0</v>
      </c>
      <c r="O274" s="6"/>
    </row>
    <row r="275" spans="1:15" ht="56.25" customHeight="1" x14ac:dyDescent="0.3">
      <c r="A275" s="365"/>
      <c r="B275" s="365"/>
      <c r="C275" s="352"/>
      <c r="D275" s="340"/>
      <c r="E275" s="22" t="s">
        <v>9</v>
      </c>
      <c r="F275" s="21">
        <f>G275+H275</f>
        <v>0</v>
      </c>
      <c r="G275" s="21"/>
      <c r="H275" s="21"/>
      <c r="I275" s="28">
        <f>J275+K275</f>
        <v>0</v>
      </c>
      <c r="J275" s="28"/>
      <c r="K275" s="28"/>
      <c r="L275" s="28">
        <f>M275+N275</f>
        <v>0</v>
      </c>
      <c r="M275" s="28"/>
      <c r="N275" s="28"/>
      <c r="O275" s="6"/>
    </row>
    <row r="276" spans="1:15" ht="47.25" customHeight="1" x14ac:dyDescent="0.3">
      <c r="A276" s="365"/>
      <c r="B276" s="365"/>
      <c r="C276" s="352"/>
      <c r="D276" s="340"/>
      <c r="E276" s="20" t="s">
        <v>10</v>
      </c>
      <c r="F276" s="21">
        <f>G276+H276</f>
        <v>22574.32</v>
      </c>
      <c r="G276" s="21"/>
      <c r="H276" s="21">
        <f>805.5+4589.96+13960.47+1971.1+526.27+721.02</f>
        <v>22574.32</v>
      </c>
      <c r="I276" s="28">
        <f>J276+K276</f>
        <v>0</v>
      </c>
      <c r="J276" s="28"/>
      <c r="K276" s="28">
        <f>22574.32-22574.32</f>
        <v>0</v>
      </c>
      <c r="L276" s="28">
        <f>M276+N276</f>
        <v>22574.3</v>
      </c>
      <c r="M276" s="28"/>
      <c r="N276" s="28">
        <f>22574.32-0.02</f>
        <v>22574.3</v>
      </c>
      <c r="O276" s="6"/>
    </row>
    <row r="277" spans="1:15" ht="31.5" customHeight="1" x14ac:dyDescent="0.3">
      <c r="A277" s="410" t="s">
        <v>355</v>
      </c>
      <c r="B277" s="411"/>
      <c r="C277" s="362" t="s">
        <v>21</v>
      </c>
      <c r="D277" s="460"/>
      <c r="E277" s="14"/>
      <c r="F277" s="15">
        <f t="shared" ref="F277:N277" si="93">F278+F279+F280</f>
        <v>65</v>
      </c>
      <c r="G277" s="15">
        <f t="shared" si="93"/>
        <v>0</v>
      </c>
      <c r="H277" s="15">
        <f t="shared" si="93"/>
        <v>65</v>
      </c>
      <c r="I277" s="24">
        <f t="shared" si="93"/>
        <v>65</v>
      </c>
      <c r="J277" s="24">
        <f t="shared" si="93"/>
        <v>0</v>
      </c>
      <c r="K277" s="24">
        <f t="shared" si="93"/>
        <v>65</v>
      </c>
      <c r="L277" s="24">
        <f t="shared" si="93"/>
        <v>0</v>
      </c>
      <c r="M277" s="24">
        <f t="shared" si="93"/>
        <v>0</v>
      </c>
      <c r="N277" s="24">
        <f t="shared" si="93"/>
        <v>0</v>
      </c>
      <c r="O277" s="6"/>
    </row>
    <row r="278" spans="1:15" ht="35.25" customHeight="1" x14ac:dyDescent="0.3">
      <c r="A278" s="412"/>
      <c r="B278" s="413"/>
      <c r="C278" s="363"/>
      <c r="D278" s="460"/>
      <c r="E278" s="16" t="s">
        <v>8</v>
      </c>
      <c r="F278" s="11">
        <f>G278+H278</f>
        <v>65</v>
      </c>
      <c r="G278" s="11">
        <f t="shared" ref="G278:H280" si="94">G282</f>
        <v>0</v>
      </c>
      <c r="H278" s="11">
        <f t="shared" si="94"/>
        <v>65</v>
      </c>
      <c r="I278" s="13">
        <f>J278+K278</f>
        <v>65</v>
      </c>
      <c r="J278" s="13">
        <f t="shared" ref="J278:K280" si="95">J282</f>
        <v>0</v>
      </c>
      <c r="K278" s="13">
        <f t="shared" si="95"/>
        <v>65</v>
      </c>
      <c r="L278" s="13">
        <f>M278+N278</f>
        <v>0</v>
      </c>
      <c r="M278" s="13">
        <f t="shared" ref="M278:N280" si="96">M282</f>
        <v>0</v>
      </c>
      <c r="N278" s="13">
        <f t="shared" si="96"/>
        <v>0</v>
      </c>
      <c r="O278" s="6"/>
    </row>
    <row r="279" spans="1:15" ht="35.25" customHeight="1" x14ac:dyDescent="0.3">
      <c r="A279" s="412"/>
      <c r="B279" s="413"/>
      <c r="C279" s="363"/>
      <c r="D279" s="460"/>
      <c r="E279" s="17" t="s">
        <v>9</v>
      </c>
      <c r="F279" s="11">
        <f>G279+H279</f>
        <v>0</v>
      </c>
      <c r="G279" s="11">
        <f t="shared" si="94"/>
        <v>0</v>
      </c>
      <c r="H279" s="11">
        <f t="shared" si="94"/>
        <v>0</v>
      </c>
      <c r="I279" s="13">
        <f>J279+K279</f>
        <v>0</v>
      </c>
      <c r="J279" s="13">
        <f t="shared" si="95"/>
        <v>0</v>
      </c>
      <c r="K279" s="13">
        <f t="shared" si="95"/>
        <v>0</v>
      </c>
      <c r="L279" s="13">
        <f>M279+N279</f>
        <v>0</v>
      </c>
      <c r="M279" s="13">
        <f t="shared" si="96"/>
        <v>0</v>
      </c>
      <c r="N279" s="13">
        <f t="shared" si="96"/>
        <v>0</v>
      </c>
      <c r="O279" s="6"/>
    </row>
    <row r="280" spans="1:15" ht="35.25" customHeight="1" x14ac:dyDescent="0.3">
      <c r="A280" s="414"/>
      <c r="B280" s="415"/>
      <c r="C280" s="364"/>
      <c r="D280" s="460"/>
      <c r="E280" s="16" t="s">
        <v>10</v>
      </c>
      <c r="F280" s="11">
        <f>G280+H280</f>
        <v>0</v>
      </c>
      <c r="G280" s="11">
        <f t="shared" si="94"/>
        <v>0</v>
      </c>
      <c r="H280" s="11">
        <f t="shared" si="94"/>
        <v>0</v>
      </c>
      <c r="I280" s="13">
        <f>J280+K280</f>
        <v>0</v>
      </c>
      <c r="J280" s="13">
        <f t="shared" si="95"/>
        <v>0</v>
      </c>
      <c r="K280" s="13">
        <f t="shared" si="95"/>
        <v>0</v>
      </c>
      <c r="L280" s="13">
        <f>M280+N280</f>
        <v>0</v>
      </c>
      <c r="M280" s="13">
        <f t="shared" si="96"/>
        <v>0</v>
      </c>
      <c r="N280" s="13">
        <f t="shared" si="96"/>
        <v>0</v>
      </c>
      <c r="O280" s="6"/>
    </row>
    <row r="281" spans="1:15" ht="32.25" customHeight="1" x14ac:dyDescent="0.3">
      <c r="A281" s="341" t="s">
        <v>509</v>
      </c>
      <c r="B281" s="341"/>
      <c r="C281" s="352"/>
      <c r="D281" s="340"/>
      <c r="E281" s="20"/>
      <c r="F281" s="21">
        <f t="shared" ref="F281:N281" si="97">F282+F283+F284</f>
        <v>65</v>
      </c>
      <c r="G281" s="21">
        <f t="shared" si="97"/>
        <v>0</v>
      </c>
      <c r="H281" s="21">
        <f t="shared" si="97"/>
        <v>65</v>
      </c>
      <c r="I281" s="28">
        <f t="shared" si="97"/>
        <v>65</v>
      </c>
      <c r="J281" s="28">
        <f t="shared" si="97"/>
        <v>0</v>
      </c>
      <c r="K281" s="28">
        <f t="shared" si="97"/>
        <v>65</v>
      </c>
      <c r="L281" s="28">
        <f t="shared" si="97"/>
        <v>0</v>
      </c>
      <c r="M281" s="28">
        <f t="shared" si="97"/>
        <v>0</v>
      </c>
      <c r="N281" s="28">
        <f t="shared" si="97"/>
        <v>0</v>
      </c>
      <c r="O281" s="6"/>
    </row>
    <row r="282" spans="1:15" ht="35.25" customHeight="1" x14ac:dyDescent="0.3">
      <c r="A282" s="341"/>
      <c r="B282" s="341"/>
      <c r="C282" s="352"/>
      <c r="D282" s="340"/>
      <c r="E282" s="20" t="s">
        <v>8</v>
      </c>
      <c r="F282" s="21">
        <f>G282+H282</f>
        <v>65</v>
      </c>
      <c r="G282" s="21">
        <v>0</v>
      </c>
      <c r="H282" s="21">
        <v>65</v>
      </c>
      <c r="I282" s="28">
        <f>J282+K282</f>
        <v>65</v>
      </c>
      <c r="J282" s="28">
        <v>0</v>
      </c>
      <c r="K282" s="28">
        <v>65</v>
      </c>
      <c r="L282" s="28">
        <f>M282+N282</f>
        <v>0</v>
      </c>
      <c r="M282" s="28">
        <v>0</v>
      </c>
      <c r="N282" s="28">
        <v>0</v>
      </c>
      <c r="O282" s="6"/>
    </row>
    <row r="283" spans="1:15" ht="35.25" customHeight="1" x14ac:dyDescent="0.3">
      <c r="A283" s="341"/>
      <c r="B283" s="341"/>
      <c r="C283" s="352"/>
      <c r="D283" s="340"/>
      <c r="E283" s="22" t="s">
        <v>9</v>
      </c>
      <c r="F283" s="21">
        <f>G283+H283</f>
        <v>0</v>
      </c>
      <c r="G283" s="21"/>
      <c r="H283" s="21"/>
      <c r="I283" s="28">
        <f>J283+K283</f>
        <v>0</v>
      </c>
      <c r="J283" s="28"/>
      <c r="K283" s="28"/>
      <c r="L283" s="28">
        <f>M283+N283</f>
        <v>0</v>
      </c>
      <c r="M283" s="28"/>
      <c r="N283" s="28"/>
      <c r="O283" s="6"/>
    </row>
    <row r="284" spans="1:15" ht="35.25" customHeight="1" x14ac:dyDescent="0.3">
      <c r="A284" s="341"/>
      <c r="B284" s="341"/>
      <c r="C284" s="352"/>
      <c r="D284" s="340"/>
      <c r="E284" s="20" t="s">
        <v>10</v>
      </c>
      <c r="F284" s="21">
        <f>G284+H284</f>
        <v>0</v>
      </c>
      <c r="G284" s="21"/>
      <c r="H284" s="21"/>
      <c r="I284" s="28">
        <f>J284+K284</f>
        <v>0</v>
      </c>
      <c r="J284" s="28"/>
      <c r="K284" s="28"/>
      <c r="L284" s="28">
        <f>M284+N284</f>
        <v>0</v>
      </c>
      <c r="M284" s="28"/>
      <c r="N284" s="28"/>
      <c r="O284" s="6"/>
    </row>
    <row r="285" spans="1:15" ht="29.25" customHeight="1" x14ac:dyDescent="0.3">
      <c r="A285" s="343" t="s">
        <v>356</v>
      </c>
      <c r="B285" s="344"/>
      <c r="C285" s="353" t="s">
        <v>23</v>
      </c>
      <c r="D285" s="389"/>
      <c r="E285" s="23"/>
      <c r="F285" s="24">
        <f t="shared" ref="F285:N285" si="98">F286+F287+F288</f>
        <v>91629.280000000013</v>
      </c>
      <c r="G285" s="24">
        <f t="shared" si="98"/>
        <v>91586.280000000013</v>
      </c>
      <c r="H285" s="24">
        <f t="shared" si="98"/>
        <v>43</v>
      </c>
      <c r="I285" s="24">
        <f t="shared" si="98"/>
        <v>91628.840000000011</v>
      </c>
      <c r="J285" s="24">
        <f t="shared" si="98"/>
        <v>91585.840000000011</v>
      </c>
      <c r="K285" s="24">
        <f t="shared" si="98"/>
        <v>43</v>
      </c>
      <c r="L285" s="24">
        <f t="shared" si="98"/>
        <v>91621.13</v>
      </c>
      <c r="M285" s="24">
        <f t="shared" si="98"/>
        <v>91578.13</v>
      </c>
      <c r="N285" s="24">
        <f t="shared" si="98"/>
        <v>43</v>
      </c>
      <c r="O285" s="6"/>
    </row>
    <row r="286" spans="1:15" ht="35.25" customHeight="1" x14ac:dyDescent="0.3">
      <c r="A286" s="345"/>
      <c r="B286" s="346"/>
      <c r="C286" s="354"/>
      <c r="D286" s="389"/>
      <c r="E286" s="25" t="s">
        <v>8</v>
      </c>
      <c r="F286" s="13">
        <f>G286+H286</f>
        <v>91629.280000000013</v>
      </c>
      <c r="G286" s="13">
        <f t="shared" ref="G286:H288" si="99">G290+G294+G298+G302+G306</f>
        <v>91586.280000000013</v>
      </c>
      <c r="H286" s="13">
        <f t="shared" si="99"/>
        <v>43</v>
      </c>
      <c r="I286" s="13">
        <f>J286+K286</f>
        <v>91628.840000000011</v>
      </c>
      <c r="J286" s="13">
        <f t="shared" ref="J286:K288" si="100">J290+J294+J298+J302+J306</f>
        <v>91585.840000000011</v>
      </c>
      <c r="K286" s="13">
        <f t="shared" si="100"/>
        <v>43</v>
      </c>
      <c r="L286" s="13">
        <f>M286+N286</f>
        <v>91621.13</v>
      </c>
      <c r="M286" s="13">
        <f>M290+M294+M298+M302+M306</f>
        <v>91578.13</v>
      </c>
      <c r="N286" s="13">
        <f t="shared" ref="M286:N288" si="101">N290+N294+N298+N302+N306</f>
        <v>43</v>
      </c>
      <c r="O286" s="6"/>
    </row>
    <row r="287" spans="1:15" ht="40.5" customHeight="1" x14ac:dyDescent="0.3">
      <c r="A287" s="345"/>
      <c r="B287" s="346"/>
      <c r="C287" s="354"/>
      <c r="D287" s="389"/>
      <c r="E287" s="26" t="s">
        <v>9</v>
      </c>
      <c r="F287" s="13">
        <f>G287+H287</f>
        <v>0</v>
      </c>
      <c r="G287" s="13">
        <f t="shared" si="99"/>
        <v>0</v>
      </c>
      <c r="H287" s="13">
        <f t="shared" si="99"/>
        <v>0</v>
      </c>
      <c r="I287" s="13">
        <f>J287+K287</f>
        <v>0</v>
      </c>
      <c r="J287" s="13">
        <f t="shared" si="100"/>
        <v>0</v>
      </c>
      <c r="K287" s="13">
        <f t="shared" si="100"/>
        <v>0</v>
      </c>
      <c r="L287" s="13">
        <f>M287+N287</f>
        <v>0</v>
      </c>
      <c r="M287" s="13">
        <f t="shared" si="101"/>
        <v>0</v>
      </c>
      <c r="N287" s="13">
        <f t="shared" si="101"/>
        <v>0</v>
      </c>
      <c r="O287" s="6"/>
    </row>
    <row r="288" spans="1:15" ht="35.25" customHeight="1" x14ac:dyDescent="0.3">
      <c r="A288" s="347"/>
      <c r="B288" s="348"/>
      <c r="C288" s="355"/>
      <c r="D288" s="389"/>
      <c r="E288" s="25" t="s">
        <v>10</v>
      </c>
      <c r="F288" s="13">
        <f>G288+H288</f>
        <v>0</v>
      </c>
      <c r="G288" s="13">
        <f t="shared" si="99"/>
        <v>0</v>
      </c>
      <c r="H288" s="13">
        <f t="shared" si="99"/>
        <v>0</v>
      </c>
      <c r="I288" s="13">
        <f>J288+K288</f>
        <v>0</v>
      </c>
      <c r="J288" s="13">
        <f t="shared" si="100"/>
        <v>0</v>
      </c>
      <c r="K288" s="13">
        <f t="shared" si="100"/>
        <v>0</v>
      </c>
      <c r="L288" s="13">
        <f>M288+N288</f>
        <v>0</v>
      </c>
      <c r="M288" s="13">
        <f t="shared" si="101"/>
        <v>0</v>
      </c>
      <c r="N288" s="13">
        <f t="shared" si="101"/>
        <v>0</v>
      </c>
      <c r="O288" s="6"/>
    </row>
    <row r="289" spans="1:15" ht="32.25" customHeight="1" x14ac:dyDescent="0.3">
      <c r="A289" s="365" t="s">
        <v>510</v>
      </c>
      <c r="B289" s="365"/>
      <c r="C289" s="366"/>
      <c r="D289" s="373" t="s">
        <v>581</v>
      </c>
      <c r="E289" s="27"/>
      <c r="F289" s="28">
        <f t="shared" ref="F289:N289" si="102">F290+F291+F292</f>
        <v>710</v>
      </c>
      <c r="G289" s="28">
        <f t="shared" si="102"/>
        <v>710</v>
      </c>
      <c r="H289" s="28">
        <f t="shared" si="102"/>
        <v>0</v>
      </c>
      <c r="I289" s="28">
        <f t="shared" si="102"/>
        <v>709.56</v>
      </c>
      <c r="J289" s="28">
        <f t="shared" si="102"/>
        <v>709.56</v>
      </c>
      <c r="K289" s="28">
        <f t="shared" si="102"/>
        <v>0</v>
      </c>
      <c r="L289" s="28">
        <f t="shared" si="102"/>
        <v>709.56</v>
      </c>
      <c r="M289" s="28">
        <f t="shared" si="102"/>
        <v>709.56</v>
      </c>
      <c r="N289" s="28">
        <f t="shared" si="102"/>
        <v>0</v>
      </c>
      <c r="O289" s="6"/>
    </row>
    <row r="290" spans="1:15" ht="35.25" customHeight="1" x14ac:dyDescent="0.3">
      <c r="A290" s="365"/>
      <c r="B290" s="365"/>
      <c r="C290" s="366"/>
      <c r="D290" s="373"/>
      <c r="E290" s="27" t="s">
        <v>8</v>
      </c>
      <c r="F290" s="28">
        <f>G290+H290</f>
        <v>710</v>
      </c>
      <c r="G290" s="28">
        <v>710</v>
      </c>
      <c r="H290" s="28">
        <v>0</v>
      </c>
      <c r="I290" s="28">
        <f>J290+K290</f>
        <v>709.56</v>
      </c>
      <c r="J290" s="28">
        <v>709.56</v>
      </c>
      <c r="K290" s="28">
        <v>0</v>
      </c>
      <c r="L290" s="28">
        <f>M290+N290</f>
        <v>709.56</v>
      </c>
      <c r="M290" s="28">
        <v>709.56</v>
      </c>
      <c r="N290" s="28">
        <v>0</v>
      </c>
      <c r="O290" s="6"/>
    </row>
    <row r="291" spans="1:15" ht="35.25" customHeight="1" x14ac:dyDescent="0.3">
      <c r="A291" s="365"/>
      <c r="B291" s="365"/>
      <c r="C291" s="366"/>
      <c r="D291" s="373"/>
      <c r="E291" s="29" t="s">
        <v>9</v>
      </c>
      <c r="F291" s="28">
        <f>G291+H291</f>
        <v>0</v>
      </c>
      <c r="G291" s="28"/>
      <c r="H291" s="28"/>
      <c r="I291" s="28">
        <f>J291+K291</f>
        <v>0</v>
      </c>
      <c r="J291" s="28"/>
      <c r="K291" s="28"/>
      <c r="L291" s="28">
        <f>M291+N291</f>
        <v>0</v>
      </c>
      <c r="M291" s="28"/>
      <c r="N291" s="28"/>
      <c r="O291" s="6"/>
    </row>
    <row r="292" spans="1:15" ht="35.25" customHeight="1" x14ac:dyDescent="0.3">
      <c r="A292" s="365"/>
      <c r="B292" s="365"/>
      <c r="C292" s="366"/>
      <c r="D292" s="373"/>
      <c r="E292" s="27" t="s">
        <v>10</v>
      </c>
      <c r="F292" s="28">
        <f>G292+H292</f>
        <v>0</v>
      </c>
      <c r="G292" s="28"/>
      <c r="H292" s="28"/>
      <c r="I292" s="28">
        <f>J292+K292</f>
        <v>0</v>
      </c>
      <c r="J292" s="28"/>
      <c r="K292" s="28"/>
      <c r="L292" s="28">
        <f>M292+N292</f>
        <v>0</v>
      </c>
      <c r="M292" s="28"/>
      <c r="N292" s="28"/>
      <c r="O292" s="6"/>
    </row>
    <row r="293" spans="1:15" ht="27" customHeight="1" x14ac:dyDescent="0.3">
      <c r="A293" s="365" t="s">
        <v>511</v>
      </c>
      <c r="B293" s="365"/>
      <c r="C293" s="366"/>
      <c r="D293" s="373" t="s">
        <v>580</v>
      </c>
      <c r="E293" s="27"/>
      <c r="F293" s="28">
        <f t="shared" ref="F293:N293" si="103">F294+F295+F296</f>
        <v>30.209999999999994</v>
      </c>
      <c r="G293" s="28">
        <f t="shared" si="103"/>
        <v>30.209999999999994</v>
      </c>
      <c r="H293" s="28">
        <f t="shared" si="103"/>
        <v>0</v>
      </c>
      <c r="I293" s="28">
        <f t="shared" si="103"/>
        <v>30.21</v>
      </c>
      <c r="J293" s="28">
        <f t="shared" si="103"/>
        <v>30.21</v>
      </c>
      <c r="K293" s="28">
        <f t="shared" si="103"/>
        <v>0</v>
      </c>
      <c r="L293" s="28">
        <f t="shared" si="103"/>
        <v>28.04</v>
      </c>
      <c r="M293" s="28">
        <f t="shared" si="103"/>
        <v>28.04</v>
      </c>
      <c r="N293" s="28">
        <f t="shared" si="103"/>
        <v>0</v>
      </c>
      <c r="O293" s="6"/>
    </row>
    <row r="294" spans="1:15" ht="35.25" customHeight="1" x14ac:dyDescent="0.3">
      <c r="A294" s="365"/>
      <c r="B294" s="365"/>
      <c r="C294" s="366"/>
      <c r="D294" s="373"/>
      <c r="E294" s="27" t="s">
        <v>8</v>
      </c>
      <c r="F294" s="28">
        <f>G294+H294</f>
        <v>30.209999999999994</v>
      </c>
      <c r="G294" s="28">
        <f>120-89.79</f>
        <v>30.209999999999994</v>
      </c>
      <c r="H294" s="28">
        <f>851.56+7731.75-752.25-7831.06</f>
        <v>0</v>
      </c>
      <c r="I294" s="28">
        <f>J294+K294</f>
        <v>30.21</v>
      </c>
      <c r="J294" s="28">
        <v>30.21</v>
      </c>
      <c r="K294" s="28">
        <v>0</v>
      </c>
      <c r="L294" s="28">
        <f>M294+N294</f>
        <v>28.04</v>
      </c>
      <c r="M294" s="28">
        <v>28.04</v>
      </c>
      <c r="N294" s="28">
        <v>0</v>
      </c>
      <c r="O294" s="6"/>
    </row>
    <row r="295" spans="1:15" ht="35.25" customHeight="1" x14ac:dyDescent="0.3">
      <c r="A295" s="365"/>
      <c r="B295" s="365"/>
      <c r="C295" s="366"/>
      <c r="D295" s="373"/>
      <c r="E295" s="29" t="s">
        <v>9</v>
      </c>
      <c r="F295" s="28">
        <f>G295+H295</f>
        <v>0</v>
      </c>
      <c r="G295" s="28"/>
      <c r="H295" s="28"/>
      <c r="I295" s="28">
        <f>J295+K295</f>
        <v>0</v>
      </c>
      <c r="J295" s="28"/>
      <c r="K295" s="28"/>
      <c r="L295" s="28">
        <f>M295+N295</f>
        <v>0</v>
      </c>
      <c r="M295" s="28"/>
      <c r="N295" s="28"/>
      <c r="O295" s="6"/>
    </row>
    <row r="296" spans="1:15" ht="35.25" customHeight="1" x14ac:dyDescent="0.3">
      <c r="A296" s="365"/>
      <c r="B296" s="365"/>
      <c r="C296" s="366"/>
      <c r="D296" s="373"/>
      <c r="E296" s="27" t="s">
        <v>10</v>
      </c>
      <c r="F296" s="28">
        <f>G296+H296</f>
        <v>0</v>
      </c>
      <c r="G296" s="28"/>
      <c r="H296" s="28"/>
      <c r="I296" s="28">
        <f>J296+K296</f>
        <v>0</v>
      </c>
      <c r="J296" s="28"/>
      <c r="K296" s="28"/>
      <c r="L296" s="28">
        <f>M296+N296</f>
        <v>0</v>
      </c>
      <c r="M296" s="28"/>
      <c r="N296" s="28"/>
      <c r="O296" s="6"/>
    </row>
    <row r="297" spans="1:15" ht="31.5" customHeight="1" x14ac:dyDescent="0.3">
      <c r="A297" s="365" t="s">
        <v>512</v>
      </c>
      <c r="B297" s="365"/>
      <c r="C297" s="366"/>
      <c r="D297" s="373"/>
      <c r="E297" s="27"/>
      <c r="F297" s="28">
        <f t="shared" ref="F297:N297" si="104">F298+F299+F300</f>
        <v>0</v>
      </c>
      <c r="G297" s="28">
        <f t="shared" si="104"/>
        <v>0</v>
      </c>
      <c r="H297" s="28">
        <f t="shared" si="104"/>
        <v>0</v>
      </c>
      <c r="I297" s="28">
        <f t="shared" si="104"/>
        <v>0</v>
      </c>
      <c r="J297" s="28">
        <f t="shared" si="104"/>
        <v>0</v>
      </c>
      <c r="K297" s="28">
        <f t="shared" si="104"/>
        <v>0</v>
      </c>
      <c r="L297" s="28">
        <f t="shared" si="104"/>
        <v>0</v>
      </c>
      <c r="M297" s="28">
        <f t="shared" si="104"/>
        <v>0</v>
      </c>
      <c r="N297" s="28">
        <f t="shared" si="104"/>
        <v>0</v>
      </c>
      <c r="O297" s="6"/>
    </row>
    <row r="298" spans="1:15" ht="29.25" customHeight="1" x14ac:dyDescent="0.3">
      <c r="A298" s="365"/>
      <c r="B298" s="365"/>
      <c r="C298" s="366"/>
      <c r="D298" s="373"/>
      <c r="E298" s="27" t="s">
        <v>8</v>
      </c>
      <c r="F298" s="28">
        <f>G298+H298</f>
        <v>0</v>
      </c>
      <c r="G298" s="28">
        <f>60-60</f>
        <v>0</v>
      </c>
      <c r="H298" s="28">
        <v>0</v>
      </c>
      <c r="I298" s="28">
        <f>J298+K298</f>
        <v>0</v>
      </c>
      <c r="J298" s="28">
        <v>0</v>
      </c>
      <c r="K298" s="28">
        <v>0</v>
      </c>
      <c r="L298" s="28">
        <f>M298+N298</f>
        <v>0</v>
      </c>
      <c r="M298" s="28">
        <v>0</v>
      </c>
      <c r="N298" s="28">
        <v>0</v>
      </c>
      <c r="O298" s="6"/>
    </row>
    <row r="299" spans="1:15" ht="35.25" customHeight="1" x14ac:dyDescent="0.3">
      <c r="A299" s="365"/>
      <c r="B299" s="365"/>
      <c r="C299" s="366"/>
      <c r="D299" s="373"/>
      <c r="E299" s="29" t="s">
        <v>9</v>
      </c>
      <c r="F299" s="28">
        <f>G299+H299</f>
        <v>0</v>
      </c>
      <c r="G299" s="28"/>
      <c r="H299" s="28"/>
      <c r="I299" s="28">
        <f>J299+K299</f>
        <v>0</v>
      </c>
      <c r="J299" s="28"/>
      <c r="K299" s="28"/>
      <c r="L299" s="28">
        <f>M299+N299</f>
        <v>0</v>
      </c>
      <c r="M299" s="28"/>
      <c r="N299" s="28"/>
      <c r="O299" s="6"/>
    </row>
    <row r="300" spans="1:15" ht="35.25" customHeight="1" x14ac:dyDescent="0.3">
      <c r="A300" s="365"/>
      <c r="B300" s="365"/>
      <c r="C300" s="366"/>
      <c r="D300" s="373"/>
      <c r="E300" s="30" t="s">
        <v>10</v>
      </c>
      <c r="F300" s="31">
        <f>G300+H300</f>
        <v>0</v>
      </c>
      <c r="G300" s="31"/>
      <c r="H300" s="31"/>
      <c r="I300" s="31">
        <f>J300+K300</f>
        <v>0</v>
      </c>
      <c r="J300" s="31"/>
      <c r="K300" s="31"/>
      <c r="L300" s="31">
        <f>M300+N300</f>
        <v>0</v>
      </c>
      <c r="M300" s="31"/>
      <c r="N300" s="31"/>
      <c r="O300" s="6"/>
    </row>
    <row r="301" spans="1:15" ht="27" customHeight="1" x14ac:dyDescent="0.3">
      <c r="A301" s="365" t="s">
        <v>513</v>
      </c>
      <c r="B301" s="365"/>
      <c r="C301" s="366"/>
      <c r="D301" s="373" t="s">
        <v>579</v>
      </c>
      <c r="E301" s="27"/>
      <c r="F301" s="28">
        <f t="shared" ref="F301:N301" si="105">F302+F303+F304</f>
        <v>63</v>
      </c>
      <c r="G301" s="28">
        <f t="shared" si="105"/>
        <v>20</v>
      </c>
      <c r="H301" s="28">
        <f t="shared" si="105"/>
        <v>43</v>
      </c>
      <c r="I301" s="28">
        <f t="shared" si="105"/>
        <v>63</v>
      </c>
      <c r="J301" s="28">
        <f t="shared" si="105"/>
        <v>20</v>
      </c>
      <c r="K301" s="28">
        <f t="shared" si="105"/>
        <v>43</v>
      </c>
      <c r="L301" s="28">
        <f t="shared" si="105"/>
        <v>59.260000000000005</v>
      </c>
      <c r="M301" s="28">
        <f t="shared" si="105"/>
        <v>16.260000000000002</v>
      </c>
      <c r="N301" s="28">
        <f t="shared" si="105"/>
        <v>43</v>
      </c>
      <c r="O301" s="6"/>
    </row>
    <row r="302" spans="1:15" ht="35.25" customHeight="1" x14ac:dyDescent="0.3">
      <c r="A302" s="365"/>
      <c r="B302" s="365"/>
      <c r="C302" s="366"/>
      <c r="D302" s="373"/>
      <c r="E302" s="27" t="s">
        <v>8</v>
      </c>
      <c r="F302" s="28">
        <f>G302+H302</f>
        <v>63</v>
      </c>
      <c r="G302" s="28">
        <f>285-265</f>
        <v>20</v>
      </c>
      <c r="H302" s="28">
        <f>0+43</f>
        <v>43</v>
      </c>
      <c r="I302" s="28">
        <f>J302+K302</f>
        <v>63</v>
      </c>
      <c r="J302" s="28">
        <v>20</v>
      </c>
      <c r="K302" s="28">
        <v>43</v>
      </c>
      <c r="L302" s="28">
        <f>M302+N302</f>
        <v>59.260000000000005</v>
      </c>
      <c r="M302" s="28">
        <v>16.260000000000002</v>
      </c>
      <c r="N302" s="28">
        <v>43</v>
      </c>
      <c r="O302" s="6"/>
    </row>
    <row r="303" spans="1:15" ht="35.25" customHeight="1" x14ac:dyDescent="0.3">
      <c r="A303" s="365"/>
      <c r="B303" s="365"/>
      <c r="C303" s="366"/>
      <c r="D303" s="373"/>
      <c r="E303" s="29" t="s">
        <v>9</v>
      </c>
      <c r="F303" s="28">
        <f>G303+H303</f>
        <v>0</v>
      </c>
      <c r="G303" s="28"/>
      <c r="H303" s="28"/>
      <c r="I303" s="28">
        <f>J303+K303</f>
        <v>0</v>
      </c>
      <c r="J303" s="28"/>
      <c r="K303" s="28"/>
      <c r="L303" s="28">
        <f>M303+N303</f>
        <v>0</v>
      </c>
      <c r="M303" s="28"/>
      <c r="N303" s="28"/>
      <c r="O303" s="6"/>
    </row>
    <row r="304" spans="1:15" ht="35.25" customHeight="1" x14ac:dyDescent="0.3">
      <c r="A304" s="365"/>
      <c r="B304" s="365"/>
      <c r="C304" s="366"/>
      <c r="D304" s="373"/>
      <c r="E304" s="30" t="s">
        <v>10</v>
      </c>
      <c r="F304" s="31">
        <f>G304+H304</f>
        <v>0</v>
      </c>
      <c r="G304" s="31"/>
      <c r="H304" s="31"/>
      <c r="I304" s="31">
        <f>J304+K304</f>
        <v>0</v>
      </c>
      <c r="J304" s="31"/>
      <c r="K304" s="31"/>
      <c r="L304" s="31">
        <f>M304+N304</f>
        <v>0</v>
      </c>
      <c r="M304" s="31"/>
      <c r="N304" s="31"/>
      <c r="O304" s="6"/>
    </row>
    <row r="305" spans="1:28" ht="35.25" customHeight="1" x14ac:dyDescent="0.3">
      <c r="A305" s="377" t="s">
        <v>556</v>
      </c>
      <c r="B305" s="378"/>
      <c r="C305" s="366"/>
      <c r="D305" s="373" t="s">
        <v>578</v>
      </c>
      <c r="E305" s="27"/>
      <c r="F305" s="28">
        <f t="shared" ref="F305:N305" si="106">F306+F307+F308</f>
        <v>90826.07</v>
      </c>
      <c r="G305" s="28">
        <f t="shared" si="106"/>
        <v>90826.07</v>
      </c>
      <c r="H305" s="28">
        <f t="shared" si="106"/>
        <v>0</v>
      </c>
      <c r="I305" s="28">
        <f t="shared" si="106"/>
        <v>90826.07</v>
      </c>
      <c r="J305" s="28">
        <f t="shared" si="106"/>
        <v>90826.07</v>
      </c>
      <c r="K305" s="28">
        <f t="shared" si="106"/>
        <v>0</v>
      </c>
      <c r="L305" s="28">
        <f t="shared" si="106"/>
        <v>90824.27</v>
      </c>
      <c r="M305" s="28">
        <f t="shared" si="106"/>
        <v>90824.27</v>
      </c>
      <c r="N305" s="28">
        <f t="shared" si="106"/>
        <v>0</v>
      </c>
      <c r="O305" s="6"/>
    </row>
    <row r="306" spans="1:28" ht="42.75" customHeight="1" x14ac:dyDescent="0.25">
      <c r="A306" s="379"/>
      <c r="B306" s="380"/>
      <c r="C306" s="366"/>
      <c r="D306" s="373"/>
      <c r="E306" s="129" t="s">
        <v>8</v>
      </c>
      <c r="F306" s="28">
        <f>G306+H306</f>
        <v>90826.07</v>
      </c>
      <c r="G306" s="28">
        <f>108000+737.3-20310.84+2399.6+0.01</f>
        <v>90826.07</v>
      </c>
      <c r="H306" s="28">
        <f>0+3478.1-3478.1</f>
        <v>0</v>
      </c>
      <c r="I306" s="28">
        <f>J306+K306</f>
        <v>90826.07</v>
      </c>
      <c r="J306" s="28">
        <v>90826.07</v>
      </c>
      <c r="K306" s="28">
        <v>0</v>
      </c>
      <c r="L306" s="28">
        <f>M306+N306</f>
        <v>90824.27</v>
      </c>
      <c r="M306" s="28">
        <v>90824.27</v>
      </c>
      <c r="N306" s="28">
        <v>0</v>
      </c>
      <c r="O306" s="6"/>
    </row>
    <row r="307" spans="1:28" ht="39.75" customHeight="1" x14ac:dyDescent="0.3">
      <c r="A307" s="379"/>
      <c r="B307" s="380"/>
      <c r="C307" s="366"/>
      <c r="D307" s="373"/>
      <c r="E307" s="29" t="s">
        <v>9</v>
      </c>
      <c r="F307" s="28">
        <f>G307+H307</f>
        <v>0</v>
      </c>
      <c r="G307" s="28"/>
      <c r="H307" s="28"/>
      <c r="I307" s="28">
        <f>J307+K307</f>
        <v>0</v>
      </c>
      <c r="J307" s="28"/>
      <c r="K307" s="28"/>
      <c r="L307" s="28">
        <f>M307+N307</f>
        <v>0</v>
      </c>
      <c r="M307" s="28"/>
      <c r="N307" s="28"/>
      <c r="O307" s="6"/>
    </row>
    <row r="308" spans="1:28" ht="124.5" customHeight="1" x14ac:dyDescent="0.25">
      <c r="A308" s="381"/>
      <c r="B308" s="382"/>
      <c r="C308" s="366"/>
      <c r="D308" s="373"/>
      <c r="E308" s="128" t="s">
        <v>10</v>
      </c>
      <c r="F308" s="31">
        <f>G308+H308</f>
        <v>0</v>
      </c>
      <c r="G308" s="31"/>
      <c r="H308" s="31"/>
      <c r="I308" s="219">
        <f>J308+K308</f>
        <v>0</v>
      </c>
      <c r="J308" s="219"/>
      <c r="K308" s="219"/>
      <c r="L308" s="219">
        <f>M308+N308</f>
        <v>0</v>
      </c>
      <c r="M308" s="219"/>
      <c r="N308" s="219"/>
      <c r="O308" s="6"/>
    </row>
    <row r="309" spans="1:28" s="192" customFormat="1" ht="38.25" customHeight="1" x14ac:dyDescent="0.3">
      <c r="A309" s="214"/>
      <c r="B309" s="215"/>
      <c r="C309" s="216"/>
      <c r="D309" s="213"/>
      <c r="E309" s="128"/>
      <c r="F309" s="31"/>
      <c r="G309" s="31"/>
      <c r="H309" s="31"/>
      <c r="I309" s="219"/>
      <c r="J309" s="219"/>
      <c r="K309" s="219"/>
      <c r="L309" s="219"/>
      <c r="M309" s="219"/>
      <c r="N309" s="219"/>
      <c r="O309" s="193"/>
    </row>
    <row r="310" spans="1:28" ht="81" customHeight="1" x14ac:dyDescent="0.3">
      <c r="A310" s="410" t="s">
        <v>553</v>
      </c>
      <c r="B310" s="411"/>
      <c r="C310" s="362" t="s">
        <v>22</v>
      </c>
      <c r="D310" s="340" t="s">
        <v>577</v>
      </c>
      <c r="E310" s="14"/>
      <c r="F310" s="15">
        <f t="shared" ref="F310:N310" si="107">F311+F312+F313</f>
        <v>5435.5999999999995</v>
      </c>
      <c r="G310" s="15">
        <f t="shared" si="107"/>
        <v>5435.5999999999995</v>
      </c>
      <c r="H310" s="15">
        <f t="shared" si="107"/>
        <v>0</v>
      </c>
      <c r="I310" s="24">
        <f t="shared" si="107"/>
        <v>5435.6</v>
      </c>
      <c r="J310" s="24">
        <f t="shared" si="107"/>
        <v>5435.6</v>
      </c>
      <c r="K310" s="24">
        <f t="shared" si="107"/>
        <v>0</v>
      </c>
      <c r="L310" s="24">
        <f t="shared" si="107"/>
        <v>4109.47</v>
      </c>
      <c r="M310" s="24">
        <f t="shared" si="107"/>
        <v>4109.47</v>
      </c>
      <c r="N310" s="24">
        <f t="shared" si="107"/>
        <v>0</v>
      </c>
      <c r="O310" s="6"/>
    </row>
    <row r="311" spans="1:28" ht="70.5" customHeight="1" x14ac:dyDescent="0.35">
      <c r="A311" s="412"/>
      <c r="B311" s="413"/>
      <c r="C311" s="363"/>
      <c r="D311" s="340"/>
      <c r="E311" s="16" t="s">
        <v>8</v>
      </c>
      <c r="F311" s="11">
        <f>G311+H311</f>
        <v>5435.5999999999995</v>
      </c>
      <c r="G311" s="11">
        <f>12349.22-9358.01+1900+697.5+376.81+240-889.14+119.22</f>
        <v>5435.5999999999995</v>
      </c>
      <c r="H311" s="11">
        <f>2866.23-2866.23</f>
        <v>0</v>
      </c>
      <c r="I311" s="13">
        <f>J311+K311</f>
        <v>5435.6</v>
      </c>
      <c r="J311" s="13">
        <v>5435.6</v>
      </c>
      <c r="K311" s="13">
        <v>0</v>
      </c>
      <c r="L311" s="13">
        <f>M311+N311</f>
        <v>4109.47</v>
      </c>
      <c r="M311" s="13">
        <v>4109.47</v>
      </c>
      <c r="N311" s="13">
        <v>0</v>
      </c>
      <c r="O311" s="6"/>
      <c r="P311" s="393"/>
      <c r="Q311" s="393"/>
      <c r="R311" s="393"/>
      <c r="S311" s="393"/>
      <c r="T311" s="393"/>
      <c r="U311" s="393"/>
      <c r="V311" s="393"/>
      <c r="W311" s="393"/>
      <c r="X311" s="393"/>
      <c r="Y311" s="393"/>
      <c r="Z311" s="393"/>
      <c r="AA311" s="393"/>
      <c r="AB311" s="393"/>
    </row>
    <row r="312" spans="1:28" ht="79.5" customHeight="1" x14ac:dyDescent="0.3">
      <c r="A312" s="412"/>
      <c r="B312" s="413"/>
      <c r="C312" s="363"/>
      <c r="D312" s="340"/>
      <c r="E312" s="17" t="s">
        <v>9</v>
      </c>
      <c r="F312" s="11">
        <f>G312+H312</f>
        <v>0</v>
      </c>
      <c r="G312" s="11">
        <v>0</v>
      </c>
      <c r="H312" s="11">
        <v>0</v>
      </c>
      <c r="I312" s="13">
        <f>J312+K312</f>
        <v>0</v>
      </c>
      <c r="J312" s="13">
        <v>0</v>
      </c>
      <c r="K312" s="13">
        <v>0</v>
      </c>
      <c r="L312" s="13">
        <f>M312+N312</f>
        <v>0</v>
      </c>
      <c r="M312" s="13">
        <v>0</v>
      </c>
      <c r="N312" s="13">
        <v>0</v>
      </c>
      <c r="O312" s="6"/>
    </row>
    <row r="313" spans="1:28" ht="81.75" customHeight="1" x14ac:dyDescent="0.3">
      <c r="A313" s="414"/>
      <c r="B313" s="415"/>
      <c r="C313" s="364"/>
      <c r="D313" s="340"/>
      <c r="E313" s="16" t="s">
        <v>10</v>
      </c>
      <c r="F313" s="11">
        <f>G313+H313</f>
        <v>0</v>
      </c>
      <c r="G313" s="11">
        <v>0</v>
      </c>
      <c r="H313" s="11">
        <v>0</v>
      </c>
      <c r="I313" s="13">
        <f>J313+K313</f>
        <v>0</v>
      </c>
      <c r="J313" s="13">
        <v>0</v>
      </c>
      <c r="K313" s="13">
        <v>0</v>
      </c>
      <c r="L313" s="13">
        <f>M313+N313</f>
        <v>0</v>
      </c>
      <c r="M313" s="13">
        <v>0</v>
      </c>
      <c r="N313" s="13">
        <v>0</v>
      </c>
      <c r="O313" s="6"/>
    </row>
    <row r="314" spans="1:28" ht="35.25" customHeight="1" x14ac:dyDescent="0.3">
      <c r="A314" s="343" t="s">
        <v>357</v>
      </c>
      <c r="B314" s="344"/>
      <c r="C314" s="353" t="s">
        <v>24</v>
      </c>
      <c r="D314" s="460"/>
      <c r="E314" s="23"/>
      <c r="F314" s="24">
        <f t="shared" ref="F314:N314" si="108">F315+F316+F317</f>
        <v>835</v>
      </c>
      <c r="G314" s="24">
        <f t="shared" si="108"/>
        <v>835</v>
      </c>
      <c r="H314" s="24">
        <f t="shared" si="108"/>
        <v>0</v>
      </c>
      <c r="I314" s="24">
        <f t="shared" si="108"/>
        <v>835</v>
      </c>
      <c r="J314" s="24">
        <f t="shared" si="108"/>
        <v>835</v>
      </c>
      <c r="K314" s="24">
        <f t="shared" si="108"/>
        <v>0</v>
      </c>
      <c r="L314" s="24">
        <f t="shared" si="108"/>
        <v>280.27999999999997</v>
      </c>
      <c r="M314" s="24">
        <f t="shared" si="108"/>
        <v>280.27999999999997</v>
      </c>
      <c r="N314" s="24">
        <f t="shared" si="108"/>
        <v>0</v>
      </c>
      <c r="O314" s="6"/>
    </row>
    <row r="315" spans="1:28" ht="35.25" customHeight="1" x14ac:dyDescent="0.3">
      <c r="A315" s="345"/>
      <c r="B315" s="346"/>
      <c r="C315" s="354"/>
      <c r="D315" s="460"/>
      <c r="E315" s="25" t="s">
        <v>8</v>
      </c>
      <c r="F315" s="13">
        <f>G315+H315</f>
        <v>835</v>
      </c>
      <c r="G315" s="13">
        <f t="shared" ref="G315:H317" si="109">G319+G323+G327</f>
        <v>835</v>
      </c>
      <c r="H315" s="13">
        <f t="shared" si="109"/>
        <v>0</v>
      </c>
      <c r="I315" s="13">
        <f>J315+K315</f>
        <v>835</v>
      </c>
      <c r="J315" s="13">
        <f t="shared" ref="J315:K317" si="110">J319+J323+J327</f>
        <v>835</v>
      </c>
      <c r="K315" s="13">
        <f t="shared" si="110"/>
        <v>0</v>
      </c>
      <c r="L315" s="13">
        <f>M315+N315</f>
        <v>280.27999999999997</v>
      </c>
      <c r="M315" s="13">
        <f>M319+M323+M327</f>
        <v>280.27999999999997</v>
      </c>
      <c r="N315" s="13">
        <f t="shared" ref="M315:N317" si="111">N319+N323+N327</f>
        <v>0</v>
      </c>
      <c r="O315" s="6"/>
    </row>
    <row r="316" spans="1:28" ht="35.25" customHeight="1" x14ac:dyDescent="0.3">
      <c r="A316" s="345"/>
      <c r="B316" s="346"/>
      <c r="C316" s="354"/>
      <c r="D316" s="460"/>
      <c r="E316" s="26" t="s">
        <v>9</v>
      </c>
      <c r="F316" s="13">
        <f>G316+H316</f>
        <v>0</v>
      </c>
      <c r="G316" s="13">
        <f t="shared" si="109"/>
        <v>0</v>
      </c>
      <c r="H316" s="13">
        <f t="shared" si="109"/>
        <v>0</v>
      </c>
      <c r="I316" s="13">
        <f>J316+K316</f>
        <v>0</v>
      </c>
      <c r="J316" s="13">
        <f t="shared" si="110"/>
        <v>0</v>
      </c>
      <c r="K316" s="13">
        <f t="shared" si="110"/>
        <v>0</v>
      </c>
      <c r="L316" s="13">
        <f>M316+N316</f>
        <v>0</v>
      </c>
      <c r="M316" s="13">
        <f t="shared" si="111"/>
        <v>0</v>
      </c>
      <c r="N316" s="13">
        <f t="shared" si="111"/>
        <v>0</v>
      </c>
      <c r="O316" s="6"/>
    </row>
    <row r="317" spans="1:28" ht="35.25" customHeight="1" x14ac:dyDescent="0.3">
      <c r="A317" s="347"/>
      <c r="B317" s="348"/>
      <c r="C317" s="355"/>
      <c r="D317" s="460"/>
      <c r="E317" s="25" t="s">
        <v>10</v>
      </c>
      <c r="F317" s="13">
        <f>G317+H317</f>
        <v>0</v>
      </c>
      <c r="G317" s="13">
        <f t="shared" si="109"/>
        <v>0</v>
      </c>
      <c r="H317" s="13">
        <f t="shared" si="109"/>
        <v>0</v>
      </c>
      <c r="I317" s="13">
        <f>J317+K317</f>
        <v>0</v>
      </c>
      <c r="J317" s="13">
        <f t="shared" si="110"/>
        <v>0</v>
      </c>
      <c r="K317" s="13">
        <f t="shared" si="110"/>
        <v>0</v>
      </c>
      <c r="L317" s="13">
        <f>M317+N317</f>
        <v>0</v>
      </c>
      <c r="M317" s="13">
        <f t="shared" si="111"/>
        <v>0</v>
      </c>
      <c r="N317" s="13">
        <f t="shared" si="111"/>
        <v>0</v>
      </c>
      <c r="O317" s="6"/>
    </row>
    <row r="318" spans="1:28" ht="29.25" customHeight="1" x14ac:dyDescent="0.3">
      <c r="A318" s="365" t="s">
        <v>514</v>
      </c>
      <c r="B318" s="365"/>
      <c r="C318" s="366"/>
      <c r="D318" s="373"/>
      <c r="E318" s="27"/>
      <c r="F318" s="28">
        <f t="shared" ref="F318:N318" si="112">F319+F320+F321</f>
        <v>5</v>
      </c>
      <c r="G318" s="28">
        <f t="shared" si="112"/>
        <v>5</v>
      </c>
      <c r="H318" s="28">
        <f t="shared" si="112"/>
        <v>0</v>
      </c>
      <c r="I318" s="28">
        <f t="shared" si="112"/>
        <v>5</v>
      </c>
      <c r="J318" s="28">
        <f t="shared" si="112"/>
        <v>5</v>
      </c>
      <c r="K318" s="28">
        <f t="shared" si="112"/>
        <v>0</v>
      </c>
      <c r="L318" s="28">
        <f t="shared" si="112"/>
        <v>0</v>
      </c>
      <c r="M318" s="28">
        <f t="shared" si="112"/>
        <v>0</v>
      </c>
      <c r="N318" s="28">
        <f t="shared" si="112"/>
        <v>0</v>
      </c>
      <c r="O318" s="6"/>
    </row>
    <row r="319" spans="1:28" ht="35.25" customHeight="1" x14ac:dyDescent="0.3">
      <c r="A319" s="365"/>
      <c r="B319" s="365"/>
      <c r="C319" s="366"/>
      <c r="D319" s="373"/>
      <c r="E319" s="27" t="s">
        <v>8</v>
      </c>
      <c r="F319" s="28">
        <f>G319+H319</f>
        <v>5</v>
      </c>
      <c r="G319" s="28">
        <v>5</v>
      </c>
      <c r="H319" s="28">
        <v>0</v>
      </c>
      <c r="I319" s="28">
        <f>J319+K319</f>
        <v>5</v>
      </c>
      <c r="J319" s="28">
        <v>5</v>
      </c>
      <c r="K319" s="28">
        <v>0</v>
      </c>
      <c r="L319" s="28">
        <f>M319+N319</f>
        <v>0</v>
      </c>
      <c r="M319" s="28">
        <v>0</v>
      </c>
      <c r="N319" s="28">
        <v>0</v>
      </c>
      <c r="O319" s="6"/>
    </row>
    <row r="320" spans="1:28" ht="37.5" customHeight="1" x14ac:dyDescent="0.3">
      <c r="A320" s="365"/>
      <c r="B320" s="365"/>
      <c r="C320" s="366"/>
      <c r="D320" s="373"/>
      <c r="E320" s="29" t="s">
        <v>9</v>
      </c>
      <c r="F320" s="28">
        <f>G320+H320</f>
        <v>0</v>
      </c>
      <c r="G320" s="28"/>
      <c r="H320" s="28"/>
      <c r="I320" s="28">
        <f>J320+K320</f>
        <v>0</v>
      </c>
      <c r="J320" s="28"/>
      <c r="K320" s="28"/>
      <c r="L320" s="28">
        <f>M320+N320</f>
        <v>0</v>
      </c>
      <c r="M320" s="28"/>
      <c r="N320" s="28"/>
      <c r="O320" s="6"/>
    </row>
    <row r="321" spans="1:15" ht="35.25" customHeight="1" x14ac:dyDescent="0.3">
      <c r="A321" s="365"/>
      <c r="B321" s="365"/>
      <c r="C321" s="366"/>
      <c r="D321" s="373"/>
      <c r="E321" s="30" t="s">
        <v>10</v>
      </c>
      <c r="F321" s="31">
        <f>G321+H321</f>
        <v>0</v>
      </c>
      <c r="G321" s="31"/>
      <c r="H321" s="31"/>
      <c r="I321" s="31">
        <f>J321+K321</f>
        <v>0</v>
      </c>
      <c r="J321" s="31"/>
      <c r="K321" s="31"/>
      <c r="L321" s="31">
        <f>M321+N321</f>
        <v>0</v>
      </c>
      <c r="M321" s="31"/>
      <c r="N321" s="31"/>
      <c r="O321" s="6"/>
    </row>
    <row r="322" spans="1:15" ht="35.25" customHeight="1" x14ac:dyDescent="0.3">
      <c r="A322" s="365" t="s">
        <v>515</v>
      </c>
      <c r="B322" s="365"/>
      <c r="C322" s="366"/>
      <c r="D322" s="373" t="s">
        <v>574</v>
      </c>
      <c r="E322" s="27"/>
      <c r="F322" s="28">
        <f t="shared" ref="F322:N322" si="113">F323+F324+F325</f>
        <v>500</v>
      </c>
      <c r="G322" s="28">
        <f t="shared" si="113"/>
        <v>500</v>
      </c>
      <c r="H322" s="28">
        <f t="shared" si="113"/>
        <v>0</v>
      </c>
      <c r="I322" s="28">
        <f t="shared" si="113"/>
        <v>500</v>
      </c>
      <c r="J322" s="28">
        <f t="shared" si="113"/>
        <v>500</v>
      </c>
      <c r="K322" s="28">
        <f t="shared" si="113"/>
        <v>0</v>
      </c>
      <c r="L322" s="28">
        <f t="shared" si="113"/>
        <v>206.95</v>
      </c>
      <c r="M322" s="28">
        <f t="shared" si="113"/>
        <v>206.95</v>
      </c>
      <c r="N322" s="28">
        <f t="shared" si="113"/>
        <v>0</v>
      </c>
      <c r="O322" s="6"/>
    </row>
    <row r="323" spans="1:15" ht="35.25" customHeight="1" x14ac:dyDescent="0.3">
      <c r="A323" s="365"/>
      <c r="B323" s="365"/>
      <c r="C323" s="366"/>
      <c r="D323" s="373"/>
      <c r="E323" s="27" t="s">
        <v>8</v>
      </c>
      <c r="F323" s="28">
        <f>G323+H323</f>
        <v>500</v>
      </c>
      <c r="G323" s="28">
        <f>1200-700</f>
        <v>500</v>
      </c>
      <c r="H323" s="28">
        <v>0</v>
      </c>
      <c r="I323" s="28">
        <f>J323+K323</f>
        <v>500</v>
      </c>
      <c r="J323" s="28">
        <v>500</v>
      </c>
      <c r="K323" s="28">
        <v>0</v>
      </c>
      <c r="L323" s="28">
        <f>M323+N323</f>
        <v>206.95</v>
      </c>
      <c r="M323" s="28">
        <v>206.95</v>
      </c>
      <c r="N323" s="28">
        <v>0</v>
      </c>
      <c r="O323" s="6"/>
    </row>
    <row r="324" spans="1:15" ht="35.25" customHeight="1" x14ac:dyDescent="0.3">
      <c r="A324" s="365"/>
      <c r="B324" s="365"/>
      <c r="C324" s="366"/>
      <c r="D324" s="373"/>
      <c r="E324" s="29" t="s">
        <v>9</v>
      </c>
      <c r="F324" s="28">
        <f>G324+H324</f>
        <v>0</v>
      </c>
      <c r="G324" s="28"/>
      <c r="H324" s="28"/>
      <c r="I324" s="28">
        <f>J324+K324</f>
        <v>0</v>
      </c>
      <c r="J324" s="28"/>
      <c r="K324" s="28"/>
      <c r="L324" s="28">
        <f>M324+N324</f>
        <v>0</v>
      </c>
      <c r="M324" s="28"/>
      <c r="N324" s="28"/>
      <c r="O324" s="6"/>
    </row>
    <row r="325" spans="1:15" ht="35.25" customHeight="1" x14ac:dyDescent="0.3">
      <c r="A325" s="365"/>
      <c r="B325" s="365"/>
      <c r="C325" s="366"/>
      <c r="D325" s="373"/>
      <c r="E325" s="30" t="s">
        <v>10</v>
      </c>
      <c r="F325" s="31">
        <f>G325+H325</f>
        <v>0</v>
      </c>
      <c r="G325" s="31"/>
      <c r="H325" s="31"/>
      <c r="I325" s="31">
        <f>J325+K325</f>
        <v>0</v>
      </c>
      <c r="J325" s="31"/>
      <c r="K325" s="31"/>
      <c r="L325" s="31">
        <f>M325+N325</f>
        <v>0</v>
      </c>
      <c r="M325" s="31"/>
      <c r="N325" s="31"/>
      <c r="O325" s="6"/>
    </row>
    <row r="326" spans="1:15" ht="35.25" customHeight="1" x14ac:dyDescent="0.3">
      <c r="A326" s="365" t="s">
        <v>516</v>
      </c>
      <c r="B326" s="365"/>
      <c r="C326" s="366"/>
      <c r="D326" s="373" t="s">
        <v>575</v>
      </c>
      <c r="E326" s="27"/>
      <c r="F326" s="28">
        <f t="shared" ref="F326:N326" si="114">F327+F328+F329</f>
        <v>330</v>
      </c>
      <c r="G326" s="28">
        <f t="shared" si="114"/>
        <v>330</v>
      </c>
      <c r="H326" s="28">
        <f t="shared" si="114"/>
        <v>0</v>
      </c>
      <c r="I326" s="28">
        <f t="shared" si="114"/>
        <v>330</v>
      </c>
      <c r="J326" s="28">
        <f t="shared" si="114"/>
        <v>330</v>
      </c>
      <c r="K326" s="28">
        <f t="shared" si="114"/>
        <v>0</v>
      </c>
      <c r="L326" s="28">
        <f t="shared" si="114"/>
        <v>73.33</v>
      </c>
      <c r="M326" s="28">
        <f t="shared" si="114"/>
        <v>73.33</v>
      </c>
      <c r="N326" s="28">
        <f t="shared" si="114"/>
        <v>0</v>
      </c>
      <c r="O326" s="6"/>
    </row>
    <row r="327" spans="1:15" ht="35.25" customHeight="1" x14ac:dyDescent="0.3">
      <c r="A327" s="365"/>
      <c r="B327" s="365"/>
      <c r="C327" s="366"/>
      <c r="D327" s="373"/>
      <c r="E327" s="27" t="s">
        <v>8</v>
      </c>
      <c r="F327" s="28">
        <f>G327+H327</f>
        <v>330</v>
      </c>
      <c r="G327" s="28">
        <v>330</v>
      </c>
      <c r="H327" s="28">
        <v>0</v>
      </c>
      <c r="I327" s="28">
        <f>J327+K327</f>
        <v>330</v>
      </c>
      <c r="J327" s="28">
        <v>330</v>
      </c>
      <c r="K327" s="28">
        <v>0</v>
      </c>
      <c r="L327" s="28">
        <f>M327+N327</f>
        <v>73.33</v>
      </c>
      <c r="M327" s="28">
        <v>73.33</v>
      </c>
      <c r="N327" s="28">
        <v>0</v>
      </c>
      <c r="O327" s="6"/>
    </row>
    <row r="328" spans="1:15" ht="42.75" customHeight="1" x14ac:dyDescent="0.3">
      <c r="A328" s="365"/>
      <c r="B328" s="365"/>
      <c r="C328" s="366"/>
      <c r="D328" s="373"/>
      <c r="E328" s="29" t="s">
        <v>9</v>
      </c>
      <c r="F328" s="28">
        <f>G328+H328</f>
        <v>0</v>
      </c>
      <c r="G328" s="28"/>
      <c r="H328" s="28"/>
      <c r="I328" s="28">
        <f>J328+K328</f>
        <v>0</v>
      </c>
      <c r="J328" s="28"/>
      <c r="K328" s="28"/>
      <c r="L328" s="28">
        <f>M328+N328</f>
        <v>0</v>
      </c>
      <c r="M328" s="28"/>
      <c r="N328" s="28"/>
      <c r="O328" s="6"/>
    </row>
    <row r="329" spans="1:15" ht="35.25" customHeight="1" x14ac:dyDescent="0.3">
      <c r="A329" s="365"/>
      <c r="B329" s="365"/>
      <c r="C329" s="366"/>
      <c r="D329" s="373"/>
      <c r="E329" s="30" t="s">
        <v>10</v>
      </c>
      <c r="F329" s="31">
        <f>G329+H329</f>
        <v>0</v>
      </c>
      <c r="G329" s="31"/>
      <c r="H329" s="31"/>
      <c r="I329" s="219">
        <f>J329+K329</f>
        <v>0</v>
      </c>
      <c r="J329" s="219"/>
      <c r="K329" s="219"/>
      <c r="L329" s="219">
        <f>M329+N329</f>
        <v>0</v>
      </c>
      <c r="M329" s="219"/>
      <c r="N329" s="219"/>
      <c r="O329" s="6"/>
    </row>
    <row r="330" spans="1:15" ht="35.25" customHeight="1" x14ac:dyDescent="0.3">
      <c r="A330" s="343" t="s">
        <v>358</v>
      </c>
      <c r="B330" s="344"/>
      <c r="C330" s="362" t="s">
        <v>25</v>
      </c>
      <c r="D330" s="394" t="s">
        <v>573</v>
      </c>
      <c r="E330" s="14"/>
      <c r="F330" s="15">
        <f t="shared" ref="F330:M330" si="115">F331+F332+F333</f>
        <v>13682.52</v>
      </c>
      <c r="G330" s="15">
        <f t="shared" si="115"/>
        <v>0</v>
      </c>
      <c r="H330" s="15">
        <f>H331+H332+H333</f>
        <v>13682.52</v>
      </c>
      <c r="I330" s="24">
        <f t="shared" si="115"/>
        <v>12667.51</v>
      </c>
      <c r="J330" s="24">
        <f t="shared" si="115"/>
        <v>0</v>
      </c>
      <c r="K330" s="24">
        <f t="shared" si="115"/>
        <v>12667.51</v>
      </c>
      <c r="L330" s="24">
        <f t="shared" si="115"/>
        <v>11222.79</v>
      </c>
      <c r="M330" s="24">
        <f t="shared" si="115"/>
        <v>0</v>
      </c>
      <c r="N330" s="24">
        <f>N331+N332+N333</f>
        <v>11222.79</v>
      </c>
      <c r="O330" s="6"/>
    </row>
    <row r="331" spans="1:15" ht="35.25" customHeight="1" x14ac:dyDescent="0.3">
      <c r="A331" s="345"/>
      <c r="B331" s="346"/>
      <c r="C331" s="363"/>
      <c r="D331" s="395"/>
      <c r="E331" s="16" t="s">
        <v>8</v>
      </c>
      <c r="F331" s="11">
        <f>G331+H331</f>
        <v>7634.72</v>
      </c>
      <c r="G331" s="11">
        <v>0</v>
      </c>
      <c r="H331" s="11">
        <f>31288.43-21691.14+889.14-2851.71</f>
        <v>7634.72</v>
      </c>
      <c r="I331" s="13">
        <f>J331+K331</f>
        <v>7634.71</v>
      </c>
      <c r="J331" s="13">
        <v>0</v>
      </c>
      <c r="K331" s="13">
        <f>K335+K334+K336+K337+K338+K339+K340</f>
        <v>7634.71</v>
      </c>
      <c r="L331" s="13">
        <f>M331+N331</f>
        <v>6189.99</v>
      </c>
      <c r="M331" s="13">
        <v>0</v>
      </c>
      <c r="N331" s="13">
        <f>N334+N335+N337+N336+N338+N339+N340</f>
        <v>6189.99</v>
      </c>
      <c r="O331" s="6"/>
    </row>
    <row r="332" spans="1:15" ht="45" customHeight="1" x14ac:dyDescent="0.3">
      <c r="A332" s="345"/>
      <c r="B332" s="346"/>
      <c r="C332" s="363"/>
      <c r="D332" s="395"/>
      <c r="E332" s="17" t="s">
        <v>9</v>
      </c>
      <c r="F332" s="11">
        <f>G332+H332</f>
        <v>5032.8</v>
      </c>
      <c r="G332" s="11">
        <f>G345+G349</f>
        <v>0</v>
      </c>
      <c r="H332" s="11">
        <f>3500+1532.8</f>
        <v>5032.8</v>
      </c>
      <c r="I332" s="13">
        <f>J332+K332</f>
        <v>5032.8</v>
      </c>
      <c r="J332" s="13">
        <f>J345+J349</f>
        <v>0</v>
      </c>
      <c r="K332" s="13">
        <v>5032.8</v>
      </c>
      <c r="L332" s="13">
        <f>M332+N332</f>
        <v>5032.8</v>
      </c>
      <c r="M332" s="13">
        <f>M345+M349</f>
        <v>0</v>
      </c>
      <c r="N332" s="13">
        <f>N341+N342</f>
        <v>5032.8</v>
      </c>
      <c r="O332" s="6"/>
    </row>
    <row r="333" spans="1:15" ht="35.25" customHeight="1" x14ac:dyDescent="0.3">
      <c r="A333" s="345"/>
      <c r="B333" s="346"/>
      <c r="C333" s="363"/>
      <c r="D333" s="395"/>
      <c r="E333" s="16" t="s">
        <v>10</v>
      </c>
      <c r="F333" s="11">
        <f>G333+H333</f>
        <v>1015</v>
      </c>
      <c r="G333" s="11">
        <f>G346+G350</f>
        <v>0</v>
      </c>
      <c r="H333" s="11">
        <f>1015</f>
        <v>1015</v>
      </c>
      <c r="I333" s="13">
        <f>J333+K333</f>
        <v>0</v>
      </c>
      <c r="J333" s="13">
        <f>J346+J350</f>
        <v>0</v>
      </c>
      <c r="K333" s="13">
        <v>0</v>
      </c>
      <c r="L333" s="28">
        <f>M333+N333</f>
        <v>0</v>
      </c>
      <c r="M333" s="13">
        <f>M346+M350</f>
        <v>0</v>
      </c>
      <c r="N333" s="13">
        <f>N346+N350</f>
        <v>0</v>
      </c>
      <c r="O333" s="6"/>
    </row>
    <row r="334" spans="1:15" ht="74.25" customHeight="1" x14ac:dyDescent="0.3">
      <c r="A334" s="345"/>
      <c r="B334" s="346"/>
      <c r="C334" s="363"/>
      <c r="D334" s="395"/>
      <c r="E334" s="18"/>
      <c r="F334" s="174">
        <f>H334</f>
        <v>1600</v>
      </c>
      <c r="G334" s="174"/>
      <c r="H334" s="174">
        <v>1600</v>
      </c>
      <c r="I334" s="221"/>
      <c r="J334" s="221"/>
      <c r="K334" s="31">
        <v>1600</v>
      </c>
      <c r="L334" s="28">
        <f t="shared" ref="L334:L342" si="116">M334+N334</f>
        <v>1414.22</v>
      </c>
      <c r="M334" s="31"/>
      <c r="N334" s="31">
        <v>1414.22</v>
      </c>
      <c r="O334" s="6"/>
    </row>
    <row r="335" spans="1:15" ht="105" customHeight="1" x14ac:dyDescent="0.3">
      <c r="A335" s="345"/>
      <c r="B335" s="346"/>
      <c r="C335" s="363"/>
      <c r="D335" s="395"/>
      <c r="E335" s="18"/>
      <c r="F335" s="174">
        <f t="shared" ref="F335:F342" si="117">H335</f>
        <v>4354.95</v>
      </c>
      <c r="G335" s="174"/>
      <c r="H335" s="175">
        <f>1170+2333.33+1370+2333.33-2851.71</f>
        <v>4354.95</v>
      </c>
      <c r="I335" s="31">
        <f>J335+K335</f>
        <v>4354.95</v>
      </c>
      <c r="J335" s="31"/>
      <c r="K335" s="31">
        <f>4354.94+0.01</f>
        <v>4354.95</v>
      </c>
      <c r="L335" s="28">
        <f t="shared" si="116"/>
        <v>4354.9399999999996</v>
      </c>
      <c r="M335" s="31"/>
      <c r="N335" s="31">
        <f>4354.95-0.01</f>
        <v>4354.9399999999996</v>
      </c>
      <c r="O335" s="6"/>
    </row>
    <row r="336" spans="1:15" ht="72" customHeight="1" x14ac:dyDescent="0.3">
      <c r="A336" s="345"/>
      <c r="B336" s="346"/>
      <c r="C336" s="363"/>
      <c r="D336" s="395"/>
      <c r="E336" s="18"/>
      <c r="F336" s="174">
        <f t="shared" si="117"/>
        <v>340.63</v>
      </c>
      <c r="G336" s="19"/>
      <c r="H336" s="19">
        <f>740.63-400</f>
        <v>340.63</v>
      </c>
      <c r="I336" s="31">
        <f t="shared" ref="I336:I342" si="118">J336+K336</f>
        <v>340.63</v>
      </c>
      <c r="J336" s="221"/>
      <c r="K336" s="31">
        <v>340.63</v>
      </c>
      <c r="L336" s="28">
        <f t="shared" si="116"/>
        <v>0</v>
      </c>
      <c r="M336" s="31"/>
      <c r="N336" s="31">
        <v>0</v>
      </c>
      <c r="O336" s="6"/>
    </row>
    <row r="337" spans="1:15" s="192" customFormat="1" ht="72" customHeight="1" x14ac:dyDescent="0.3">
      <c r="A337" s="345"/>
      <c r="B337" s="346"/>
      <c r="C337" s="363"/>
      <c r="D337" s="395"/>
      <c r="E337" s="194"/>
      <c r="F337" s="174">
        <f t="shared" si="117"/>
        <v>400</v>
      </c>
      <c r="G337" s="19"/>
      <c r="H337" s="19">
        <f>0+400</f>
        <v>400</v>
      </c>
      <c r="I337" s="31">
        <f t="shared" si="118"/>
        <v>400</v>
      </c>
      <c r="J337" s="221"/>
      <c r="K337" s="31">
        <v>400</v>
      </c>
      <c r="L337" s="28">
        <f t="shared" si="116"/>
        <v>400</v>
      </c>
      <c r="M337" s="31"/>
      <c r="N337" s="31">
        <v>400</v>
      </c>
      <c r="O337" s="193"/>
    </row>
    <row r="338" spans="1:15" ht="87.75" customHeight="1" x14ac:dyDescent="0.3">
      <c r="A338" s="345"/>
      <c r="B338" s="346"/>
      <c r="C338" s="363"/>
      <c r="D338" s="395"/>
      <c r="E338" s="18"/>
      <c r="F338" s="19">
        <f t="shared" si="117"/>
        <v>50</v>
      </c>
      <c r="G338" s="19"/>
      <c r="H338" s="19">
        <v>50</v>
      </c>
      <c r="I338" s="31">
        <f t="shared" si="118"/>
        <v>50</v>
      </c>
      <c r="J338" s="221"/>
      <c r="K338" s="31">
        <v>50</v>
      </c>
      <c r="L338" s="28">
        <f t="shared" si="116"/>
        <v>0</v>
      </c>
      <c r="M338" s="31"/>
      <c r="N338" s="31">
        <v>0</v>
      </c>
      <c r="O338" s="6"/>
    </row>
    <row r="339" spans="1:15" s="192" customFormat="1" ht="92.25" customHeight="1" x14ac:dyDescent="0.3">
      <c r="A339" s="345"/>
      <c r="B339" s="346"/>
      <c r="C339" s="363"/>
      <c r="D339" s="395"/>
      <c r="E339" s="194"/>
      <c r="F339" s="19">
        <f t="shared" si="117"/>
        <v>740.87</v>
      </c>
      <c r="G339" s="19"/>
      <c r="H339" s="19">
        <v>740.87</v>
      </c>
      <c r="I339" s="31">
        <f t="shared" si="118"/>
        <v>740.87</v>
      </c>
      <c r="J339" s="221"/>
      <c r="K339" s="31">
        <v>740.87</v>
      </c>
      <c r="L339" s="28">
        <f t="shared" si="116"/>
        <v>0</v>
      </c>
      <c r="M339" s="31"/>
      <c r="N339" s="31">
        <v>0</v>
      </c>
      <c r="O339" s="193"/>
    </row>
    <row r="340" spans="1:15" s="192" customFormat="1" ht="99" customHeight="1" x14ac:dyDescent="0.3">
      <c r="A340" s="345"/>
      <c r="B340" s="346"/>
      <c r="C340" s="363"/>
      <c r="D340" s="395"/>
      <c r="E340" s="194"/>
      <c r="F340" s="19">
        <f t="shared" si="117"/>
        <v>148.27000000000001</v>
      </c>
      <c r="G340" s="19"/>
      <c r="H340" s="19">
        <v>148.27000000000001</v>
      </c>
      <c r="I340" s="31">
        <f t="shared" si="118"/>
        <v>148.26000000000002</v>
      </c>
      <c r="J340" s="221"/>
      <c r="K340" s="31">
        <f>148.27-0.01</f>
        <v>148.26000000000002</v>
      </c>
      <c r="L340" s="28">
        <f t="shared" si="116"/>
        <v>20.83</v>
      </c>
      <c r="M340" s="31"/>
      <c r="N340" s="31">
        <v>20.83</v>
      </c>
      <c r="O340" s="193"/>
    </row>
    <row r="341" spans="1:15" s="192" customFormat="1" ht="120.75" customHeight="1" x14ac:dyDescent="0.3">
      <c r="A341" s="345"/>
      <c r="B341" s="346"/>
      <c r="C341" s="364"/>
      <c r="D341" s="395"/>
      <c r="E341" s="194"/>
      <c r="F341" s="19">
        <f t="shared" si="117"/>
        <v>4515</v>
      </c>
      <c r="G341" s="19"/>
      <c r="H341" s="19">
        <v>4515</v>
      </c>
      <c r="I341" s="31">
        <f t="shared" si="118"/>
        <v>3500</v>
      </c>
      <c r="J341" s="221"/>
      <c r="K341" s="31">
        <v>3500</v>
      </c>
      <c r="L341" s="28">
        <f t="shared" si="116"/>
        <v>3500</v>
      </c>
      <c r="M341" s="31"/>
      <c r="N341" s="31">
        <v>3500</v>
      </c>
      <c r="O341" s="193"/>
    </row>
    <row r="342" spans="1:15" s="192" customFormat="1" ht="108.75" customHeight="1" x14ac:dyDescent="0.3">
      <c r="A342" s="347"/>
      <c r="B342" s="348"/>
      <c r="C342" s="204"/>
      <c r="D342" s="396"/>
      <c r="E342" s="194"/>
      <c r="F342" s="19">
        <f t="shared" si="117"/>
        <v>1532.8</v>
      </c>
      <c r="G342" s="19"/>
      <c r="H342" s="19">
        <f>0+1532.8</f>
        <v>1532.8</v>
      </c>
      <c r="I342" s="31">
        <f t="shared" si="118"/>
        <v>1532.8</v>
      </c>
      <c r="J342" s="221"/>
      <c r="K342" s="31">
        <v>1532.8</v>
      </c>
      <c r="L342" s="28">
        <f t="shared" si="116"/>
        <v>1532.8</v>
      </c>
      <c r="M342" s="31"/>
      <c r="N342" s="31">
        <v>1532.8</v>
      </c>
      <c r="O342" s="193"/>
    </row>
    <row r="343" spans="1:15" ht="35.25" customHeight="1" x14ac:dyDescent="0.3">
      <c r="A343" s="343" t="s">
        <v>359</v>
      </c>
      <c r="B343" s="344"/>
      <c r="C343" s="353" t="s">
        <v>26</v>
      </c>
      <c r="D343" s="389"/>
      <c r="E343" s="23"/>
      <c r="F343" s="24">
        <f t="shared" ref="F343:N343" si="119">F344+F345+F346</f>
        <v>14000</v>
      </c>
      <c r="G343" s="24">
        <f t="shared" si="119"/>
        <v>13400</v>
      </c>
      <c r="H343" s="24">
        <f t="shared" si="119"/>
        <v>600</v>
      </c>
      <c r="I343" s="24">
        <f t="shared" si="119"/>
        <v>14000</v>
      </c>
      <c r="J343" s="24">
        <f t="shared" si="119"/>
        <v>13400</v>
      </c>
      <c r="K343" s="24">
        <f t="shared" si="119"/>
        <v>600</v>
      </c>
      <c r="L343" s="24">
        <f t="shared" si="119"/>
        <v>0</v>
      </c>
      <c r="M343" s="24">
        <f t="shared" si="119"/>
        <v>0</v>
      </c>
      <c r="N343" s="24">
        <f t="shared" si="119"/>
        <v>0</v>
      </c>
      <c r="O343" s="6"/>
    </row>
    <row r="344" spans="1:15" ht="35.25" customHeight="1" x14ac:dyDescent="0.3">
      <c r="A344" s="345"/>
      <c r="B344" s="346"/>
      <c r="C344" s="354"/>
      <c r="D344" s="389"/>
      <c r="E344" s="25" t="s">
        <v>8</v>
      </c>
      <c r="F344" s="13">
        <f>G344+H344</f>
        <v>14000</v>
      </c>
      <c r="G344" s="13">
        <f>14000-600</f>
        <v>13400</v>
      </c>
      <c r="H344" s="13">
        <f>0+600</f>
        <v>600</v>
      </c>
      <c r="I344" s="13">
        <f>J344+K344</f>
        <v>14000</v>
      </c>
      <c r="J344" s="13">
        <v>13400</v>
      </c>
      <c r="K344" s="13">
        <v>600</v>
      </c>
      <c r="L344" s="13">
        <f>M344+N344</f>
        <v>0</v>
      </c>
      <c r="M344" s="13">
        <v>0</v>
      </c>
      <c r="N344" s="13">
        <v>0</v>
      </c>
      <c r="O344" s="6"/>
    </row>
    <row r="345" spans="1:15" ht="40.5" x14ac:dyDescent="0.3">
      <c r="A345" s="345"/>
      <c r="B345" s="346"/>
      <c r="C345" s="354"/>
      <c r="D345" s="389"/>
      <c r="E345" s="26" t="s">
        <v>9</v>
      </c>
      <c r="F345" s="13">
        <f>G345+H345</f>
        <v>0</v>
      </c>
      <c r="G345" s="13"/>
      <c r="H345" s="13"/>
      <c r="I345" s="13">
        <f>J345+K345</f>
        <v>0</v>
      </c>
      <c r="J345" s="13">
        <f>J349+J353</f>
        <v>0</v>
      </c>
      <c r="K345" s="13">
        <v>0</v>
      </c>
      <c r="L345" s="13">
        <f>M345+N345</f>
        <v>0</v>
      </c>
      <c r="M345" s="13">
        <f>M349+M353</f>
        <v>0</v>
      </c>
      <c r="N345" s="13">
        <v>0</v>
      </c>
      <c r="O345" s="6"/>
    </row>
    <row r="346" spans="1:15" ht="35.25" customHeight="1" x14ac:dyDescent="0.3">
      <c r="A346" s="347"/>
      <c r="B346" s="348"/>
      <c r="C346" s="355"/>
      <c r="D346" s="389"/>
      <c r="E346" s="25" t="s">
        <v>10</v>
      </c>
      <c r="F346" s="13">
        <f>G346+H346</f>
        <v>0</v>
      </c>
      <c r="G346" s="13"/>
      <c r="H346" s="13"/>
      <c r="I346" s="13">
        <f>J346+K346</f>
        <v>0</v>
      </c>
      <c r="J346" s="13">
        <f>J350+J354</f>
        <v>0</v>
      </c>
      <c r="K346" s="13">
        <v>0</v>
      </c>
      <c r="L346" s="13">
        <f>M346+N346</f>
        <v>0</v>
      </c>
      <c r="M346" s="13">
        <f>M350+M354</f>
        <v>0</v>
      </c>
      <c r="N346" s="13">
        <f>N350+N354</f>
        <v>0</v>
      </c>
      <c r="O346" s="6"/>
    </row>
    <row r="347" spans="1:15" ht="35.25" customHeight="1" x14ac:dyDescent="0.3">
      <c r="A347" s="343" t="s">
        <v>360</v>
      </c>
      <c r="B347" s="344"/>
      <c r="C347" s="353" t="s">
        <v>27</v>
      </c>
      <c r="D347" s="373" t="s">
        <v>572</v>
      </c>
      <c r="E347" s="23"/>
      <c r="F347" s="24">
        <f t="shared" ref="F347:N347" si="120">F348+F349+F350</f>
        <v>907.5</v>
      </c>
      <c r="G347" s="24">
        <f t="shared" si="120"/>
        <v>907.5</v>
      </c>
      <c r="H347" s="24">
        <f t="shared" si="120"/>
        <v>0</v>
      </c>
      <c r="I347" s="24">
        <f t="shared" si="120"/>
        <v>907.5</v>
      </c>
      <c r="J347" s="24">
        <f t="shared" si="120"/>
        <v>907.5</v>
      </c>
      <c r="K347" s="24">
        <f t="shared" si="120"/>
        <v>0</v>
      </c>
      <c r="L347" s="24">
        <f t="shared" si="120"/>
        <v>903.86</v>
      </c>
      <c r="M347" s="24">
        <f t="shared" si="120"/>
        <v>903.86</v>
      </c>
      <c r="N347" s="24">
        <f t="shared" si="120"/>
        <v>0</v>
      </c>
      <c r="O347" s="6"/>
    </row>
    <row r="348" spans="1:15" ht="35.25" customHeight="1" x14ac:dyDescent="0.3">
      <c r="A348" s="345"/>
      <c r="B348" s="346"/>
      <c r="C348" s="354"/>
      <c r="D348" s="373"/>
      <c r="E348" s="25" t="s">
        <v>8</v>
      </c>
      <c r="F348" s="13">
        <f>G348+H348</f>
        <v>907.5</v>
      </c>
      <c r="G348" s="13">
        <f>820+87.5</f>
        <v>907.5</v>
      </c>
      <c r="H348" s="13">
        <v>0</v>
      </c>
      <c r="I348" s="13">
        <f>J348+K348</f>
        <v>907.5</v>
      </c>
      <c r="J348" s="13">
        <v>907.5</v>
      </c>
      <c r="K348" s="13">
        <v>0</v>
      </c>
      <c r="L348" s="13">
        <f>M348+N348</f>
        <v>903.86</v>
      </c>
      <c r="M348" s="13">
        <v>903.86</v>
      </c>
      <c r="N348" s="13">
        <v>0</v>
      </c>
      <c r="O348" s="6"/>
    </row>
    <row r="349" spans="1:15" ht="39.75" customHeight="1" x14ac:dyDescent="0.3">
      <c r="A349" s="345"/>
      <c r="B349" s="346"/>
      <c r="C349" s="354"/>
      <c r="D349" s="373"/>
      <c r="E349" s="26" t="s">
        <v>9</v>
      </c>
      <c r="F349" s="13">
        <f>G349+H349</f>
        <v>0</v>
      </c>
      <c r="G349" s="13">
        <f>G353+G365</f>
        <v>0</v>
      </c>
      <c r="H349" s="13"/>
      <c r="I349" s="13">
        <f>J349+K349</f>
        <v>0</v>
      </c>
      <c r="J349" s="13">
        <f>J353+J365</f>
        <v>0</v>
      </c>
      <c r="K349" s="13">
        <v>0</v>
      </c>
      <c r="L349" s="13">
        <f>M349+N349</f>
        <v>0</v>
      </c>
      <c r="M349" s="13">
        <f>M353+M365</f>
        <v>0</v>
      </c>
      <c r="N349" s="13">
        <v>0</v>
      </c>
      <c r="O349" s="6"/>
    </row>
    <row r="350" spans="1:15" ht="35.25" customHeight="1" x14ac:dyDescent="0.3">
      <c r="A350" s="347"/>
      <c r="B350" s="348"/>
      <c r="C350" s="355"/>
      <c r="D350" s="373"/>
      <c r="E350" s="25" t="s">
        <v>10</v>
      </c>
      <c r="F350" s="13">
        <f>G350+H350</f>
        <v>0</v>
      </c>
      <c r="G350" s="13">
        <f>G354+G366</f>
        <v>0</v>
      </c>
      <c r="H350" s="13">
        <f>H354+H366</f>
        <v>0</v>
      </c>
      <c r="I350" s="13">
        <f>J350+K350</f>
        <v>0</v>
      </c>
      <c r="J350" s="13">
        <f>J354+J366</f>
        <v>0</v>
      </c>
      <c r="K350" s="13">
        <v>0</v>
      </c>
      <c r="L350" s="13">
        <f>M350+N350</f>
        <v>0</v>
      </c>
      <c r="M350" s="13">
        <f>M354+M366</f>
        <v>0</v>
      </c>
      <c r="N350" s="13">
        <f>N354+N366</f>
        <v>0</v>
      </c>
      <c r="O350" s="6"/>
    </row>
    <row r="351" spans="1:15" ht="35.25" customHeight="1" x14ac:dyDescent="0.3">
      <c r="A351" s="343" t="s">
        <v>361</v>
      </c>
      <c r="B351" s="344"/>
      <c r="C351" s="353" t="s">
        <v>407</v>
      </c>
      <c r="D351" s="374"/>
      <c r="E351" s="23"/>
      <c r="F351" s="24">
        <f t="shared" ref="F351:M351" si="121">F352+F353+F354</f>
        <v>55372.359999999993</v>
      </c>
      <c r="G351" s="24">
        <f t="shared" si="121"/>
        <v>0</v>
      </c>
      <c r="H351" s="24">
        <f>H352+H353+H354</f>
        <v>55372.359999999993</v>
      </c>
      <c r="I351" s="24">
        <f t="shared" si="121"/>
        <v>55372.36</v>
      </c>
      <c r="J351" s="24">
        <f t="shared" si="121"/>
        <v>0</v>
      </c>
      <c r="K351" s="24">
        <f t="shared" si="121"/>
        <v>55372.36</v>
      </c>
      <c r="L351" s="24">
        <f t="shared" si="121"/>
        <v>17520.68</v>
      </c>
      <c r="M351" s="24">
        <f t="shared" si="121"/>
        <v>0</v>
      </c>
      <c r="N351" s="24">
        <f>N352+N353+N354</f>
        <v>17520.68</v>
      </c>
      <c r="O351" s="6"/>
    </row>
    <row r="352" spans="1:15" ht="35.25" customHeight="1" x14ac:dyDescent="0.3">
      <c r="A352" s="345"/>
      <c r="B352" s="346"/>
      <c r="C352" s="354"/>
      <c r="D352" s="375"/>
      <c r="E352" s="25" t="s">
        <v>8</v>
      </c>
      <c r="F352" s="13">
        <f>G352+H352</f>
        <v>48808.289999999994</v>
      </c>
      <c r="G352" s="13">
        <f t="shared" ref="G352:H354" si="122">G364+G376+G380</f>
        <v>0</v>
      </c>
      <c r="H352" s="13">
        <f>H364+H376+H380</f>
        <v>48808.289999999994</v>
      </c>
      <c r="I352" s="13">
        <f t="shared" ref="I352:I362" si="123">J352+K352</f>
        <v>48808.29</v>
      </c>
      <c r="J352" s="13">
        <f t="shared" ref="J352:K354" si="124">J364+J376+J380</f>
        <v>0</v>
      </c>
      <c r="K352" s="13">
        <f>K364+K376+K380</f>
        <v>48808.29</v>
      </c>
      <c r="L352" s="13">
        <f>M352+N352</f>
        <v>17520.68</v>
      </c>
      <c r="M352" s="13">
        <f t="shared" ref="M352:N354" si="125">M364+M376+M380</f>
        <v>0</v>
      </c>
      <c r="N352" s="13">
        <f>N364+N376+N380</f>
        <v>17520.68</v>
      </c>
      <c r="O352" s="6"/>
    </row>
    <row r="353" spans="1:15" ht="35.25" customHeight="1" x14ac:dyDescent="0.3">
      <c r="A353" s="345"/>
      <c r="B353" s="346"/>
      <c r="C353" s="354"/>
      <c r="D353" s="375"/>
      <c r="E353" s="26" t="s">
        <v>9</v>
      </c>
      <c r="F353" s="13">
        <f>G353+H353</f>
        <v>6564.07</v>
      </c>
      <c r="G353" s="13">
        <f t="shared" si="122"/>
        <v>0</v>
      </c>
      <c r="H353" s="13">
        <f>H365+H377+H381</f>
        <v>6564.07</v>
      </c>
      <c r="I353" s="13">
        <f t="shared" si="123"/>
        <v>6564.07</v>
      </c>
      <c r="J353" s="13">
        <f t="shared" si="124"/>
        <v>0</v>
      </c>
      <c r="K353" s="13">
        <f t="shared" si="124"/>
        <v>6564.07</v>
      </c>
      <c r="L353" s="13">
        <f>M353+N353</f>
        <v>0</v>
      </c>
      <c r="M353" s="13">
        <f t="shared" si="125"/>
        <v>0</v>
      </c>
      <c r="N353" s="13">
        <f t="shared" si="125"/>
        <v>0</v>
      </c>
      <c r="O353" s="6"/>
    </row>
    <row r="354" spans="1:15" ht="35.25" customHeight="1" x14ac:dyDescent="0.3">
      <c r="A354" s="345"/>
      <c r="B354" s="346"/>
      <c r="C354" s="354"/>
      <c r="D354" s="375"/>
      <c r="E354" s="25" t="s">
        <v>10</v>
      </c>
      <c r="F354" s="13">
        <f>G354+H354</f>
        <v>0</v>
      </c>
      <c r="G354" s="13">
        <f t="shared" si="122"/>
        <v>0</v>
      </c>
      <c r="H354" s="13">
        <f t="shared" si="122"/>
        <v>0</v>
      </c>
      <c r="I354" s="13">
        <f t="shared" si="123"/>
        <v>0</v>
      </c>
      <c r="J354" s="13">
        <f t="shared" si="124"/>
        <v>0</v>
      </c>
      <c r="K354" s="13">
        <f t="shared" si="124"/>
        <v>0</v>
      </c>
      <c r="L354" s="13">
        <f>M354+N354</f>
        <v>0</v>
      </c>
      <c r="M354" s="13">
        <f t="shared" si="125"/>
        <v>0</v>
      </c>
      <c r="N354" s="13">
        <f t="shared" si="125"/>
        <v>0</v>
      </c>
      <c r="O354" s="6"/>
    </row>
    <row r="355" spans="1:15" s="192" customFormat="1" ht="60.75" customHeight="1" x14ac:dyDescent="0.3">
      <c r="A355" s="345"/>
      <c r="B355" s="346"/>
      <c r="C355" s="354"/>
      <c r="D355" s="375"/>
      <c r="E355" s="209" t="s">
        <v>543</v>
      </c>
      <c r="F355" s="24">
        <f>F356+F357+F358</f>
        <v>51372.359999999993</v>
      </c>
      <c r="G355" s="13">
        <f>0</f>
        <v>0</v>
      </c>
      <c r="H355" s="13">
        <f>H356+H357+H358</f>
        <v>51372.359999999993</v>
      </c>
      <c r="I355" s="13">
        <f t="shared" si="123"/>
        <v>51372.36</v>
      </c>
      <c r="J355" s="13">
        <f>J356+J357+J358</f>
        <v>0</v>
      </c>
      <c r="K355" s="13">
        <f>K356+K357+K358</f>
        <v>51372.36</v>
      </c>
      <c r="L355" s="13">
        <f t="shared" ref="L355:L356" si="126">M355+N355</f>
        <v>17520.68</v>
      </c>
      <c r="M355" s="13">
        <f>M356+M357+M358</f>
        <v>0</v>
      </c>
      <c r="N355" s="13">
        <f>N356+N357+N358</f>
        <v>17520.68</v>
      </c>
      <c r="O355" s="193"/>
    </row>
    <row r="356" spans="1:15" s="192" customFormat="1" ht="35.25" customHeight="1" x14ac:dyDescent="0.3">
      <c r="A356" s="345"/>
      <c r="B356" s="346"/>
      <c r="C356" s="354"/>
      <c r="D356" s="375"/>
      <c r="E356" s="202" t="s">
        <v>8</v>
      </c>
      <c r="F356" s="13">
        <f>G356+H356</f>
        <v>44808.289999999994</v>
      </c>
      <c r="G356" s="13">
        <f>0</f>
        <v>0</v>
      </c>
      <c r="H356" s="13">
        <f>H352-H360</f>
        <v>44808.289999999994</v>
      </c>
      <c r="I356" s="13">
        <f t="shared" si="123"/>
        <v>44808.29</v>
      </c>
      <c r="J356" s="13"/>
      <c r="K356" s="13">
        <f>K352-K360</f>
        <v>44808.29</v>
      </c>
      <c r="L356" s="13">
        <f t="shared" si="126"/>
        <v>17520.68</v>
      </c>
      <c r="M356" s="13"/>
      <c r="N356" s="13">
        <f>N368+N376+N380</f>
        <v>17520.68</v>
      </c>
      <c r="O356" s="193"/>
    </row>
    <row r="357" spans="1:15" s="192" customFormat="1" ht="48" customHeight="1" x14ac:dyDescent="0.3">
      <c r="A357" s="345"/>
      <c r="B357" s="346"/>
      <c r="C357" s="354"/>
      <c r="D357" s="375"/>
      <c r="E357" s="26" t="s">
        <v>9</v>
      </c>
      <c r="F357" s="211">
        <f>G357+H357</f>
        <v>6564.07</v>
      </c>
      <c r="G357" s="13">
        <f>0</f>
        <v>0</v>
      </c>
      <c r="H357" s="211">
        <f>H353</f>
        <v>6564.07</v>
      </c>
      <c r="I357" s="13">
        <f t="shared" si="123"/>
        <v>6564.07</v>
      </c>
      <c r="J357" s="217"/>
      <c r="K357" s="211">
        <f>K353</f>
        <v>6564.07</v>
      </c>
      <c r="L357" s="217"/>
      <c r="M357" s="217"/>
      <c r="N357" s="217"/>
      <c r="O357" s="193"/>
    </row>
    <row r="358" spans="1:15" s="192" customFormat="1" ht="35.25" customHeight="1" x14ac:dyDescent="0.3">
      <c r="A358" s="345"/>
      <c r="B358" s="346"/>
      <c r="C358" s="354"/>
      <c r="D358" s="375"/>
      <c r="E358" s="202" t="s">
        <v>10</v>
      </c>
      <c r="F358" s="13">
        <f>G358+H358</f>
        <v>0</v>
      </c>
      <c r="G358" s="13">
        <f>0</f>
        <v>0</v>
      </c>
      <c r="H358" s="13">
        <f>H354</f>
        <v>0</v>
      </c>
      <c r="I358" s="217">
        <f t="shared" si="123"/>
        <v>0</v>
      </c>
      <c r="J358" s="217"/>
      <c r="K358" s="13">
        <f>K354</f>
        <v>0</v>
      </c>
      <c r="L358" s="217"/>
      <c r="M358" s="217"/>
      <c r="N358" s="217"/>
      <c r="O358" s="193"/>
    </row>
    <row r="359" spans="1:15" s="192" customFormat="1" ht="72.75" customHeight="1" x14ac:dyDescent="0.3">
      <c r="A359" s="345"/>
      <c r="B359" s="346"/>
      <c r="C359" s="354"/>
      <c r="D359" s="375"/>
      <c r="E359" s="209" t="s">
        <v>544</v>
      </c>
      <c r="F359" s="24">
        <f>F360+F361+F362</f>
        <v>4000</v>
      </c>
      <c r="G359" s="13">
        <f>0</f>
        <v>0</v>
      </c>
      <c r="H359" s="13">
        <f>H360+H361+H362</f>
        <v>4000</v>
      </c>
      <c r="I359" s="13">
        <f t="shared" si="123"/>
        <v>4000</v>
      </c>
      <c r="J359" s="13">
        <f t="shared" ref="J359:K360" si="127">G359</f>
        <v>0</v>
      </c>
      <c r="K359" s="13">
        <f t="shared" si="127"/>
        <v>4000</v>
      </c>
      <c r="L359" s="217"/>
      <c r="M359" s="217"/>
      <c r="N359" s="217"/>
      <c r="O359" s="193"/>
    </row>
    <row r="360" spans="1:15" s="192" customFormat="1" ht="35.25" customHeight="1" x14ac:dyDescent="0.3">
      <c r="A360" s="345"/>
      <c r="B360" s="346"/>
      <c r="C360" s="354"/>
      <c r="D360" s="375"/>
      <c r="E360" s="202" t="s">
        <v>8</v>
      </c>
      <c r="F360" s="13">
        <f>G360+H360</f>
        <v>4000</v>
      </c>
      <c r="G360" s="13">
        <f>0</f>
        <v>0</v>
      </c>
      <c r="H360" s="13">
        <f>0+4000</f>
        <v>4000</v>
      </c>
      <c r="I360" s="13">
        <f t="shared" si="123"/>
        <v>4000</v>
      </c>
      <c r="J360" s="13">
        <f t="shared" si="127"/>
        <v>0</v>
      </c>
      <c r="K360" s="13">
        <f t="shared" si="127"/>
        <v>4000</v>
      </c>
      <c r="L360" s="217"/>
      <c r="M360" s="217"/>
      <c r="N360" s="217"/>
      <c r="O360" s="193"/>
    </row>
    <row r="361" spans="1:15" s="192" customFormat="1" ht="57" customHeight="1" x14ac:dyDescent="0.3">
      <c r="A361" s="345"/>
      <c r="B361" s="346"/>
      <c r="C361" s="354"/>
      <c r="D361" s="375"/>
      <c r="E361" s="26" t="s">
        <v>9</v>
      </c>
      <c r="F361" s="13">
        <f>G361+H361</f>
        <v>0</v>
      </c>
      <c r="G361" s="13">
        <f>0</f>
        <v>0</v>
      </c>
      <c r="H361" s="13">
        <v>0</v>
      </c>
      <c r="I361" s="217">
        <f t="shared" si="123"/>
        <v>0</v>
      </c>
      <c r="J361" s="217"/>
      <c r="K361" s="217"/>
      <c r="L361" s="217"/>
      <c r="M361" s="217"/>
      <c r="N361" s="217"/>
      <c r="O361" s="193"/>
    </row>
    <row r="362" spans="1:15" s="192" customFormat="1" ht="35.25" customHeight="1" x14ac:dyDescent="0.3">
      <c r="A362" s="347"/>
      <c r="B362" s="348"/>
      <c r="C362" s="355"/>
      <c r="D362" s="376"/>
      <c r="E362" s="202" t="s">
        <v>10</v>
      </c>
      <c r="F362" s="13">
        <f>G362+H362</f>
        <v>0</v>
      </c>
      <c r="G362" s="13"/>
      <c r="H362" s="13">
        <v>0</v>
      </c>
      <c r="I362" s="217">
        <f t="shared" si="123"/>
        <v>0</v>
      </c>
      <c r="J362" s="217"/>
      <c r="K362" s="217"/>
      <c r="L362" s="217"/>
      <c r="M362" s="217"/>
      <c r="N362" s="217"/>
      <c r="O362" s="193"/>
    </row>
    <row r="363" spans="1:15" ht="35.25" customHeight="1" x14ac:dyDescent="0.3">
      <c r="A363" s="377" t="s">
        <v>517</v>
      </c>
      <c r="B363" s="378"/>
      <c r="C363" s="359" t="s">
        <v>408</v>
      </c>
      <c r="D363" s="359" t="s">
        <v>627</v>
      </c>
      <c r="E363" s="27"/>
      <c r="F363" s="28">
        <f t="shared" ref="F363:M363" si="128">F364+F365+F366</f>
        <v>28446.75</v>
      </c>
      <c r="G363" s="28">
        <f t="shared" si="128"/>
        <v>0</v>
      </c>
      <c r="H363" s="28">
        <f t="shared" si="128"/>
        <v>28446.75</v>
      </c>
      <c r="I363" s="28">
        <f t="shared" si="128"/>
        <v>28446.75</v>
      </c>
      <c r="J363" s="28">
        <f t="shared" si="128"/>
        <v>0</v>
      </c>
      <c r="K363" s="28">
        <f>K364+K365+K366</f>
        <v>28446.75</v>
      </c>
      <c r="L363" s="28">
        <f t="shared" si="128"/>
        <v>3599.97</v>
      </c>
      <c r="M363" s="28">
        <f t="shared" si="128"/>
        <v>0</v>
      </c>
      <c r="N363" s="28">
        <f>N364+N365+N366</f>
        <v>3599.97</v>
      </c>
      <c r="O363" s="230"/>
    </row>
    <row r="364" spans="1:15" ht="35.25" customHeight="1" x14ac:dyDescent="0.3">
      <c r="A364" s="379"/>
      <c r="B364" s="380"/>
      <c r="C364" s="360"/>
      <c r="D364" s="360"/>
      <c r="E364" s="27" t="s">
        <v>8</v>
      </c>
      <c r="F364" s="28">
        <f>G364+H364</f>
        <v>21882.68</v>
      </c>
      <c r="G364" s="28">
        <v>0</v>
      </c>
      <c r="H364" s="28">
        <f>H368+H372</f>
        <v>21882.68</v>
      </c>
      <c r="I364" s="28">
        <f t="shared" ref="I364:I374" si="129">J364+K364</f>
        <v>21882.68</v>
      </c>
      <c r="J364" s="28">
        <v>0</v>
      </c>
      <c r="K364" s="28">
        <f>K368+K372</f>
        <v>21882.68</v>
      </c>
      <c r="L364" s="28">
        <f t="shared" ref="L364:L369" si="130">M364+N364</f>
        <v>3599.97</v>
      </c>
      <c r="M364" s="28">
        <v>0</v>
      </c>
      <c r="N364" s="28">
        <f>N368+N372</f>
        <v>3599.97</v>
      </c>
      <c r="O364" s="230"/>
    </row>
    <row r="365" spans="1:15" ht="40.5" customHeight="1" x14ac:dyDescent="0.3">
      <c r="A365" s="379"/>
      <c r="B365" s="380"/>
      <c r="C365" s="360"/>
      <c r="D365" s="360"/>
      <c r="E365" s="29" t="s">
        <v>9</v>
      </c>
      <c r="F365" s="28">
        <f t="shared" ref="F365:F370" si="131">G365+H365</f>
        <v>6564.07</v>
      </c>
      <c r="G365" s="28"/>
      <c r="H365" s="28">
        <f>H369+H373</f>
        <v>6564.07</v>
      </c>
      <c r="I365" s="28">
        <f t="shared" si="129"/>
        <v>6564.07</v>
      </c>
      <c r="J365" s="28"/>
      <c r="K365" s="28">
        <f>K369+K373</f>
        <v>6564.07</v>
      </c>
      <c r="L365" s="28">
        <f t="shared" si="130"/>
        <v>0</v>
      </c>
      <c r="M365" s="28"/>
      <c r="N365" s="28">
        <f>N369+N373</f>
        <v>0</v>
      </c>
      <c r="O365" s="230"/>
    </row>
    <row r="366" spans="1:15" ht="35.25" customHeight="1" x14ac:dyDescent="0.3">
      <c r="A366" s="379"/>
      <c r="B366" s="380"/>
      <c r="C366" s="360"/>
      <c r="D366" s="360"/>
      <c r="E366" s="30" t="s">
        <v>10</v>
      </c>
      <c r="F366" s="31">
        <f t="shared" si="131"/>
        <v>0</v>
      </c>
      <c r="G366" s="31"/>
      <c r="H366" s="31"/>
      <c r="I366" s="28">
        <f t="shared" si="129"/>
        <v>0</v>
      </c>
      <c r="J366" s="31"/>
      <c r="K366" s="31">
        <f>K370+K374</f>
        <v>0</v>
      </c>
      <c r="L366" s="31">
        <f t="shared" si="130"/>
        <v>0</v>
      </c>
      <c r="M366" s="31"/>
      <c r="N366" s="31"/>
      <c r="O366" s="230"/>
    </row>
    <row r="367" spans="1:15" s="192" customFormat="1" ht="65.25" customHeight="1" x14ac:dyDescent="0.3">
      <c r="A367" s="379"/>
      <c r="B367" s="380"/>
      <c r="C367" s="360"/>
      <c r="D367" s="360"/>
      <c r="E367" s="210" t="s">
        <v>543</v>
      </c>
      <c r="F367" s="31">
        <f t="shared" si="131"/>
        <v>24446.75</v>
      </c>
      <c r="G367" s="31"/>
      <c r="H367" s="31">
        <f>H368+H369</f>
        <v>24446.75</v>
      </c>
      <c r="I367" s="31">
        <f t="shared" si="129"/>
        <v>24446.75</v>
      </c>
      <c r="J367" s="31"/>
      <c r="K367" s="31">
        <f>K368+K369+K370</f>
        <v>24446.75</v>
      </c>
      <c r="L367" s="31">
        <f t="shared" si="130"/>
        <v>3599.97</v>
      </c>
      <c r="M367" s="31"/>
      <c r="N367" s="31">
        <f>N368+N369+N370</f>
        <v>3599.97</v>
      </c>
      <c r="O367" s="193"/>
    </row>
    <row r="368" spans="1:15" s="192" customFormat="1" ht="35.25" customHeight="1" x14ac:dyDescent="0.3">
      <c r="A368" s="379"/>
      <c r="B368" s="380"/>
      <c r="C368" s="360"/>
      <c r="D368" s="360"/>
      <c r="E368" s="212" t="s">
        <v>8</v>
      </c>
      <c r="F368" s="31">
        <f t="shared" si="131"/>
        <v>17882.68</v>
      </c>
      <c r="G368" s="31"/>
      <c r="H368" s="31">
        <f>57416.69-43109.69+3575.68</f>
        <v>17882.68</v>
      </c>
      <c r="I368" s="31">
        <f t="shared" si="129"/>
        <v>17882.68</v>
      </c>
      <c r="J368" s="31"/>
      <c r="K368" s="31">
        <v>17882.68</v>
      </c>
      <c r="L368" s="31">
        <f t="shared" si="130"/>
        <v>3599.97</v>
      </c>
      <c r="M368" s="31"/>
      <c r="N368" s="31">
        <v>3599.97</v>
      </c>
      <c r="O368" s="193"/>
    </row>
    <row r="369" spans="1:15" s="192" customFormat="1" ht="35.25" customHeight="1" x14ac:dyDescent="0.3">
      <c r="A369" s="379"/>
      <c r="B369" s="380"/>
      <c r="C369" s="360"/>
      <c r="D369" s="360"/>
      <c r="E369" s="29" t="s">
        <v>9</v>
      </c>
      <c r="F369" s="31">
        <f t="shared" si="131"/>
        <v>6564.07</v>
      </c>
      <c r="G369" s="31"/>
      <c r="H369" s="31">
        <f>6564.07</f>
        <v>6564.07</v>
      </c>
      <c r="I369" s="31">
        <f t="shared" si="129"/>
        <v>6564.07</v>
      </c>
      <c r="J369" s="31"/>
      <c r="K369" s="31">
        <v>6564.07</v>
      </c>
      <c r="L369" s="31">
        <f t="shared" si="130"/>
        <v>0</v>
      </c>
      <c r="M369" s="31"/>
      <c r="N369" s="31">
        <v>0</v>
      </c>
      <c r="O369" s="193"/>
    </row>
    <row r="370" spans="1:15" s="192" customFormat="1" ht="35.25" customHeight="1" x14ac:dyDescent="0.3">
      <c r="A370" s="379"/>
      <c r="B370" s="380"/>
      <c r="C370" s="360"/>
      <c r="D370" s="360"/>
      <c r="E370" s="212" t="s">
        <v>10</v>
      </c>
      <c r="F370" s="31">
        <f t="shared" si="131"/>
        <v>0</v>
      </c>
      <c r="G370" s="31"/>
      <c r="H370" s="31"/>
      <c r="I370" s="31">
        <f t="shared" si="129"/>
        <v>0</v>
      </c>
      <c r="J370" s="31"/>
      <c r="K370" s="31"/>
      <c r="L370" s="31"/>
      <c r="M370" s="31"/>
      <c r="N370" s="31"/>
      <c r="O370" s="193"/>
    </row>
    <row r="371" spans="1:15" s="192" customFormat="1" ht="63" customHeight="1" x14ac:dyDescent="0.3">
      <c r="A371" s="379"/>
      <c r="B371" s="380"/>
      <c r="C371" s="360"/>
      <c r="D371" s="360"/>
      <c r="E371" s="210" t="s">
        <v>544</v>
      </c>
      <c r="F371" s="31">
        <f>G371+H371</f>
        <v>4000</v>
      </c>
      <c r="G371" s="31"/>
      <c r="H371" s="31">
        <f>H372+H373+H374</f>
        <v>4000</v>
      </c>
      <c r="I371" s="31">
        <f t="shared" si="129"/>
        <v>4000</v>
      </c>
      <c r="J371" s="31"/>
      <c r="K371" s="31">
        <f>K372+K373+K374</f>
        <v>4000</v>
      </c>
      <c r="L371" s="219"/>
      <c r="M371" s="219"/>
      <c r="N371" s="219"/>
      <c r="O371" s="193"/>
    </row>
    <row r="372" spans="1:15" s="192" customFormat="1" ht="35.25" customHeight="1" x14ac:dyDescent="0.3">
      <c r="A372" s="379"/>
      <c r="B372" s="380"/>
      <c r="C372" s="360"/>
      <c r="D372" s="360"/>
      <c r="E372" s="212" t="s">
        <v>8</v>
      </c>
      <c r="F372" s="31">
        <f>G372+H372</f>
        <v>4000</v>
      </c>
      <c r="G372" s="31"/>
      <c r="H372" s="31">
        <f>0+4000</f>
        <v>4000</v>
      </c>
      <c r="I372" s="31">
        <f t="shared" si="129"/>
        <v>4000</v>
      </c>
      <c r="J372" s="31"/>
      <c r="K372" s="31">
        <v>4000</v>
      </c>
      <c r="L372" s="219"/>
      <c r="M372" s="219"/>
      <c r="N372" s="219"/>
      <c r="O372" s="193"/>
    </row>
    <row r="373" spans="1:15" s="192" customFormat="1" ht="35.25" customHeight="1" x14ac:dyDescent="0.3">
      <c r="A373" s="379"/>
      <c r="B373" s="380"/>
      <c r="C373" s="360"/>
      <c r="D373" s="360"/>
      <c r="E373" s="29" t="s">
        <v>9</v>
      </c>
      <c r="F373" s="31">
        <f>G373+H373</f>
        <v>0</v>
      </c>
      <c r="G373" s="31"/>
      <c r="H373" s="31"/>
      <c r="I373" s="31">
        <f t="shared" si="129"/>
        <v>0</v>
      </c>
      <c r="J373" s="31"/>
      <c r="K373" s="31"/>
      <c r="L373" s="219"/>
      <c r="M373" s="219"/>
      <c r="N373" s="219"/>
      <c r="O373" s="193"/>
    </row>
    <row r="374" spans="1:15" s="192" customFormat="1" ht="35.25" customHeight="1" x14ac:dyDescent="0.3">
      <c r="A374" s="381"/>
      <c r="B374" s="382"/>
      <c r="C374" s="361"/>
      <c r="D374" s="361"/>
      <c r="E374" s="212" t="s">
        <v>10</v>
      </c>
      <c r="F374" s="31">
        <f>G374+H374</f>
        <v>0</v>
      </c>
      <c r="G374" s="31"/>
      <c r="H374" s="31"/>
      <c r="I374" s="219">
        <f t="shared" si="129"/>
        <v>0</v>
      </c>
      <c r="J374" s="219"/>
      <c r="K374" s="219"/>
      <c r="L374" s="219"/>
      <c r="M374" s="219"/>
      <c r="N374" s="219"/>
      <c r="O374" s="193"/>
    </row>
    <row r="375" spans="1:15" ht="108" customHeight="1" x14ac:dyDescent="0.3">
      <c r="A375" s="367" t="s">
        <v>518</v>
      </c>
      <c r="B375" s="368"/>
      <c r="C375" s="390">
        <v>7330</v>
      </c>
      <c r="D375" s="356" t="s">
        <v>571</v>
      </c>
      <c r="E375" s="27"/>
      <c r="F375" s="28">
        <f t="shared" ref="F375:N375" si="132">F376+F377+F378</f>
        <v>26734.85</v>
      </c>
      <c r="G375" s="28">
        <f t="shared" si="132"/>
        <v>0</v>
      </c>
      <c r="H375" s="28">
        <f t="shared" si="132"/>
        <v>26734.85</v>
      </c>
      <c r="I375" s="28">
        <f t="shared" si="132"/>
        <v>26734.85</v>
      </c>
      <c r="J375" s="28">
        <f t="shared" si="132"/>
        <v>0</v>
      </c>
      <c r="K375" s="28">
        <f t="shared" si="132"/>
        <v>26734.85</v>
      </c>
      <c r="L375" s="28">
        <f t="shared" si="132"/>
        <v>13729.95</v>
      </c>
      <c r="M375" s="28">
        <f t="shared" si="132"/>
        <v>0</v>
      </c>
      <c r="N375" s="28">
        <f t="shared" si="132"/>
        <v>13729.95</v>
      </c>
      <c r="O375" s="6"/>
    </row>
    <row r="376" spans="1:15" ht="104.25" customHeight="1" x14ac:dyDescent="0.3">
      <c r="A376" s="369"/>
      <c r="B376" s="370"/>
      <c r="C376" s="391"/>
      <c r="D376" s="357"/>
      <c r="E376" s="27" t="s">
        <v>8</v>
      </c>
      <c r="F376" s="28">
        <f>G376+H376</f>
        <v>26734.85</v>
      </c>
      <c r="G376" s="28">
        <v>0</v>
      </c>
      <c r="H376" s="28">
        <f>52200-22393.15-2399.6-672.4</f>
        <v>26734.85</v>
      </c>
      <c r="I376" s="28">
        <f>J376+K376</f>
        <v>26734.85</v>
      </c>
      <c r="J376" s="28">
        <v>0</v>
      </c>
      <c r="K376" s="28">
        <f>26734.84+0.01</f>
        <v>26734.85</v>
      </c>
      <c r="L376" s="28">
        <f>M376+N376</f>
        <v>13729.95</v>
      </c>
      <c r="M376" s="28">
        <v>0</v>
      </c>
      <c r="N376" s="28">
        <v>13729.95</v>
      </c>
      <c r="O376" s="6"/>
    </row>
    <row r="377" spans="1:15" ht="103.5" customHeight="1" x14ac:dyDescent="0.3">
      <c r="A377" s="369"/>
      <c r="B377" s="370"/>
      <c r="C377" s="391"/>
      <c r="D377" s="357"/>
      <c r="E377" s="29" t="s">
        <v>9</v>
      </c>
      <c r="F377" s="28">
        <f>G377+H377</f>
        <v>0</v>
      </c>
      <c r="G377" s="28"/>
      <c r="H377" s="28"/>
      <c r="I377" s="28">
        <f>J377+K377</f>
        <v>0</v>
      </c>
      <c r="J377" s="28"/>
      <c r="K377" s="28"/>
      <c r="L377" s="28">
        <f>M377+N377</f>
        <v>0</v>
      </c>
      <c r="M377" s="28"/>
      <c r="N377" s="28"/>
      <c r="O377" s="6"/>
    </row>
    <row r="378" spans="1:15" ht="89.25" customHeight="1" x14ac:dyDescent="0.3">
      <c r="A378" s="371"/>
      <c r="B378" s="372"/>
      <c r="C378" s="392"/>
      <c r="D378" s="358"/>
      <c r="E378" s="30" t="s">
        <v>10</v>
      </c>
      <c r="F378" s="31">
        <f>G378+H378</f>
        <v>0</v>
      </c>
      <c r="G378" s="31"/>
      <c r="H378" s="31"/>
      <c r="I378" s="31">
        <f>J378+K378</f>
        <v>0</v>
      </c>
      <c r="J378" s="31"/>
      <c r="K378" s="31"/>
      <c r="L378" s="31">
        <f>M378+N378</f>
        <v>0</v>
      </c>
      <c r="M378" s="31"/>
      <c r="N378" s="31"/>
      <c r="O378" s="6"/>
    </row>
    <row r="379" spans="1:15" ht="59.25" customHeight="1" x14ac:dyDescent="0.3">
      <c r="A379" s="367" t="s">
        <v>624</v>
      </c>
      <c r="B379" s="368"/>
      <c r="C379" s="390">
        <v>4084</v>
      </c>
      <c r="D379" s="359" t="s">
        <v>570</v>
      </c>
      <c r="E379" s="27"/>
      <c r="F379" s="28">
        <f t="shared" ref="F379:N379" si="133">F380+F381+F382</f>
        <v>190.7599999999984</v>
      </c>
      <c r="G379" s="28">
        <f t="shared" si="133"/>
        <v>0</v>
      </c>
      <c r="H379" s="28">
        <f t="shared" si="133"/>
        <v>190.7599999999984</v>
      </c>
      <c r="I379" s="28">
        <f t="shared" si="133"/>
        <v>190.76</v>
      </c>
      <c r="J379" s="28">
        <f t="shared" si="133"/>
        <v>0</v>
      </c>
      <c r="K379" s="28">
        <f t="shared" si="133"/>
        <v>190.76</v>
      </c>
      <c r="L379" s="28">
        <f t="shared" si="133"/>
        <v>190.76</v>
      </c>
      <c r="M379" s="28">
        <f t="shared" si="133"/>
        <v>0</v>
      </c>
      <c r="N379" s="28">
        <f t="shared" si="133"/>
        <v>190.76</v>
      </c>
      <c r="O379" s="6"/>
    </row>
    <row r="380" spans="1:15" ht="60.75" customHeight="1" x14ac:dyDescent="0.3">
      <c r="A380" s="369"/>
      <c r="B380" s="370"/>
      <c r="C380" s="391"/>
      <c r="D380" s="360"/>
      <c r="E380" s="27" t="s">
        <v>8</v>
      </c>
      <c r="F380" s="28">
        <f>G380+H380</f>
        <v>190.7599999999984</v>
      </c>
      <c r="G380" s="28">
        <v>0</v>
      </c>
      <c r="H380" s="28">
        <f>21614.75-21423.99</f>
        <v>190.7599999999984</v>
      </c>
      <c r="I380" s="28">
        <f>J380+K380</f>
        <v>190.76</v>
      </c>
      <c r="J380" s="28">
        <v>0</v>
      </c>
      <c r="K380" s="28">
        <v>190.76</v>
      </c>
      <c r="L380" s="28">
        <f>M380+N380</f>
        <v>190.76</v>
      </c>
      <c r="M380" s="28">
        <v>0</v>
      </c>
      <c r="N380" s="28">
        <v>190.76</v>
      </c>
      <c r="O380" s="6"/>
    </row>
    <row r="381" spans="1:15" ht="57" customHeight="1" x14ac:dyDescent="0.3">
      <c r="A381" s="369"/>
      <c r="B381" s="370"/>
      <c r="C381" s="391"/>
      <c r="D381" s="360"/>
      <c r="E381" s="29" t="s">
        <v>9</v>
      </c>
      <c r="F381" s="28">
        <f>G381+H381</f>
        <v>0</v>
      </c>
      <c r="G381" s="28"/>
      <c r="H381" s="28"/>
      <c r="I381" s="220">
        <f>J381+K381</f>
        <v>0</v>
      </c>
      <c r="J381" s="220"/>
      <c r="K381" s="220"/>
      <c r="L381" s="220">
        <f>M381+N381</f>
        <v>0</v>
      </c>
      <c r="M381" s="220"/>
      <c r="N381" s="220"/>
      <c r="O381" s="6"/>
    </row>
    <row r="382" spans="1:15" ht="57" customHeight="1" x14ac:dyDescent="0.3">
      <c r="A382" s="371"/>
      <c r="B382" s="372"/>
      <c r="C382" s="392"/>
      <c r="D382" s="361"/>
      <c r="E382" s="30" t="s">
        <v>10</v>
      </c>
      <c r="F382" s="31">
        <f>G382+H382</f>
        <v>0</v>
      </c>
      <c r="G382" s="31"/>
      <c r="H382" s="31"/>
      <c r="I382" s="219">
        <f>J382+K382</f>
        <v>0</v>
      </c>
      <c r="J382" s="219"/>
      <c r="K382" s="219"/>
      <c r="L382" s="219">
        <f>M382+N382</f>
        <v>0</v>
      </c>
      <c r="M382" s="219"/>
      <c r="N382" s="219"/>
      <c r="O382" s="6"/>
    </row>
    <row r="383" spans="1:15" ht="35.25" customHeight="1" x14ac:dyDescent="0.3">
      <c r="A383" s="343" t="s">
        <v>362</v>
      </c>
      <c r="B383" s="344"/>
      <c r="C383" s="353" t="s">
        <v>419</v>
      </c>
      <c r="D383" s="389"/>
      <c r="E383" s="23"/>
      <c r="F383" s="24">
        <f t="shared" ref="F383:N383" si="134">F384+F385+F386</f>
        <v>-7654.09</v>
      </c>
      <c r="G383" s="24">
        <f t="shared" si="134"/>
        <v>5500</v>
      </c>
      <c r="H383" s="24">
        <f t="shared" si="134"/>
        <v>-13154.09</v>
      </c>
      <c r="I383" s="24">
        <f t="shared" si="134"/>
        <v>-7654.09</v>
      </c>
      <c r="J383" s="24">
        <f t="shared" si="134"/>
        <v>5500</v>
      </c>
      <c r="K383" s="24">
        <f t="shared" si="134"/>
        <v>-13154.09</v>
      </c>
      <c r="L383" s="24">
        <f t="shared" si="134"/>
        <v>5500</v>
      </c>
      <c r="M383" s="24">
        <f t="shared" si="134"/>
        <v>5500</v>
      </c>
      <c r="N383" s="24">
        <f t="shared" si="134"/>
        <v>0</v>
      </c>
      <c r="O383" s="6"/>
    </row>
    <row r="384" spans="1:15" ht="35.25" customHeight="1" x14ac:dyDescent="0.3">
      <c r="A384" s="345"/>
      <c r="B384" s="346"/>
      <c r="C384" s="354"/>
      <c r="D384" s="389"/>
      <c r="E384" s="25" t="s">
        <v>8</v>
      </c>
      <c r="F384" s="13">
        <f>G384+H384</f>
        <v>-7654.09</v>
      </c>
      <c r="G384" s="13">
        <f t="shared" ref="G384:H386" si="135">G388+G392</f>
        <v>5500</v>
      </c>
      <c r="H384" s="13">
        <f t="shared" si="135"/>
        <v>-13154.09</v>
      </c>
      <c r="I384" s="13">
        <f>J384+K384</f>
        <v>-7654.09</v>
      </c>
      <c r="J384" s="13">
        <f t="shared" ref="J384:K386" si="136">J388+J392</f>
        <v>5500</v>
      </c>
      <c r="K384" s="13">
        <f t="shared" si="136"/>
        <v>-13154.09</v>
      </c>
      <c r="L384" s="13">
        <f>M384+N384</f>
        <v>5500</v>
      </c>
      <c r="M384" s="13">
        <f t="shared" ref="M384:N386" si="137">M388+M392</f>
        <v>5500</v>
      </c>
      <c r="N384" s="13">
        <f t="shared" si="137"/>
        <v>0</v>
      </c>
      <c r="O384" s="6"/>
    </row>
    <row r="385" spans="1:15" ht="35.25" customHeight="1" x14ac:dyDescent="0.3">
      <c r="A385" s="345"/>
      <c r="B385" s="346"/>
      <c r="C385" s="354"/>
      <c r="D385" s="389"/>
      <c r="E385" s="26" t="s">
        <v>9</v>
      </c>
      <c r="F385" s="13">
        <f>G385+H385</f>
        <v>0</v>
      </c>
      <c r="G385" s="13">
        <f t="shared" si="135"/>
        <v>0</v>
      </c>
      <c r="H385" s="13">
        <f t="shared" si="135"/>
        <v>0</v>
      </c>
      <c r="I385" s="13">
        <f>J385+K385</f>
        <v>0</v>
      </c>
      <c r="J385" s="13">
        <f t="shared" si="136"/>
        <v>0</v>
      </c>
      <c r="K385" s="13">
        <f t="shared" si="136"/>
        <v>0</v>
      </c>
      <c r="L385" s="217">
        <f>M385+N385</f>
        <v>0</v>
      </c>
      <c r="M385" s="13">
        <f t="shared" si="137"/>
        <v>0</v>
      </c>
      <c r="N385" s="13">
        <f t="shared" si="137"/>
        <v>0</v>
      </c>
      <c r="O385" s="6"/>
    </row>
    <row r="386" spans="1:15" ht="35.25" customHeight="1" x14ac:dyDescent="0.3">
      <c r="A386" s="347"/>
      <c r="B386" s="348"/>
      <c r="C386" s="355"/>
      <c r="D386" s="389"/>
      <c r="E386" s="25" t="s">
        <v>10</v>
      </c>
      <c r="F386" s="13">
        <f>G386+H386</f>
        <v>0</v>
      </c>
      <c r="G386" s="13">
        <f t="shared" si="135"/>
        <v>0</v>
      </c>
      <c r="H386" s="13">
        <f t="shared" si="135"/>
        <v>0</v>
      </c>
      <c r="I386" s="13">
        <f>J386+K386</f>
        <v>0</v>
      </c>
      <c r="J386" s="13">
        <f t="shared" si="136"/>
        <v>0</v>
      </c>
      <c r="K386" s="13">
        <f t="shared" si="136"/>
        <v>0</v>
      </c>
      <c r="L386" s="217">
        <f>M386+N386</f>
        <v>0</v>
      </c>
      <c r="M386" s="13">
        <f t="shared" si="137"/>
        <v>0</v>
      </c>
      <c r="N386" s="13">
        <f t="shared" si="137"/>
        <v>0</v>
      </c>
      <c r="O386" s="6"/>
    </row>
    <row r="387" spans="1:15" ht="35.25" customHeight="1" x14ac:dyDescent="0.3">
      <c r="A387" s="365" t="s">
        <v>520</v>
      </c>
      <c r="B387" s="365"/>
      <c r="C387" s="342">
        <v>8862</v>
      </c>
      <c r="D387" s="340"/>
      <c r="E387" s="20"/>
      <c r="F387" s="21">
        <f t="shared" ref="F387:N387" si="138">F388+F389+F390</f>
        <v>-13154.09</v>
      </c>
      <c r="G387" s="21">
        <f t="shared" si="138"/>
        <v>0</v>
      </c>
      <c r="H387" s="21">
        <f t="shared" si="138"/>
        <v>-13154.09</v>
      </c>
      <c r="I387" s="28">
        <f t="shared" si="138"/>
        <v>-13154.09</v>
      </c>
      <c r="J387" s="28">
        <f t="shared" si="138"/>
        <v>0</v>
      </c>
      <c r="K387" s="28">
        <f t="shared" si="138"/>
        <v>-13154.09</v>
      </c>
      <c r="L387" s="220">
        <f t="shared" si="138"/>
        <v>0</v>
      </c>
      <c r="M387" s="220">
        <f t="shared" si="138"/>
        <v>0</v>
      </c>
      <c r="N387" s="220">
        <f t="shared" si="138"/>
        <v>0</v>
      </c>
      <c r="O387" s="6"/>
    </row>
    <row r="388" spans="1:15" ht="35.25" customHeight="1" x14ac:dyDescent="0.3">
      <c r="A388" s="365"/>
      <c r="B388" s="365"/>
      <c r="C388" s="342"/>
      <c r="D388" s="340"/>
      <c r="E388" s="20" t="s">
        <v>8</v>
      </c>
      <c r="F388" s="21">
        <f>G388+H388</f>
        <v>-13154.09</v>
      </c>
      <c r="G388" s="21">
        <v>0</v>
      </c>
      <c r="H388" s="42">
        <f>-2054.09-5700+100-2500-3000</f>
        <v>-13154.09</v>
      </c>
      <c r="I388" s="28">
        <f>J388+K388</f>
        <v>-13154.09</v>
      </c>
      <c r="J388" s="28">
        <v>0</v>
      </c>
      <c r="K388" s="42">
        <f>-2054.09-5700+100-2500-3000</f>
        <v>-13154.09</v>
      </c>
      <c r="L388" s="220">
        <f>M388+N388</f>
        <v>0</v>
      </c>
      <c r="M388" s="220">
        <v>0</v>
      </c>
      <c r="N388" s="222"/>
      <c r="O388" s="6"/>
    </row>
    <row r="389" spans="1:15" ht="37.5" customHeight="1" x14ac:dyDescent="0.3">
      <c r="A389" s="365"/>
      <c r="B389" s="365"/>
      <c r="C389" s="342"/>
      <c r="D389" s="340"/>
      <c r="E389" s="22" t="s">
        <v>9</v>
      </c>
      <c r="F389" s="21">
        <f>G389+H389</f>
        <v>0</v>
      </c>
      <c r="G389" s="21"/>
      <c r="H389" s="21"/>
      <c r="I389" s="220">
        <f>J389+K389</f>
        <v>0</v>
      </c>
      <c r="J389" s="220"/>
      <c r="K389" s="220"/>
      <c r="L389" s="220">
        <f>M389+N389</f>
        <v>0</v>
      </c>
      <c r="M389" s="220"/>
      <c r="N389" s="220"/>
      <c r="O389" s="6"/>
    </row>
    <row r="390" spans="1:15" ht="35.25" customHeight="1" x14ac:dyDescent="0.3">
      <c r="A390" s="365"/>
      <c r="B390" s="365"/>
      <c r="C390" s="342"/>
      <c r="D390" s="340"/>
      <c r="E390" s="18" t="s">
        <v>10</v>
      </c>
      <c r="F390" s="19">
        <f>G390+H390</f>
        <v>0</v>
      </c>
      <c r="G390" s="19"/>
      <c r="H390" s="19"/>
      <c r="I390" s="219">
        <f>J390+K390</f>
        <v>0</v>
      </c>
      <c r="J390" s="219"/>
      <c r="K390" s="219"/>
      <c r="L390" s="219">
        <f>M390+N390</f>
        <v>0</v>
      </c>
      <c r="M390" s="219"/>
      <c r="N390" s="219"/>
      <c r="O390" s="6"/>
    </row>
    <row r="391" spans="1:15" ht="35.25" customHeight="1" x14ac:dyDescent="0.3">
      <c r="A391" s="367" t="s">
        <v>650</v>
      </c>
      <c r="B391" s="368"/>
      <c r="C391" s="383">
        <v>8861</v>
      </c>
      <c r="D391" s="386" t="s">
        <v>625</v>
      </c>
      <c r="E391" s="20"/>
      <c r="F391" s="21">
        <f t="shared" ref="F391:N391" si="139">F392+F393+F394</f>
        <v>5500</v>
      </c>
      <c r="G391" s="21">
        <f t="shared" si="139"/>
        <v>5500</v>
      </c>
      <c r="H391" s="21">
        <f t="shared" si="139"/>
        <v>0</v>
      </c>
      <c r="I391" s="21">
        <f t="shared" si="139"/>
        <v>5500</v>
      </c>
      <c r="J391" s="21">
        <f t="shared" si="139"/>
        <v>5500</v>
      </c>
      <c r="K391" s="21">
        <f t="shared" si="139"/>
        <v>0</v>
      </c>
      <c r="L391" s="21">
        <f t="shared" si="139"/>
        <v>5500</v>
      </c>
      <c r="M391" s="21">
        <f t="shared" si="139"/>
        <v>5500</v>
      </c>
      <c r="N391" s="21">
        <f t="shared" si="139"/>
        <v>0</v>
      </c>
      <c r="O391" s="6"/>
    </row>
    <row r="392" spans="1:15" ht="35.25" customHeight="1" x14ac:dyDescent="0.3">
      <c r="A392" s="369"/>
      <c r="B392" s="370"/>
      <c r="C392" s="384"/>
      <c r="D392" s="387"/>
      <c r="E392" s="20" t="s">
        <v>8</v>
      </c>
      <c r="F392" s="19">
        <f>G392+H392</f>
        <v>5500</v>
      </c>
      <c r="G392" s="19">
        <f>2500+3000</f>
        <v>5500</v>
      </c>
      <c r="H392" s="19">
        <v>0</v>
      </c>
      <c r="I392" s="19">
        <f>J392+K392</f>
        <v>5500</v>
      </c>
      <c r="J392" s="19">
        <f>2500+3000</f>
        <v>5500</v>
      </c>
      <c r="K392" s="19">
        <v>0</v>
      </c>
      <c r="L392" s="19">
        <f>M392+N392</f>
        <v>5500</v>
      </c>
      <c r="M392" s="19">
        <f>2500+3000</f>
        <v>5500</v>
      </c>
      <c r="N392" s="19">
        <v>0</v>
      </c>
      <c r="O392" s="6"/>
    </row>
    <row r="393" spans="1:15" ht="35.25" customHeight="1" x14ac:dyDescent="0.3">
      <c r="A393" s="369"/>
      <c r="B393" s="370"/>
      <c r="C393" s="384"/>
      <c r="D393" s="387"/>
      <c r="E393" s="22" t="s">
        <v>9</v>
      </c>
      <c r="F393" s="19">
        <f>G393+H393</f>
        <v>0</v>
      </c>
      <c r="G393" s="19">
        <v>0</v>
      </c>
      <c r="H393" s="19">
        <v>0</v>
      </c>
      <c r="I393" s="219"/>
      <c r="J393" s="219"/>
      <c r="K393" s="219"/>
      <c r="L393" s="219"/>
      <c r="M393" s="219"/>
      <c r="N393" s="219"/>
      <c r="O393" s="6"/>
    </row>
    <row r="394" spans="1:15" ht="35.25" customHeight="1" x14ac:dyDescent="0.3">
      <c r="A394" s="371"/>
      <c r="B394" s="372"/>
      <c r="C394" s="385"/>
      <c r="D394" s="388"/>
      <c r="E394" s="18" t="s">
        <v>10</v>
      </c>
      <c r="F394" s="19">
        <f>G394+H394</f>
        <v>0</v>
      </c>
      <c r="G394" s="19">
        <v>0</v>
      </c>
      <c r="H394" s="19">
        <v>0</v>
      </c>
      <c r="I394" s="219"/>
      <c r="J394" s="219"/>
      <c r="K394" s="219"/>
      <c r="L394" s="219"/>
      <c r="M394" s="219"/>
      <c r="N394" s="219"/>
      <c r="O394" s="6"/>
    </row>
    <row r="395" spans="1:15" ht="35.25" customHeight="1" x14ac:dyDescent="0.3">
      <c r="A395" s="343" t="s">
        <v>363</v>
      </c>
      <c r="B395" s="344"/>
      <c r="C395" s="353" t="s">
        <v>323</v>
      </c>
      <c r="D395" s="373" t="s">
        <v>569</v>
      </c>
      <c r="E395" s="23"/>
      <c r="F395" s="24">
        <f>H395+G395</f>
        <v>74098.760000000009</v>
      </c>
      <c r="G395" s="24">
        <f t="shared" ref="G395:N395" si="140">G396+G397+G398+G399</f>
        <v>4000</v>
      </c>
      <c r="H395" s="24">
        <f t="shared" si="140"/>
        <v>70098.760000000009</v>
      </c>
      <c r="I395" s="37">
        <f>I396+I397+I398+I399</f>
        <v>74098.62000000001</v>
      </c>
      <c r="J395" s="37">
        <f t="shared" si="140"/>
        <v>4000</v>
      </c>
      <c r="K395" s="37">
        <f t="shared" si="140"/>
        <v>70098.62000000001</v>
      </c>
      <c r="L395" s="37">
        <f t="shared" si="140"/>
        <v>54340.154999999999</v>
      </c>
      <c r="M395" s="37">
        <f t="shared" si="140"/>
        <v>2784.1</v>
      </c>
      <c r="N395" s="37">
        <f t="shared" si="140"/>
        <v>51556.054999999993</v>
      </c>
      <c r="O395" s="6"/>
    </row>
    <row r="396" spans="1:15" s="192" customFormat="1" ht="35.25" customHeight="1" x14ac:dyDescent="0.3">
      <c r="A396" s="345"/>
      <c r="B396" s="346"/>
      <c r="C396" s="354"/>
      <c r="D396" s="373"/>
      <c r="E396" s="25" t="s">
        <v>8</v>
      </c>
      <c r="F396" s="13">
        <f t="shared" ref="F396:F409" si="141">G396+H396</f>
        <v>47633.4</v>
      </c>
      <c r="G396" s="13">
        <f t="shared" ref="G396:N399" si="142">G401+G406</f>
        <v>4000</v>
      </c>
      <c r="H396" s="13">
        <f t="shared" si="142"/>
        <v>43633.4</v>
      </c>
      <c r="I396" s="38">
        <f t="shared" si="142"/>
        <v>47633.3</v>
      </c>
      <c r="J396" s="38">
        <f t="shared" si="142"/>
        <v>4000</v>
      </c>
      <c r="K396" s="38">
        <f t="shared" si="142"/>
        <v>43633.3</v>
      </c>
      <c r="L396" s="38">
        <f t="shared" si="142"/>
        <v>31951.37</v>
      </c>
      <c r="M396" s="38">
        <f t="shared" si="142"/>
        <v>2784.1</v>
      </c>
      <c r="N396" s="38">
        <f t="shared" si="142"/>
        <v>29167.27</v>
      </c>
      <c r="O396" s="193"/>
    </row>
    <row r="397" spans="1:15" s="192" customFormat="1" ht="45" customHeight="1" x14ac:dyDescent="0.3">
      <c r="A397" s="345"/>
      <c r="B397" s="346"/>
      <c r="C397" s="354"/>
      <c r="D397" s="373"/>
      <c r="E397" s="26" t="s">
        <v>9</v>
      </c>
      <c r="F397" s="13">
        <f t="shared" si="141"/>
        <v>20068.45</v>
      </c>
      <c r="G397" s="13">
        <f t="shared" si="142"/>
        <v>0</v>
      </c>
      <c r="H397" s="13">
        <f t="shared" si="142"/>
        <v>20068.45</v>
      </c>
      <c r="I397" s="38">
        <f t="shared" si="142"/>
        <v>20068.439999999999</v>
      </c>
      <c r="J397" s="38">
        <f t="shared" si="142"/>
        <v>0</v>
      </c>
      <c r="K397" s="38">
        <f t="shared" si="142"/>
        <v>20068.439999999999</v>
      </c>
      <c r="L397" s="38">
        <f t="shared" si="142"/>
        <v>16982.695</v>
      </c>
      <c r="M397" s="38">
        <f t="shared" si="142"/>
        <v>0</v>
      </c>
      <c r="N397" s="38">
        <f t="shared" si="142"/>
        <v>16982.695</v>
      </c>
      <c r="O397" s="193"/>
    </row>
    <row r="398" spans="1:15" s="192" customFormat="1" ht="62.25" customHeight="1" x14ac:dyDescent="0.3">
      <c r="A398" s="345"/>
      <c r="B398" s="346"/>
      <c r="C398" s="354"/>
      <c r="D398" s="373"/>
      <c r="E398" s="26" t="s">
        <v>439</v>
      </c>
      <c r="F398" s="13">
        <f t="shared" si="141"/>
        <v>6396.91</v>
      </c>
      <c r="G398" s="13">
        <f t="shared" si="142"/>
        <v>0</v>
      </c>
      <c r="H398" s="13">
        <f t="shared" si="142"/>
        <v>6396.91</v>
      </c>
      <c r="I398" s="38">
        <f t="shared" si="142"/>
        <v>6396.88</v>
      </c>
      <c r="J398" s="38">
        <f t="shared" si="142"/>
        <v>0</v>
      </c>
      <c r="K398" s="38">
        <f t="shared" si="142"/>
        <v>6396.88</v>
      </c>
      <c r="L398" s="38">
        <f t="shared" si="142"/>
        <v>5406.09</v>
      </c>
      <c r="M398" s="38">
        <f t="shared" si="142"/>
        <v>0</v>
      </c>
      <c r="N398" s="38">
        <f t="shared" si="142"/>
        <v>5406.09</v>
      </c>
      <c r="O398" s="193"/>
    </row>
    <row r="399" spans="1:15" s="192" customFormat="1" ht="35.25" customHeight="1" x14ac:dyDescent="0.3">
      <c r="A399" s="345"/>
      <c r="B399" s="346"/>
      <c r="C399" s="354"/>
      <c r="D399" s="373"/>
      <c r="E399" s="25" t="s">
        <v>10</v>
      </c>
      <c r="F399" s="13">
        <f t="shared" si="141"/>
        <v>0</v>
      </c>
      <c r="G399" s="13">
        <f t="shared" si="142"/>
        <v>0</v>
      </c>
      <c r="H399" s="13">
        <f t="shared" si="142"/>
        <v>0</v>
      </c>
      <c r="I399" s="38">
        <f t="shared" si="142"/>
        <v>0</v>
      </c>
      <c r="J399" s="38">
        <f t="shared" si="142"/>
        <v>0</v>
      </c>
      <c r="K399" s="38">
        <f t="shared" si="142"/>
        <v>0</v>
      </c>
      <c r="L399" s="38">
        <f t="shared" si="142"/>
        <v>0</v>
      </c>
      <c r="M399" s="38">
        <f t="shared" si="142"/>
        <v>0</v>
      </c>
      <c r="N399" s="38">
        <f t="shared" si="142"/>
        <v>0</v>
      </c>
      <c r="O399" s="193"/>
    </row>
    <row r="400" spans="1:15" s="192" customFormat="1" ht="66.75" customHeight="1" x14ac:dyDescent="0.3">
      <c r="A400" s="345"/>
      <c r="B400" s="346"/>
      <c r="C400" s="354"/>
      <c r="D400" s="373"/>
      <c r="E400" s="209" t="s">
        <v>543</v>
      </c>
      <c r="F400" s="24">
        <f>G400+H400</f>
        <v>52788.760000000009</v>
      </c>
      <c r="G400" s="24">
        <f>G395-G405</f>
        <v>4000</v>
      </c>
      <c r="H400" s="24">
        <f>H395-H405</f>
        <v>48788.760000000009</v>
      </c>
      <c r="I400" s="37">
        <f t="shared" ref="I400:N400" si="143">I401+I402+I403+I404</f>
        <v>52788.62</v>
      </c>
      <c r="J400" s="37">
        <f t="shared" si="143"/>
        <v>4000</v>
      </c>
      <c r="K400" s="37">
        <f t="shared" si="143"/>
        <v>48788.62</v>
      </c>
      <c r="L400" s="37">
        <f t="shared" si="143"/>
        <v>35454.71</v>
      </c>
      <c r="M400" s="37">
        <f t="shared" si="143"/>
        <v>2784.1</v>
      </c>
      <c r="N400" s="37">
        <f t="shared" si="143"/>
        <v>32670.61</v>
      </c>
      <c r="O400" s="193"/>
    </row>
    <row r="401" spans="1:15" s="192" customFormat="1" ht="35.25" customHeight="1" x14ac:dyDescent="0.3">
      <c r="A401" s="345"/>
      <c r="B401" s="346"/>
      <c r="C401" s="354"/>
      <c r="D401" s="373"/>
      <c r="E401" s="25" t="s">
        <v>8</v>
      </c>
      <c r="F401" s="13">
        <f t="shared" si="141"/>
        <v>44473.4</v>
      </c>
      <c r="G401" s="13">
        <f>5000+8000-5000-4000</f>
        <v>4000</v>
      </c>
      <c r="H401" s="13">
        <f>26015.61+5321.99+1019.9+8115.9</f>
        <v>40473.4</v>
      </c>
      <c r="I401" s="38">
        <f>J401+K401</f>
        <v>44473.3</v>
      </c>
      <c r="J401" s="13">
        <v>4000</v>
      </c>
      <c r="K401" s="13">
        <v>40473.300000000003</v>
      </c>
      <c r="L401" s="38">
        <f>M401+N401</f>
        <v>28939.149999999998</v>
      </c>
      <c r="M401" s="13">
        <v>2784.1</v>
      </c>
      <c r="N401" s="13">
        <v>26155.05</v>
      </c>
      <c r="O401" s="193"/>
    </row>
    <row r="402" spans="1:15" s="192" customFormat="1" ht="45" customHeight="1" x14ac:dyDescent="0.3">
      <c r="A402" s="345"/>
      <c r="B402" s="346"/>
      <c r="C402" s="354"/>
      <c r="D402" s="373"/>
      <c r="E402" s="26" t="s">
        <v>9</v>
      </c>
      <c r="F402" s="13">
        <f t="shared" si="141"/>
        <v>1918.45</v>
      </c>
      <c r="G402" s="13">
        <v>0</v>
      </c>
      <c r="H402" s="13">
        <f>0+950.98+967.47</f>
        <v>1918.45</v>
      </c>
      <c r="I402" s="38">
        <f>J402+K402</f>
        <v>1918.44</v>
      </c>
      <c r="J402" s="38">
        <v>0</v>
      </c>
      <c r="K402" s="38">
        <v>1918.44</v>
      </c>
      <c r="L402" s="38">
        <f>M402+N402</f>
        <v>1109.47</v>
      </c>
      <c r="M402" s="38">
        <v>0</v>
      </c>
      <c r="N402" s="38">
        <v>1109.47</v>
      </c>
      <c r="O402" s="193"/>
    </row>
    <row r="403" spans="1:15" s="192" customFormat="1" ht="62.25" customHeight="1" x14ac:dyDescent="0.3">
      <c r="A403" s="345"/>
      <c r="B403" s="346"/>
      <c r="C403" s="354"/>
      <c r="D403" s="373"/>
      <c r="E403" s="26" t="s">
        <v>439</v>
      </c>
      <c r="F403" s="13">
        <f t="shared" si="141"/>
        <v>6396.91</v>
      </c>
      <c r="G403" s="13">
        <v>0</v>
      </c>
      <c r="H403" s="13">
        <f>4448.86+2481.75-533.7</f>
        <v>6396.91</v>
      </c>
      <c r="I403" s="38">
        <f>J403+K403</f>
        <v>6396.88</v>
      </c>
      <c r="J403" s="38"/>
      <c r="K403" s="38">
        <v>6396.88</v>
      </c>
      <c r="L403" s="38">
        <f>M403+N403</f>
        <v>5406.09</v>
      </c>
      <c r="M403" s="38"/>
      <c r="N403" s="38">
        <v>5406.09</v>
      </c>
      <c r="O403" s="193"/>
    </row>
    <row r="404" spans="1:15" s="192" customFormat="1" ht="35.25" customHeight="1" x14ac:dyDescent="0.3">
      <c r="A404" s="345"/>
      <c r="B404" s="346"/>
      <c r="C404" s="354"/>
      <c r="D404" s="373"/>
      <c r="E404" s="25" t="s">
        <v>10</v>
      </c>
      <c r="F404" s="13">
        <f t="shared" si="141"/>
        <v>0</v>
      </c>
      <c r="G404" s="13">
        <v>0</v>
      </c>
      <c r="H404" s="13">
        <v>0</v>
      </c>
      <c r="I404" s="223">
        <f>J404+K404</f>
        <v>0</v>
      </c>
      <c r="J404" s="223">
        <v>0</v>
      </c>
      <c r="K404" s="223">
        <v>0</v>
      </c>
      <c r="L404" s="223">
        <f>M404+N404</f>
        <v>0</v>
      </c>
      <c r="M404" s="223">
        <v>0</v>
      </c>
      <c r="N404" s="223">
        <v>0</v>
      </c>
      <c r="O404" s="193"/>
    </row>
    <row r="405" spans="1:15" s="192" customFormat="1" ht="120" customHeight="1" x14ac:dyDescent="0.3">
      <c r="A405" s="345"/>
      <c r="B405" s="346"/>
      <c r="C405" s="354"/>
      <c r="D405" s="373"/>
      <c r="E405" s="209" t="s">
        <v>544</v>
      </c>
      <c r="F405" s="24">
        <f t="shared" si="141"/>
        <v>21310</v>
      </c>
      <c r="G405" s="24"/>
      <c r="H405" s="24">
        <f>H406+H407+H408+H409</f>
        <v>21310</v>
      </c>
      <c r="I405" s="37">
        <f t="shared" ref="I405:N405" si="144">I406+I407+I408+I409</f>
        <v>21310</v>
      </c>
      <c r="J405" s="37">
        <f t="shared" si="144"/>
        <v>0</v>
      </c>
      <c r="K405" s="37">
        <f t="shared" si="144"/>
        <v>21310</v>
      </c>
      <c r="L405" s="37">
        <f t="shared" si="144"/>
        <v>18885.445</v>
      </c>
      <c r="M405" s="37">
        <f t="shared" si="144"/>
        <v>0</v>
      </c>
      <c r="N405" s="37">
        <f t="shared" si="144"/>
        <v>18885.445</v>
      </c>
      <c r="O405" s="193"/>
    </row>
    <row r="406" spans="1:15" ht="35.25" customHeight="1" x14ac:dyDescent="0.3">
      <c r="A406" s="345"/>
      <c r="B406" s="346"/>
      <c r="C406" s="354"/>
      <c r="D406" s="373"/>
      <c r="E406" s="25" t="s">
        <v>8</v>
      </c>
      <c r="F406" s="13">
        <f t="shared" si="141"/>
        <v>3160</v>
      </c>
      <c r="G406" s="13"/>
      <c r="H406" s="13">
        <f>0+600+2560</f>
        <v>3160</v>
      </c>
      <c r="I406" s="38">
        <f>J406+K406</f>
        <v>3160</v>
      </c>
      <c r="J406" s="13"/>
      <c r="K406" s="13">
        <v>3160</v>
      </c>
      <c r="L406" s="38">
        <f>M406+N406</f>
        <v>3012.22</v>
      </c>
      <c r="M406" s="13"/>
      <c r="N406" s="13">
        <f>3012.22</f>
        <v>3012.22</v>
      </c>
      <c r="O406" s="6"/>
    </row>
    <row r="407" spans="1:15" ht="45" customHeight="1" x14ac:dyDescent="0.3">
      <c r="A407" s="345"/>
      <c r="B407" s="346"/>
      <c r="C407" s="354"/>
      <c r="D407" s="373"/>
      <c r="E407" s="26" t="s">
        <v>9</v>
      </c>
      <c r="F407" s="13">
        <f t="shared" si="141"/>
        <v>18150</v>
      </c>
      <c r="G407" s="13">
        <v>0</v>
      </c>
      <c r="H407" s="13">
        <f>0+10150+3500+4500</f>
        <v>18150</v>
      </c>
      <c r="I407" s="38">
        <f>J407+K407</f>
        <v>18150</v>
      </c>
      <c r="J407" s="38">
        <v>0</v>
      </c>
      <c r="K407" s="38">
        <v>18150</v>
      </c>
      <c r="L407" s="38">
        <f>M407+N407</f>
        <v>15873.225</v>
      </c>
      <c r="M407" s="38">
        <v>0</v>
      </c>
      <c r="N407" s="38">
        <f>15873.225</f>
        <v>15873.225</v>
      </c>
      <c r="O407" s="6"/>
    </row>
    <row r="408" spans="1:15" ht="62.25" customHeight="1" x14ac:dyDescent="0.3">
      <c r="A408" s="345"/>
      <c r="B408" s="346"/>
      <c r="C408" s="354"/>
      <c r="D408" s="373"/>
      <c r="E408" s="26" t="s">
        <v>439</v>
      </c>
      <c r="F408" s="13">
        <f t="shared" si="141"/>
        <v>0</v>
      </c>
      <c r="G408" s="13">
        <v>0</v>
      </c>
      <c r="H408" s="13">
        <f>0</f>
        <v>0</v>
      </c>
      <c r="I408" s="38">
        <f>J408+K408</f>
        <v>0</v>
      </c>
      <c r="J408" s="38">
        <v>0</v>
      </c>
      <c r="K408" s="38">
        <v>0</v>
      </c>
      <c r="L408" s="38">
        <f>M408+N408</f>
        <v>0</v>
      </c>
      <c r="M408" s="38">
        <v>0</v>
      </c>
      <c r="N408" s="38">
        <v>0</v>
      </c>
      <c r="O408" s="6"/>
    </row>
    <row r="409" spans="1:15" ht="35.25" customHeight="1" x14ac:dyDescent="0.3">
      <c r="A409" s="347"/>
      <c r="B409" s="348"/>
      <c r="C409" s="355"/>
      <c r="D409" s="373"/>
      <c r="E409" s="25" t="s">
        <v>10</v>
      </c>
      <c r="F409" s="13">
        <f t="shared" si="141"/>
        <v>0</v>
      </c>
      <c r="G409" s="13">
        <v>0</v>
      </c>
      <c r="H409" s="13">
        <v>0</v>
      </c>
      <c r="I409" s="38">
        <f>J409+K409</f>
        <v>0</v>
      </c>
      <c r="J409" s="38">
        <v>0</v>
      </c>
      <c r="K409" s="38">
        <v>0</v>
      </c>
      <c r="L409" s="38">
        <f>M409+N409</f>
        <v>0</v>
      </c>
      <c r="M409" s="38">
        <v>0</v>
      </c>
      <c r="N409" s="38">
        <v>0</v>
      </c>
      <c r="O409" s="6"/>
    </row>
    <row r="410" spans="1:15" ht="35.25" customHeight="1" x14ac:dyDescent="0.3">
      <c r="A410" s="343" t="s">
        <v>547</v>
      </c>
      <c r="B410" s="344"/>
      <c r="C410" s="353" t="s">
        <v>414</v>
      </c>
      <c r="D410" s="373" t="s">
        <v>568</v>
      </c>
      <c r="E410" s="23"/>
      <c r="F410" s="24">
        <f t="shared" ref="F410:N410" si="145">F411+F412+F413</f>
        <v>89775</v>
      </c>
      <c r="G410" s="24">
        <f t="shared" si="145"/>
        <v>0</v>
      </c>
      <c r="H410" s="24">
        <f t="shared" si="145"/>
        <v>89775</v>
      </c>
      <c r="I410" s="37">
        <f t="shared" si="145"/>
        <v>89775</v>
      </c>
      <c r="J410" s="37">
        <f t="shared" si="145"/>
        <v>0</v>
      </c>
      <c r="K410" s="37">
        <f t="shared" si="145"/>
        <v>89775</v>
      </c>
      <c r="L410" s="37">
        <f t="shared" si="145"/>
        <v>82331.67</v>
      </c>
      <c r="M410" s="37">
        <f t="shared" si="145"/>
        <v>0</v>
      </c>
      <c r="N410" s="37">
        <f t="shared" si="145"/>
        <v>82331.67</v>
      </c>
      <c r="O410" s="6"/>
    </row>
    <row r="411" spans="1:15" ht="35.25" customHeight="1" x14ac:dyDescent="0.3">
      <c r="A411" s="345"/>
      <c r="B411" s="346"/>
      <c r="C411" s="354"/>
      <c r="D411" s="373"/>
      <c r="E411" s="25" t="s">
        <v>8</v>
      </c>
      <c r="F411" s="13">
        <f>G411+H411</f>
        <v>0</v>
      </c>
      <c r="G411" s="13">
        <v>0</v>
      </c>
      <c r="H411" s="13">
        <v>0</v>
      </c>
      <c r="I411" s="38">
        <f>J411+K411</f>
        <v>0</v>
      </c>
      <c r="J411" s="13">
        <v>0</v>
      </c>
      <c r="K411" s="13">
        <v>0</v>
      </c>
      <c r="L411" s="38">
        <f>M411+N411</f>
        <v>0</v>
      </c>
      <c r="M411" s="38">
        <v>0</v>
      </c>
      <c r="N411" s="38">
        <v>0</v>
      </c>
      <c r="O411" s="6"/>
    </row>
    <row r="412" spans="1:15" ht="45" customHeight="1" x14ac:dyDescent="0.3">
      <c r="A412" s="345"/>
      <c r="B412" s="346"/>
      <c r="C412" s="354"/>
      <c r="D412" s="373"/>
      <c r="E412" s="26" t="s">
        <v>9</v>
      </c>
      <c r="F412" s="13">
        <f>G412+H412</f>
        <v>89775</v>
      </c>
      <c r="G412" s="13">
        <v>0</v>
      </c>
      <c r="H412" s="13">
        <v>89775</v>
      </c>
      <c r="I412" s="38">
        <f>J412+K412</f>
        <v>89775</v>
      </c>
      <c r="J412" s="38">
        <v>0</v>
      </c>
      <c r="K412" s="38">
        <v>89775</v>
      </c>
      <c r="L412" s="13">
        <f>M412+N412</f>
        <v>82331.67</v>
      </c>
      <c r="M412" s="13">
        <v>0</v>
      </c>
      <c r="N412" s="13">
        <v>82331.67</v>
      </c>
      <c r="O412" s="6"/>
    </row>
    <row r="413" spans="1:15" ht="45" customHeight="1" x14ac:dyDescent="0.3">
      <c r="A413" s="347"/>
      <c r="B413" s="348"/>
      <c r="C413" s="355"/>
      <c r="D413" s="373"/>
      <c r="E413" s="25" t="s">
        <v>10</v>
      </c>
      <c r="F413" s="13">
        <f>G413+H413</f>
        <v>0</v>
      </c>
      <c r="G413" s="13">
        <v>0</v>
      </c>
      <c r="H413" s="13">
        <v>0</v>
      </c>
      <c r="I413" s="38">
        <f>J413+K413</f>
        <v>0</v>
      </c>
      <c r="J413" s="38">
        <v>0</v>
      </c>
      <c r="K413" s="38">
        <v>0</v>
      </c>
      <c r="L413" s="13">
        <f>M413+N413</f>
        <v>0</v>
      </c>
      <c r="M413" s="13">
        <v>0</v>
      </c>
      <c r="N413" s="13">
        <v>0</v>
      </c>
      <c r="O413" s="6"/>
    </row>
    <row r="414" spans="1:15" ht="35.25" customHeight="1" x14ac:dyDescent="0.3">
      <c r="A414" s="343" t="s">
        <v>424</v>
      </c>
      <c r="B414" s="344"/>
      <c r="C414" s="353" t="s">
        <v>425</v>
      </c>
      <c r="D414" s="373" t="s">
        <v>566</v>
      </c>
      <c r="E414" s="23"/>
      <c r="F414" s="24">
        <f t="shared" ref="F414:N414" si="146">F415+F416+F417</f>
        <v>313.36</v>
      </c>
      <c r="G414" s="24">
        <f t="shared" si="146"/>
        <v>313.36</v>
      </c>
      <c r="H414" s="24">
        <f t="shared" si="146"/>
        <v>0</v>
      </c>
      <c r="I414" s="24">
        <f t="shared" si="146"/>
        <v>313.36</v>
      </c>
      <c r="J414" s="24">
        <f t="shared" si="146"/>
        <v>313.36</v>
      </c>
      <c r="K414" s="24">
        <f t="shared" si="146"/>
        <v>0</v>
      </c>
      <c r="L414" s="24">
        <f t="shared" si="146"/>
        <v>313.3</v>
      </c>
      <c r="M414" s="24">
        <f t="shared" si="146"/>
        <v>313.3</v>
      </c>
      <c r="N414" s="24">
        <f t="shared" si="146"/>
        <v>0</v>
      </c>
      <c r="O414" s="6"/>
    </row>
    <row r="415" spans="1:15" ht="35.25" customHeight="1" x14ac:dyDescent="0.3">
      <c r="A415" s="345"/>
      <c r="B415" s="346"/>
      <c r="C415" s="354"/>
      <c r="D415" s="373"/>
      <c r="E415" s="25" t="s">
        <v>8</v>
      </c>
      <c r="F415" s="13">
        <f>G415+H415</f>
        <v>0</v>
      </c>
      <c r="G415" s="13">
        <v>0</v>
      </c>
      <c r="H415" s="13">
        <v>0</v>
      </c>
      <c r="I415" s="13">
        <f>J415+K415</f>
        <v>0</v>
      </c>
      <c r="J415" s="13"/>
      <c r="K415" s="13">
        <v>0</v>
      </c>
      <c r="L415" s="13">
        <f>M415+N415</f>
        <v>0</v>
      </c>
      <c r="M415" s="13"/>
      <c r="N415" s="13">
        <v>0</v>
      </c>
      <c r="O415" s="6"/>
    </row>
    <row r="416" spans="1:15" ht="49.5" customHeight="1" x14ac:dyDescent="0.3">
      <c r="A416" s="345"/>
      <c r="B416" s="346"/>
      <c r="C416" s="354"/>
      <c r="D416" s="373"/>
      <c r="E416" s="26" t="s">
        <v>9</v>
      </c>
      <c r="F416" s="13">
        <f>G416+H416</f>
        <v>313.36</v>
      </c>
      <c r="G416" s="13">
        <f>313.36</f>
        <v>313.36</v>
      </c>
      <c r="H416" s="13"/>
      <c r="I416" s="13">
        <f>J416+K416</f>
        <v>313.36</v>
      </c>
      <c r="J416" s="13">
        <v>313.36</v>
      </c>
      <c r="K416" s="13">
        <v>0</v>
      </c>
      <c r="L416" s="13">
        <f>M416+N416</f>
        <v>313.3</v>
      </c>
      <c r="M416" s="13">
        <v>313.3</v>
      </c>
      <c r="N416" s="13">
        <v>0</v>
      </c>
      <c r="O416" s="6"/>
    </row>
    <row r="417" spans="1:15" ht="35.25" customHeight="1" x14ac:dyDescent="0.3">
      <c r="A417" s="347"/>
      <c r="B417" s="348"/>
      <c r="C417" s="355"/>
      <c r="D417" s="373"/>
      <c r="E417" s="25" t="s">
        <v>10</v>
      </c>
      <c r="F417" s="13">
        <f>G417+H417</f>
        <v>0</v>
      </c>
      <c r="G417" s="13">
        <f>G430+G434</f>
        <v>0</v>
      </c>
      <c r="H417" s="13">
        <f>H430+H434</f>
        <v>0</v>
      </c>
      <c r="I417" s="13">
        <f>J417+K417</f>
        <v>0</v>
      </c>
      <c r="J417" s="13">
        <f>J430+J434</f>
        <v>0</v>
      </c>
      <c r="K417" s="13">
        <v>0</v>
      </c>
      <c r="L417" s="13">
        <f>M417+N417</f>
        <v>0</v>
      </c>
      <c r="M417" s="13">
        <f>M430+M434</f>
        <v>0</v>
      </c>
      <c r="N417" s="13">
        <f>N430+N434</f>
        <v>0</v>
      </c>
      <c r="O417" s="6"/>
    </row>
    <row r="418" spans="1:15" ht="72.75" customHeight="1" x14ac:dyDescent="0.3">
      <c r="A418" s="343" t="s">
        <v>427</v>
      </c>
      <c r="B418" s="344"/>
      <c r="C418" s="353" t="s">
        <v>428</v>
      </c>
      <c r="D418" s="373" t="s">
        <v>567</v>
      </c>
      <c r="E418" s="23"/>
      <c r="F418" s="24">
        <f t="shared" ref="F418:N418" si="147">F419+F420+F421</f>
        <v>5007.9100000000008</v>
      </c>
      <c r="G418" s="24">
        <f t="shared" si="147"/>
        <v>0</v>
      </c>
      <c r="H418" s="24">
        <f t="shared" si="147"/>
        <v>5007.9100000000008</v>
      </c>
      <c r="I418" s="24">
        <f t="shared" si="147"/>
        <v>5007.8999999999996</v>
      </c>
      <c r="J418" s="24">
        <f t="shared" si="147"/>
        <v>0</v>
      </c>
      <c r="K418" s="24">
        <f t="shared" si="147"/>
        <v>5007.8999999999996</v>
      </c>
      <c r="L418" s="24">
        <f t="shared" si="147"/>
        <v>4037.98</v>
      </c>
      <c r="M418" s="24">
        <f t="shared" si="147"/>
        <v>0</v>
      </c>
      <c r="N418" s="24">
        <f t="shared" si="147"/>
        <v>4037.98</v>
      </c>
      <c r="O418" s="6"/>
    </row>
    <row r="419" spans="1:15" ht="66" customHeight="1" x14ac:dyDescent="0.3">
      <c r="A419" s="345"/>
      <c r="B419" s="346"/>
      <c r="C419" s="354"/>
      <c r="D419" s="373"/>
      <c r="E419" s="25" t="s">
        <v>8</v>
      </c>
      <c r="F419" s="13">
        <f>G419+H419</f>
        <v>5007.9100000000008</v>
      </c>
      <c r="G419" s="13">
        <v>0</v>
      </c>
      <c r="H419" s="13">
        <f>1300+1300+79.35+2343.26-14.7</f>
        <v>5007.9100000000008</v>
      </c>
      <c r="I419" s="13">
        <f>J419+K419</f>
        <v>5007.8999999999996</v>
      </c>
      <c r="J419" s="13"/>
      <c r="K419" s="13">
        <v>5007.8999999999996</v>
      </c>
      <c r="L419" s="13">
        <f>M419+N419</f>
        <v>4037.98</v>
      </c>
      <c r="M419" s="13"/>
      <c r="N419" s="13">
        <v>4037.98</v>
      </c>
      <c r="O419" s="6"/>
    </row>
    <row r="420" spans="1:15" ht="63" customHeight="1" x14ac:dyDescent="0.3">
      <c r="A420" s="345"/>
      <c r="B420" s="346"/>
      <c r="C420" s="354"/>
      <c r="D420" s="373"/>
      <c r="E420" s="26" t="s">
        <v>9</v>
      </c>
      <c r="F420" s="13">
        <f>G420+H420</f>
        <v>0</v>
      </c>
      <c r="G420" s="13">
        <f>G433+G437</f>
        <v>0</v>
      </c>
      <c r="H420" s="13"/>
      <c r="I420" s="13">
        <f>J420+K420</f>
        <v>0</v>
      </c>
      <c r="J420" s="13">
        <f>J433+J437</f>
        <v>0</v>
      </c>
      <c r="K420" s="13">
        <v>0</v>
      </c>
      <c r="L420" s="13">
        <f>M420+N420</f>
        <v>0</v>
      </c>
      <c r="M420" s="13">
        <f>M433+M437</f>
        <v>0</v>
      </c>
      <c r="N420" s="13">
        <v>0</v>
      </c>
      <c r="O420" s="6"/>
    </row>
    <row r="421" spans="1:15" ht="78" customHeight="1" x14ac:dyDescent="0.3">
      <c r="A421" s="345"/>
      <c r="B421" s="346"/>
      <c r="C421" s="354"/>
      <c r="D421" s="359"/>
      <c r="E421" s="200" t="s">
        <v>10</v>
      </c>
      <c r="F421" s="201">
        <f>G421+H421</f>
        <v>0</v>
      </c>
      <c r="G421" s="201">
        <f>G434+G438</f>
        <v>0</v>
      </c>
      <c r="H421" s="201">
        <f>H434+H438</f>
        <v>0</v>
      </c>
      <c r="I421" s="201">
        <f>J421+K421</f>
        <v>0</v>
      </c>
      <c r="J421" s="201">
        <f>J434+J438</f>
        <v>0</v>
      </c>
      <c r="K421" s="201">
        <v>0</v>
      </c>
      <c r="L421" s="201">
        <f>M421+N421</f>
        <v>0</v>
      </c>
      <c r="M421" s="201">
        <f>M434+M438</f>
        <v>0</v>
      </c>
      <c r="N421" s="201">
        <f>N434+N438</f>
        <v>0</v>
      </c>
      <c r="O421" s="6"/>
    </row>
    <row r="422" spans="1:15" s="192" customFormat="1" ht="35.25" customHeight="1" x14ac:dyDescent="0.3">
      <c r="A422" s="389" t="s">
        <v>447</v>
      </c>
      <c r="B422" s="389"/>
      <c r="C422" s="461" t="s">
        <v>446</v>
      </c>
      <c r="D422" s="373" t="s">
        <v>565</v>
      </c>
      <c r="E422" s="202"/>
      <c r="F422" s="203">
        <f t="shared" ref="F422:N422" si="148">F423+F424+F425</f>
        <v>300</v>
      </c>
      <c r="G422" s="203">
        <f t="shared" si="148"/>
        <v>0</v>
      </c>
      <c r="H422" s="203">
        <f t="shared" si="148"/>
        <v>300</v>
      </c>
      <c r="I422" s="203">
        <f t="shared" si="148"/>
        <v>300</v>
      </c>
      <c r="J422" s="203">
        <f t="shared" si="148"/>
        <v>0</v>
      </c>
      <c r="K422" s="203">
        <f t="shared" si="148"/>
        <v>300</v>
      </c>
      <c r="L422" s="203">
        <f t="shared" si="148"/>
        <v>234</v>
      </c>
      <c r="M422" s="203">
        <f t="shared" si="148"/>
        <v>0</v>
      </c>
      <c r="N422" s="203">
        <f t="shared" si="148"/>
        <v>234</v>
      </c>
      <c r="O422" s="193"/>
    </row>
    <row r="423" spans="1:15" s="192" customFormat="1" ht="35.25" customHeight="1" x14ac:dyDescent="0.3">
      <c r="A423" s="389"/>
      <c r="B423" s="389"/>
      <c r="C423" s="461"/>
      <c r="D423" s="373"/>
      <c r="E423" s="25" t="s">
        <v>8</v>
      </c>
      <c r="F423" s="13">
        <f>G423+H423</f>
        <v>300</v>
      </c>
      <c r="G423" s="13">
        <v>0</v>
      </c>
      <c r="H423" s="13">
        <f>300</f>
        <v>300</v>
      </c>
      <c r="I423" s="13">
        <f>J423+K423</f>
        <v>300</v>
      </c>
      <c r="J423" s="13"/>
      <c r="K423" s="13">
        <v>300</v>
      </c>
      <c r="L423" s="13">
        <f>M423+N423</f>
        <v>234</v>
      </c>
      <c r="M423" s="13"/>
      <c r="N423" s="13">
        <v>234</v>
      </c>
      <c r="O423" s="193"/>
    </row>
    <row r="424" spans="1:15" s="192" customFormat="1" ht="35.25" customHeight="1" x14ac:dyDescent="0.3">
      <c r="A424" s="389"/>
      <c r="B424" s="389"/>
      <c r="C424" s="461"/>
      <c r="D424" s="373"/>
      <c r="E424" s="26" t="s">
        <v>9</v>
      </c>
      <c r="F424" s="13">
        <f>G424+H424</f>
        <v>0</v>
      </c>
      <c r="G424" s="13">
        <f>G437+G441</f>
        <v>0</v>
      </c>
      <c r="H424" s="13"/>
      <c r="I424" s="13">
        <f>J424+K424</f>
        <v>0</v>
      </c>
      <c r="J424" s="13">
        <f>J437+J441</f>
        <v>0</v>
      </c>
      <c r="K424" s="13">
        <v>0</v>
      </c>
      <c r="L424" s="13">
        <f>M424+N424</f>
        <v>0</v>
      </c>
      <c r="M424" s="13">
        <f>M437+M441</f>
        <v>0</v>
      </c>
      <c r="N424" s="13">
        <v>0</v>
      </c>
      <c r="O424" s="193"/>
    </row>
    <row r="425" spans="1:15" s="192" customFormat="1" ht="35.25" customHeight="1" x14ac:dyDescent="0.3">
      <c r="A425" s="389"/>
      <c r="B425" s="389"/>
      <c r="C425" s="461"/>
      <c r="D425" s="373"/>
      <c r="E425" s="25" t="s">
        <v>10</v>
      </c>
      <c r="F425" s="13">
        <f>G425+H425</f>
        <v>0</v>
      </c>
      <c r="G425" s="13">
        <f>G438+G442</f>
        <v>0</v>
      </c>
      <c r="H425" s="13">
        <f>H438+H442</f>
        <v>0</v>
      </c>
      <c r="I425" s="13">
        <f>J425+K425</f>
        <v>0</v>
      </c>
      <c r="J425" s="13">
        <f>J438+J442</f>
        <v>0</v>
      </c>
      <c r="K425" s="13">
        <v>0</v>
      </c>
      <c r="L425" s="13">
        <f>M425+N425</f>
        <v>0</v>
      </c>
      <c r="M425" s="13">
        <f>M438+M442</f>
        <v>0</v>
      </c>
      <c r="N425" s="13">
        <f>N438+N442</f>
        <v>0</v>
      </c>
      <c r="O425" s="193"/>
    </row>
    <row r="426" spans="1:15" s="192" customFormat="1" ht="35.25" customHeight="1" x14ac:dyDescent="0.3">
      <c r="A426" s="33"/>
      <c r="B426" s="33"/>
      <c r="C426" s="34"/>
      <c r="D426" s="33"/>
      <c r="E426" s="35"/>
      <c r="F426" s="36"/>
      <c r="G426" s="36"/>
      <c r="H426" s="36"/>
      <c r="I426" s="224"/>
      <c r="J426" s="224"/>
      <c r="K426" s="224"/>
      <c r="L426" s="224"/>
      <c r="M426" s="224"/>
      <c r="N426" s="224"/>
      <c r="O426" s="193"/>
    </row>
    <row r="427" spans="1:15" s="192" customFormat="1" ht="35.25" hidden="1" customHeight="1" x14ac:dyDescent="0.3">
      <c r="A427" s="33"/>
      <c r="B427" s="33"/>
      <c r="C427" s="34"/>
      <c r="D427" s="33"/>
      <c r="E427" s="35"/>
      <c r="F427" s="36"/>
      <c r="G427" s="36"/>
      <c r="H427" s="36"/>
      <c r="I427" s="224"/>
      <c r="J427" s="224"/>
      <c r="K427" s="224"/>
      <c r="L427" s="224"/>
      <c r="M427" s="224"/>
      <c r="N427" s="224"/>
      <c r="O427" s="193"/>
    </row>
    <row r="428" spans="1:15" ht="35.25" hidden="1" customHeight="1" x14ac:dyDescent="0.3">
      <c r="A428" s="33"/>
      <c r="B428" s="33"/>
      <c r="C428" s="34"/>
      <c r="D428" s="33"/>
      <c r="E428" s="35"/>
      <c r="F428" s="36"/>
      <c r="G428" s="36"/>
      <c r="H428" s="36"/>
      <c r="I428" s="224"/>
      <c r="J428" s="224"/>
      <c r="K428" s="224"/>
      <c r="L428" s="224"/>
      <c r="M428" s="224"/>
      <c r="N428" s="224"/>
      <c r="O428" s="6"/>
    </row>
    <row r="429" spans="1:15" ht="18.75" x14ac:dyDescent="0.3">
      <c r="A429" s="2"/>
      <c r="B429" s="2"/>
      <c r="C429" s="2"/>
      <c r="D429" s="2"/>
      <c r="E429" s="2"/>
      <c r="F429" s="2"/>
      <c r="G429" s="2"/>
      <c r="H429" s="2"/>
      <c r="I429" s="8"/>
      <c r="J429" s="8"/>
      <c r="K429" s="8"/>
      <c r="L429" s="8"/>
      <c r="M429" s="8"/>
      <c r="N429" s="8"/>
      <c r="O429" s="6"/>
    </row>
    <row r="430" spans="1:15" ht="33" customHeight="1" x14ac:dyDescent="0.4">
      <c r="A430" s="3"/>
      <c r="B430" s="459" t="s">
        <v>307</v>
      </c>
      <c r="C430" s="459"/>
      <c r="D430" s="139" t="s">
        <v>30</v>
      </c>
      <c r="E430" s="41"/>
      <c r="F430" s="41"/>
      <c r="G430" s="41"/>
      <c r="H430" s="41"/>
      <c r="I430" s="225"/>
      <c r="J430" s="225"/>
      <c r="K430" s="225"/>
      <c r="L430" s="8"/>
      <c r="M430" s="8"/>
      <c r="N430" s="8"/>
      <c r="O430" s="6"/>
    </row>
    <row r="431" spans="1:15" ht="18.75" x14ac:dyDescent="0.3">
      <c r="A431" s="3"/>
      <c r="B431" s="9"/>
      <c r="C431" s="9"/>
      <c r="D431" s="9"/>
      <c r="E431" s="8"/>
      <c r="F431" s="8"/>
      <c r="G431" s="8"/>
      <c r="H431" s="8"/>
      <c r="I431" s="8"/>
      <c r="J431" s="8"/>
      <c r="K431" s="8"/>
      <c r="L431" s="8"/>
      <c r="M431" s="8"/>
      <c r="N431" s="8"/>
    </row>
    <row r="432" spans="1:15" x14ac:dyDescent="0.25">
      <c r="B432" s="10"/>
      <c r="C432" s="10"/>
      <c r="D432" s="10"/>
      <c r="E432" s="10"/>
      <c r="F432" s="10"/>
      <c r="G432" s="10"/>
      <c r="H432" s="10"/>
    </row>
  </sheetData>
  <mergeCells count="294">
    <mergeCell ref="C330:C341"/>
    <mergeCell ref="D347:D350"/>
    <mergeCell ref="D225:D228"/>
    <mergeCell ref="A229:B232"/>
    <mergeCell ref="C229:C232"/>
    <mergeCell ref="D229:D232"/>
    <mergeCell ref="A233:B236"/>
    <mergeCell ref="C253:C256"/>
    <mergeCell ref="C233:C236"/>
    <mergeCell ref="D233:D236"/>
    <mergeCell ref="A314:B317"/>
    <mergeCell ref="A293:B296"/>
    <mergeCell ref="C293:C296"/>
    <mergeCell ref="D293:D296"/>
    <mergeCell ref="D257:D260"/>
    <mergeCell ref="A261:B264"/>
    <mergeCell ref="C261:C264"/>
    <mergeCell ref="A281:B284"/>
    <mergeCell ref="C281:C284"/>
    <mergeCell ref="D281:D284"/>
    <mergeCell ref="A277:B280"/>
    <mergeCell ref="C322:C325"/>
    <mergeCell ref="D322:D325"/>
    <mergeCell ref="A269:B272"/>
    <mergeCell ref="C173:C176"/>
    <mergeCell ref="A157:B160"/>
    <mergeCell ref="C157:C160"/>
    <mergeCell ref="A422:B425"/>
    <mergeCell ref="C422:C425"/>
    <mergeCell ref="D422:D425"/>
    <mergeCell ref="A177:B180"/>
    <mergeCell ref="C177:C180"/>
    <mergeCell ref="D177:D180"/>
    <mergeCell ref="C209:C212"/>
    <mergeCell ref="D209:D212"/>
    <mergeCell ref="A213:B216"/>
    <mergeCell ref="C213:C216"/>
    <mergeCell ref="A395:B409"/>
    <mergeCell ref="C395:C409"/>
    <mergeCell ref="D395:D409"/>
    <mergeCell ref="A387:B390"/>
    <mergeCell ref="C387:C390"/>
    <mergeCell ref="A347:B350"/>
    <mergeCell ref="C347:C350"/>
    <mergeCell ref="C225:C228"/>
    <mergeCell ref="D173:D176"/>
    <mergeCell ref="A173:B176"/>
    <mergeCell ref="C314:C317"/>
    <mergeCell ref="A205:B208"/>
    <mergeCell ref="C205:C208"/>
    <mergeCell ref="D205:D208"/>
    <mergeCell ref="A209:B212"/>
    <mergeCell ref="C310:C313"/>
    <mergeCell ref="D310:D313"/>
    <mergeCell ref="A310:B313"/>
    <mergeCell ref="C326:C329"/>
    <mergeCell ref="D326:D329"/>
    <mergeCell ref="D314:D317"/>
    <mergeCell ref="A322:B325"/>
    <mergeCell ref="A289:B292"/>
    <mergeCell ref="C289:C292"/>
    <mergeCell ref="D289:D292"/>
    <mergeCell ref="D285:D288"/>
    <mergeCell ref="A285:B288"/>
    <mergeCell ref="C285:C288"/>
    <mergeCell ref="C257:C260"/>
    <mergeCell ref="D249:D252"/>
    <mergeCell ref="A253:B256"/>
    <mergeCell ref="D277:D280"/>
    <mergeCell ref="A265:B268"/>
    <mergeCell ref="C265:C268"/>
    <mergeCell ref="D265:D268"/>
    <mergeCell ref="A189:B192"/>
    <mergeCell ref="A193:B196"/>
    <mergeCell ref="C193:C196"/>
    <mergeCell ref="D193:D196"/>
    <mergeCell ref="A197:B200"/>
    <mergeCell ref="C197:C200"/>
    <mergeCell ref="D197:D200"/>
    <mergeCell ref="A201:B204"/>
    <mergeCell ref="C201:C204"/>
    <mergeCell ref="D201:D204"/>
    <mergeCell ref="B430:C430"/>
    <mergeCell ref="A17:B20"/>
    <mergeCell ref="C17:C20"/>
    <mergeCell ref="D17:D20"/>
    <mergeCell ref="A133:B136"/>
    <mergeCell ref="C133:C136"/>
    <mergeCell ref="D133:D136"/>
    <mergeCell ref="C45:C48"/>
    <mergeCell ref="D45:D48"/>
    <mergeCell ref="C49:C52"/>
    <mergeCell ref="D49:D52"/>
    <mergeCell ref="A49:B52"/>
    <mergeCell ref="A53:B56"/>
    <mergeCell ref="C53:C56"/>
    <mergeCell ref="D53:D56"/>
    <mergeCell ref="A89:B92"/>
    <mergeCell ref="C89:C92"/>
    <mergeCell ref="D89:D92"/>
    <mergeCell ref="A141:B144"/>
    <mergeCell ref="C141:C144"/>
    <mergeCell ref="D141:D144"/>
    <mergeCell ref="C33:C36"/>
    <mergeCell ref="C169:C172"/>
    <mergeCell ref="D169:D172"/>
    <mergeCell ref="A37:B40"/>
    <mergeCell ref="C37:C40"/>
    <mergeCell ref="D37:D40"/>
    <mergeCell ref="A41:B44"/>
    <mergeCell ref="C41:C44"/>
    <mergeCell ref="D41:D44"/>
    <mergeCell ref="A45:B48"/>
    <mergeCell ref="D61:D64"/>
    <mergeCell ref="A61:B64"/>
    <mergeCell ref="C61:C64"/>
    <mergeCell ref="A57:B60"/>
    <mergeCell ref="C57:C60"/>
    <mergeCell ref="D57:D60"/>
    <mergeCell ref="A5:B7"/>
    <mergeCell ref="A8:B8"/>
    <mergeCell ref="A10:B10"/>
    <mergeCell ref="A16:N16"/>
    <mergeCell ref="A33:B36"/>
    <mergeCell ref="X1:AE1"/>
    <mergeCell ref="A2:N2"/>
    <mergeCell ref="J1:N1"/>
    <mergeCell ref="C5:C7"/>
    <mergeCell ref="D5:D7"/>
    <mergeCell ref="E5:E7"/>
    <mergeCell ref="A9:N9"/>
    <mergeCell ref="D12:D15"/>
    <mergeCell ref="C12:C15"/>
    <mergeCell ref="D33:D36"/>
    <mergeCell ref="A21:B32"/>
    <mergeCell ref="C21:C29"/>
    <mergeCell ref="D21:D32"/>
    <mergeCell ref="F5:H6"/>
    <mergeCell ref="I5:K6"/>
    <mergeCell ref="L5:N6"/>
    <mergeCell ref="A3:G3"/>
    <mergeCell ref="A4:N4"/>
    <mergeCell ref="A93:B96"/>
    <mergeCell ref="C93:C96"/>
    <mergeCell ref="D93:D96"/>
    <mergeCell ref="D81:D84"/>
    <mergeCell ref="A65:B68"/>
    <mergeCell ref="C65:C68"/>
    <mergeCell ref="D65:D68"/>
    <mergeCell ref="A73:B76"/>
    <mergeCell ref="C73:C76"/>
    <mergeCell ref="D73:D76"/>
    <mergeCell ref="A77:B80"/>
    <mergeCell ref="C77:C80"/>
    <mergeCell ref="D77:D80"/>
    <mergeCell ref="D69:D72"/>
    <mergeCell ref="A85:B88"/>
    <mergeCell ref="C85:C88"/>
    <mergeCell ref="D85:D88"/>
    <mergeCell ref="A81:B84"/>
    <mergeCell ref="C81:C84"/>
    <mergeCell ref="A69:B72"/>
    <mergeCell ref="C69:C72"/>
    <mergeCell ref="A101:B104"/>
    <mergeCell ref="C101:C104"/>
    <mergeCell ref="D101:D104"/>
    <mergeCell ref="A105:B108"/>
    <mergeCell ref="C105:C108"/>
    <mergeCell ref="D105:D108"/>
    <mergeCell ref="A97:B100"/>
    <mergeCell ref="C97:C100"/>
    <mergeCell ref="D97:D100"/>
    <mergeCell ref="A113:B116"/>
    <mergeCell ref="C113:C116"/>
    <mergeCell ref="D113:D116"/>
    <mergeCell ref="A109:B112"/>
    <mergeCell ref="C109:C112"/>
    <mergeCell ref="D109:D112"/>
    <mergeCell ref="A125:B128"/>
    <mergeCell ref="C125:C128"/>
    <mergeCell ref="D125:D128"/>
    <mergeCell ref="A137:B140"/>
    <mergeCell ref="C137:C140"/>
    <mergeCell ref="D137:D140"/>
    <mergeCell ref="C189:C192"/>
    <mergeCell ref="D189:D192"/>
    <mergeCell ref="A165:B168"/>
    <mergeCell ref="C165:C168"/>
    <mergeCell ref="A145:B148"/>
    <mergeCell ref="C145:C148"/>
    <mergeCell ref="A153:B156"/>
    <mergeCell ref="C153:C156"/>
    <mergeCell ref="D153:D156"/>
    <mergeCell ref="A161:B164"/>
    <mergeCell ref="C161:C164"/>
    <mergeCell ref="D161:D164"/>
    <mergeCell ref="A185:B188"/>
    <mergeCell ref="C185:C188"/>
    <mergeCell ref="D185:D188"/>
    <mergeCell ref="D145:D148"/>
    <mergeCell ref="A149:B152"/>
    <mergeCell ref="C149:C152"/>
    <mergeCell ref="D149:D152"/>
    <mergeCell ref="D165:D168"/>
    <mergeCell ref="A169:B172"/>
    <mergeCell ref="A129:B132"/>
    <mergeCell ref="C129:C132"/>
    <mergeCell ref="D129:D132"/>
    <mergeCell ref="A117:B120"/>
    <mergeCell ref="C117:C120"/>
    <mergeCell ref="D117:D120"/>
    <mergeCell ref="A121:B124"/>
    <mergeCell ref="C121:C124"/>
    <mergeCell ref="D121:D124"/>
    <mergeCell ref="V311:AB311"/>
    <mergeCell ref="A343:B346"/>
    <mergeCell ref="C343:C346"/>
    <mergeCell ref="D343:D346"/>
    <mergeCell ref="C297:C300"/>
    <mergeCell ref="D297:D300"/>
    <mergeCell ref="D387:D390"/>
    <mergeCell ref="D318:D321"/>
    <mergeCell ref="A326:B329"/>
    <mergeCell ref="A301:B304"/>
    <mergeCell ref="A297:B300"/>
    <mergeCell ref="A318:B321"/>
    <mergeCell ref="C318:C321"/>
    <mergeCell ref="C301:C304"/>
    <mergeCell ref="D301:D304"/>
    <mergeCell ref="A305:B308"/>
    <mergeCell ref="C305:C308"/>
    <mergeCell ref="D305:D308"/>
    <mergeCell ref="A379:B382"/>
    <mergeCell ref="C379:C382"/>
    <mergeCell ref="D379:D382"/>
    <mergeCell ref="D330:D342"/>
    <mergeCell ref="P311:U311"/>
    <mergeCell ref="A375:B378"/>
    <mergeCell ref="A418:B421"/>
    <mergeCell ref="C418:C421"/>
    <mergeCell ref="D418:D421"/>
    <mergeCell ref="A414:B417"/>
    <mergeCell ref="C414:C417"/>
    <mergeCell ref="D414:D417"/>
    <mergeCell ref="D351:D362"/>
    <mergeCell ref="A363:B374"/>
    <mergeCell ref="D363:D374"/>
    <mergeCell ref="C363:C374"/>
    <mergeCell ref="A351:B362"/>
    <mergeCell ref="C351:C362"/>
    <mergeCell ref="A391:B394"/>
    <mergeCell ref="C391:C394"/>
    <mergeCell ref="D391:D394"/>
    <mergeCell ref="A410:B413"/>
    <mergeCell ref="C410:C413"/>
    <mergeCell ref="D410:D413"/>
    <mergeCell ref="A383:B386"/>
    <mergeCell ref="C383:C386"/>
    <mergeCell ref="D383:D386"/>
    <mergeCell ref="C375:C378"/>
    <mergeCell ref="D375:D378"/>
    <mergeCell ref="D269:D272"/>
    <mergeCell ref="C269:C272"/>
    <mergeCell ref="A257:B260"/>
    <mergeCell ref="D253:D256"/>
    <mergeCell ref="C277:C280"/>
    <mergeCell ref="D261:D264"/>
    <mergeCell ref="A273:B276"/>
    <mergeCell ref="C273:C276"/>
    <mergeCell ref="D273:D276"/>
    <mergeCell ref="D181:D184"/>
    <mergeCell ref="A181:B184"/>
    <mergeCell ref="C181:C184"/>
    <mergeCell ref="A330:B342"/>
    <mergeCell ref="D157:D160"/>
    <mergeCell ref="D213:D216"/>
    <mergeCell ref="A217:B220"/>
    <mergeCell ref="C217:C220"/>
    <mergeCell ref="D217:D220"/>
    <mergeCell ref="A221:B224"/>
    <mergeCell ref="C221:C224"/>
    <mergeCell ref="D221:D224"/>
    <mergeCell ref="A237:B240"/>
    <mergeCell ref="C237:C240"/>
    <mergeCell ref="D237:D240"/>
    <mergeCell ref="A241:B244"/>
    <mergeCell ref="C241:C244"/>
    <mergeCell ref="D241:D244"/>
    <mergeCell ref="A225:B228"/>
    <mergeCell ref="A245:B248"/>
    <mergeCell ref="C245:C248"/>
    <mergeCell ref="D245:D248"/>
    <mergeCell ref="A249:B252"/>
    <mergeCell ref="C249:C252"/>
  </mergeCells>
  <printOptions horizontalCentered="1" verticalCentered="1"/>
  <pageMargins left="0.31496062992125984" right="0.31496062992125984" top="0.78740157480314965" bottom="0.39370078740157483" header="0.31496062992125984" footer="0.51181102362204722"/>
  <pageSetup paperSize="9" scale="3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53"/>
  <sheetViews>
    <sheetView tabSelected="1" view="pageBreakPreview" topLeftCell="B1" zoomScaleNormal="100" zoomScaleSheetLayoutView="100" workbookViewId="0">
      <selection activeCell="I67" sqref="I1:J1048576"/>
    </sheetView>
  </sheetViews>
  <sheetFormatPr defaultRowHeight="15" x14ac:dyDescent="0.25"/>
  <cols>
    <col min="1" max="1" width="131.28515625" customWidth="1"/>
    <col min="2" max="2" width="21" customWidth="1"/>
    <col min="3" max="3" width="102" customWidth="1"/>
    <col min="4" max="4" width="13.42578125" customWidth="1"/>
    <col min="5" max="5" width="26" customWidth="1"/>
    <col min="6" max="6" width="24" style="10" customWidth="1"/>
    <col min="7" max="7" width="14.42578125" style="298" customWidth="1"/>
    <col min="8" max="8" width="31.7109375" customWidth="1"/>
    <col min="9" max="10" width="17.140625" bestFit="1" customWidth="1"/>
  </cols>
  <sheetData>
    <row r="1" spans="1:26" ht="159" customHeight="1" x14ac:dyDescent="0.3">
      <c r="A1" s="43"/>
      <c r="B1" s="43"/>
      <c r="C1" s="43"/>
      <c r="D1" s="517" t="s">
        <v>629</v>
      </c>
      <c r="E1" s="517"/>
      <c r="F1" s="517"/>
      <c r="G1" s="517"/>
    </row>
    <row r="2" spans="1:26" ht="82.5" customHeight="1" x14ac:dyDescent="0.3">
      <c r="A2" s="521" t="s">
        <v>630</v>
      </c>
      <c r="B2" s="521"/>
      <c r="C2" s="521"/>
      <c r="D2" s="521"/>
      <c r="E2" s="521"/>
      <c r="F2" s="521"/>
      <c r="G2" s="521"/>
    </row>
    <row r="3" spans="1:26" ht="56.25" customHeight="1" x14ac:dyDescent="0.25">
      <c r="A3" s="522" t="s">
        <v>31</v>
      </c>
      <c r="B3" s="522" t="s">
        <v>32</v>
      </c>
      <c r="C3" s="522" t="s">
        <v>33</v>
      </c>
      <c r="D3" s="522" t="s">
        <v>34</v>
      </c>
      <c r="E3" s="468" t="s">
        <v>631</v>
      </c>
      <c r="F3" s="469"/>
      <c r="G3" s="296" t="s">
        <v>635</v>
      </c>
      <c r="H3" s="339" t="s">
        <v>651</v>
      </c>
    </row>
    <row r="4" spans="1:26" ht="18.75" x14ac:dyDescent="0.25">
      <c r="A4" s="523"/>
      <c r="B4" s="523"/>
      <c r="C4" s="523"/>
      <c r="D4" s="523"/>
      <c r="E4" s="44" t="s">
        <v>632</v>
      </c>
      <c r="F4" s="289" t="s">
        <v>633</v>
      </c>
      <c r="G4" s="289" t="s">
        <v>634</v>
      </c>
      <c r="H4" s="333"/>
    </row>
    <row r="5" spans="1:26" ht="18.75" x14ac:dyDescent="0.25">
      <c r="A5" s="45">
        <v>1</v>
      </c>
      <c r="B5" s="45">
        <v>2</v>
      </c>
      <c r="C5" s="45">
        <v>3</v>
      </c>
      <c r="D5" s="45">
        <v>4</v>
      </c>
      <c r="E5" s="45">
        <v>5</v>
      </c>
      <c r="F5" s="290">
        <v>6</v>
      </c>
      <c r="G5" s="297">
        <v>7</v>
      </c>
      <c r="H5" s="333"/>
      <c r="I5" s="3"/>
      <c r="J5" s="3"/>
      <c r="K5" s="3"/>
      <c r="L5" s="3"/>
      <c r="M5" s="3"/>
      <c r="N5" s="3"/>
      <c r="O5" s="3"/>
      <c r="P5" s="3"/>
      <c r="Q5" s="3"/>
      <c r="R5" s="3"/>
      <c r="S5" s="3"/>
      <c r="T5" s="3"/>
      <c r="U5" s="3"/>
      <c r="V5" s="3"/>
      <c r="W5" s="3"/>
      <c r="X5" s="3"/>
      <c r="Y5" s="3"/>
    </row>
    <row r="6" spans="1:26" ht="20.25" customHeight="1" x14ac:dyDescent="0.25">
      <c r="A6" s="497" t="s">
        <v>217</v>
      </c>
      <c r="B6" s="485"/>
      <c r="C6" s="86" t="s">
        <v>35</v>
      </c>
      <c r="D6" s="502"/>
      <c r="E6" s="477">
        <f>E18+E62+E85+E141+E160+E175+E202+E238+E245+E252+E260+E267+E304+E311+E334+E341+E359+E366+E373+E381+E396+E407+E414+E421+E436+E443+178.11</f>
        <v>679406.27</v>
      </c>
      <c r="F6" s="477">
        <f>F18+F62+F85+F141+F160+F175+F202+F238+F245+F252+F260+F267+F304+F311+F334+F341+F359+F366+F373+F381+F396+F407+F414+F421+F436+F443</f>
        <v>586276.94699999993</v>
      </c>
      <c r="G6" s="495"/>
      <c r="H6" s="505"/>
      <c r="I6" s="3"/>
      <c r="J6" s="3"/>
      <c r="K6" s="3"/>
      <c r="L6" s="3"/>
      <c r="M6" s="3"/>
      <c r="N6" s="3"/>
      <c r="O6" s="3"/>
      <c r="P6" s="3"/>
      <c r="Q6" s="3"/>
      <c r="R6" s="3"/>
      <c r="S6" s="3"/>
      <c r="T6" s="3"/>
      <c r="U6" s="3"/>
      <c r="V6" s="3"/>
      <c r="W6" s="3"/>
      <c r="X6" s="3"/>
      <c r="Y6" s="3"/>
    </row>
    <row r="7" spans="1:26" ht="28.5" customHeight="1" x14ac:dyDescent="0.25">
      <c r="A7" s="498"/>
      <c r="B7" s="494"/>
      <c r="C7" s="81">
        <f>E6+F6+G6</f>
        <v>1265683.2169999999</v>
      </c>
      <c r="D7" s="504"/>
      <c r="E7" s="478"/>
      <c r="F7" s="478"/>
      <c r="G7" s="496"/>
      <c r="H7" s="506"/>
      <c r="I7" s="3"/>
      <c r="J7" s="3"/>
      <c r="K7" s="3"/>
      <c r="L7" s="3"/>
      <c r="M7" s="3"/>
      <c r="N7" s="3"/>
      <c r="O7" s="3"/>
      <c r="P7" s="3"/>
      <c r="Q7" s="3"/>
      <c r="R7" s="3"/>
      <c r="S7" s="3"/>
      <c r="T7" s="3"/>
      <c r="U7" s="3"/>
      <c r="V7" s="3"/>
      <c r="W7" s="3"/>
      <c r="X7" s="3"/>
      <c r="Y7" s="3"/>
      <c r="Z7" s="3"/>
    </row>
    <row r="8" spans="1:26" ht="36" customHeight="1" x14ac:dyDescent="0.25">
      <c r="A8" s="498"/>
      <c r="B8" s="494"/>
      <c r="C8" s="83" t="s">
        <v>28</v>
      </c>
      <c r="D8" s="84"/>
      <c r="E8" s="103">
        <f>E6-E9</f>
        <v>654016.27</v>
      </c>
      <c r="F8" s="103">
        <f>F6-F9</f>
        <v>567349.35699999996</v>
      </c>
      <c r="G8" s="299"/>
      <c r="H8" s="252"/>
      <c r="I8" s="3"/>
      <c r="J8" s="3"/>
      <c r="K8" s="3"/>
      <c r="L8" s="3"/>
      <c r="M8" s="3"/>
      <c r="N8" s="3"/>
      <c r="O8" s="3"/>
      <c r="P8" s="3"/>
      <c r="Q8" s="3"/>
      <c r="R8" s="3"/>
      <c r="S8" s="3"/>
      <c r="T8" s="3"/>
      <c r="U8" s="3"/>
      <c r="V8" s="3"/>
      <c r="W8" s="3"/>
      <c r="X8" s="3"/>
      <c r="Y8" s="3"/>
      <c r="Z8" s="3"/>
    </row>
    <row r="9" spans="1:26" ht="36" customHeight="1" x14ac:dyDescent="0.25">
      <c r="A9" s="498"/>
      <c r="B9" s="494"/>
      <c r="C9" s="85" t="s">
        <v>269</v>
      </c>
      <c r="D9" s="84"/>
      <c r="E9" s="103">
        <f>80+4000+21310</f>
        <v>25390</v>
      </c>
      <c r="F9" s="103">
        <f>42.14+0+18885.45</f>
        <v>18927.59</v>
      </c>
      <c r="G9" s="299"/>
      <c r="H9" s="252"/>
      <c r="I9" s="3"/>
      <c r="J9" s="3"/>
      <c r="K9" s="3"/>
      <c r="L9" s="3"/>
      <c r="M9" s="3"/>
      <c r="N9" s="3"/>
      <c r="O9" s="3"/>
      <c r="P9" s="3"/>
      <c r="Q9" s="3"/>
      <c r="R9" s="3"/>
      <c r="S9" s="3"/>
      <c r="T9" s="3"/>
      <c r="U9" s="3"/>
      <c r="V9" s="3"/>
      <c r="W9" s="3"/>
      <c r="X9" s="3"/>
      <c r="Y9" s="3"/>
      <c r="Z9" s="3"/>
    </row>
    <row r="10" spans="1:26" ht="57.75" customHeight="1" x14ac:dyDescent="0.25">
      <c r="A10" s="498"/>
      <c r="B10" s="502" t="s">
        <v>36</v>
      </c>
      <c r="C10" s="120" t="s">
        <v>88</v>
      </c>
      <c r="D10" s="500" t="s">
        <v>82</v>
      </c>
      <c r="E10" s="121">
        <v>30</v>
      </c>
      <c r="F10" s="291">
        <v>30</v>
      </c>
      <c r="G10" s="300"/>
      <c r="H10" s="252"/>
      <c r="I10" s="3"/>
      <c r="J10" s="3"/>
      <c r="K10" s="3"/>
      <c r="L10" s="3"/>
      <c r="M10" s="3"/>
      <c r="N10" s="3"/>
      <c r="O10" s="3"/>
      <c r="P10" s="3"/>
      <c r="Q10" s="3"/>
      <c r="R10" s="3"/>
      <c r="S10" s="3"/>
      <c r="T10" s="3"/>
      <c r="U10" s="3"/>
      <c r="V10" s="3"/>
      <c r="W10" s="3"/>
      <c r="X10" s="3"/>
      <c r="Y10" s="3"/>
      <c r="Z10" s="3"/>
    </row>
    <row r="11" spans="1:26" ht="57.75" customHeight="1" x14ac:dyDescent="0.25">
      <c r="A11" s="498"/>
      <c r="B11" s="503"/>
      <c r="C11" s="120" t="s">
        <v>91</v>
      </c>
      <c r="D11" s="501"/>
      <c r="E11" s="122">
        <v>5.8</v>
      </c>
      <c r="F11" s="292">
        <v>5.8</v>
      </c>
      <c r="G11" s="301"/>
      <c r="H11" s="252"/>
      <c r="I11" s="3"/>
      <c r="J11" s="3"/>
      <c r="K11" s="3"/>
      <c r="L11" s="3"/>
      <c r="M11" s="3"/>
      <c r="N11" s="3"/>
      <c r="O11" s="3"/>
      <c r="P11" s="3"/>
      <c r="Q11" s="3"/>
      <c r="R11" s="3"/>
      <c r="S11" s="3"/>
      <c r="T11" s="3"/>
      <c r="U11" s="3"/>
      <c r="V11" s="3"/>
      <c r="W11" s="3"/>
      <c r="X11" s="3"/>
      <c r="Y11" s="3"/>
      <c r="Z11" s="3"/>
    </row>
    <row r="12" spans="1:26" ht="57.75" customHeight="1" x14ac:dyDescent="0.25">
      <c r="A12" s="498"/>
      <c r="B12" s="503"/>
      <c r="C12" s="120" t="s">
        <v>44</v>
      </c>
      <c r="D12" s="383" t="s">
        <v>134</v>
      </c>
      <c r="E12" s="123">
        <v>2500</v>
      </c>
      <c r="F12" s="293">
        <v>2500</v>
      </c>
      <c r="G12" s="302"/>
      <c r="H12" s="252"/>
      <c r="I12" s="3"/>
      <c r="J12" s="3"/>
      <c r="K12" s="3"/>
      <c r="L12" s="3"/>
      <c r="M12" s="3"/>
      <c r="N12" s="3"/>
      <c r="O12" s="3"/>
      <c r="P12" s="3"/>
      <c r="Q12" s="3"/>
      <c r="R12" s="3"/>
      <c r="S12" s="3"/>
      <c r="T12" s="3"/>
      <c r="U12" s="3"/>
      <c r="V12" s="3"/>
      <c r="W12" s="3"/>
      <c r="X12" s="3"/>
      <c r="Y12" s="3"/>
      <c r="Z12" s="3"/>
    </row>
    <row r="13" spans="1:26" ht="57.75" customHeight="1" x14ac:dyDescent="0.25">
      <c r="A13" s="498"/>
      <c r="B13" s="504"/>
      <c r="C13" s="120" t="s">
        <v>51</v>
      </c>
      <c r="D13" s="385"/>
      <c r="E13" s="124">
        <v>37000</v>
      </c>
      <c r="F13" s="294">
        <v>37000</v>
      </c>
      <c r="G13" s="303"/>
      <c r="H13" s="252"/>
      <c r="I13" s="3"/>
      <c r="J13" s="3"/>
      <c r="K13" s="3"/>
      <c r="L13" s="3"/>
      <c r="M13" s="3"/>
      <c r="N13" s="3"/>
      <c r="O13" s="3"/>
      <c r="P13" s="3"/>
      <c r="Q13" s="3"/>
      <c r="R13" s="3"/>
      <c r="S13" s="3"/>
      <c r="T13" s="3"/>
      <c r="U13" s="3"/>
      <c r="V13" s="3"/>
      <c r="W13" s="3"/>
      <c r="X13" s="3"/>
      <c r="Y13" s="3"/>
      <c r="Z13" s="3"/>
    </row>
    <row r="14" spans="1:26" ht="57.75" customHeight="1" x14ac:dyDescent="0.25">
      <c r="A14" s="498"/>
      <c r="B14" s="485" t="s">
        <v>37</v>
      </c>
      <c r="C14" s="125" t="s">
        <v>303</v>
      </c>
      <c r="D14" s="383" t="s">
        <v>48</v>
      </c>
      <c r="E14" s="126">
        <v>10</v>
      </c>
      <c r="F14" s="295">
        <v>10</v>
      </c>
      <c r="G14" s="304"/>
      <c r="H14" s="252"/>
      <c r="I14" s="3"/>
      <c r="J14" s="3"/>
      <c r="K14" s="3"/>
      <c r="L14" s="3"/>
      <c r="M14" s="3"/>
      <c r="N14" s="3"/>
      <c r="O14" s="3"/>
      <c r="P14" s="3"/>
      <c r="Q14" s="3"/>
      <c r="R14" s="3"/>
      <c r="S14" s="3"/>
      <c r="T14" s="3"/>
      <c r="U14" s="3"/>
      <c r="V14" s="3"/>
      <c r="W14" s="3"/>
      <c r="X14" s="3"/>
      <c r="Y14" s="3"/>
      <c r="Z14" s="3"/>
    </row>
    <row r="15" spans="1:26" ht="57.75" customHeight="1" x14ac:dyDescent="0.25">
      <c r="A15" s="498"/>
      <c r="B15" s="494"/>
      <c r="C15" s="125" t="s">
        <v>304</v>
      </c>
      <c r="D15" s="384"/>
      <c r="E15" s="126">
        <v>5</v>
      </c>
      <c r="F15" s="295">
        <v>5</v>
      </c>
      <c r="G15" s="304"/>
      <c r="H15" s="252"/>
      <c r="I15" s="3"/>
      <c r="J15" s="3"/>
      <c r="K15" s="3"/>
      <c r="L15" s="3"/>
      <c r="M15" s="3"/>
      <c r="N15" s="3"/>
      <c r="O15" s="3"/>
      <c r="P15" s="3"/>
      <c r="Q15" s="3"/>
      <c r="R15" s="3"/>
      <c r="S15" s="3"/>
      <c r="T15" s="3"/>
      <c r="U15" s="3"/>
      <c r="V15" s="3"/>
      <c r="W15" s="3"/>
      <c r="X15" s="3"/>
      <c r="Y15" s="3"/>
      <c r="Z15" s="3"/>
    </row>
    <row r="16" spans="1:26" ht="57.75" customHeight="1" x14ac:dyDescent="0.25">
      <c r="A16" s="498"/>
      <c r="B16" s="494"/>
      <c r="C16" s="125" t="s">
        <v>305</v>
      </c>
      <c r="D16" s="384"/>
      <c r="E16" s="126">
        <v>5</v>
      </c>
      <c r="F16" s="295">
        <v>5</v>
      </c>
      <c r="G16" s="304"/>
      <c r="H16" s="252"/>
      <c r="I16" s="3"/>
      <c r="J16" s="3"/>
      <c r="K16" s="3"/>
      <c r="L16" s="3"/>
      <c r="M16" s="3"/>
      <c r="N16" s="3"/>
      <c r="O16" s="3"/>
      <c r="P16" s="3"/>
      <c r="Q16" s="3"/>
      <c r="R16" s="3"/>
      <c r="S16" s="3"/>
      <c r="T16" s="3"/>
      <c r="U16" s="3"/>
      <c r="V16" s="3"/>
      <c r="W16" s="3"/>
      <c r="X16" s="3"/>
      <c r="Y16" s="3"/>
      <c r="Z16" s="3"/>
    </row>
    <row r="17" spans="1:26" ht="57.75" customHeight="1" x14ac:dyDescent="0.25">
      <c r="A17" s="499"/>
      <c r="B17" s="486"/>
      <c r="C17" s="125" t="s">
        <v>306</v>
      </c>
      <c r="D17" s="385"/>
      <c r="E17" s="126">
        <v>10</v>
      </c>
      <c r="F17" s="295">
        <v>10</v>
      </c>
      <c r="G17" s="304"/>
      <c r="H17" s="252"/>
      <c r="I17" s="3"/>
      <c r="J17" s="3"/>
      <c r="K17" s="3"/>
      <c r="L17" s="3"/>
      <c r="M17" s="3"/>
      <c r="N17" s="3"/>
      <c r="O17" s="3"/>
      <c r="P17" s="3"/>
      <c r="Q17" s="3"/>
      <c r="R17" s="3"/>
      <c r="S17" s="3"/>
      <c r="T17" s="3"/>
      <c r="U17" s="3"/>
      <c r="V17" s="3"/>
      <c r="W17" s="3"/>
      <c r="X17" s="3"/>
      <c r="Y17" s="3"/>
      <c r="Z17" s="3"/>
    </row>
    <row r="18" spans="1:26" ht="19.5" x14ac:dyDescent="0.25">
      <c r="A18" s="46" t="s">
        <v>176</v>
      </c>
      <c r="B18" s="485"/>
      <c r="C18" s="518"/>
      <c r="D18" s="485"/>
      <c r="E18" s="104">
        <f>E20</f>
        <v>175193.74</v>
      </c>
      <c r="F18" s="104">
        <f>F20</f>
        <v>171974.88000000003</v>
      </c>
      <c r="G18" s="305">
        <f>G20</f>
        <v>753.34131584274257</v>
      </c>
      <c r="H18" s="333"/>
      <c r="I18" s="3"/>
      <c r="J18" s="3"/>
      <c r="K18" s="3"/>
      <c r="L18" s="3"/>
      <c r="M18" s="3"/>
      <c r="N18" s="3"/>
      <c r="O18" s="3"/>
      <c r="P18" s="3"/>
      <c r="Q18" s="3"/>
      <c r="R18" s="3"/>
      <c r="S18" s="3"/>
      <c r="T18" s="3"/>
      <c r="U18" s="3"/>
      <c r="V18" s="3"/>
      <c r="W18" s="3"/>
      <c r="X18" s="3"/>
      <c r="Y18" s="3"/>
    </row>
    <row r="19" spans="1:26" s="3" customFormat="1" ht="37.5" x14ac:dyDescent="0.25">
      <c r="A19" s="50" t="s">
        <v>38</v>
      </c>
      <c r="B19" s="494"/>
      <c r="C19" s="519"/>
      <c r="D19" s="494"/>
      <c r="E19" s="105"/>
      <c r="F19" s="276"/>
      <c r="G19" s="306"/>
      <c r="H19" s="333"/>
    </row>
    <row r="20" spans="1:26" s="3" customFormat="1" ht="39" x14ac:dyDescent="0.35">
      <c r="A20" s="57" t="s">
        <v>39</v>
      </c>
      <c r="B20" s="486"/>
      <c r="C20" s="520"/>
      <c r="D20" s="486"/>
      <c r="E20" s="106">
        <f>E21+E26+E31+E36+E40+E44+E49+E54+E58</f>
        <v>175193.74</v>
      </c>
      <c r="F20" s="106">
        <f>F21+F26+F31+F36+F40+F44+F49+F54+F58</f>
        <v>171974.88000000003</v>
      </c>
      <c r="G20" s="307">
        <f>G21+G26+G31+G36+G40+G44+G49+G54+G58</f>
        <v>753.34131584274257</v>
      </c>
      <c r="H20" s="333"/>
    </row>
    <row r="21" spans="1:26" s="3" customFormat="1" ht="56.25" x14ac:dyDescent="0.25">
      <c r="A21" s="479" t="s">
        <v>521</v>
      </c>
      <c r="B21" s="89" t="s">
        <v>40</v>
      </c>
      <c r="C21" s="47" t="s">
        <v>41</v>
      </c>
      <c r="D21" s="89" t="s">
        <v>29</v>
      </c>
      <c r="E21" s="107">
        <f>Заходи!F21</f>
        <v>175</v>
      </c>
      <c r="F21" s="108">
        <v>136.97999999999999</v>
      </c>
      <c r="G21" s="308">
        <f>F21/E21*100</f>
        <v>78.27428571428571</v>
      </c>
      <c r="H21" s="333"/>
    </row>
    <row r="22" spans="1:26" s="3" customFormat="1" ht="39" customHeight="1" x14ac:dyDescent="0.25">
      <c r="A22" s="480"/>
      <c r="B22" s="406" t="s">
        <v>36</v>
      </c>
      <c r="C22" s="71" t="s">
        <v>42</v>
      </c>
      <c r="D22" s="471" t="s">
        <v>43</v>
      </c>
      <c r="E22" s="115">
        <v>270000</v>
      </c>
      <c r="F22" s="277">
        <v>270000</v>
      </c>
      <c r="G22" s="309"/>
      <c r="H22" s="333"/>
    </row>
    <row r="23" spans="1:26" ht="18.75" x14ac:dyDescent="0.25">
      <c r="A23" s="480"/>
      <c r="B23" s="406"/>
      <c r="C23" s="72" t="s">
        <v>44</v>
      </c>
      <c r="D23" s="473"/>
      <c r="E23" s="115">
        <v>228.3</v>
      </c>
      <c r="F23" s="277">
        <v>228</v>
      </c>
      <c r="G23" s="309"/>
      <c r="H23" s="333"/>
    </row>
    <row r="24" spans="1:26" ht="18.75" x14ac:dyDescent="0.25">
      <c r="A24" s="480"/>
      <c r="B24" s="70" t="s">
        <v>45</v>
      </c>
      <c r="C24" s="50" t="s">
        <v>46</v>
      </c>
      <c r="D24" s="70" t="s">
        <v>29</v>
      </c>
      <c r="E24" s="116">
        <f>E21/E23</f>
        <v>0.76653526062198862</v>
      </c>
      <c r="F24" s="278">
        <f>F21/F23</f>
        <v>0.60078947368421043</v>
      </c>
      <c r="G24" s="310"/>
      <c r="H24" s="333"/>
    </row>
    <row r="25" spans="1:26" ht="18.75" x14ac:dyDescent="0.25">
      <c r="A25" s="481"/>
      <c r="B25" s="70" t="s">
        <v>37</v>
      </c>
      <c r="C25" s="50" t="s">
        <v>47</v>
      </c>
      <c r="D25" s="70" t="s">
        <v>48</v>
      </c>
      <c r="E25" s="111">
        <f>E23/E22*100</f>
        <v>8.455555555555555E-2</v>
      </c>
      <c r="F25" s="271">
        <f>F23/F22*100</f>
        <v>8.4444444444444447E-2</v>
      </c>
      <c r="G25" s="311"/>
      <c r="H25" s="333"/>
    </row>
    <row r="26" spans="1:26" ht="37.5" x14ac:dyDescent="0.25">
      <c r="A26" s="470" t="s">
        <v>522</v>
      </c>
      <c r="B26" s="89" t="s">
        <v>40</v>
      </c>
      <c r="C26" s="47" t="s">
        <v>49</v>
      </c>
      <c r="D26" s="89" t="s">
        <v>29</v>
      </c>
      <c r="E26" s="107">
        <f>Заходи!F34</f>
        <v>91453.700000000012</v>
      </c>
      <c r="F26" s="108">
        <v>90649.75</v>
      </c>
      <c r="G26" s="308">
        <f>F26/E26*100</f>
        <v>99.12092129678733</v>
      </c>
      <c r="H26" s="333"/>
    </row>
    <row r="27" spans="1:26" ht="18.75" x14ac:dyDescent="0.25">
      <c r="A27" s="470"/>
      <c r="B27" s="406" t="s">
        <v>36</v>
      </c>
      <c r="C27" s="71" t="s">
        <v>50</v>
      </c>
      <c r="D27" s="476" t="s">
        <v>43</v>
      </c>
      <c r="E27" s="112">
        <v>250000</v>
      </c>
      <c r="F27" s="284">
        <v>250000</v>
      </c>
      <c r="G27" s="312"/>
      <c r="H27" s="333"/>
    </row>
    <row r="28" spans="1:26" ht="18.75" x14ac:dyDescent="0.25">
      <c r="A28" s="470"/>
      <c r="B28" s="406"/>
      <c r="C28" s="72" t="s">
        <v>51</v>
      </c>
      <c r="D28" s="476"/>
      <c r="E28" s="112">
        <v>25000</v>
      </c>
      <c r="F28" s="284">
        <v>25000</v>
      </c>
      <c r="G28" s="312"/>
      <c r="H28" s="333"/>
    </row>
    <row r="29" spans="1:26" ht="18.75" x14ac:dyDescent="0.25">
      <c r="A29" s="470"/>
      <c r="B29" s="70" t="s">
        <v>45</v>
      </c>
      <c r="C29" s="50" t="s">
        <v>52</v>
      </c>
      <c r="D29" s="70" t="s">
        <v>29</v>
      </c>
      <c r="E29" s="90">
        <f>E26/E28</f>
        <v>3.6581480000000006</v>
      </c>
      <c r="F29" s="90">
        <f>F26/F28</f>
        <v>3.6259899999999998</v>
      </c>
      <c r="G29" s="313"/>
      <c r="H29" s="333"/>
    </row>
    <row r="30" spans="1:26" ht="18.75" x14ac:dyDescent="0.25">
      <c r="A30" s="470"/>
      <c r="B30" s="70" t="s">
        <v>37</v>
      </c>
      <c r="C30" s="73" t="s">
        <v>64</v>
      </c>
      <c r="D30" s="70" t="s">
        <v>48</v>
      </c>
      <c r="E30" s="113">
        <f>E28/E27*100</f>
        <v>10</v>
      </c>
      <c r="F30" s="281">
        <f>F28/F27*100</f>
        <v>10</v>
      </c>
      <c r="G30" s="314"/>
      <c r="H30" s="333"/>
    </row>
    <row r="31" spans="1:26" ht="37.5" x14ac:dyDescent="0.25">
      <c r="A31" s="470" t="s">
        <v>523</v>
      </c>
      <c r="B31" s="89" t="s">
        <v>40</v>
      </c>
      <c r="C31" s="47" t="s">
        <v>66</v>
      </c>
      <c r="D31" s="89" t="s">
        <v>29</v>
      </c>
      <c r="E31" s="107">
        <f>Заходи!F37</f>
        <v>75571.719999999987</v>
      </c>
      <c r="F31" s="108">
        <v>74351.41</v>
      </c>
      <c r="G31" s="308">
        <f>F31/E31*100</f>
        <v>98.385229289474978</v>
      </c>
      <c r="H31" s="333"/>
    </row>
    <row r="32" spans="1:26" ht="18.75" x14ac:dyDescent="0.25">
      <c r="A32" s="470"/>
      <c r="B32" s="394" t="s">
        <v>36</v>
      </c>
      <c r="C32" s="71" t="s">
        <v>311</v>
      </c>
      <c r="D32" s="476" t="s">
        <v>43</v>
      </c>
      <c r="E32" s="112">
        <v>2986700</v>
      </c>
      <c r="F32" s="284">
        <v>2986700</v>
      </c>
      <c r="G32" s="312"/>
      <c r="H32" s="333"/>
    </row>
    <row r="33" spans="1:8" ht="37.5" x14ac:dyDescent="0.25">
      <c r="A33" s="470"/>
      <c r="B33" s="395"/>
      <c r="C33" s="72" t="s">
        <v>312</v>
      </c>
      <c r="D33" s="476"/>
      <c r="E33" s="130">
        <v>2573900</v>
      </c>
      <c r="F33" s="288">
        <v>2573900</v>
      </c>
      <c r="G33" s="315"/>
      <c r="H33" s="333"/>
    </row>
    <row r="34" spans="1:8" ht="18.75" x14ac:dyDescent="0.25">
      <c r="A34" s="470"/>
      <c r="B34" s="127" t="s">
        <v>45</v>
      </c>
      <c r="C34" s="50" t="s">
        <v>63</v>
      </c>
      <c r="D34" s="70" t="s">
        <v>62</v>
      </c>
      <c r="E34" s="90">
        <f>E31/E33*1000</f>
        <v>29.3607832472124</v>
      </c>
      <c r="F34" s="90">
        <f>F31/F33*1000</f>
        <v>28.886673918955669</v>
      </c>
      <c r="G34" s="313"/>
      <c r="H34" s="333"/>
    </row>
    <row r="35" spans="1:8" ht="37.5" x14ac:dyDescent="0.25">
      <c r="A35" s="470"/>
      <c r="B35" s="70" t="s">
        <v>37</v>
      </c>
      <c r="C35" s="73" t="s">
        <v>65</v>
      </c>
      <c r="D35" s="70" t="s">
        <v>48</v>
      </c>
      <c r="E35" s="113">
        <f>E33/E32*100</f>
        <v>86.178725683865139</v>
      </c>
      <c r="F35" s="281">
        <f>F33/F32*100</f>
        <v>86.178725683865139</v>
      </c>
      <c r="G35" s="314"/>
      <c r="H35" s="333"/>
    </row>
    <row r="36" spans="1:8" s="3" customFormat="1" ht="18.75" x14ac:dyDescent="0.25">
      <c r="A36" s="479" t="s">
        <v>524</v>
      </c>
      <c r="B36" s="89" t="s">
        <v>40</v>
      </c>
      <c r="C36" s="47" t="s">
        <v>67</v>
      </c>
      <c r="D36" s="89" t="s">
        <v>29</v>
      </c>
      <c r="E36" s="107">
        <f>Заходи!F42</f>
        <v>26.199999999999989</v>
      </c>
      <c r="F36" s="108">
        <f>Заходи!I42</f>
        <v>26.2</v>
      </c>
      <c r="G36" s="308">
        <f>F36/E36*100</f>
        <v>100.00000000000004</v>
      </c>
      <c r="H36" s="333"/>
    </row>
    <row r="37" spans="1:8" s="3" customFormat="1" ht="39" customHeight="1" x14ac:dyDescent="0.25">
      <c r="A37" s="480"/>
      <c r="B37" s="91" t="s">
        <v>36</v>
      </c>
      <c r="C37" s="71" t="s">
        <v>68</v>
      </c>
      <c r="D37" s="78" t="s">
        <v>43</v>
      </c>
      <c r="E37" s="109">
        <v>675.5</v>
      </c>
      <c r="F37" s="285">
        <v>675.5</v>
      </c>
      <c r="G37" s="316"/>
      <c r="H37" s="333"/>
    </row>
    <row r="38" spans="1:8" ht="18.75" x14ac:dyDescent="0.25">
      <c r="A38" s="480"/>
      <c r="B38" s="70" t="s">
        <v>45</v>
      </c>
      <c r="C38" s="50" t="s">
        <v>69</v>
      </c>
      <c r="D38" s="70" t="s">
        <v>62</v>
      </c>
      <c r="E38" s="113">
        <f>E36/E37*1000</f>
        <v>38.786084381939283</v>
      </c>
      <c r="F38" s="281">
        <f>F36/F37*1000</f>
        <v>38.786084381939304</v>
      </c>
      <c r="G38" s="314"/>
      <c r="H38" s="333"/>
    </row>
    <row r="39" spans="1:8" ht="18.75" x14ac:dyDescent="0.25">
      <c r="A39" s="481"/>
      <c r="B39" s="70" t="s">
        <v>37</v>
      </c>
      <c r="C39" s="50" t="s">
        <v>70</v>
      </c>
      <c r="D39" s="70" t="s">
        <v>48</v>
      </c>
      <c r="E39" s="111">
        <v>100</v>
      </c>
      <c r="F39" s="271">
        <v>100</v>
      </c>
      <c r="G39" s="311"/>
      <c r="H39" s="333"/>
    </row>
    <row r="40" spans="1:8" ht="37.5" x14ac:dyDescent="0.25">
      <c r="A40" s="470" t="s">
        <v>464</v>
      </c>
      <c r="B40" s="89" t="s">
        <v>40</v>
      </c>
      <c r="C40" s="47" t="s">
        <v>71</v>
      </c>
      <c r="D40" s="89" t="s">
        <v>29</v>
      </c>
      <c r="E40" s="107">
        <f>Заходи!F45</f>
        <v>258.34999999999997</v>
      </c>
      <c r="F40" s="108">
        <v>177.88</v>
      </c>
      <c r="G40" s="308">
        <f>F40/E40*100</f>
        <v>68.852332107605974</v>
      </c>
      <c r="H40" s="462" t="s">
        <v>637</v>
      </c>
    </row>
    <row r="41" spans="1:8" ht="37.5" x14ac:dyDescent="0.25">
      <c r="A41" s="470"/>
      <c r="B41" s="91" t="s">
        <v>36</v>
      </c>
      <c r="C41" s="71" t="s">
        <v>72</v>
      </c>
      <c r="D41" s="70" t="s">
        <v>73</v>
      </c>
      <c r="E41" s="112">
        <v>8</v>
      </c>
      <c r="F41" s="284">
        <v>10</v>
      </c>
      <c r="G41" s="312"/>
      <c r="H41" s="464"/>
    </row>
    <row r="42" spans="1:8" ht="37.5" x14ac:dyDescent="0.25">
      <c r="A42" s="470"/>
      <c r="B42" s="70" t="s">
        <v>45</v>
      </c>
      <c r="C42" s="50" t="s">
        <v>74</v>
      </c>
      <c r="D42" s="70" t="s">
        <v>29</v>
      </c>
      <c r="E42" s="90">
        <f>E40/E41</f>
        <v>32.293749999999996</v>
      </c>
      <c r="F42" s="90">
        <f>F40/F41</f>
        <v>17.788</v>
      </c>
      <c r="G42" s="313"/>
      <c r="H42" s="464"/>
    </row>
    <row r="43" spans="1:8" ht="37.5" x14ac:dyDescent="0.3">
      <c r="A43" s="470"/>
      <c r="B43" s="70" t="s">
        <v>37</v>
      </c>
      <c r="C43" s="92" t="s">
        <v>75</v>
      </c>
      <c r="D43" s="70" t="s">
        <v>48</v>
      </c>
      <c r="E43" s="113">
        <v>100</v>
      </c>
      <c r="F43" s="281">
        <v>100</v>
      </c>
      <c r="G43" s="314"/>
      <c r="H43" s="463"/>
    </row>
    <row r="44" spans="1:8" ht="37.5" x14ac:dyDescent="0.25">
      <c r="A44" s="470" t="s">
        <v>525</v>
      </c>
      <c r="B44" s="89" t="s">
        <v>40</v>
      </c>
      <c r="C44" s="47" t="s">
        <v>76</v>
      </c>
      <c r="D44" s="89" t="s">
        <v>29</v>
      </c>
      <c r="E44" s="107">
        <f>Заходи!F50</f>
        <v>1603.2</v>
      </c>
      <c r="F44" s="108">
        <v>1590.3</v>
      </c>
      <c r="G44" s="308">
        <f>F44/E44*100</f>
        <v>99.195359281437121</v>
      </c>
      <c r="H44" s="333"/>
    </row>
    <row r="45" spans="1:8" ht="18.75" x14ac:dyDescent="0.25">
      <c r="A45" s="470"/>
      <c r="B45" s="406" t="s">
        <v>36</v>
      </c>
      <c r="C45" s="71" t="s">
        <v>77</v>
      </c>
      <c r="D45" s="476" t="s">
        <v>43</v>
      </c>
      <c r="E45" s="112">
        <v>893300</v>
      </c>
      <c r="F45" s="284">
        <v>893300</v>
      </c>
      <c r="G45" s="312"/>
      <c r="H45" s="333"/>
    </row>
    <row r="46" spans="1:8" ht="37.5" x14ac:dyDescent="0.25">
      <c r="A46" s="470"/>
      <c r="B46" s="406"/>
      <c r="C46" s="72" t="s">
        <v>78</v>
      </c>
      <c r="D46" s="476"/>
      <c r="E46" s="112">
        <v>6100</v>
      </c>
      <c r="F46" s="284">
        <v>6100</v>
      </c>
      <c r="G46" s="312"/>
      <c r="H46" s="333"/>
    </row>
    <row r="47" spans="1:8" ht="37.5" x14ac:dyDescent="0.25">
      <c r="A47" s="470"/>
      <c r="B47" s="70" t="s">
        <v>45</v>
      </c>
      <c r="C47" s="50" t="s">
        <v>79</v>
      </c>
      <c r="D47" s="70" t="s">
        <v>62</v>
      </c>
      <c r="E47" s="90">
        <f>E44/E46*1000</f>
        <v>262.81967213114751</v>
      </c>
      <c r="F47" s="90">
        <f>F44/F46*1000</f>
        <v>260.70491803278691</v>
      </c>
      <c r="G47" s="313"/>
      <c r="H47" s="333"/>
    </row>
    <row r="48" spans="1:8" ht="37.5" x14ac:dyDescent="0.25">
      <c r="A48" s="470"/>
      <c r="B48" s="70" t="s">
        <v>37</v>
      </c>
      <c r="C48" s="73" t="s">
        <v>80</v>
      </c>
      <c r="D48" s="70" t="s">
        <v>48</v>
      </c>
      <c r="E48" s="113">
        <f>E46/E45*100</f>
        <v>0.68286130079480578</v>
      </c>
      <c r="F48" s="281">
        <f>F46/F45*100</f>
        <v>0.68286130079480578</v>
      </c>
      <c r="G48" s="314"/>
      <c r="H48" s="333"/>
    </row>
    <row r="49" spans="1:8" ht="18.75" x14ac:dyDescent="0.25">
      <c r="A49" s="470" t="s">
        <v>466</v>
      </c>
      <c r="B49" s="89" t="s">
        <v>40</v>
      </c>
      <c r="C49" s="47" t="s">
        <v>310</v>
      </c>
      <c r="D49" s="89" t="s">
        <v>29</v>
      </c>
      <c r="E49" s="107">
        <f>Заходи!F54</f>
        <v>1223.83</v>
      </c>
      <c r="F49" s="108">
        <v>201.39</v>
      </c>
      <c r="G49" s="308">
        <f>F49/E49*100</f>
        <v>16.455716888783574</v>
      </c>
      <c r="H49" s="510" t="s">
        <v>638</v>
      </c>
    </row>
    <row r="50" spans="1:8" ht="37.5" x14ac:dyDescent="0.25">
      <c r="A50" s="470"/>
      <c r="B50" s="406" t="s">
        <v>36</v>
      </c>
      <c r="C50" s="72" t="s">
        <v>299</v>
      </c>
      <c r="D50" s="476" t="s">
        <v>73</v>
      </c>
      <c r="E50" s="112">
        <v>6</v>
      </c>
      <c r="F50" s="284">
        <v>4</v>
      </c>
      <c r="G50" s="312"/>
      <c r="H50" s="511"/>
    </row>
    <row r="51" spans="1:8" ht="30" customHeight="1" x14ac:dyDescent="0.25">
      <c r="A51" s="470"/>
      <c r="B51" s="406"/>
      <c r="C51" s="72" t="s">
        <v>300</v>
      </c>
      <c r="D51" s="476"/>
      <c r="E51" s="112">
        <v>2</v>
      </c>
      <c r="F51" s="284">
        <v>2</v>
      </c>
      <c r="G51" s="312"/>
      <c r="H51" s="511"/>
    </row>
    <row r="52" spans="1:8" ht="18.75" x14ac:dyDescent="0.25">
      <c r="A52" s="470"/>
      <c r="B52" s="70" t="s">
        <v>45</v>
      </c>
      <c r="C52" s="50" t="s">
        <v>301</v>
      </c>
      <c r="D52" s="70" t="s">
        <v>29</v>
      </c>
      <c r="E52" s="90">
        <f>E49/E51</f>
        <v>611.91499999999996</v>
      </c>
      <c r="F52" s="90">
        <f>F49/F51</f>
        <v>100.69499999999999</v>
      </c>
      <c r="G52" s="313"/>
      <c r="H52" s="511"/>
    </row>
    <row r="53" spans="1:8" ht="18.75" x14ac:dyDescent="0.25">
      <c r="A53" s="470"/>
      <c r="B53" s="70" t="s">
        <v>37</v>
      </c>
      <c r="C53" s="73" t="s">
        <v>302</v>
      </c>
      <c r="D53" s="70" t="s">
        <v>48</v>
      </c>
      <c r="E53" s="113">
        <f>E51/E50*100</f>
        <v>33.333333333333329</v>
      </c>
      <c r="F53" s="281">
        <f>F51/F50*100</f>
        <v>50</v>
      </c>
      <c r="G53" s="314"/>
      <c r="H53" s="512"/>
    </row>
    <row r="54" spans="1:8" ht="37.5" customHeight="1" x14ac:dyDescent="0.25">
      <c r="A54" s="479" t="s">
        <v>467</v>
      </c>
      <c r="B54" s="89" t="s">
        <v>40</v>
      </c>
      <c r="C54" s="47" t="s">
        <v>340</v>
      </c>
      <c r="D54" s="89" t="s">
        <v>29</v>
      </c>
      <c r="E54" s="107">
        <f>Заходи!F57</f>
        <v>4294.49</v>
      </c>
      <c r="F54" s="108">
        <v>4294.49</v>
      </c>
      <c r="G54" s="308">
        <f>F54/E54*100</f>
        <v>100</v>
      </c>
      <c r="H54" s="333"/>
    </row>
    <row r="55" spans="1:8" ht="37.5" x14ac:dyDescent="0.25">
      <c r="A55" s="480"/>
      <c r="B55" s="156" t="s">
        <v>36</v>
      </c>
      <c r="C55" s="93" t="s">
        <v>342</v>
      </c>
      <c r="D55" s="94" t="s">
        <v>73</v>
      </c>
      <c r="E55" s="115">
        <v>390</v>
      </c>
      <c r="F55" s="277">
        <v>383</v>
      </c>
      <c r="G55" s="309"/>
      <c r="H55" s="333"/>
    </row>
    <row r="56" spans="1:8" ht="18.75" customHeight="1" x14ac:dyDescent="0.25">
      <c r="A56" s="480"/>
      <c r="B56" s="155" t="s">
        <v>45</v>
      </c>
      <c r="C56" s="72" t="s">
        <v>341</v>
      </c>
      <c r="D56" s="155" t="s">
        <v>29</v>
      </c>
      <c r="E56" s="116">
        <f>E54/E55</f>
        <v>11.01151282051282</v>
      </c>
      <c r="F56" s="278">
        <f>F54/F55</f>
        <v>11.212767624020888</v>
      </c>
      <c r="G56" s="310"/>
      <c r="H56" s="333"/>
    </row>
    <row r="57" spans="1:8" ht="18.75" customHeight="1" x14ac:dyDescent="0.25">
      <c r="A57" s="481"/>
      <c r="B57" s="155" t="s">
        <v>37</v>
      </c>
      <c r="C57" s="50" t="s">
        <v>291</v>
      </c>
      <c r="D57" s="155" t="s">
        <v>48</v>
      </c>
      <c r="E57" s="111">
        <v>100</v>
      </c>
      <c r="F57" s="271">
        <v>100</v>
      </c>
      <c r="G57" s="311"/>
      <c r="H57" s="333"/>
    </row>
    <row r="58" spans="1:8" ht="37.5" x14ac:dyDescent="0.25">
      <c r="A58" s="479" t="s">
        <v>468</v>
      </c>
      <c r="B58" s="89" t="s">
        <v>40</v>
      </c>
      <c r="C58" s="47" t="s">
        <v>343</v>
      </c>
      <c r="D58" s="89" t="s">
        <v>29</v>
      </c>
      <c r="E58" s="107">
        <f>Заходи!F61</f>
        <v>587.25</v>
      </c>
      <c r="F58" s="108">
        <v>546.48</v>
      </c>
      <c r="G58" s="308">
        <f>F58/E58*100</f>
        <v>93.05747126436782</v>
      </c>
      <c r="H58" s="333"/>
    </row>
    <row r="59" spans="1:8" ht="37.5" x14ac:dyDescent="0.25">
      <c r="A59" s="480"/>
      <c r="B59" s="156" t="s">
        <v>36</v>
      </c>
      <c r="C59" s="93" t="s">
        <v>345</v>
      </c>
      <c r="D59" s="94" t="s">
        <v>73</v>
      </c>
      <c r="E59" s="115">
        <v>45</v>
      </c>
      <c r="F59" s="277">
        <v>6</v>
      </c>
      <c r="G59" s="309"/>
      <c r="H59" s="333"/>
    </row>
    <row r="60" spans="1:8" ht="37.5" x14ac:dyDescent="0.25">
      <c r="A60" s="480"/>
      <c r="B60" s="155" t="s">
        <v>45</v>
      </c>
      <c r="C60" s="72" t="s">
        <v>344</v>
      </c>
      <c r="D60" s="155" t="s">
        <v>29</v>
      </c>
      <c r="E60" s="116">
        <f>E58/E59</f>
        <v>13.05</v>
      </c>
      <c r="F60" s="278">
        <f>F58/F59</f>
        <v>91.08</v>
      </c>
      <c r="G60" s="310"/>
      <c r="H60" s="333"/>
    </row>
    <row r="61" spans="1:8" ht="18.75" customHeight="1" x14ac:dyDescent="0.25">
      <c r="A61" s="481"/>
      <c r="B61" s="155" t="s">
        <v>37</v>
      </c>
      <c r="C61" s="50" t="s">
        <v>291</v>
      </c>
      <c r="D61" s="155" t="s">
        <v>48</v>
      </c>
      <c r="E61" s="111">
        <v>100</v>
      </c>
      <c r="F61" s="271">
        <v>100</v>
      </c>
      <c r="G61" s="311"/>
      <c r="H61" s="333"/>
    </row>
    <row r="62" spans="1:8" ht="19.5" x14ac:dyDescent="0.25">
      <c r="A62" s="58" t="s">
        <v>53</v>
      </c>
      <c r="B62" s="78"/>
      <c r="C62" s="78"/>
      <c r="D62" s="78"/>
      <c r="E62" s="104">
        <f>E64</f>
        <v>57288.72</v>
      </c>
      <c r="F62" s="275">
        <f>F64</f>
        <v>49861.45</v>
      </c>
      <c r="G62" s="305">
        <f>G64</f>
        <v>0</v>
      </c>
      <c r="H62" s="333"/>
    </row>
    <row r="63" spans="1:8" ht="37.5" x14ac:dyDescent="0.25">
      <c r="A63" s="50" t="s">
        <v>55</v>
      </c>
      <c r="B63" s="95"/>
      <c r="C63" s="71"/>
      <c r="D63" s="70"/>
      <c r="E63" s="105"/>
      <c r="F63" s="254"/>
      <c r="G63" s="306"/>
      <c r="H63" s="333"/>
    </row>
    <row r="64" spans="1:8" ht="39" x14ac:dyDescent="0.35">
      <c r="A64" s="57" t="s">
        <v>309</v>
      </c>
      <c r="B64" s="79"/>
      <c r="C64" s="80"/>
      <c r="D64" s="80"/>
      <c r="E64" s="106">
        <f>E65+E81</f>
        <v>57288.72</v>
      </c>
      <c r="F64" s="272">
        <f>F65+F81</f>
        <v>49861.45</v>
      </c>
      <c r="G64" s="307"/>
      <c r="H64" s="333"/>
    </row>
    <row r="65" spans="1:10" ht="37.5" x14ac:dyDescent="0.25">
      <c r="A65" s="479" t="s">
        <v>526</v>
      </c>
      <c r="B65" s="89" t="s">
        <v>40</v>
      </c>
      <c r="C65" s="47" t="s">
        <v>81</v>
      </c>
      <c r="D65" s="89" t="s">
        <v>29</v>
      </c>
      <c r="E65" s="107">
        <f>Заходи!F69</f>
        <v>24137.24</v>
      </c>
      <c r="F65" s="108">
        <v>22612.86</v>
      </c>
      <c r="G65" s="308">
        <f>F65/E65*100</f>
        <v>93.684530625705349</v>
      </c>
      <c r="H65" s="333"/>
    </row>
    <row r="66" spans="1:10" ht="18.75" x14ac:dyDescent="0.25">
      <c r="A66" s="480"/>
      <c r="B66" s="394" t="s">
        <v>36</v>
      </c>
      <c r="C66" s="72" t="s">
        <v>84</v>
      </c>
      <c r="D66" s="471" t="s">
        <v>82</v>
      </c>
      <c r="E66" s="114">
        <v>643.20000000000005</v>
      </c>
      <c r="F66" s="287">
        <v>643.20000000000005</v>
      </c>
      <c r="G66" s="317"/>
      <c r="H66" s="333"/>
    </row>
    <row r="67" spans="1:10" ht="18.75" x14ac:dyDescent="0.25">
      <c r="A67" s="480"/>
      <c r="B67" s="395"/>
      <c r="C67" s="72" t="s">
        <v>85</v>
      </c>
      <c r="D67" s="472"/>
      <c r="E67" s="114">
        <v>95</v>
      </c>
      <c r="F67" s="287">
        <v>95</v>
      </c>
      <c r="G67" s="317"/>
      <c r="H67" s="333"/>
    </row>
    <row r="68" spans="1:10" ht="18.75" x14ac:dyDescent="0.25">
      <c r="A68" s="480"/>
      <c r="B68" s="395"/>
      <c r="C68" s="72" t="s">
        <v>90</v>
      </c>
      <c r="D68" s="473"/>
      <c r="E68" s="114">
        <v>106</v>
      </c>
      <c r="F68" s="287">
        <v>106</v>
      </c>
      <c r="G68" s="317"/>
      <c r="H68" s="333"/>
    </row>
    <row r="69" spans="1:10" ht="18.75" x14ac:dyDescent="0.25">
      <c r="A69" s="480"/>
      <c r="B69" s="395"/>
      <c r="C69" s="72" t="s">
        <v>86</v>
      </c>
      <c r="D69" s="471" t="s">
        <v>83</v>
      </c>
      <c r="E69" s="115">
        <v>17711</v>
      </c>
      <c r="F69" s="277">
        <v>17711</v>
      </c>
      <c r="G69" s="309"/>
      <c r="H69" s="333"/>
    </row>
    <row r="70" spans="1:10" ht="18.75" x14ac:dyDescent="0.25">
      <c r="A70" s="480"/>
      <c r="B70" s="395"/>
      <c r="C70" s="72" t="s">
        <v>87</v>
      </c>
      <c r="D70" s="473"/>
      <c r="E70" s="115">
        <v>5350</v>
      </c>
      <c r="F70" s="277">
        <v>5350</v>
      </c>
      <c r="G70" s="309"/>
      <c r="H70" s="333"/>
    </row>
    <row r="71" spans="1:10" ht="37.5" x14ac:dyDescent="0.25">
      <c r="A71" s="480"/>
      <c r="B71" s="395"/>
      <c r="C71" s="72" t="s">
        <v>88</v>
      </c>
      <c r="D71" s="472" t="s">
        <v>82</v>
      </c>
      <c r="E71" s="115">
        <v>30</v>
      </c>
      <c r="F71" s="277">
        <v>95.4</v>
      </c>
      <c r="G71" s="309"/>
      <c r="H71" s="333"/>
    </row>
    <row r="72" spans="1:10" ht="37.5" x14ac:dyDescent="0.25">
      <c r="A72" s="480"/>
      <c r="B72" s="395"/>
      <c r="C72" s="72" t="s">
        <v>91</v>
      </c>
      <c r="D72" s="473"/>
      <c r="E72" s="114">
        <v>5.8</v>
      </c>
      <c r="F72" s="287"/>
      <c r="G72" s="317"/>
      <c r="H72" s="333"/>
    </row>
    <row r="73" spans="1:10" ht="18.75" x14ac:dyDescent="0.25">
      <c r="A73" s="480"/>
      <c r="B73" s="395"/>
      <c r="C73" s="72" t="s">
        <v>89</v>
      </c>
      <c r="D73" s="95" t="s">
        <v>73</v>
      </c>
      <c r="E73" s="115">
        <v>1120</v>
      </c>
      <c r="F73" s="277">
        <v>5768</v>
      </c>
      <c r="G73" s="309"/>
      <c r="H73" s="333"/>
    </row>
    <row r="74" spans="1:10" ht="37.5" x14ac:dyDescent="0.35">
      <c r="A74" s="480"/>
      <c r="B74" s="471" t="s">
        <v>45</v>
      </c>
      <c r="C74" s="72" t="s">
        <v>92</v>
      </c>
      <c r="D74" s="70" t="s">
        <v>62</v>
      </c>
      <c r="E74" s="134">
        <v>625.45000000000005</v>
      </c>
      <c r="F74" s="135">
        <v>756.32</v>
      </c>
      <c r="G74" s="318"/>
      <c r="H74" s="334"/>
      <c r="I74" s="133"/>
      <c r="J74" s="133"/>
    </row>
    <row r="75" spans="1:10" ht="37.5" x14ac:dyDescent="0.25">
      <c r="A75" s="480"/>
      <c r="B75" s="472"/>
      <c r="C75" s="72" t="s">
        <v>93</v>
      </c>
      <c r="D75" s="70" t="s">
        <v>62</v>
      </c>
      <c r="E75" s="134">
        <f>Заходи!H70/Результативні!E72</f>
        <v>0</v>
      </c>
      <c r="F75" s="135"/>
      <c r="G75" s="318"/>
      <c r="H75" s="333"/>
    </row>
    <row r="76" spans="1:10" ht="21" x14ac:dyDescent="0.35">
      <c r="A76" s="480"/>
      <c r="B76" s="472"/>
      <c r="C76" s="72" t="s">
        <v>95</v>
      </c>
      <c r="D76" s="70" t="s">
        <v>62</v>
      </c>
      <c r="E76" s="134">
        <v>941.5</v>
      </c>
      <c r="F76" s="135">
        <v>1043.26</v>
      </c>
      <c r="G76" s="318"/>
      <c r="H76" s="334"/>
      <c r="I76" s="133"/>
      <c r="J76" s="133"/>
    </row>
    <row r="77" spans="1:10" ht="21" x14ac:dyDescent="0.35">
      <c r="A77" s="480"/>
      <c r="B77" s="473"/>
      <c r="C77" s="72" t="s">
        <v>94</v>
      </c>
      <c r="D77" s="70" t="s">
        <v>62</v>
      </c>
      <c r="E77" s="134">
        <v>273.51</v>
      </c>
      <c r="F77" s="135">
        <v>295.8</v>
      </c>
      <c r="G77" s="318"/>
      <c r="H77" s="334"/>
      <c r="I77" s="133"/>
      <c r="J77" s="133"/>
    </row>
    <row r="78" spans="1:10" ht="37.5" x14ac:dyDescent="0.25">
      <c r="A78" s="480"/>
      <c r="B78" s="471" t="s">
        <v>37</v>
      </c>
      <c r="C78" s="72" t="s">
        <v>96</v>
      </c>
      <c r="D78" s="70" t="s">
        <v>48</v>
      </c>
      <c r="E78" s="135">
        <f>E72/E67*100</f>
        <v>6.1052631578947363</v>
      </c>
      <c r="F78" s="135">
        <f>F72/F67*100</f>
        <v>0</v>
      </c>
      <c r="G78" s="318"/>
      <c r="H78" s="333"/>
    </row>
    <row r="79" spans="1:10" ht="37.5" x14ac:dyDescent="0.25">
      <c r="A79" s="480"/>
      <c r="B79" s="472"/>
      <c r="C79" s="72" t="s">
        <v>97</v>
      </c>
      <c r="D79" s="70" t="s">
        <v>48</v>
      </c>
      <c r="E79" s="135">
        <f>E71/E68*100</f>
        <v>28.30188679245283</v>
      </c>
      <c r="F79" s="135">
        <f>F71/F68*100</f>
        <v>90</v>
      </c>
      <c r="G79" s="318"/>
      <c r="H79" s="333"/>
    </row>
    <row r="80" spans="1:10" ht="18.75" x14ac:dyDescent="0.25">
      <c r="A80" s="481"/>
      <c r="B80" s="473"/>
      <c r="C80" s="72" t="s">
        <v>98</v>
      </c>
      <c r="D80" s="70" t="s">
        <v>48</v>
      </c>
      <c r="E80" s="136">
        <f>E67/E66*100</f>
        <v>14.769900497512436</v>
      </c>
      <c r="F80" s="136">
        <f>F67/F66*100</f>
        <v>14.769900497512436</v>
      </c>
      <c r="G80" s="319"/>
      <c r="H80" s="333"/>
    </row>
    <row r="81" spans="1:8" ht="18.75" customHeight="1" x14ac:dyDescent="0.25">
      <c r="A81" s="470" t="s">
        <v>546</v>
      </c>
      <c r="B81" s="89" t="s">
        <v>40</v>
      </c>
      <c r="C81" s="47" t="s">
        <v>60</v>
      </c>
      <c r="D81" s="89" t="s">
        <v>29</v>
      </c>
      <c r="E81" s="107">
        <f>Заходи!F73</f>
        <v>33151.480000000003</v>
      </c>
      <c r="F81" s="108">
        <f>27248.64-0.06+0.01</f>
        <v>27248.589999999997</v>
      </c>
      <c r="G81" s="308">
        <f>F81/E81*100</f>
        <v>82.194188615410212</v>
      </c>
      <c r="H81" s="507" t="s">
        <v>636</v>
      </c>
    </row>
    <row r="82" spans="1:8" ht="37.5" x14ac:dyDescent="0.25">
      <c r="A82" s="470"/>
      <c r="B82" s="91" t="s">
        <v>36</v>
      </c>
      <c r="C82" s="72" t="s">
        <v>57</v>
      </c>
      <c r="D82" s="70" t="s">
        <v>61</v>
      </c>
      <c r="E82" s="147">
        <v>2700000</v>
      </c>
      <c r="F82" s="273">
        <v>2477149</v>
      </c>
      <c r="G82" s="320"/>
      <c r="H82" s="508"/>
    </row>
    <row r="83" spans="1:8" ht="37.5" x14ac:dyDescent="0.25">
      <c r="A83" s="470"/>
      <c r="B83" s="70" t="s">
        <v>45</v>
      </c>
      <c r="C83" s="72" t="s">
        <v>58</v>
      </c>
      <c r="D83" s="70" t="s">
        <v>62</v>
      </c>
      <c r="E83" s="117">
        <f>E81/E82*1000</f>
        <v>12.278325925925927</v>
      </c>
      <c r="F83" s="117">
        <f>F81/F82*1000</f>
        <v>10.999980219195534</v>
      </c>
      <c r="G83" s="321"/>
      <c r="H83" s="508"/>
    </row>
    <row r="84" spans="1:8" ht="18.75" x14ac:dyDescent="0.25">
      <c r="A84" s="470"/>
      <c r="B84" s="70" t="s">
        <v>37</v>
      </c>
      <c r="C84" s="73" t="s">
        <v>59</v>
      </c>
      <c r="D84" s="70" t="s">
        <v>48</v>
      </c>
      <c r="E84" s="134">
        <v>100</v>
      </c>
      <c r="F84" s="135">
        <v>100</v>
      </c>
      <c r="G84" s="318"/>
      <c r="H84" s="509"/>
    </row>
    <row r="85" spans="1:8" ht="39" x14ac:dyDescent="0.25">
      <c r="A85" s="46" t="s">
        <v>54</v>
      </c>
      <c r="B85" s="49"/>
      <c r="C85" s="45"/>
      <c r="D85" s="45"/>
      <c r="E85" s="104">
        <f>E87</f>
        <v>36184.199999999997</v>
      </c>
      <c r="F85" s="275">
        <f>F87</f>
        <v>33124.630000000005</v>
      </c>
      <c r="G85" s="305"/>
      <c r="H85" s="333"/>
    </row>
    <row r="86" spans="1:8" ht="37.5" x14ac:dyDescent="0.25">
      <c r="A86" s="50" t="s">
        <v>55</v>
      </c>
      <c r="B86" s="49"/>
      <c r="C86" s="51"/>
      <c r="D86" s="49"/>
      <c r="E86" s="105"/>
      <c r="F86" s="276"/>
      <c r="G86" s="306"/>
      <c r="H86" s="333"/>
    </row>
    <row r="87" spans="1:8" ht="58.5" x14ac:dyDescent="0.35">
      <c r="A87" s="57" t="s">
        <v>14</v>
      </c>
      <c r="B87" s="52"/>
      <c r="C87" s="53"/>
      <c r="D87" s="53"/>
      <c r="E87" s="106">
        <f>E88+E93+E98+E105+E110+E114+E118+E128+E133+E137</f>
        <v>36184.199999999997</v>
      </c>
      <c r="F87" s="272">
        <f>F88+F93+F98+F105+F110+F114+F118+F128+F133+F137</f>
        <v>33124.630000000005</v>
      </c>
      <c r="G87" s="307"/>
      <c r="H87" s="333"/>
    </row>
    <row r="88" spans="1:8" ht="75" x14ac:dyDescent="0.25">
      <c r="A88" s="479" t="s">
        <v>527</v>
      </c>
      <c r="B88" s="89" t="s">
        <v>40</v>
      </c>
      <c r="C88" s="47" t="s">
        <v>99</v>
      </c>
      <c r="D88" s="89" t="s">
        <v>29</v>
      </c>
      <c r="E88" s="107">
        <f>Заходи!F81</f>
        <v>4201.6899999999996</v>
      </c>
      <c r="F88" s="108">
        <v>3231.56</v>
      </c>
      <c r="G88" s="308">
        <f>F88/E88*100</f>
        <v>76.910957257674895</v>
      </c>
      <c r="H88" s="335" t="s">
        <v>639</v>
      </c>
    </row>
    <row r="89" spans="1:8" ht="18.75" x14ac:dyDescent="0.25">
      <c r="A89" s="480"/>
      <c r="B89" s="406" t="s">
        <v>36</v>
      </c>
      <c r="C89" s="72" t="s">
        <v>103</v>
      </c>
      <c r="D89" s="485" t="s">
        <v>73</v>
      </c>
      <c r="E89" s="115">
        <v>13060</v>
      </c>
      <c r="F89" s="277">
        <v>13060</v>
      </c>
      <c r="G89" s="309"/>
      <c r="H89" s="333"/>
    </row>
    <row r="90" spans="1:8" ht="18.75" x14ac:dyDescent="0.25">
      <c r="A90" s="480"/>
      <c r="B90" s="406"/>
      <c r="C90" s="72" t="s">
        <v>109</v>
      </c>
      <c r="D90" s="494"/>
      <c r="E90" s="115">
        <v>1900</v>
      </c>
      <c r="F90" s="277">
        <v>2292</v>
      </c>
      <c r="G90" s="309"/>
      <c r="H90" s="333"/>
    </row>
    <row r="91" spans="1:8" ht="18.75" x14ac:dyDescent="0.25">
      <c r="A91" s="480"/>
      <c r="B91" s="70" t="s">
        <v>45</v>
      </c>
      <c r="C91" s="72" t="s">
        <v>119</v>
      </c>
      <c r="D91" s="49" t="s">
        <v>62</v>
      </c>
      <c r="E91" s="116">
        <f>E88/E90*1000</f>
        <v>2211.4157894736841</v>
      </c>
      <c r="F91" s="278">
        <f>F88/F90*1000</f>
        <v>1409.9301919720767</v>
      </c>
      <c r="G91" s="310"/>
      <c r="H91" s="333"/>
    </row>
    <row r="92" spans="1:8" ht="37.5" x14ac:dyDescent="0.25">
      <c r="A92" s="481"/>
      <c r="B92" s="70" t="s">
        <v>37</v>
      </c>
      <c r="C92" s="72" t="s">
        <v>125</v>
      </c>
      <c r="D92" s="49" t="s">
        <v>48</v>
      </c>
      <c r="E92" s="111">
        <f>E90/E89*100</f>
        <v>14.548238897396631</v>
      </c>
      <c r="F92" s="271">
        <f>F90/F89*100</f>
        <v>17.549770290964776</v>
      </c>
      <c r="G92" s="311"/>
      <c r="H92" s="333"/>
    </row>
    <row r="93" spans="1:8" ht="93.75" x14ac:dyDescent="0.25">
      <c r="A93" s="470" t="s">
        <v>528</v>
      </c>
      <c r="B93" s="89" t="s">
        <v>40</v>
      </c>
      <c r="C93" s="47" t="s">
        <v>100</v>
      </c>
      <c r="D93" s="48" t="s">
        <v>29</v>
      </c>
      <c r="E93" s="107">
        <f>Заходи!F85</f>
        <v>17159.41</v>
      </c>
      <c r="F93" s="108">
        <v>15879.73</v>
      </c>
      <c r="G93" s="308">
        <f>F93/E93*100</f>
        <v>92.542400933365414</v>
      </c>
      <c r="H93" s="333"/>
    </row>
    <row r="94" spans="1:8" ht="37.5" x14ac:dyDescent="0.25">
      <c r="A94" s="470"/>
      <c r="B94" s="406" t="s">
        <v>36</v>
      </c>
      <c r="C94" s="72" t="s">
        <v>403</v>
      </c>
      <c r="D94" s="485" t="s">
        <v>73</v>
      </c>
      <c r="E94" s="112">
        <v>63</v>
      </c>
      <c r="F94" s="284">
        <v>63</v>
      </c>
      <c r="G94" s="312"/>
      <c r="H94" s="333"/>
    </row>
    <row r="95" spans="1:8" ht="37.5" x14ac:dyDescent="0.25">
      <c r="A95" s="470"/>
      <c r="B95" s="406"/>
      <c r="C95" s="72" t="s">
        <v>418</v>
      </c>
      <c r="D95" s="494"/>
      <c r="E95" s="112">
        <v>51</v>
      </c>
      <c r="F95" s="284">
        <v>51</v>
      </c>
      <c r="G95" s="312"/>
      <c r="H95" s="333"/>
    </row>
    <row r="96" spans="1:8" ht="37.5" x14ac:dyDescent="0.25">
      <c r="A96" s="470"/>
      <c r="B96" s="70" t="s">
        <v>45</v>
      </c>
      <c r="C96" s="72" t="s">
        <v>127</v>
      </c>
      <c r="D96" s="49" t="s">
        <v>29</v>
      </c>
      <c r="E96" s="90">
        <f>E93/E95</f>
        <v>336.45901960784312</v>
      </c>
      <c r="F96" s="90">
        <f>F93/F95</f>
        <v>311.36725490196079</v>
      </c>
      <c r="G96" s="313"/>
      <c r="H96" s="333"/>
    </row>
    <row r="97" spans="1:8" ht="37.5" x14ac:dyDescent="0.25">
      <c r="A97" s="470"/>
      <c r="B97" s="70" t="s">
        <v>37</v>
      </c>
      <c r="C97" s="72" t="s">
        <v>126</v>
      </c>
      <c r="D97" s="49" t="s">
        <v>48</v>
      </c>
      <c r="E97" s="113">
        <f>E95/E94*100</f>
        <v>80.952380952380949</v>
      </c>
      <c r="F97" s="281">
        <f>F95/F94*100</f>
        <v>80.952380952380949</v>
      </c>
      <c r="G97" s="314"/>
      <c r="H97" s="333"/>
    </row>
    <row r="98" spans="1:8" ht="93.75" x14ac:dyDescent="0.25">
      <c r="A98" s="514" t="s">
        <v>472</v>
      </c>
      <c r="B98" s="89" t="s">
        <v>40</v>
      </c>
      <c r="C98" s="47" t="s">
        <v>101</v>
      </c>
      <c r="D98" s="48" t="s">
        <v>29</v>
      </c>
      <c r="E98" s="107">
        <f>Заходи!F89</f>
        <v>8197.7099999999991</v>
      </c>
      <c r="F98" s="108">
        <v>7997.65</v>
      </c>
      <c r="G98" s="308">
        <f>F98/E98*100</f>
        <v>97.559562365587468</v>
      </c>
      <c r="H98" s="333"/>
    </row>
    <row r="99" spans="1:8" ht="18.75" x14ac:dyDescent="0.25">
      <c r="A99" s="515"/>
      <c r="B99" s="493" t="s">
        <v>36</v>
      </c>
      <c r="C99" s="72" t="s">
        <v>105</v>
      </c>
      <c r="D99" s="485" t="s">
        <v>118</v>
      </c>
      <c r="E99" s="113">
        <v>123.45</v>
      </c>
      <c r="F99" s="281">
        <v>123.45</v>
      </c>
      <c r="G99" s="314"/>
      <c r="H99" s="333"/>
    </row>
    <row r="100" spans="1:8" ht="18.75" x14ac:dyDescent="0.25">
      <c r="A100" s="515"/>
      <c r="B100" s="395"/>
      <c r="C100" s="72" t="s">
        <v>107</v>
      </c>
      <c r="D100" s="494"/>
      <c r="E100" s="113">
        <v>0</v>
      </c>
      <c r="F100" s="281">
        <v>0</v>
      </c>
      <c r="G100" s="314"/>
      <c r="H100" s="333"/>
    </row>
    <row r="101" spans="1:8" ht="18.75" x14ac:dyDescent="0.25">
      <c r="A101" s="515"/>
      <c r="B101" s="396"/>
      <c r="C101" s="72" t="s">
        <v>111</v>
      </c>
      <c r="D101" s="486"/>
      <c r="E101" s="113">
        <v>76.260000000000005</v>
      </c>
      <c r="F101" s="281">
        <v>76.260000000000005</v>
      </c>
      <c r="G101" s="314"/>
      <c r="H101" s="333"/>
    </row>
    <row r="102" spans="1:8" ht="18.75" x14ac:dyDescent="0.3">
      <c r="A102" s="515"/>
      <c r="B102" s="471" t="s">
        <v>45</v>
      </c>
      <c r="C102" s="96" t="s">
        <v>120</v>
      </c>
      <c r="D102" s="485" t="s">
        <v>128</v>
      </c>
      <c r="E102" s="90">
        <v>0</v>
      </c>
      <c r="F102" s="90">
        <v>0</v>
      </c>
      <c r="G102" s="313"/>
      <c r="H102" s="333"/>
    </row>
    <row r="103" spans="1:8" ht="18.75" x14ac:dyDescent="0.25">
      <c r="A103" s="515"/>
      <c r="B103" s="473"/>
      <c r="C103" s="72" t="s">
        <v>122</v>
      </c>
      <c r="D103" s="486"/>
      <c r="E103" s="117">
        <f>E98/E101*1000</f>
        <v>107496.8528717545</v>
      </c>
      <c r="F103" s="117">
        <f>F98/F101*1000</f>
        <v>104873.45921846313</v>
      </c>
      <c r="G103" s="321"/>
      <c r="H103" s="333"/>
    </row>
    <row r="104" spans="1:8" ht="18.75" x14ac:dyDescent="0.25">
      <c r="A104" s="516"/>
      <c r="B104" s="70" t="s">
        <v>37</v>
      </c>
      <c r="C104" s="73" t="s">
        <v>129</v>
      </c>
      <c r="D104" s="49" t="s">
        <v>48</v>
      </c>
      <c r="E104" s="113">
        <f>E101/E99*100</f>
        <v>61.773997569866346</v>
      </c>
      <c r="F104" s="281">
        <f>F101/F99*100</f>
        <v>61.773997569866346</v>
      </c>
      <c r="G104" s="314"/>
      <c r="H104" s="333"/>
    </row>
    <row r="105" spans="1:8" ht="18.75" x14ac:dyDescent="0.25">
      <c r="A105" s="479" t="s">
        <v>473</v>
      </c>
      <c r="B105" s="89" t="s">
        <v>40</v>
      </c>
      <c r="C105" s="47" t="s">
        <v>102</v>
      </c>
      <c r="D105" s="89" t="s">
        <v>29</v>
      </c>
      <c r="E105" s="107">
        <f>Заходи!F93</f>
        <v>200</v>
      </c>
      <c r="F105" s="108">
        <v>157.59</v>
      </c>
      <c r="G105" s="308">
        <f>F105/E105*100</f>
        <v>78.795000000000002</v>
      </c>
      <c r="H105" s="333"/>
    </row>
    <row r="106" spans="1:8" ht="18.75" x14ac:dyDescent="0.25">
      <c r="A106" s="480"/>
      <c r="B106" s="406" t="s">
        <v>36</v>
      </c>
      <c r="C106" s="72" t="s">
        <v>104</v>
      </c>
      <c r="D106" s="485" t="s">
        <v>73</v>
      </c>
      <c r="E106" s="115">
        <v>2000</v>
      </c>
      <c r="F106" s="277">
        <v>2000</v>
      </c>
      <c r="G106" s="309"/>
      <c r="H106" s="333"/>
    </row>
    <row r="107" spans="1:8" ht="37.5" x14ac:dyDescent="0.25">
      <c r="A107" s="480"/>
      <c r="B107" s="406"/>
      <c r="C107" s="72" t="s">
        <v>110</v>
      </c>
      <c r="D107" s="486"/>
      <c r="E107" s="115">
        <v>225</v>
      </c>
      <c r="F107" s="277">
        <v>40</v>
      </c>
      <c r="G107" s="309"/>
      <c r="H107" s="333"/>
    </row>
    <row r="108" spans="1:8" ht="18.75" x14ac:dyDescent="0.25">
      <c r="A108" s="480"/>
      <c r="B108" s="70" t="s">
        <v>45</v>
      </c>
      <c r="C108" s="72" t="s">
        <v>121</v>
      </c>
      <c r="D108" s="49" t="s">
        <v>29</v>
      </c>
      <c r="E108" s="110">
        <f>E105/E107</f>
        <v>0.88888888888888884</v>
      </c>
      <c r="F108" s="283">
        <f>F105/F107</f>
        <v>3.9397500000000001</v>
      </c>
      <c r="G108" s="322"/>
      <c r="H108" s="333"/>
    </row>
    <row r="109" spans="1:8" ht="18.75" x14ac:dyDescent="0.25">
      <c r="A109" s="481"/>
      <c r="B109" s="70" t="s">
        <v>37</v>
      </c>
      <c r="C109" s="50" t="s">
        <v>130</v>
      </c>
      <c r="D109" s="49" t="s">
        <v>48</v>
      </c>
      <c r="E109" s="111">
        <v>100</v>
      </c>
      <c r="F109" s="271">
        <v>100</v>
      </c>
      <c r="G109" s="311"/>
      <c r="H109" s="333"/>
    </row>
    <row r="110" spans="1:8" ht="37.5" x14ac:dyDescent="0.25">
      <c r="A110" s="470" t="s">
        <v>474</v>
      </c>
      <c r="B110" s="89" t="s">
        <v>40</v>
      </c>
      <c r="C110" s="47" t="s">
        <v>318</v>
      </c>
      <c r="D110" s="89" t="s">
        <v>29</v>
      </c>
      <c r="E110" s="107">
        <f>Заходи!F97</f>
        <v>4030.96</v>
      </c>
      <c r="F110" s="108">
        <v>3967.21</v>
      </c>
      <c r="G110" s="308">
        <f>F110/E110*100</f>
        <v>98.418490880584272</v>
      </c>
      <c r="H110" s="333"/>
    </row>
    <row r="111" spans="1:8" ht="37.5" x14ac:dyDescent="0.25">
      <c r="A111" s="470"/>
      <c r="B111" s="140" t="s">
        <v>36</v>
      </c>
      <c r="C111" s="72" t="s">
        <v>321</v>
      </c>
      <c r="D111" s="141" t="s">
        <v>131</v>
      </c>
      <c r="E111" s="112">
        <v>1100</v>
      </c>
      <c r="F111" s="284">
        <v>1100</v>
      </c>
      <c r="G111" s="312"/>
      <c r="H111" s="333"/>
    </row>
    <row r="112" spans="1:8" ht="23.25" customHeight="1" x14ac:dyDescent="0.25">
      <c r="A112" s="470"/>
      <c r="B112" s="70" t="s">
        <v>45</v>
      </c>
      <c r="C112" s="72" t="s">
        <v>320</v>
      </c>
      <c r="D112" s="49" t="s">
        <v>29</v>
      </c>
      <c r="E112" s="90">
        <f>E110/E111</f>
        <v>3.6645090909090912</v>
      </c>
      <c r="F112" s="90">
        <f>F110/F111</f>
        <v>3.6065545454545456</v>
      </c>
      <c r="G112" s="313"/>
      <c r="H112" s="333"/>
    </row>
    <row r="113" spans="1:8" ht="18.75" x14ac:dyDescent="0.25">
      <c r="A113" s="470"/>
      <c r="B113" s="70" t="s">
        <v>37</v>
      </c>
      <c r="C113" s="50" t="s">
        <v>319</v>
      </c>
      <c r="D113" s="49" t="s">
        <v>48</v>
      </c>
      <c r="E113" s="113">
        <v>100</v>
      </c>
      <c r="F113" s="281">
        <v>100</v>
      </c>
      <c r="G113" s="314"/>
      <c r="H113" s="333"/>
    </row>
    <row r="114" spans="1:8" ht="56.25" x14ac:dyDescent="0.25">
      <c r="A114" s="479" t="s">
        <v>529</v>
      </c>
      <c r="B114" s="89" t="s">
        <v>40</v>
      </c>
      <c r="C114" s="47" t="s">
        <v>386</v>
      </c>
      <c r="D114" s="89" t="s">
        <v>29</v>
      </c>
      <c r="E114" s="107">
        <f>Заходи!F101</f>
        <v>100</v>
      </c>
      <c r="F114" s="108">
        <v>50</v>
      </c>
      <c r="G114" s="308">
        <f>F114/E114*100</f>
        <v>50</v>
      </c>
      <c r="H114" s="333"/>
    </row>
    <row r="115" spans="1:8" ht="37.5" x14ac:dyDescent="0.25">
      <c r="A115" s="480"/>
      <c r="B115" s="91" t="s">
        <v>36</v>
      </c>
      <c r="C115" s="71" t="s">
        <v>387</v>
      </c>
      <c r="D115" s="54" t="s">
        <v>140</v>
      </c>
      <c r="E115" s="109">
        <v>3</v>
      </c>
      <c r="F115" s="285">
        <v>12</v>
      </c>
      <c r="G115" s="316"/>
      <c r="H115" s="333"/>
    </row>
    <row r="116" spans="1:8" ht="37.5" x14ac:dyDescent="0.25">
      <c r="A116" s="480"/>
      <c r="B116" s="70" t="s">
        <v>45</v>
      </c>
      <c r="C116" s="50" t="s">
        <v>388</v>
      </c>
      <c r="D116" s="49" t="s">
        <v>29</v>
      </c>
      <c r="E116" s="113">
        <f>E114/E115</f>
        <v>33.333333333333336</v>
      </c>
      <c r="F116" s="281">
        <f>F114/F115</f>
        <v>4.166666666666667</v>
      </c>
      <c r="G116" s="314"/>
      <c r="H116" s="333"/>
    </row>
    <row r="117" spans="1:8" ht="37.5" x14ac:dyDescent="0.25">
      <c r="A117" s="481"/>
      <c r="B117" s="70" t="s">
        <v>37</v>
      </c>
      <c r="C117" s="50" t="s">
        <v>389</v>
      </c>
      <c r="D117" s="49" t="s">
        <v>48</v>
      </c>
      <c r="E117" s="111">
        <v>100</v>
      </c>
      <c r="F117" s="271">
        <v>100</v>
      </c>
      <c r="G117" s="311"/>
      <c r="H117" s="333"/>
    </row>
    <row r="118" spans="1:8" ht="18.75" x14ac:dyDescent="0.25">
      <c r="A118" s="470" t="s">
        <v>476</v>
      </c>
      <c r="B118" s="89" t="s">
        <v>40</v>
      </c>
      <c r="C118" s="47" t="s">
        <v>136</v>
      </c>
      <c r="D118" s="89" t="s">
        <v>29</v>
      </c>
      <c r="E118" s="107">
        <f>Заходи!F105</f>
        <v>769.57</v>
      </c>
      <c r="F118" s="108">
        <f>706.62+0.01</f>
        <v>706.63</v>
      </c>
      <c r="G118" s="308">
        <f>F118/E118*100</f>
        <v>91.821406759619009</v>
      </c>
      <c r="H118" s="333"/>
    </row>
    <row r="119" spans="1:8" ht="18.75" x14ac:dyDescent="0.25">
      <c r="A119" s="470"/>
      <c r="B119" s="394" t="s">
        <v>36</v>
      </c>
      <c r="C119" s="72" t="s">
        <v>106</v>
      </c>
      <c r="D119" s="63" t="s">
        <v>118</v>
      </c>
      <c r="E119" s="113">
        <v>11.55</v>
      </c>
      <c r="F119" s="281">
        <v>11.55</v>
      </c>
      <c r="G119" s="314"/>
      <c r="H119" s="333"/>
    </row>
    <row r="120" spans="1:8" ht="37.5" x14ac:dyDescent="0.25">
      <c r="A120" s="470"/>
      <c r="B120" s="395"/>
      <c r="C120" s="72" t="s">
        <v>112</v>
      </c>
      <c r="D120" s="55" t="s">
        <v>73</v>
      </c>
      <c r="E120" s="112">
        <v>1</v>
      </c>
      <c r="F120" s="284">
        <v>1</v>
      </c>
      <c r="G120" s="312"/>
      <c r="H120" s="333"/>
    </row>
    <row r="121" spans="1:8" ht="18.75" x14ac:dyDescent="0.25">
      <c r="A121" s="470"/>
      <c r="B121" s="395"/>
      <c r="C121" s="72" t="s">
        <v>113</v>
      </c>
      <c r="D121" s="55" t="s">
        <v>118</v>
      </c>
      <c r="E121" s="113">
        <v>11.55</v>
      </c>
      <c r="F121" s="281">
        <v>11.55</v>
      </c>
      <c r="G121" s="314"/>
      <c r="H121" s="333"/>
    </row>
    <row r="122" spans="1:8" ht="37.5" hidden="1" x14ac:dyDescent="0.25">
      <c r="A122" s="470"/>
      <c r="B122" s="395"/>
      <c r="C122" s="72" t="s">
        <v>114</v>
      </c>
      <c r="D122" s="485" t="s">
        <v>73</v>
      </c>
      <c r="E122" s="113"/>
      <c r="F122" s="281"/>
      <c r="G122" s="314"/>
      <c r="H122" s="333"/>
    </row>
    <row r="123" spans="1:8" ht="37.5" hidden="1" x14ac:dyDescent="0.25">
      <c r="A123" s="470"/>
      <c r="B123" s="395"/>
      <c r="C123" s="72" t="s">
        <v>115</v>
      </c>
      <c r="D123" s="494"/>
      <c r="E123" s="113"/>
      <c r="F123" s="281"/>
      <c r="G123" s="314"/>
      <c r="H123" s="333"/>
    </row>
    <row r="124" spans="1:8" ht="37.5" hidden="1" x14ac:dyDescent="0.25">
      <c r="A124" s="470"/>
      <c r="B124" s="395"/>
      <c r="C124" s="72" t="s">
        <v>116</v>
      </c>
      <c r="D124" s="486"/>
      <c r="E124" s="113"/>
      <c r="F124" s="281"/>
      <c r="G124" s="314"/>
      <c r="H124" s="333"/>
    </row>
    <row r="125" spans="1:8" ht="37.5" hidden="1" x14ac:dyDescent="0.25">
      <c r="A125" s="470"/>
      <c r="B125" s="396"/>
      <c r="C125" s="72" t="s">
        <v>117</v>
      </c>
      <c r="D125" s="55" t="s">
        <v>134</v>
      </c>
      <c r="E125" s="113"/>
      <c r="F125" s="281"/>
      <c r="G125" s="314"/>
      <c r="H125" s="333"/>
    </row>
    <row r="126" spans="1:8" ht="18.75" x14ac:dyDescent="0.25">
      <c r="A126" s="470"/>
      <c r="B126" s="70" t="s">
        <v>45</v>
      </c>
      <c r="C126" s="72" t="s">
        <v>123</v>
      </c>
      <c r="D126" s="49" t="s">
        <v>29</v>
      </c>
      <c r="E126" s="90">
        <f>E118</f>
        <v>769.57</v>
      </c>
      <c r="F126" s="90">
        <f>F118</f>
        <v>706.63</v>
      </c>
      <c r="G126" s="313"/>
      <c r="H126" s="333"/>
    </row>
    <row r="127" spans="1:8" ht="18.75" x14ac:dyDescent="0.25">
      <c r="A127" s="470"/>
      <c r="B127" s="70" t="s">
        <v>37</v>
      </c>
      <c r="C127" s="73" t="s">
        <v>137</v>
      </c>
      <c r="D127" s="49" t="s">
        <v>48</v>
      </c>
      <c r="E127" s="113">
        <v>100</v>
      </c>
      <c r="F127" s="281">
        <v>100</v>
      </c>
      <c r="G127" s="314"/>
      <c r="H127" s="333"/>
    </row>
    <row r="128" spans="1:8" ht="18.75" x14ac:dyDescent="0.25">
      <c r="A128" s="470" t="s">
        <v>530</v>
      </c>
      <c r="B128" s="89" t="s">
        <v>40</v>
      </c>
      <c r="C128" s="47" t="s">
        <v>135</v>
      </c>
      <c r="D128" s="89" t="s">
        <v>29</v>
      </c>
      <c r="E128" s="107">
        <f>Заходи!F109</f>
        <v>578</v>
      </c>
      <c r="F128" s="108">
        <v>540.47</v>
      </c>
      <c r="G128" s="308">
        <f>F128/E128*100</f>
        <v>93.506920415224911</v>
      </c>
      <c r="H128" s="333"/>
    </row>
    <row r="129" spans="1:8" ht="18.75" x14ac:dyDescent="0.25">
      <c r="A129" s="470"/>
      <c r="B129" s="406" t="s">
        <v>36</v>
      </c>
      <c r="C129" s="72" t="s">
        <v>108</v>
      </c>
      <c r="D129" s="513" t="s">
        <v>118</v>
      </c>
      <c r="E129" s="113">
        <v>35.020000000000003</v>
      </c>
      <c r="F129" s="281">
        <v>35.020000000000003</v>
      </c>
      <c r="G129" s="314"/>
      <c r="H129" s="333"/>
    </row>
    <row r="130" spans="1:8" ht="18.75" x14ac:dyDescent="0.25">
      <c r="A130" s="470"/>
      <c r="B130" s="406"/>
      <c r="C130" s="72" t="s">
        <v>138</v>
      </c>
      <c r="D130" s="513"/>
      <c r="E130" s="113">
        <v>35.020000000000003</v>
      </c>
      <c r="F130" s="281">
        <v>35.020000000000003</v>
      </c>
      <c r="G130" s="314"/>
      <c r="H130" s="333"/>
    </row>
    <row r="131" spans="1:8" ht="18.75" x14ac:dyDescent="0.25">
      <c r="A131" s="470"/>
      <c r="B131" s="70" t="s">
        <v>45</v>
      </c>
      <c r="C131" s="72" t="s">
        <v>124</v>
      </c>
      <c r="D131" s="49" t="s">
        <v>128</v>
      </c>
      <c r="E131" s="90">
        <f>E128/E130*1000</f>
        <v>16504.854368932036</v>
      </c>
      <c r="F131" s="90">
        <f>F128/F130*1000</f>
        <v>15433.181039406052</v>
      </c>
      <c r="G131" s="313"/>
      <c r="H131" s="333"/>
    </row>
    <row r="132" spans="1:8" ht="18.75" x14ac:dyDescent="0.25">
      <c r="A132" s="470"/>
      <c r="B132" s="70" t="s">
        <v>37</v>
      </c>
      <c r="C132" s="73" t="s">
        <v>139</v>
      </c>
      <c r="D132" s="49" t="s">
        <v>48</v>
      </c>
      <c r="E132" s="113">
        <f>E130/E129*100</f>
        <v>100</v>
      </c>
      <c r="F132" s="281">
        <f>F130/F129*100</f>
        <v>100</v>
      </c>
      <c r="G132" s="314"/>
      <c r="H132" s="333"/>
    </row>
    <row r="133" spans="1:8" ht="37.5" x14ac:dyDescent="0.25">
      <c r="A133" s="479" t="s">
        <v>478</v>
      </c>
      <c r="B133" s="89" t="s">
        <v>40</v>
      </c>
      <c r="C133" s="47" t="s">
        <v>141</v>
      </c>
      <c r="D133" s="89" t="s">
        <v>29</v>
      </c>
      <c r="E133" s="107">
        <f>Заходи!F113</f>
        <v>946.86</v>
      </c>
      <c r="F133" s="108">
        <f>593.78+0.01</f>
        <v>593.79</v>
      </c>
      <c r="G133" s="308">
        <f>F133/E133*100</f>
        <v>62.711488498827691</v>
      </c>
      <c r="H133" s="333"/>
    </row>
    <row r="134" spans="1:8" ht="37.5" x14ac:dyDescent="0.25">
      <c r="A134" s="480"/>
      <c r="B134" s="91" t="s">
        <v>36</v>
      </c>
      <c r="C134" s="93" t="s">
        <v>132</v>
      </c>
      <c r="D134" s="54" t="s">
        <v>73</v>
      </c>
      <c r="E134" s="115">
        <v>13</v>
      </c>
      <c r="F134" s="277">
        <v>13</v>
      </c>
      <c r="G134" s="309"/>
      <c r="H134" s="333"/>
    </row>
    <row r="135" spans="1:8" ht="37.5" x14ac:dyDescent="0.25">
      <c r="A135" s="480"/>
      <c r="B135" s="70" t="s">
        <v>45</v>
      </c>
      <c r="C135" s="72" t="s">
        <v>133</v>
      </c>
      <c r="D135" s="49" t="s">
        <v>29</v>
      </c>
      <c r="E135" s="113">
        <f>E133/E134</f>
        <v>72.835384615384612</v>
      </c>
      <c r="F135" s="281">
        <f>F133/F134</f>
        <v>45.676153846153845</v>
      </c>
      <c r="G135" s="314"/>
      <c r="H135" s="333"/>
    </row>
    <row r="136" spans="1:8" ht="18.75" x14ac:dyDescent="0.25">
      <c r="A136" s="481"/>
      <c r="B136" s="70" t="s">
        <v>37</v>
      </c>
      <c r="C136" s="50" t="s">
        <v>142</v>
      </c>
      <c r="D136" s="49" t="s">
        <v>48</v>
      </c>
      <c r="E136" s="111">
        <v>100</v>
      </c>
      <c r="F136" s="271">
        <v>100</v>
      </c>
      <c r="G136" s="311"/>
      <c r="H136" s="333"/>
    </row>
    <row r="137" spans="1:8" ht="18.75" x14ac:dyDescent="0.25">
      <c r="A137" s="470" t="s">
        <v>479</v>
      </c>
      <c r="B137" s="89" t="s">
        <v>40</v>
      </c>
      <c r="C137" s="47" t="s">
        <v>144</v>
      </c>
      <c r="D137" s="89" t="s">
        <v>29</v>
      </c>
      <c r="E137" s="107">
        <f>Заходи!F117</f>
        <v>0</v>
      </c>
      <c r="F137" s="256">
        <f>Заходи!I117</f>
        <v>0</v>
      </c>
      <c r="G137" s="308">
        <f>Заходи!L117</f>
        <v>0</v>
      </c>
      <c r="H137" s="333"/>
    </row>
    <row r="138" spans="1:8" ht="18.75" x14ac:dyDescent="0.25">
      <c r="A138" s="470"/>
      <c r="B138" s="91" t="s">
        <v>36</v>
      </c>
      <c r="C138" s="93" t="s">
        <v>143</v>
      </c>
      <c r="D138" s="55" t="s">
        <v>73</v>
      </c>
      <c r="E138" s="112"/>
      <c r="F138" s="260"/>
      <c r="G138" s="312"/>
      <c r="H138" s="333"/>
    </row>
    <row r="139" spans="1:8" ht="37.5" x14ac:dyDescent="0.25">
      <c r="A139" s="470"/>
      <c r="B139" s="70" t="s">
        <v>45</v>
      </c>
      <c r="C139" s="72" t="s">
        <v>145</v>
      </c>
      <c r="D139" s="49" t="s">
        <v>29</v>
      </c>
      <c r="E139" s="90"/>
      <c r="F139" s="261"/>
      <c r="G139" s="313"/>
      <c r="H139" s="333"/>
    </row>
    <row r="140" spans="1:8" ht="18.75" x14ac:dyDescent="0.25">
      <c r="A140" s="470"/>
      <c r="B140" s="70" t="s">
        <v>37</v>
      </c>
      <c r="C140" s="50" t="s">
        <v>142</v>
      </c>
      <c r="D140" s="49" t="s">
        <v>48</v>
      </c>
      <c r="E140" s="113"/>
      <c r="F140" s="262"/>
      <c r="G140" s="314"/>
      <c r="H140" s="333"/>
    </row>
    <row r="141" spans="1:8" ht="19.5" x14ac:dyDescent="0.25">
      <c r="A141" s="46" t="s">
        <v>176</v>
      </c>
      <c r="B141" s="70"/>
      <c r="C141" s="78"/>
      <c r="D141" s="45"/>
      <c r="E141" s="104">
        <f>E143</f>
        <v>23900</v>
      </c>
      <c r="F141" s="275">
        <f>F143</f>
        <v>19492.27</v>
      </c>
      <c r="G141" s="305">
        <f>G143</f>
        <v>0</v>
      </c>
      <c r="H141" s="333"/>
    </row>
    <row r="142" spans="1:8" ht="37.5" x14ac:dyDescent="0.25">
      <c r="A142" s="50" t="s">
        <v>55</v>
      </c>
      <c r="B142" s="49"/>
      <c r="C142" s="51"/>
      <c r="D142" s="49"/>
      <c r="E142" s="105"/>
      <c r="F142" s="254"/>
      <c r="G142" s="306"/>
      <c r="H142" s="333"/>
    </row>
    <row r="143" spans="1:8" ht="39" x14ac:dyDescent="0.35">
      <c r="A143" s="57" t="s">
        <v>56</v>
      </c>
      <c r="B143" s="52"/>
      <c r="C143" s="53"/>
      <c r="D143" s="53"/>
      <c r="E143" s="106">
        <f>E144+E148+E152+E156</f>
        <v>23900</v>
      </c>
      <c r="F143" s="272">
        <f>F144+F148+F152+F156</f>
        <v>19492.27</v>
      </c>
      <c r="G143" s="307"/>
      <c r="H143" s="333"/>
    </row>
    <row r="144" spans="1:8" ht="18.75" x14ac:dyDescent="0.25">
      <c r="A144" s="479" t="s">
        <v>480</v>
      </c>
      <c r="B144" s="89" t="s">
        <v>40</v>
      </c>
      <c r="C144" s="47" t="s">
        <v>146</v>
      </c>
      <c r="D144" s="62" t="s">
        <v>29</v>
      </c>
      <c r="E144" s="107">
        <f>Заходи!F125</f>
        <v>15000.000000000002</v>
      </c>
      <c r="F144" s="108">
        <v>11091.07</v>
      </c>
      <c r="G144" s="308">
        <f>F144/E144*100</f>
        <v>73.940466666666666</v>
      </c>
      <c r="H144" s="333"/>
    </row>
    <row r="145" spans="1:8" ht="18.75" x14ac:dyDescent="0.25">
      <c r="A145" s="480"/>
      <c r="B145" s="91" t="s">
        <v>36</v>
      </c>
      <c r="C145" s="93" t="s">
        <v>147</v>
      </c>
      <c r="D145" s="78" t="s">
        <v>73</v>
      </c>
      <c r="E145" s="112">
        <v>13</v>
      </c>
      <c r="F145" s="284">
        <v>13</v>
      </c>
      <c r="G145" s="312"/>
      <c r="H145" s="333"/>
    </row>
    <row r="146" spans="1:8" ht="18.75" x14ac:dyDescent="0.25">
      <c r="A146" s="480"/>
      <c r="B146" s="70" t="s">
        <v>45</v>
      </c>
      <c r="C146" s="72" t="s">
        <v>148</v>
      </c>
      <c r="D146" s="70" t="s">
        <v>29</v>
      </c>
      <c r="E146" s="113">
        <f>E144/E145</f>
        <v>1153.846153846154</v>
      </c>
      <c r="F146" s="281">
        <f>F144/F145</f>
        <v>853.1592307692307</v>
      </c>
      <c r="G146" s="314"/>
      <c r="H146" s="333"/>
    </row>
    <row r="147" spans="1:8" ht="18.75" x14ac:dyDescent="0.25">
      <c r="A147" s="481"/>
      <c r="B147" s="70" t="s">
        <v>37</v>
      </c>
      <c r="C147" s="50" t="s">
        <v>149</v>
      </c>
      <c r="D147" s="70" t="s">
        <v>48</v>
      </c>
      <c r="E147" s="111">
        <v>100</v>
      </c>
      <c r="F147" s="271">
        <v>100</v>
      </c>
      <c r="G147" s="311"/>
      <c r="H147" s="333"/>
    </row>
    <row r="148" spans="1:8" ht="37.5" x14ac:dyDescent="0.25">
      <c r="A148" s="470" t="s">
        <v>531</v>
      </c>
      <c r="B148" s="89" t="s">
        <v>40</v>
      </c>
      <c r="C148" s="71" t="s">
        <v>392</v>
      </c>
      <c r="D148" s="89" t="s">
        <v>29</v>
      </c>
      <c r="E148" s="107">
        <f>Заходи!F129</f>
        <v>2199.9999999999995</v>
      </c>
      <c r="F148" s="108">
        <v>1960.61</v>
      </c>
      <c r="G148" s="308">
        <f>F148/E148*100</f>
        <v>89.118636363636369</v>
      </c>
      <c r="H148" s="333"/>
    </row>
    <row r="149" spans="1:8" ht="37.5" x14ac:dyDescent="0.25">
      <c r="A149" s="470"/>
      <c r="B149" s="91" t="s">
        <v>36</v>
      </c>
      <c r="C149" s="93" t="s">
        <v>393</v>
      </c>
      <c r="D149" s="61" t="s">
        <v>73</v>
      </c>
      <c r="E149" s="112">
        <v>25</v>
      </c>
      <c r="F149" s="284">
        <v>25</v>
      </c>
      <c r="G149" s="312"/>
      <c r="H149" s="333"/>
    </row>
    <row r="150" spans="1:8" ht="18.75" x14ac:dyDescent="0.25">
      <c r="A150" s="470"/>
      <c r="B150" s="70" t="s">
        <v>45</v>
      </c>
      <c r="C150" s="72" t="s">
        <v>394</v>
      </c>
      <c r="D150" s="49" t="s">
        <v>29</v>
      </c>
      <c r="E150" s="90">
        <f>E148/E149</f>
        <v>87.999999999999986</v>
      </c>
      <c r="F150" s="90">
        <f>F148/F149</f>
        <v>78.424399999999991</v>
      </c>
      <c r="G150" s="313"/>
      <c r="H150" s="333"/>
    </row>
    <row r="151" spans="1:8" ht="18.75" x14ac:dyDescent="0.25">
      <c r="A151" s="470"/>
      <c r="B151" s="70" t="s">
        <v>37</v>
      </c>
      <c r="C151" s="50" t="s">
        <v>149</v>
      </c>
      <c r="D151" s="49" t="s">
        <v>48</v>
      </c>
      <c r="E151" s="113">
        <v>100</v>
      </c>
      <c r="F151" s="281">
        <v>100</v>
      </c>
      <c r="G151" s="314"/>
      <c r="H151" s="333"/>
    </row>
    <row r="152" spans="1:8" ht="18.75" x14ac:dyDescent="0.25">
      <c r="A152" s="470" t="s">
        <v>482</v>
      </c>
      <c r="B152" s="89" t="s">
        <v>40</v>
      </c>
      <c r="C152" s="47" t="s">
        <v>313</v>
      </c>
      <c r="D152" s="89" t="s">
        <v>29</v>
      </c>
      <c r="E152" s="107">
        <f>Заходи!F133</f>
        <v>6400</v>
      </c>
      <c r="F152" s="108">
        <v>6148.62</v>
      </c>
      <c r="G152" s="308">
        <f>F152/E152*100</f>
        <v>96.072187499999998</v>
      </c>
      <c r="H152" s="333"/>
    </row>
    <row r="153" spans="1:8" ht="18.75" x14ac:dyDescent="0.25">
      <c r="A153" s="470"/>
      <c r="B153" s="91" t="s">
        <v>36</v>
      </c>
      <c r="C153" s="72" t="s">
        <v>150</v>
      </c>
      <c r="D153" s="65" t="s">
        <v>73</v>
      </c>
      <c r="E153" s="112">
        <v>1600</v>
      </c>
      <c r="F153" s="284">
        <v>1600</v>
      </c>
      <c r="G153" s="312"/>
      <c r="H153" s="333"/>
    </row>
    <row r="154" spans="1:8" ht="18.75" x14ac:dyDescent="0.25">
      <c r="A154" s="470"/>
      <c r="B154" s="70" t="s">
        <v>45</v>
      </c>
      <c r="C154" s="72" t="s">
        <v>157</v>
      </c>
      <c r="D154" s="49" t="s">
        <v>29</v>
      </c>
      <c r="E154" s="90">
        <f>E152/E153</f>
        <v>4</v>
      </c>
      <c r="F154" s="90">
        <f>F152/F153</f>
        <v>3.8428874999999998</v>
      </c>
      <c r="G154" s="313"/>
      <c r="H154" s="333"/>
    </row>
    <row r="155" spans="1:8" ht="18.75" x14ac:dyDescent="0.25">
      <c r="A155" s="470"/>
      <c r="B155" s="70" t="s">
        <v>37</v>
      </c>
      <c r="C155" s="73" t="s">
        <v>151</v>
      </c>
      <c r="D155" s="49" t="s">
        <v>48</v>
      </c>
      <c r="E155" s="113">
        <v>100</v>
      </c>
      <c r="F155" s="281">
        <v>100</v>
      </c>
      <c r="G155" s="314"/>
      <c r="H155" s="333"/>
    </row>
    <row r="156" spans="1:8" ht="18.75" x14ac:dyDescent="0.25">
      <c r="A156" s="479" t="s">
        <v>483</v>
      </c>
      <c r="B156" s="89" t="s">
        <v>40</v>
      </c>
      <c r="C156" s="47" t="s">
        <v>152</v>
      </c>
      <c r="D156" s="89" t="s">
        <v>29</v>
      </c>
      <c r="E156" s="107">
        <f>Заходи!F137</f>
        <v>300</v>
      </c>
      <c r="F156" s="108">
        <v>291.97000000000003</v>
      </c>
      <c r="G156" s="308">
        <f>F156/E156*100</f>
        <v>97.323333333333338</v>
      </c>
      <c r="H156" s="333"/>
    </row>
    <row r="157" spans="1:8" ht="18.75" x14ac:dyDescent="0.25">
      <c r="A157" s="480"/>
      <c r="B157" s="91" t="s">
        <v>36</v>
      </c>
      <c r="C157" s="72" t="s">
        <v>153</v>
      </c>
      <c r="D157" s="60" t="s">
        <v>154</v>
      </c>
      <c r="E157" s="109">
        <v>50</v>
      </c>
      <c r="F157" s="285">
        <v>50</v>
      </c>
      <c r="G157" s="316"/>
      <c r="H157" s="333"/>
    </row>
    <row r="158" spans="1:8" ht="18.75" x14ac:dyDescent="0.25">
      <c r="A158" s="480"/>
      <c r="B158" s="70" t="s">
        <v>45</v>
      </c>
      <c r="C158" s="72" t="s">
        <v>155</v>
      </c>
      <c r="D158" s="49" t="s">
        <v>62</v>
      </c>
      <c r="E158" s="113">
        <f>E156/E157*1000</f>
        <v>6000</v>
      </c>
      <c r="F158" s="281">
        <f>F156/F157*1000</f>
        <v>5839.4000000000005</v>
      </c>
      <c r="G158" s="314"/>
      <c r="H158" s="333"/>
    </row>
    <row r="159" spans="1:8" ht="18.75" x14ac:dyDescent="0.25">
      <c r="A159" s="481"/>
      <c r="B159" s="70" t="s">
        <v>37</v>
      </c>
      <c r="C159" s="50" t="s">
        <v>156</v>
      </c>
      <c r="D159" s="49" t="s">
        <v>48</v>
      </c>
      <c r="E159" s="111">
        <v>100</v>
      </c>
      <c r="F159" s="271">
        <v>100</v>
      </c>
      <c r="G159" s="311"/>
      <c r="H159" s="333"/>
    </row>
    <row r="160" spans="1:8" ht="19.5" x14ac:dyDescent="0.25">
      <c r="A160" s="58" t="s">
        <v>176</v>
      </c>
      <c r="B160" s="70"/>
      <c r="C160" s="78"/>
      <c r="D160" s="45"/>
      <c r="E160" s="104">
        <f>E162</f>
        <v>1942.07</v>
      </c>
      <c r="F160" s="275">
        <f>F162</f>
        <v>1835.47</v>
      </c>
      <c r="G160" s="305">
        <f>G162</f>
        <v>284.04919848699029</v>
      </c>
      <c r="H160" s="333"/>
    </row>
    <row r="161" spans="1:8" ht="37.5" x14ac:dyDescent="0.25">
      <c r="A161" s="50" t="s">
        <v>55</v>
      </c>
      <c r="B161" s="70"/>
      <c r="C161" s="71"/>
      <c r="D161" s="49"/>
      <c r="E161" s="105"/>
      <c r="F161" s="254"/>
      <c r="G161" s="306"/>
      <c r="H161" s="333"/>
    </row>
    <row r="162" spans="1:8" ht="39" x14ac:dyDescent="0.35">
      <c r="A162" s="57" t="s">
        <v>17</v>
      </c>
      <c r="B162" s="79"/>
      <c r="C162" s="80"/>
      <c r="D162" s="53"/>
      <c r="E162" s="106">
        <f>E163+E167+E171</f>
        <v>1942.07</v>
      </c>
      <c r="F162" s="272">
        <f>F163+F167+F171</f>
        <v>1835.47</v>
      </c>
      <c r="G162" s="307">
        <f>G163+G167+G171</f>
        <v>284.04919848699029</v>
      </c>
      <c r="H162" s="333"/>
    </row>
    <row r="163" spans="1:8" ht="56.25" x14ac:dyDescent="0.25">
      <c r="A163" s="479" t="s">
        <v>484</v>
      </c>
      <c r="B163" s="89" t="s">
        <v>40</v>
      </c>
      <c r="C163" s="47" t="s">
        <v>158</v>
      </c>
      <c r="D163" s="89" t="s">
        <v>29</v>
      </c>
      <c r="E163" s="107">
        <f>Заходи!F145</f>
        <v>168.38</v>
      </c>
      <c r="F163" s="108">
        <f>Заходи!I145</f>
        <v>168.38</v>
      </c>
      <c r="G163" s="308">
        <f>F163/E163*100</f>
        <v>100</v>
      </c>
      <c r="H163" s="333"/>
    </row>
    <row r="164" spans="1:8" ht="36.75" customHeight="1" x14ac:dyDescent="0.25">
      <c r="A164" s="480"/>
      <c r="B164" s="91" t="s">
        <v>36</v>
      </c>
      <c r="C164" s="72" t="s">
        <v>159</v>
      </c>
      <c r="D164" s="66" t="s">
        <v>73</v>
      </c>
      <c r="E164" s="109">
        <v>80</v>
      </c>
      <c r="F164" s="285">
        <v>70</v>
      </c>
      <c r="G164" s="316"/>
      <c r="H164" s="333"/>
    </row>
    <row r="165" spans="1:8" ht="41.25" customHeight="1" x14ac:dyDescent="0.25">
      <c r="A165" s="480"/>
      <c r="B165" s="70" t="s">
        <v>45</v>
      </c>
      <c r="C165" s="72" t="s">
        <v>160</v>
      </c>
      <c r="D165" s="49" t="s">
        <v>29</v>
      </c>
      <c r="E165" s="113">
        <f>E163/E164</f>
        <v>2.1047500000000001</v>
      </c>
      <c r="F165" s="281">
        <f>F163/F164</f>
        <v>2.4054285714285712</v>
      </c>
      <c r="G165" s="314"/>
      <c r="H165" s="333"/>
    </row>
    <row r="166" spans="1:8" ht="18.75" x14ac:dyDescent="0.25">
      <c r="A166" s="481"/>
      <c r="B166" s="70" t="s">
        <v>37</v>
      </c>
      <c r="C166" s="50" t="s">
        <v>161</v>
      </c>
      <c r="D166" s="49" t="s">
        <v>48</v>
      </c>
      <c r="E166" s="111">
        <v>100</v>
      </c>
      <c r="F166" s="271">
        <v>100</v>
      </c>
      <c r="G166" s="311"/>
      <c r="H166" s="333"/>
    </row>
    <row r="167" spans="1:8" ht="18.75" x14ac:dyDescent="0.25">
      <c r="A167" s="470" t="s">
        <v>485</v>
      </c>
      <c r="B167" s="89" t="s">
        <v>40</v>
      </c>
      <c r="C167" s="47" t="s">
        <v>162</v>
      </c>
      <c r="D167" s="89" t="s">
        <v>29</v>
      </c>
      <c r="E167" s="107">
        <f>Заходи!F149</f>
        <v>480.2</v>
      </c>
      <c r="F167" s="108">
        <v>421.32</v>
      </c>
      <c r="G167" s="308">
        <f>F167/E167*100</f>
        <v>87.738442315701789</v>
      </c>
      <c r="H167" s="333"/>
    </row>
    <row r="168" spans="1:8" ht="18.75" x14ac:dyDescent="0.25">
      <c r="A168" s="470"/>
      <c r="B168" s="91" t="s">
        <v>36</v>
      </c>
      <c r="C168" s="71" t="s">
        <v>165</v>
      </c>
      <c r="D168" s="162" t="s">
        <v>73</v>
      </c>
      <c r="E168" s="147">
        <v>125</v>
      </c>
      <c r="F168" s="273">
        <v>135</v>
      </c>
      <c r="G168" s="312"/>
      <c r="H168" s="333"/>
    </row>
    <row r="169" spans="1:8" ht="18.75" x14ac:dyDescent="0.25">
      <c r="A169" s="470"/>
      <c r="B169" s="70" t="s">
        <v>45</v>
      </c>
      <c r="C169" s="50" t="s">
        <v>164</v>
      </c>
      <c r="D169" s="65" t="s">
        <v>29</v>
      </c>
      <c r="E169" s="113">
        <f>E167/E168</f>
        <v>3.8416000000000001</v>
      </c>
      <c r="F169" s="281">
        <f>F167/F168</f>
        <v>3.120888888888889</v>
      </c>
      <c r="G169" s="314"/>
      <c r="H169" s="333"/>
    </row>
    <row r="170" spans="1:8" ht="18.75" x14ac:dyDescent="0.25">
      <c r="A170" s="470"/>
      <c r="B170" s="70" t="s">
        <v>37</v>
      </c>
      <c r="C170" s="73" t="s">
        <v>163</v>
      </c>
      <c r="D170" s="49" t="s">
        <v>48</v>
      </c>
      <c r="E170" s="111">
        <v>100</v>
      </c>
      <c r="F170" s="271">
        <v>100</v>
      </c>
      <c r="G170" s="311"/>
      <c r="H170" s="333"/>
    </row>
    <row r="171" spans="1:8" ht="18.75" x14ac:dyDescent="0.25">
      <c r="A171" s="470" t="s">
        <v>486</v>
      </c>
      <c r="B171" s="89" t="s">
        <v>40</v>
      </c>
      <c r="C171" s="47" t="s">
        <v>171</v>
      </c>
      <c r="D171" s="89" t="s">
        <v>29</v>
      </c>
      <c r="E171" s="107">
        <f>Заходи!F153</f>
        <v>1293.49</v>
      </c>
      <c r="F171" s="108">
        <v>1245.77</v>
      </c>
      <c r="G171" s="308">
        <f>F171/E171*100</f>
        <v>96.310756171288531</v>
      </c>
      <c r="H171" s="333"/>
    </row>
    <row r="172" spans="1:8" ht="18.75" x14ac:dyDescent="0.25">
      <c r="A172" s="470"/>
      <c r="B172" s="143" t="s">
        <v>36</v>
      </c>
      <c r="C172" s="72" t="s">
        <v>172</v>
      </c>
      <c r="D172" s="146" t="s">
        <v>173</v>
      </c>
      <c r="E172" s="116">
        <v>231.6</v>
      </c>
      <c r="F172" s="278">
        <v>231.6</v>
      </c>
      <c r="G172" s="310"/>
      <c r="H172" s="333"/>
    </row>
    <row r="173" spans="1:8" ht="37.5" x14ac:dyDescent="0.25">
      <c r="A173" s="470"/>
      <c r="B173" s="144" t="s">
        <v>45</v>
      </c>
      <c r="C173" s="72" t="s">
        <v>175</v>
      </c>
      <c r="D173" s="67" t="s">
        <v>174</v>
      </c>
      <c r="E173" s="90">
        <f>E171/E172</f>
        <v>5.5850172711571675</v>
      </c>
      <c r="F173" s="90">
        <f>F171/F172</f>
        <v>5.378972366148532</v>
      </c>
      <c r="G173" s="313"/>
      <c r="H173" s="333"/>
    </row>
    <row r="174" spans="1:8" ht="18.75" x14ac:dyDescent="0.25">
      <c r="A174" s="470"/>
      <c r="B174" s="144" t="s">
        <v>37</v>
      </c>
      <c r="C174" s="73" t="s">
        <v>334</v>
      </c>
      <c r="D174" s="146" t="s">
        <v>48</v>
      </c>
      <c r="E174" s="111">
        <v>100</v>
      </c>
      <c r="F174" s="271">
        <v>100</v>
      </c>
      <c r="G174" s="311"/>
      <c r="H174" s="333"/>
    </row>
    <row r="175" spans="1:8" ht="19.5" x14ac:dyDescent="0.25">
      <c r="A175" s="149" t="s">
        <v>338</v>
      </c>
      <c r="B175" s="148"/>
      <c r="C175" s="73"/>
      <c r="D175" s="150"/>
      <c r="E175" s="157">
        <f>E177</f>
        <v>7815.24</v>
      </c>
      <c r="F175" s="286">
        <f>F177</f>
        <v>6295.6370000000006</v>
      </c>
      <c r="G175" s="323">
        <f>G177</f>
        <v>98.107394943190016</v>
      </c>
      <c r="H175" s="333"/>
    </row>
    <row r="176" spans="1:8" ht="37.5" x14ac:dyDescent="0.25">
      <c r="A176" s="50" t="s">
        <v>55</v>
      </c>
      <c r="B176" s="148"/>
      <c r="C176" s="73"/>
      <c r="D176" s="150"/>
      <c r="E176" s="151"/>
      <c r="F176" s="264"/>
      <c r="G176" s="324"/>
      <c r="H176" s="333"/>
    </row>
    <row r="177" spans="1:8" ht="19.5" x14ac:dyDescent="0.35">
      <c r="A177" s="57" t="s">
        <v>339</v>
      </c>
      <c r="B177" s="148"/>
      <c r="C177" s="73"/>
      <c r="D177" s="150"/>
      <c r="E177" s="152">
        <f>E178+E182+E186+E190+E194+E198</f>
        <v>7815.24</v>
      </c>
      <c r="F177" s="152">
        <f>F178+F182+F186+F190+F194+F198</f>
        <v>6295.6370000000006</v>
      </c>
      <c r="G177" s="325">
        <f>G178+G182+G186+G190</f>
        <v>98.107394943190016</v>
      </c>
      <c r="H177" s="333"/>
    </row>
    <row r="178" spans="1:8" ht="37.5" x14ac:dyDescent="0.25">
      <c r="A178" s="470" t="s">
        <v>487</v>
      </c>
      <c r="B178" s="89" t="s">
        <v>40</v>
      </c>
      <c r="C178" s="47" t="s">
        <v>170</v>
      </c>
      <c r="D178" s="89" t="s">
        <v>29</v>
      </c>
      <c r="E178" s="107">
        <f>Заходи!F161</f>
        <v>5339.73</v>
      </c>
      <c r="F178" s="108">
        <f>5238.66+0.01</f>
        <v>5238.67</v>
      </c>
      <c r="G178" s="308">
        <f>F178/E178*100</f>
        <v>98.107394943190016</v>
      </c>
      <c r="H178" s="333"/>
    </row>
    <row r="179" spans="1:8" ht="18.75" x14ac:dyDescent="0.25">
      <c r="A179" s="470"/>
      <c r="B179" s="143" t="s">
        <v>36</v>
      </c>
      <c r="C179" s="72" t="s">
        <v>166</v>
      </c>
      <c r="D179" s="145" t="s">
        <v>167</v>
      </c>
      <c r="E179" s="109">
        <v>2120</v>
      </c>
      <c r="F179" s="285">
        <v>2120</v>
      </c>
      <c r="G179" s="316"/>
      <c r="H179" s="333"/>
    </row>
    <row r="180" spans="1:8" ht="18.75" x14ac:dyDescent="0.25">
      <c r="A180" s="470"/>
      <c r="B180" s="144" t="s">
        <v>45</v>
      </c>
      <c r="C180" s="72" t="s">
        <v>168</v>
      </c>
      <c r="D180" s="146" t="s">
        <v>29</v>
      </c>
      <c r="E180" s="90">
        <f>E178/E179</f>
        <v>2.5187405660377356</v>
      </c>
      <c r="F180" s="90">
        <f>F178/F179</f>
        <v>2.471070754716981</v>
      </c>
      <c r="G180" s="313"/>
      <c r="H180" s="333"/>
    </row>
    <row r="181" spans="1:8" ht="18.75" x14ac:dyDescent="0.25">
      <c r="A181" s="470"/>
      <c r="B181" s="144" t="s">
        <v>37</v>
      </c>
      <c r="C181" s="50" t="s">
        <v>169</v>
      </c>
      <c r="D181" s="146" t="s">
        <v>48</v>
      </c>
      <c r="E181" s="111">
        <v>100</v>
      </c>
      <c r="F181" s="271">
        <v>100</v>
      </c>
      <c r="G181" s="311"/>
      <c r="H181" s="333"/>
    </row>
    <row r="182" spans="1:8" ht="37.5" x14ac:dyDescent="0.25">
      <c r="A182" s="470" t="s">
        <v>532</v>
      </c>
      <c r="B182" s="89" t="s">
        <v>40</v>
      </c>
      <c r="C182" s="47" t="s">
        <v>326</v>
      </c>
      <c r="D182" s="89" t="s">
        <v>29</v>
      </c>
      <c r="E182" s="107">
        <f>Заходи!F165</f>
        <v>0</v>
      </c>
      <c r="F182" s="256">
        <f>Заходи!I165</f>
        <v>0</v>
      </c>
      <c r="G182" s="308">
        <f>Заходи!L165</f>
        <v>0</v>
      </c>
      <c r="H182" s="333"/>
    </row>
    <row r="183" spans="1:8" ht="37.5" x14ac:dyDescent="0.25">
      <c r="A183" s="470"/>
      <c r="B183" s="143" t="s">
        <v>36</v>
      </c>
      <c r="C183" s="72" t="s">
        <v>325</v>
      </c>
      <c r="D183" s="145" t="s">
        <v>73</v>
      </c>
      <c r="E183" s="109"/>
      <c r="F183" s="263"/>
      <c r="G183" s="316"/>
      <c r="H183" s="333"/>
    </row>
    <row r="184" spans="1:8" ht="18.75" x14ac:dyDescent="0.25">
      <c r="A184" s="470"/>
      <c r="B184" s="144" t="s">
        <v>45</v>
      </c>
      <c r="C184" s="72" t="s">
        <v>327</v>
      </c>
      <c r="D184" s="146" t="s">
        <v>29</v>
      </c>
      <c r="E184" s="90"/>
      <c r="F184" s="261"/>
      <c r="G184" s="313"/>
      <c r="H184" s="333"/>
    </row>
    <row r="185" spans="1:8" ht="18.75" x14ac:dyDescent="0.25">
      <c r="A185" s="470"/>
      <c r="B185" s="144" t="s">
        <v>37</v>
      </c>
      <c r="C185" s="50" t="s">
        <v>328</v>
      </c>
      <c r="D185" s="146" t="s">
        <v>48</v>
      </c>
      <c r="E185" s="111"/>
      <c r="F185" s="259"/>
      <c r="G185" s="311"/>
      <c r="H185" s="333"/>
    </row>
    <row r="186" spans="1:8" ht="37.5" x14ac:dyDescent="0.25">
      <c r="A186" s="470" t="s">
        <v>489</v>
      </c>
      <c r="B186" s="89" t="s">
        <v>40</v>
      </c>
      <c r="C186" s="47" t="s">
        <v>329</v>
      </c>
      <c r="D186" s="89" t="s">
        <v>29</v>
      </c>
      <c r="E186" s="107">
        <f>Заходи!F169</f>
        <v>0</v>
      </c>
      <c r="F186" s="256">
        <f>Заходи!I169</f>
        <v>0</v>
      </c>
      <c r="G186" s="308">
        <f>Заходи!L169</f>
        <v>0</v>
      </c>
      <c r="H186" s="333"/>
    </row>
    <row r="187" spans="1:8" ht="18.75" x14ac:dyDescent="0.25">
      <c r="A187" s="470"/>
      <c r="B187" s="143" t="s">
        <v>36</v>
      </c>
      <c r="C187" s="72" t="s">
        <v>346</v>
      </c>
      <c r="D187" s="145" t="s">
        <v>73</v>
      </c>
      <c r="E187" s="109"/>
      <c r="F187" s="263"/>
      <c r="G187" s="316"/>
      <c r="H187" s="333"/>
    </row>
    <row r="188" spans="1:8" ht="18.75" x14ac:dyDescent="0.25">
      <c r="A188" s="470"/>
      <c r="B188" s="144" t="s">
        <v>45</v>
      </c>
      <c r="C188" s="72" t="s">
        <v>330</v>
      </c>
      <c r="D188" s="146" t="s">
        <v>29</v>
      </c>
      <c r="E188" s="90"/>
      <c r="F188" s="261"/>
      <c r="G188" s="313"/>
      <c r="H188" s="333"/>
    </row>
    <row r="189" spans="1:8" ht="18.75" x14ac:dyDescent="0.25">
      <c r="A189" s="470"/>
      <c r="B189" s="144" t="s">
        <v>37</v>
      </c>
      <c r="C189" s="50" t="s">
        <v>347</v>
      </c>
      <c r="D189" s="146" t="s">
        <v>48</v>
      </c>
      <c r="E189" s="111"/>
      <c r="F189" s="259"/>
      <c r="G189" s="311"/>
      <c r="H189" s="333"/>
    </row>
    <row r="190" spans="1:8" ht="37.5" x14ac:dyDescent="0.25">
      <c r="A190" s="470" t="s">
        <v>490</v>
      </c>
      <c r="B190" s="89" t="s">
        <v>40</v>
      </c>
      <c r="C190" s="47" t="s">
        <v>331</v>
      </c>
      <c r="D190" s="89" t="s">
        <v>29</v>
      </c>
      <c r="E190" s="107">
        <f>Заходи!F173</f>
        <v>868.51</v>
      </c>
      <c r="F190" s="256">
        <v>0</v>
      </c>
      <c r="G190" s="308">
        <f>Заходи!L173</f>
        <v>0</v>
      </c>
      <c r="H190" s="333"/>
    </row>
    <row r="191" spans="1:8" ht="37.5" x14ac:dyDescent="0.25">
      <c r="A191" s="470"/>
      <c r="B191" s="143" t="s">
        <v>36</v>
      </c>
      <c r="C191" s="72" t="s">
        <v>332</v>
      </c>
      <c r="D191" s="145" t="s">
        <v>73</v>
      </c>
      <c r="E191" s="109">
        <v>1</v>
      </c>
      <c r="F191" s="263"/>
      <c r="G191" s="316"/>
      <c r="H191" s="333"/>
    </row>
    <row r="192" spans="1:8" ht="37.5" x14ac:dyDescent="0.25">
      <c r="A192" s="470"/>
      <c r="B192" s="144" t="s">
        <v>45</v>
      </c>
      <c r="C192" s="72" t="s">
        <v>333</v>
      </c>
      <c r="D192" s="146" t="s">
        <v>29</v>
      </c>
      <c r="E192" s="90">
        <f>E190/E191</f>
        <v>868.51</v>
      </c>
      <c r="F192" s="261"/>
      <c r="G192" s="313"/>
      <c r="H192" s="333"/>
    </row>
    <row r="193" spans="1:8" ht="18.75" x14ac:dyDescent="0.25">
      <c r="A193" s="470"/>
      <c r="B193" s="144" t="s">
        <v>37</v>
      </c>
      <c r="C193" s="50" t="s">
        <v>335</v>
      </c>
      <c r="D193" s="146" t="s">
        <v>48</v>
      </c>
      <c r="E193" s="111">
        <v>100</v>
      </c>
      <c r="F193" s="259"/>
      <c r="G193" s="311"/>
      <c r="H193" s="333"/>
    </row>
    <row r="194" spans="1:8" s="192" customFormat="1" ht="18.75" x14ac:dyDescent="0.25">
      <c r="A194" s="470" t="s">
        <v>491</v>
      </c>
      <c r="B194" s="89" t="s">
        <v>40</v>
      </c>
      <c r="C194" s="47" t="s">
        <v>456</v>
      </c>
      <c r="D194" s="89" t="s">
        <v>29</v>
      </c>
      <c r="E194" s="107">
        <f>Заходи!F177</f>
        <v>1057</v>
      </c>
      <c r="F194" s="108">
        <v>1056.9670000000001</v>
      </c>
      <c r="G194" s="308">
        <f>F194/E194*100</f>
        <v>99.996877956480617</v>
      </c>
      <c r="H194" s="333"/>
    </row>
    <row r="195" spans="1:8" s="192" customFormat="1" ht="18.75" x14ac:dyDescent="0.25">
      <c r="A195" s="470"/>
      <c r="B195" s="196" t="s">
        <v>36</v>
      </c>
      <c r="C195" s="72" t="s">
        <v>457</v>
      </c>
      <c r="D195" s="195" t="s">
        <v>73</v>
      </c>
      <c r="E195" s="109">
        <v>5</v>
      </c>
      <c r="F195" s="285">
        <v>5</v>
      </c>
      <c r="G195" s="316"/>
      <c r="H195" s="333"/>
    </row>
    <row r="196" spans="1:8" s="192" customFormat="1" ht="18.75" x14ac:dyDescent="0.25">
      <c r="A196" s="470"/>
      <c r="B196" s="197" t="s">
        <v>45</v>
      </c>
      <c r="C196" s="72" t="s">
        <v>458</v>
      </c>
      <c r="D196" s="198" t="s">
        <v>29</v>
      </c>
      <c r="E196" s="90">
        <f>E194/E195</f>
        <v>211.4</v>
      </c>
      <c r="F196" s="90">
        <f>F194/F195</f>
        <v>211.39340000000001</v>
      </c>
      <c r="G196" s="313"/>
      <c r="H196" s="333"/>
    </row>
    <row r="197" spans="1:8" s="192" customFormat="1" ht="18.75" x14ac:dyDescent="0.25">
      <c r="A197" s="470"/>
      <c r="B197" s="197" t="s">
        <v>37</v>
      </c>
      <c r="C197" s="50" t="s">
        <v>335</v>
      </c>
      <c r="D197" s="198" t="s">
        <v>48</v>
      </c>
      <c r="E197" s="111">
        <v>100</v>
      </c>
      <c r="F197" s="271">
        <v>100</v>
      </c>
      <c r="G197" s="311"/>
      <c r="H197" s="333"/>
    </row>
    <row r="198" spans="1:8" s="192" customFormat="1" ht="18.75" x14ac:dyDescent="0.25">
      <c r="A198" s="479" t="s">
        <v>492</v>
      </c>
      <c r="B198" s="89" t="s">
        <v>40</v>
      </c>
      <c r="C198" s="47" t="s">
        <v>453</v>
      </c>
      <c r="D198" s="89" t="s">
        <v>29</v>
      </c>
      <c r="E198" s="107">
        <f>Заходи!F181</f>
        <v>550</v>
      </c>
      <c r="F198" s="256">
        <v>0</v>
      </c>
      <c r="G198" s="308">
        <f>Заходи!L181</f>
        <v>0</v>
      </c>
      <c r="H198" s="333"/>
    </row>
    <row r="199" spans="1:8" s="192" customFormat="1" ht="18.75" x14ac:dyDescent="0.25">
      <c r="A199" s="480"/>
      <c r="B199" s="207" t="s">
        <v>36</v>
      </c>
      <c r="C199" s="72" t="s">
        <v>454</v>
      </c>
      <c r="D199" s="205" t="s">
        <v>73</v>
      </c>
      <c r="E199" s="109">
        <v>3</v>
      </c>
      <c r="F199" s="263"/>
      <c r="G199" s="316"/>
      <c r="H199" s="333"/>
    </row>
    <row r="200" spans="1:8" s="192" customFormat="1" ht="37.5" x14ac:dyDescent="0.25">
      <c r="A200" s="480"/>
      <c r="B200" s="206" t="s">
        <v>45</v>
      </c>
      <c r="C200" s="72" t="s">
        <v>459</v>
      </c>
      <c r="D200" s="208" t="s">
        <v>29</v>
      </c>
      <c r="E200" s="90">
        <f>E198/E199</f>
        <v>183.33333333333334</v>
      </c>
      <c r="F200" s="261"/>
      <c r="G200" s="313"/>
      <c r="H200" s="333"/>
    </row>
    <row r="201" spans="1:8" s="192" customFormat="1" ht="18.75" x14ac:dyDescent="0.25">
      <c r="A201" s="481"/>
      <c r="B201" s="206" t="s">
        <v>37</v>
      </c>
      <c r="C201" s="50" t="s">
        <v>335</v>
      </c>
      <c r="D201" s="208" t="s">
        <v>48</v>
      </c>
      <c r="E201" s="111">
        <v>100</v>
      </c>
      <c r="F201" s="259">
        <v>0</v>
      </c>
      <c r="G201" s="311"/>
      <c r="H201" s="333"/>
    </row>
    <row r="202" spans="1:8" ht="19.5" x14ac:dyDescent="0.25">
      <c r="A202" s="58" t="s">
        <v>176</v>
      </c>
      <c r="B202" s="70"/>
      <c r="C202" s="78"/>
      <c r="D202" s="66"/>
      <c r="E202" s="104">
        <f>E204</f>
        <v>5758.0300000000007</v>
      </c>
      <c r="F202" s="275">
        <f>F204</f>
        <v>4841.2900000000009</v>
      </c>
      <c r="G202" s="305">
        <f>G204</f>
        <v>624.65204866927263</v>
      </c>
      <c r="H202" s="333"/>
    </row>
    <row r="203" spans="1:8" ht="37.5" x14ac:dyDescent="0.25">
      <c r="A203" s="50" t="s">
        <v>55</v>
      </c>
      <c r="B203" s="70"/>
      <c r="C203" s="71"/>
      <c r="D203" s="65"/>
      <c r="E203" s="105"/>
      <c r="F203" s="254"/>
      <c r="G203" s="306"/>
      <c r="H203" s="333"/>
    </row>
    <row r="204" spans="1:8" ht="19.5" x14ac:dyDescent="0.35">
      <c r="A204" s="57" t="s">
        <v>364</v>
      </c>
      <c r="B204" s="79"/>
      <c r="C204" s="80"/>
      <c r="D204" s="53"/>
      <c r="E204" s="106">
        <f>E205+E209+E213+E217+E222+E226+E230+E234</f>
        <v>5758.0300000000007</v>
      </c>
      <c r="F204" s="272">
        <f>F205+F209+F213+F217+F222+F226+F230+F234</f>
        <v>4841.2900000000009</v>
      </c>
      <c r="G204" s="307">
        <f>G205+G209+G213+G217+G222+G226+G230+G234</f>
        <v>624.65204866927263</v>
      </c>
      <c r="H204" s="333"/>
    </row>
    <row r="205" spans="1:8" ht="37.5" x14ac:dyDescent="0.25">
      <c r="A205" s="479" t="s">
        <v>533</v>
      </c>
      <c r="B205" s="89" t="s">
        <v>40</v>
      </c>
      <c r="C205" s="47" t="s">
        <v>177</v>
      </c>
      <c r="D205" s="89" t="s">
        <v>29</v>
      </c>
      <c r="E205" s="107">
        <f>Заходи!F189</f>
        <v>705.6</v>
      </c>
      <c r="F205" s="108">
        <v>578.76</v>
      </c>
      <c r="G205" s="308">
        <f>F205/E205*100</f>
        <v>82.023809523809518</v>
      </c>
      <c r="H205" s="333"/>
    </row>
    <row r="206" spans="1:8" ht="37.5" x14ac:dyDescent="0.25">
      <c r="A206" s="480"/>
      <c r="B206" s="91" t="s">
        <v>36</v>
      </c>
      <c r="C206" s="72" t="s">
        <v>381</v>
      </c>
      <c r="D206" s="66" t="s">
        <v>140</v>
      </c>
      <c r="E206" s="115">
        <v>12</v>
      </c>
      <c r="F206" s="277">
        <v>12</v>
      </c>
      <c r="G206" s="309"/>
      <c r="H206" s="333"/>
    </row>
    <row r="207" spans="1:8" ht="34.5" customHeight="1" x14ac:dyDescent="0.25">
      <c r="A207" s="480"/>
      <c r="B207" s="70" t="s">
        <v>45</v>
      </c>
      <c r="C207" s="160" t="s">
        <v>382</v>
      </c>
      <c r="D207" s="65" t="s">
        <v>29</v>
      </c>
      <c r="E207" s="113">
        <f>E205/E206</f>
        <v>58.800000000000004</v>
      </c>
      <c r="F207" s="281">
        <f>F205/F206</f>
        <v>48.23</v>
      </c>
      <c r="G207" s="314"/>
      <c r="H207" s="333"/>
    </row>
    <row r="208" spans="1:8" ht="18.75" x14ac:dyDescent="0.25">
      <c r="A208" s="481"/>
      <c r="B208" s="70" t="s">
        <v>37</v>
      </c>
      <c r="C208" s="50" t="s">
        <v>178</v>
      </c>
      <c r="D208" s="65" t="s">
        <v>48</v>
      </c>
      <c r="E208" s="111">
        <v>100</v>
      </c>
      <c r="F208" s="271">
        <v>100</v>
      </c>
      <c r="G208" s="311"/>
      <c r="H208" s="333"/>
    </row>
    <row r="209" spans="1:8" ht="37.5" x14ac:dyDescent="0.25">
      <c r="A209" s="470" t="s">
        <v>534</v>
      </c>
      <c r="B209" s="89" t="s">
        <v>40</v>
      </c>
      <c r="C209" s="47" t="s">
        <v>179</v>
      </c>
      <c r="D209" s="89" t="s">
        <v>29</v>
      </c>
      <c r="E209" s="107">
        <f>Заходи!F193</f>
        <v>150</v>
      </c>
      <c r="F209" s="108">
        <v>140.04</v>
      </c>
      <c r="G209" s="308">
        <f>F209/E209*100</f>
        <v>93.36</v>
      </c>
      <c r="H209" s="333"/>
    </row>
    <row r="210" spans="1:8" ht="37.5" x14ac:dyDescent="0.25">
      <c r="A210" s="470"/>
      <c r="B210" s="91" t="s">
        <v>36</v>
      </c>
      <c r="C210" s="72" t="s">
        <v>383</v>
      </c>
      <c r="D210" s="65" t="s">
        <v>140</v>
      </c>
      <c r="E210" s="115">
        <v>12</v>
      </c>
      <c r="F210" s="277">
        <v>12</v>
      </c>
      <c r="G210" s="309"/>
      <c r="H210" s="333"/>
    </row>
    <row r="211" spans="1:8" ht="59.25" customHeight="1" x14ac:dyDescent="0.25">
      <c r="A211" s="470"/>
      <c r="B211" s="70" t="s">
        <v>45</v>
      </c>
      <c r="C211" s="160" t="s">
        <v>384</v>
      </c>
      <c r="D211" s="65" t="s">
        <v>29</v>
      </c>
      <c r="E211" s="113">
        <f>E209/E210</f>
        <v>12.5</v>
      </c>
      <c r="F211" s="281">
        <f>F209/F210</f>
        <v>11.67</v>
      </c>
      <c r="G211" s="314"/>
      <c r="H211" s="333"/>
    </row>
    <row r="212" spans="1:8" ht="18.75" x14ac:dyDescent="0.25">
      <c r="A212" s="470"/>
      <c r="B212" s="70" t="s">
        <v>37</v>
      </c>
      <c r="C212" s="50" t="s">
        <v>178</v>
      </c>
      <c r="D212" s="65" t="s">
        <v>48</v>
      </c>
      <c r="E212" s="111">
        <v>100</v>
      </c>
      <c r="F212" s="271">
        <v>100</v>
      </c>
      <c r="G212" s="311"/>
      <c r="H212" s="333"/>
    </row>
    <row r="213" spans="1:8" ht="37.5" x14ac:dyDescent="0.25">
      <c r="A213" s="479" t="s">
        <v>552</v>
      </c>
      <c r="B213" s="89" t="s">
        <v>40</v>
      </c>
      <c r="C213" s="47" t="s">
        <v>385</v>
      </c>
      <c r="D213" s="89" t="s">
        <v>29</v>
      </c>
      <c r="E213" s="107">
        <f>Заходи!F197</f>
        <v>892.3</v>
      </c>
      <c r="F213" s="108">
        <f>776.24+0.01</f>
        <v>776.25</v>
      </c>
      <c r="G213" s="308">
        <f>F213/E213*100</f>
        <v>86.994284433486499</v>
      </c>
      <c r="H213" s="333"/>
    </row>
    <row r="214" spans="1:8" ht="37.5" x14ac:dyDescent="0.25">
      <c r="A214" s="480"/>
      <c r="B214" s="161" t="s">
        <v>36</v>
      </c>
      <c r="C214" s="72" t="s">
        <v>398</v>
      </c>
      <c r="D214" s="66" t="s">
        <v>73</v>
      </c>
      <c r="E214" s="115">
        <v>15</v>
      </c>
      <c r="F214" s="277">
        <v>15</v>
      </c>
      <c r="G214" s="309"/>
      <c r="H214" s="333"/>
    </row>
    <row r="215" spans="1:8" ht="37.5" x14ac:dyDescent="0.25">
      <c r="A215" s="480"/>
      <c r="B215" s="70" t="s">
        <v>45</v>
      </c>
      <c r="C215" s="72" t="s">
        <v>396</v>
      </c>
      <c r="D215" s="65" t="s">
        <v>29</v>
      </c>
      <c r="E215" s="110">
        <f>E213/E214</f>
        <v>59.486666666666665</v>
      </c>
      <c r="F215" s="283">
        <f>F213/F214</f>
        <v>51.75</v>
      </c>
      <c r="G215" s="322"/>
      <c r="H215" s="333"/>
    </row>
    <row r="216" spans="1:8" ht="18.75" x14ac:dyDescent="0.25">
      <c r="A216" s="481"/>
      <c r="B216" s="70" t="s">
        <v>37</v>
      </c>
      <c r="C216" s="50" t="s">
        <v>397</v>
      </c>
      <c r="D216" s="65" t="s">
        <v>48</v>
      </c>
      <c r="E216" s="111">
        <v>100</v>
      </c>
      <c r="F216" s="271">
        <v>100</v>
      </c>
      <c r="G216" s="311"/>
      <c r="H216" s="333"/>
    </row>
    <row r="217" spans="1:8" ht="18.75" x14ac:dyDescent="0.25">
      <c r="A217" s="470" t="s">
        <v>535</v>
      </c>
      <c r="B217" s="89" t="s">
        <v>40</v>
      </c>
      <c r="C217" s="47" t="s">
        <v>181</v>
      </c>
      <c r="D217" s="89" t="s">
        <v>29</v>
      </c>
      <c r="E217" s="107">
        <f>Заходи!F201</f>
        <v>962.09999999999991</v>
      </c>
      <c r="F217" s="108">
        <v>928.83</v>
      </c>
      <c r="G217" s="308">
        <f>F217/E217*100</f>
        <v>96.54193950732774</v>
      </c>
      <c r="H217" s="462" t="s">
        <v>640</v>
      </c>
    </row>
    <row r="218" spans="1:8" ht="18.75" x14ac:dyDescent="0.25">
      <c r="A218" s="470"/>
      <c r="B218" s="394" t="s">
        <v>36</v>
      </c>
      <c r="C218" s="71" t="s">
        <v>399</v>
      </c>
      <c r="D218" s="485" t="s">
        <v>73</v>
      </c>
      <c r="E218" s="119">
        <v>8</v>
      </c>
      <c r="F218" s="282">
        <v>8</v>
      </c>
      <c r="G218" s="326"/>
      <c r="H218" s="463"/>
    </row>
    <row r="219" spans="1:8" ht="18.75" x14ac:dyDescent="0.25">
      <c r="A219" s="470"/>
      <c r="B219" s="396"/>
      <c r="C219" s="72" t="s">
        <v>395</v>
      </c>
      <c r="D219" s="486"/>
      <c r="E219" s="112">
        <v>4</v>
      </c>
      <c r="F219" s="284">
        <v>4</v>
      </c>
      <c r="G219" s="312"/>
      <c r="H219" s="333"/>
    </row>
    <row r="220" spans="1:8" ht="37.5" x14ac:dyDescent="0.25">
      <c r="A220" s="470"/>
      <c r="B220" s="70" t="s">
        <v>45</v>
      </c>
      <c r="C220" s="72" t="s">
        <v>183</v>
      </c>
      <c r="D220" s="65" t="s">
        <v>29</v>
      </c>
      <c r="E220" s="90">
        <f>E217/E219</f>
        <v>240.52499999999998</v>
      </c>
      <c r="F220" s="90">
        <f>F217/F219</f>
        <v>232.20750000000001</v>
      </c>
      <c r="G220" s="313"/>
      <c r="H220" s="333"/>
    </row>
    <row r="221" spans="1:8" ht="18.75" x14ac:dyDescent="0.25">
      <c r="A221" s="470"/>
      <c r="B221" s="70" t="s">
        <v>37</v>
      </c>
      <c r="C221" s="50" t="s">
        <v>182</v>
      </c>
      <c r="D221" s="65" t="s">
        <v>48</v>
      </c>
      <c r="E221" s="111">
        <v>100</v>
      </c>
      <c r="F221" s="271">
        <v>100</v>
      </c>
      <c r="G221" s="311"/>
      <c r="H221" s="333"/>
    </row>
    <row r="222" spans="1:8" ht="18.75" x14ac:dyDescent="0.25">
      <c r="A222" s="470" t="s">
        <v>496</v>
      </c>
      <c r="B222" s="89" t="s">
        <v>40</v>
      </c>
      <c r="C222" s="47" t="s">
        <v>184</v>
      </c>
      <c r="D222" s="89" t="s">
        <v>29</v>
      </c>
      <c r="E222" s="107">
        <f>Заходи!F205</f>
        <v>150</v>
      </c>
      <c r="F222" s="108">
        <v>137.59</v>
      </c>
      <c r="G222" s="308">
        <f>F222/E222*100</f>
        <v>91.726666666666674</v>
      </c>
      <c r="H222" s="333"/>
    </row>
    <row r="223" spans="1:8" ht="18.75" x14ac:dyDescent="0.25">
      <c r="A223" s="470"/>
      <c r="B223" s="91" t="s">
        <v>36</v>
      </c>
      <c r="C223" s="72" t="s">
        <v>185</v>
      </c>
      <c r="D223" s="65" t="s">
        <v>186</v>
      </c>
      <c r="E223" s="90">
        <f>E222/E224</f>
        <v>2.8823981552651805</v>
      </c>
      <c r="F223" s="90">
        <f>F222/F224</f>
        <v>2.6439277478862415</v>
      </c>
      <c r="G223" s="313"/>
      <c r="H223" s="333"/>
    </row>
    <row r="224" spans="1:8" ht="18.75" x14ac:dyDescent="0.25">
      <c r="A224" s="470"/>
      <c r="B224" s="70" t="s">
        <v>45</v>
      </c>
      <c r="C224" s="72" t="s">
        <v>187</v>
      </c>
      <c r="D224" s="64" t="s">
        <v>188</v>
      </c>
      <c r="E224" s="90">
        <v>52.04</v>
      </c>
      <c r="F224" s="90">
        <v>52.04</v>
      </c>
      <c r="G224" s="313"/>
      <c r="H224" s="333"/>
    </row>
    <row r="225" spans="1:8" ht="18.75" x14ac:dyDescent="0.25">
      <c r="A225" s="470"/>
      <c r="B225" s="70" t="s">
        <v>37</v>
      </c>
      <c r="C225" s="73" t="s">
        <v>189</v>
      </c>
      <c r="D225" s="65" t="s">
        <v>48</v>
      </c>
      <c r="E225" s="111">
        <v>100</v>
      </c>
      <c r="F225" s="271">
        <v>100</v>
      </c>
      <c r="G225" s="311"/>
      <c r="H225" s="333"/>
    </row>
    <row r="226" spans="1:8" ht="18.75" x14ac:dyDescent="0.25">
      <c r="A226" s="479" t="s">
        <v>497</v>
      </c>
      <c r="B226" s="89" t="s">
        <v>40</v>
      </c>
      <c r="C226" s="47" t="s">
        <v>190</v>
      </c>
      <c r="D226" s="89" t="s">
        <v>29</v>
      </c>
      <c r="E226" s="107">
        <f>Заходи!F209</f>
        <v>2378.2200000000003</v>
      </c>
      <c r="F226" s="108">
        <v>1760.01</v>
      </c>
      <c r="G226" s="308">
        <f>F226/E226*100</f>
        <v>74.005348537982186</v>
      </c>
      <c r="H226" s="462" t="s">
        <v>641</v>
      </c>
    </row>
    <row r="227" spans="1:8" ht="37.5" x14ac:dyDescent="0.25">
      <c r="A227" s="480"/>
      <c r="B227" s="91" t="s">
        <v>36</v>
      </c>
      <c r="C227" s="72" t="s">
        <v>191</v>
      </c>
      <c r="D227" s="66" t="s">
        <v>73</v>
      </c>
      <c r="E227" s="115">
        <v>91</v>
      </c>
      <c r="F227" s="277">
        <v>95</v>
      </c>
      <c r="G227" s="309"/>
      <c r="H227" s="464"/>
    </row>
    <row r="228" spans="1:8" ht="37.5" x14ac:dyDescent="0.25">
      <c r="A228" s="480"/>
      <c r="B228" s="70" t="s">
        <v>45</v>
      </c>
      <c r="C228" s="72" t="s">
        <v>192</v>
      </c>
      <c r="D228" s="65" t="s">
        <v>29</v>
      </c>
      <c r="E228" s="113">
        <f>E226/E227</f>
        <v>26.134285714285717</v>
      </c>
      <c r="F228" s="281">
        <f>F226/F227</f>
        <v>18.52642105263158</v>
      </c>
      <c r="G228" s="314"/>
      <c r="H228" s="463"/>
    </row>
    <row r="229" spans="1:8" ht="18.75" x14ac:dyDescent="0.25">
      <c r="A229" s="481"/>
      <c r="B229" s="70" t="s">
        <v>37</v>
      </c>
      <c r="C229" s="50" t="s">
        <v>193</v>
      </c>
      <c r="D229" s="65" t="s">
        <v>48</v>
      </c>
      <c r="E229" s="111">
        <v>100</v>
      </c>
      <c r="F229" s="271">
        <v>100</v>
      </c>
      <c r="G229" s="311"/>
      <c r="H229" s="333"/>
    </row>
    <row r="230" spans="1:8" ht="18.75" x14ac:dyDescent="0.25">
      <c r="A230" s="470" t="s">
        <v>498</v>
      </c>
      <c r="B230" s="89" t="s">
        <v>40</v>
      </c>
      <c r="C230" s="47" t="s">
        <v>195</v>
      </c>
      <c r="D230" s="89" t="s">
        <v>29</v>
      </c>
      <c r="E230" s="107">
        <f>Заходи!F213</f>
        <v>519.80999999999995</v>
      </c>
      <c r="F230" s="108">
        <f>Заходи!I213</f>
        <v>519.80999999999995</v>
      </c>
      <c r="G230" s="308">
        <f>F230/E230*100</f>
        <v>100</v>
      </c>
      <c r="H230" s="333"/>
    </row>
    <row r="231" spans="1:8" ht="37.5" x14ac:dyDescent="0.25">
      <c r="A231" s="470"/>
      <c r="B231" s="91" t="s">
        <v>36</v>
      </c>
      <c r="C231" s="72" t="s">
        <v>194</v>
      </c>
      <c r="D231" s="66" t="s">
        <v>73</v>
      </c>
      <c r="E231" s="112">
        <v>110</v>
      </c>
      <c r="F231" s="284">
        <v>70</v>
      </c>
      <c r="G231" s="312"/>
      <c r="H231" s="333"/>
    </row>
    <row r="232" spans="1:8" ht="37.5" x14ac:dyDescent="0.25">
      <c r="A232" s="470"/>
      <c r="B232" s="70" t="s">
        <v>45</v>
      </c>
      <c r="C232" s="72" t="s">
        <v>196</v>
      </c>
      <c r="D232" s="65" t="s">
        <v>29</v>
      </c>
      <c r="E232" s="90">
        <f>E230/E231</f>
        <v>4.725545454545454</v>
      </c>
      <c r="F232" s="90">
        <f>F230/F231</f>
        <v>7.4258571428571418</v>
      </c>
      <c r="G232" s="313"/>
      <c r="H232" s="333"/>
    </row>
    <row r="233" spans="1:8" ht="18.75" x14ac:dyDescent="0.25">
      <c r="A233" s="470"/>
      <c r="B233" s="70" t="s">
        <v>37</v>
      </c>
      <c r="C233" s="50" t="s">
        <v>197</v>
      </c>
      <c r="D233" s="65" t="s">
        <v>48</v>
      </c>
      <c r="E233" s="111">
        <v>100</v>
      </c>
      <c r="F233" s="271">
        <v>100</v>
      </c>
      <c r="G233" s="311"/>
      <c r="H233" s="333"/>
    </row>
    <row r="234" spans="1:8" ht="18.75" x14ac:dyDescent="0.25">
      <c r="A234" s="470" t="s">
        <v>499</v>
      </c>
      <c r="B234" s="89" t="s">
        <v>40</v>
      </c>
      <c r="C234" s="47" t="s">
        <v>198</v>
      </c>
      <c r="D234" s="89" t="s">
        <v>29</v>
      </c>
      <c r="E234" s="107">
        <f>Заходи!F217</f>
        <v>0</v>
      </c>
      <c r="F234" s="256">
        <f>Заходи!I217</f>
        <v>0</v>
      </c>
      <c r="G234" s="308">
        <f>Заходи!L217</f>
        <v>0</v>
      </c>
      <c r="H234" s="333"/>
    </row>
    <row r="235" spans="1:8" ht="18.75" x14ac:dyDescent="0.25">
      <c r="A235" s="470"/>
      <c r="B235" s="91" t="s">
        <v>36</v>
      </c>
      <c r="C235" s="72" t="s">
        <v>199</v>
      </c>
      <c r="D235" s="65" t="s">
        <v>73</v>
      </c>
      <c r="E235" s="118"/>
      <c r="F235" s="266"/>
      <c r="G235" s="327"/>
      <c r="H235" s="333"/>
    </row>
    <row r="236" spans="1:8" ht="18.75" x14ac:dyDescent="0.25">
      <c r="A236" s="470"/>
      <c r="B236" s="70" t="s">
        <v>45</v>
      </c>
      <c r="C236" s="72" t="s">
        <v>200</v>
      </c>
      <c r="D236" s="64" t="s">
        <v>128</v>
      </c>
      <c r="E236" s="90"/>
      <c r="F236" s="261"/>
      <c r="G236" s="313"/>
      <c r="H236" s="333"/>
    </row>
    <row r="237" spans="1:8" ht="18.75" x14ac:dyDescent="0.25">
      <c r="A237" s="470"/>
      <c r="B237" s="70" t="s">
        <v>37</v>
      </c>
      <c r="C237" s="73" t="s">
        <v>335</v>
      </c>
      <c r="D237" s="65" t="s">
        <v>48</v>
      </c>
      <c r="E237" s="111"/>
      <c r="F237" s="259"/>
      <c r="G237" s="311"/>
      <c r="H237" s="333"/>
    </row>
    <row r="238" spans="1:8" ht="19.5" x14ac:dyDescent="0.25">
      <c r="A238" s="58" t="s">
        <v>176</v>
      </c>
      <c r="B238" s="70"/>
      <c r="C238" s="78"/>
      <c r="D238" s="69"/>
      <c r="E238" s="104">
        <f>E240</f>
        <v>2350</v>
      </c>
      <c r="F238" s="275">
        <f>F240</f>
        <v>2349.3200000000002</v>
      </c>
      <c r="G238" s="305">
        <f>G240</f>
        <v>99.971063829787241</v>
      </c>
      <c r="H238" s="333"/>
    </row>
    <row r="239" spans="1:8" ht="37.5" x14ac:dyDescent="0.25">
      <c r="A239" s="50" t="s">
        <v>55</v>
      </c>
      <c r="B239" s="70"/>
      <c r="C239" s="71"/>
      <c r="D239" s="68"/>
      <c r="E239" s="105"/>
      <c r="F239" s="254"/>
      <c r="G239" s="306"/>
      <c r="H239" s="333"/>
    </row>
    <row r="240" spans="1:8" ht="19.5" x14ac:dyDescent="0.35">
      <c r="A240" s="57" t="s">
        <v>365</v>
      </c>
      <c r="B240" s="79"/>
      <c r="C240" s="80"/>
      <c r="D240" s="53"/>
      <c r="E240" s="106">
        <f>E241</f>
        <v>2350</v>
      </c>
      <c r="F240" s="272">
        <f>F241</f>
        <v>2349.3200000000002</v>
      </c>
      <c r="G240" s="307">
        <f>G241</f>
        <v>99.971063829787241</v>
      </c>
      <c r="H240" s="333"/>
    </row>
    <row r="241" spans="1:8" ht="18.75" x14ac:dyDescent="0.25">
      <c r="A241" s="482" t="s">
        <v>351</v>
      </c>
      <c r="B241" s="89" t="s">
        <v>40</v>
      </c>
      <c r="C241" s="47" t="s">
        <v>202</v>
      </c>
      <c r="D241" s="89" t="s">
        <v>29</v>
      </c>
      <c r="E241" s="107">
        <f>Заходи!F221</f>
        <v>2350</v>
      </c>
      <c r="F241" s="108">
        <v>2349.3200000000002</v>
      </c>
      <c r="G241" s="308">
        <f>F241/E241*100</f>
        <v>99.971063829787241</v>
      </c>
      <c r="H241" s="333"/>
    </row>
    <row r="242" spans="1:8" ht="37.5" x14ac:dyDescent="0.25">
      <c r="A242" s="483"/>
      <c r="B242" s="91" t="s">
        <v>36</v>
      </c>
      <c r="C242" s="72" t="s">
        <v>201</v>
      </c>
      <c r="D242" s="69" t="s">
        <v>73</v>
      </c>
      <c r="E242" s="115">
        <v>750</v>
      </c>
      <c r="F242" s="277">
        <v>750</v>
      </c>
      <c r="G242" s="309"/>
      <c r="H242" s="333"/>
    </row>
    <row r="243" spans="1:8" ht="38.25" customHeight="1" x14ac:dyDescent="0.25">
      <c r="A243" s="483"/>
      <c r="B243" s="70" t="s">
        <v>45</v>
      </c>
      <c r="C243" s="97" t="s">
        <v>203</v>
      </c>
      <c r="D243" s="68" t="s">
        <v>29</v>
      </c>
      <c r="E243" s="110">
        <f>E241/E242</f>
        <v>3.1333333333333333</v>
      </c>
      <c r="F243" s="283">
        <f>F241/F242</f>
        <v>3.1324266666666669</v>
      </c>
      <c r="G243" s="322"/>
      <c r="H243" s="333"/>
    </row>
    <row r="244" spans="1:8" ht="37.5" x14ac:dyDescent="0.25">
      <c r="A244" s="484"/>
      <c r="B244" s="70" t="s">
        <v>37</v>
      </c>
      <c r="C244" s="72" t="s">
        <v>204</v>
      </c>
      <c r="D244" s="68" t="s">
        <v>48</v>
      </c>
      <c r="E244" s="111">
        <v>100</v>
      </c>
      <c r="F244" s="271">
        <f>F243/E243*100</f>
        <v>99.971063829787241</v>
      </c>
      <c r="G244" s="311"/>
      <c r="H244" s="333"/>
    </row>
    <row r="245" spans="1:8" ht="19.5" x14ac:dyDescent="0.25">
      <c r="A245" s="58" t="s">
        <v>176</v>
      </c>
      <c r="B245" s="70"/>
      <c r="C245" s="78"/>
      <c r="D245" s="69"/>
      <c r="E245" s="104">
        <f>E247</f>
        <v>71</v>
      </c>
      <c r="F245" s="275">
        <f>F247</f>
        <v>70.92</v>
      </c>
      <c r="G245" s="305">
        <f>G247</f>
        <v>99.887323943661983</v>
      </c>
      <c r="H245" s="333"/>
    </row>
    <row r="246" spans="1:8" ht="37.5" x14ac:dyDescent="0.25">
      <c r="A246" s="50" t="s">
        <v>423</v>
      </c>
      <c r="B246" s="70"/>
      <c r="C246" s="71"/>
      <c r="D246" s="68"/>
      <c r="E246" s="105"/>
      <c r="F246" s="254"/>
      <c r="G246" s="306"/>
      <c r="H246" s="333"/>
    </row>
    <row r="247" spans="1:8" ht="19.5" x14ac:dyDescent="0.35">
      <c r="A247" s="57" t="s">
        <v>366</v>
      </c>
      <c r="B247" s="79"/>
      <c r="C247" s="80"/>
      <c r="D247" s="53"/>
      <c r="E247" s="106">
        <f>E248</f>
        <v>71</v>
      </c>
      <c r="F247" s="272">
        <f>F248</f>
        <v>70.92</v>
      </c>
      <c r="G247" s="307">
        <f>G248</f>
        <v>99.887323943661983</v>
      </c>
      <c r="H247" s="333"/>
    </row>
    <row r="248" spans="1:8" ht="37.5" x14ac:dyDescent="0.25">
      <c r="A248" s="482" t="s">
        <v>536</v>
      </c>
      <c r="B248" s="89" t="s">
        <v>40</v>
      </c>
      <c r="C248" s="47" t="s">
        <v>205</v>
      </c>
      <c r="D248" s="89" t="s">
        <v>29</v>
      </c>
      <c r="E248" s="107">
        <f>Заходи!F225</f>
        <v>71</v>
      </c>
      <c r="F248" s="108">
        <v>70.92</v>
      </c>
      <c r="G248" s="308">
        <f>F248/E248*100</f>
        <v>99.887323943661983</v>
      </c>
      <c r="H248" s="333"/>
    </row>
    <row r="249" spans="1:8" ht="37.5" x14ac:dyDescent="0.25">
      <c r="A249" s="483"/>
      <c r="B249" s="91" t="s">
        <v>36</v>
      </c>
      <c r="C249" s="72" t="s">
        <v>400</v>
      </c>
      <c r="D249" s="69" t="s">
        <v>73</v>
      </c>
      <c r="E249" s="115">
        <v>1</v>
      </c>
      <c r="F249" s="277">
        <v>1</v>
      </c>
      <c r="G249" s="309"/>
      <c r="H249" s="333"/>
    </row>
    <row r="250" spans="1:8" ht="45.75" customHeight="1" x14ac:dyDescent="0.25">
      <c r="A250" s="483"/>
      <c r="B250" s="70" t="s">
        <v>45</v>
      </c>
      <c r="C250" s="97" t="s">
        <v>402</v>
      </c>
      <c r="D250" s="68" t="s">
        <v>29</v>
      </c>
      <c r="E250" s="116">
        <f>E248/E249</f>
        <v>71</v>
      </c>
      <c r="F250" s="278">
        <f>F248/F249</f>
        <v>70.92</v>
      </c>
      <c r="G250" s="310"/>
      <c r="H250" s="333"/>
    </row>
    <row r="251" spans="1:8" ht="37.5" x14ac:dyDescent="0.25">
      <c r="A251" s="484"/>
      <c r="B251" s="70" t="s">
        <v>37</v>
      </c>
      <c r="C251" s="50" t="s">
        <v>206</v>
      </c>
      <c r="D251" s="68" t="s">
        <v>48</v>
      </c>
      <c r="E251" s="111">
        <v>100</v>
      </c>
      <c r="F251" s="271">
        <f>F250/E250*100</f>
        <v>99.887323943661983</v>
      </c>
      <c r="G251" s="311"/>
      <c r="H251" s="333"/>
    </row>
    <row r="252" spans="1:8" ht="19.5" x14ac:dyDescent="0.25">
      <c r="A252" s="58" t="s">
        <v>207</v>
      </c>
      <c r="B252" s="70"/>
      <c r="C252" s="78"/>
      <c r="D252" s="75"/>
      <c r="E252" s="104">
        <f>E254</f>
        <v>0</v>
      </c>
      <c r="F252" s="253">
        <f>F254</f>
        <v>0</v>
      </c>
      <c r="G252" s="305">
        <f>G254</f>
        <v>0</v>
      </c>
      <c r="H252" s="333"/>
    </row>
    <row r="253" spans="1:8" ht="37.5" x14ac:dyDescent="0.25">
      <c r="A253" s="50" t="s">
        <v>55</v>
      </c>
      <c r="B253" s="70"/>
      <c r="C253" s="71"/>
      <c r="D253" s="74"/>
      <c r="E253" s="105"/>
      <c r="F253" s="254"/>
      <c r="G253" s="306"/>
      <c r="H253" s="333"/>
    </row>
    <row r="254" spans="1:8" ht="39" x14ac:dyDescent="0.35">
      <c r="A254" s="57" t="s">
        <v>367</v>
      </c>
      <c r="B254" s="79"/>
      <c r="C254" s="80"/>
      <c r="D254" s="53"/>
      <c r="E254" s="106">
        <f>E255</f>
        <v>0</v>
      </c>
      <c r="F254" s="255">
        <f>F255</f>
        <v>0</v>
      </c>
      <c r="G254" s="307">
        <f>G255</f>
        <v>0</v>
      </c>
      <c r="H254" s="333"/>
    </row>
    <row r="255" spans="1:8" ht="18.75" x14ac:dyDescent="0.25">
      <c r="A255" s="479" t="s">
        <v>537</v>
      </c>
      <c r="B255" s="70" t="s">
        <v>40</v>
      </c>
      <c r="C255" s="71" t="s">
        <v>401</v>
      </c>
      <c r="D255" s="74" t="s">
        <v>29</v>
      </c>
      <c r="E255" s="107">
        <f>Заходи!F233</f>
        <v>0</v>
      </c>
      <c r="F255" s="256">
        <f>Заходи!I233</f>
        <v>0</v>
      </c>
      <c r="G255" s="308">
        <f>Заходи!L233</f>
        <v>0</v>
      </c>
      <c r="H255" s="333"/>
    </row>
    <row r="256" spans="1:8" ht="18.75" x14ac:dyDescent="0.25">
      <c r="A256" s="480"/>
      <c r="B256" s="394" t="s">
        <v>36</v>
      </c>
      <c r="C256" s="72" t="s">
        <v>210</v>
      </c>
      <c r="D256" s="485" t="s">
        <v>73</v>
      </c>
      <c r="E256" s="119"/>
      <c r="F256" s="265"/>
      <c r="G256" s="326"/>
      <c r="H256" s="333"/>
    </row>
    <row r="257" spans="1:8" ht="37.5" x14ac:dyDescent="0.25">
      <c r="A257" s="480"/>
      <c r="B257" s="396"/>
      <c r="C257" s="72" t="s">
        <v>208</v>
      </c>
      <c r="D257" s="486"/>
      <c r="E257" s="115"/>
      <c r="F257" s="257"/>
      <c r="G257" s="309"/>
      <c r="H257" s="333"/>
    </row>
    <row r="258" spans="1:8" ht="39.75" customHeight="1" x14ac:dyDescent="0.25">
      <c r="A258" s="480"/>
      <c r="B258" s="70" t="s">
        <v>45</v>
      </c>
      <c r="C258" s="72" t="s">
        <v>209</v>
      </c>
      <c r="D258" s="74" t="s">
        <v>29</v>
      </c>
      <c r="E258" s="116"/>
      <c r="F258" s="258"/>
      <c r="G258" s="310"/>
      <c r="H258" s="333"/>
    </row>
    <row r="259" spans="1:8" ht="56.25" x14ac:dyDescent="0.25">
      <c r="A259" s="481"/>
      <c r="B259" s="70" t="s">
        <v>37</v>
      </c>
      <c r="C259" s="72" t="s">
        <v>211</v>
      </c>
      <c r="D259" s="74" t="s">
        <v>48</v>
      </c>
      <c r="E259" s="111"/>
      <c r="F259" s="259"/>
      <c r="G259" s="311"/>
      <c r="H259" s="333"/>
    </row>
    <row r="260" spans="1:8" ht="19.5" x14ac:dyDescent="0.25">
      <c r="A260" s="58" t="s">
        <v>176</v>
      </c>
      <c r="B260" s="70"/>
      <c r="C260" s="78"/>
      <c r="D260" s="75"/>
      <c r="E260" s="104">
        <f>E262</f>
        <v>200</v>
      </c>
      <c r="F260" s="275">
        <f>F262</f>
        <v>197.6</v>
      </c>
      <c r="G260" s="305">
        <f>G262</f>
        <v>98.8</v>
      </c>
      <c r="H260" s="333"/>
    </row>
    <row r="261" spans="1:8" ht="37.5" x14ac:dyDescent="0.25">
      <c r="A261" s="50" t="s">
        <v>55</v>
      </c>
      <c r="B261" s="70"/>
      <c r="C261" s="71"/>
      <c r="D261" s="74"/>
      <c r="E261" s="105"/>
      <c r="F261" s="254"/>
      <c r="G261" s="306"/>
      <c r="H261" s="333"/>
    </row>
    <row r="262" spans="1:8" ht="39" x14ac:dyDescent="0.35">
      <c r="A262" s="57" t="s">
        <v>368</v>
      </c>
      <c r="B262" s="79"/>
      <c r="C262" s="80"/>
      <c r="D262" s="53"/>
      <c r="E262" s="106">
        <f>E263</f>
        <v>200</v>
      </c>
      <c r="F262" s="272">
        <f>F263</f>
        <v>197.6</v>
      </c>
      <c r="G262" s="307">
        <f>G263</f>
        <v>98.8</v>
      </c>
      <c r="H262" s="333"/>
    </row>
    <row r="263" spans="1:8" ht="18.75" x14ac:dyDescent="0.25">
      <c r="A263" s="482" t="s">
        <v>369</v>
      </c>
      <c r="B263" s="89" t="s">
        <v>40</v>
      </c>
      <c r="C263" s="59" t="s">
        <v>213</v>
      </c>
      <c r="D263" s="89" t="s">
        <v>29</v>
      </c>
      <c r="E263" s="107">
        <f>Заходи!F237</f>
        <v>200</v>
      </c>
      <c r="F263" s="108">
        <v>197.6</v>
      </c>
      <c r="G263" s="308">
        <f>F263/E263*100</f>
        <v>98.8</v>
      </c>
      <c r="H263" s="333"/>
    </row>
    <row r="264" spans="1:8" ht="37.5" x14ac:dyDescent="0.25">
      <c r="A264" s="483"/>
      <c r="B264" s="91" t="s">
        <v>36</v>
      </c>
      <c r="C264" s="72" t="s">
        <v>212</v>
      </c>
      <c r="D264" s="75" t="s">
        <v>73</v>
      </c>
      <c r="E264" s="115">
        <v>12</v>
      </c>
      <c r="F264" s="277">
        <v>12</v>
      </c>
      <c r="G264" s="309"/>
      <c r="H264" s="333"/>
    </row>
    <row r="265" spans="1:8" ht="44.25" customHeight="1" x14ac:dyDescent="0.25">
      <c r="A265" s="483"/>
      <c r="B265" s="70" t="s">
        <v>45</v>
      </c>
      <c r="C265" s="98" t="s">
        <v>214</v>
      </c>
      <c r="D265" s="74" t="s">
        <v>29</v>
      </c>
      <c r="E265" s="116">
        <f>E263/E264</f>
        <v>16.666666666666668</v>
      </c>
      <c r="F265" s="278">
        <f>F263/F264</f>
        <v>16.466666666666665</v>
      </c>
      <c r="G265" s="310"/>
      <c r="H265" s="333"/>
    </row>
    <row r="266" spans="1:8" ht="37.5" x14ac:dyDescent="0.25">
      <c r="A266" s="484"/>
      <c r="B266" s="70" t="s">
        <v>37</v>
      </c>
      <c r="C266" s="50" t="s">
        <v>215</v>
      </c>
      <c r="D266" s="74" t="s">
        <v>48</v>
      </c>
      <c r="E266" s="111">
        <v>100</v>
      </c>
      <c r="F266" s="271">
        <f>F265/E265*100</f>
        <v>98.799999999999983</v>
      </c>
      <c r="G266" s="311"/>
      <c r="H266" s="333"/>
    </row>
    <row r="267" spans="1:8" ht="39" x14ac:dyDescent="0.25">
      <c r="A267" s="58" t="s">
        <v>216</v>
      </c>
      <c r="B267" s="70"/>
      <c r="C267" s="78"/>
      <c r="D267" s="75"/>
      <c r="E267" s="104">
        <f>E269</f>
        <v>24756.960000000003</v>
      </c>
      <c r="F267" s="275">
        <f>F269</f>
        <v>23818.16</v>
      </c>
      <c r="G267" s="305">
        <f>G269</f>
        <v>570.3420330798964</v>
      </c>
      <c r="H267" s="333"/>
    </row>
    <row r="268" spans="1:8" ht="37.5" x14ac:dyDescent="0.25">
      <c r="A268" s="50" t="s">
        <v>314</v>
      </c>
      <c r="B268" s="70"/>
      <c r="C268" s="71"/>
      <c r="D268" s="74"/>
      <c r="E268" s="105"/>
      <c r="F268" s="254"/>
      <c r="G268" s="306"/>
      <c r="H268" s="333"/>
    </row>
    <row r="269" spans="1:8" ht="39" x14ac:dyDescent="0.35">
      <c r="A269" s="57" t="s">
        <v>370</v>
      </c>
      <c r="B269" s="79"/>
      <c r="C269" s="80"/>
      <c r="D269" s="53"/>
      <c r="E269" s="106">
        <f>E270+E274+E278+E284+E288+E292+E296+E300</f>
        <v>24756.960000000003</v>
      </c>
      <c r="F269" s="272">
        <f>F270+F274+F278+F284+F288+F292+F296+F300</f>
        <v>23818.16</v>
      </c>
      <c r="G269" s="307">
        <f>G270+G274+G278+G284+G288+G292+G296+G300</f>
        <v>570.3420330798964</v>
      </c>
      <c r="H269" s="333"/>
    </row>
    <row r="270" spans="1:8" ht="37.5" x14ac:dyDescent="0.25">
      <c r="A270" s="490" t="s">
        <v>501</v>
      </c>
      <c r="B270" s="89" t="s">
        <v>40</v>
      </c>
      <c r="C270" s="47" t="s">
        <v>226</v>
      </c>
      <c r="D270" s="89" t="s">
        <v>29</v>
      </c>
      <c r="E270" s="107">
        <f>Заходи!F245</f>
        <v>9.1</v>
      </c>
      <c r="F270" s="108">
        <v>7.58</v>
      </c>
      <c r="G270" s="308">
        <f>F270/E270*100</f>
        <v>83.296703296703299</v>
      </c>
      <c r="H270" s="336" t="s">
        <v>642</v>
      </c>
    </row>
    <row r="271" spans="1:8" ht="43.5" customHeight="1" x14ac:dyDescent="0.3">
      <c r="A271" s="490"/>
      <c r="B271" s="91" t="s">
        <v>36</v>
      </c>
      <c r="C271" s="99" t="s">
        <v>223</v>
      </c>
      <c r="D271" s="68" t="s">
        <v>140</v>
      </c>
      <c r="E271" s="115">
        <v>12</v>
      </c>
      <c r="F271" s="277">
        <v>12</v>
      </c>
      <c r="G271" s="309"/>
      <c r="H271" s="337"/>
    </row>
    <row r="272" spans="1:8" ht="18.75" x14ac:dyDescent="0.3">
      <c r="A272" s="490"/>
      <c r="B272" s="70" t="s">
        <v>45</v>
      </c>
      <c r="C272" s="100" t="s">
        <v>225</v>
      </c>
      <c r="D272" s="68" t="s">
        <v>29</v>
      </c>
      <c r="E272" s="113">
        <f>E270/E271</f>
        <v>0.7583333333333333</v>
      </c>
      <c r="F272" s="281">
        <f>F270/F271</f>
        <v>0.63166666666666671</v>
      </c>
      <c r="G272" s="314"/>
      <c r="H272" s="338"/>
    </row>
    <row r="273" spans="1:8" ht="18.75" x14ac:dyDescent="0.25">
      <c r="A273" s="490"/>
      <c r="B273" s="70" t="s">
        <v>37</v>
      </c>
      <c r="C273" s="50" t="s">
        <v>224</v>
      </c>
      <c r="D273" s="68" t="s">
        <v>48</v>
      </c>
      <c r="E273" s="111">
        <v>100</v>
      </c>
      <c r="F273" s="271">
        <v>100</v>
      </c>
      <c r="G273" s="311"/>
      <c r="H273" s="333"/>
    </row>
    <row r="274" spans="1:8" ht="37.5" x14ac:dyDescent="0.25">
      <c r="A274" s="490" t="s">
        <v>502</v>
      </c>
      <c r="B274" s="89" t="s">
        <v>40</v>
      </c>
      <c r="C274" s="47" t="s">
        <v>227</v>
      </c>
      <c r="D274" s="89" t="s">
        <v>29</v>
      </c>
      <c r="E274" s="107">
        <f>Заходи!F249</f>
        <v>0</v>
      </c>
      <c r="F274" s="256">
        <f>Заходи!I249</f>
        <v>0</v>
      </c>
      <c r="G274" s="308">
        <f>Заходи!L249</f>
        <v>0</v>
      </c>
      <c r="H274" s="333"/>
    </row>
    <row r="275" spans="1:8" ht="18.75" x14ac:dyDescent="0.25">
      <c r="A275" s="490"/>
      <c r="B275" s="91" t="s">
        <v>36</v>
      </c>
      <c r="C275" s="72" t="s">
        <v>228</v>
      </c>
      <c r="D275" s="68" t="s">
        <v>73</v>
      </c>
      <c r="E275" s="112"/>
      <c r="F275" s="260"/>
      <c r="G275" s="312"/>
      <c r="H275" s="333"/>
    </row>
    <row r="276" spans="1:8" ht="18.75" x14ac:dyDescent="0.3">
      <c r="A276" s="490"/>
      <c r="B276" s="70" t="s">
        <v>45</v>
      </c>
      <c r="C276" s="101" t="s">
        <v>229</v>
      </c>
      <c r="D276" s="68" t="s">
        <v>29</v>
      </c>
      <c r="E276" s="90"/>
      <c r="F276" s="261"/>
      <c r="G276" s="313"/>
      <c r="H276" s="333"/>
    </row>
    <row r="277" spans="1:8" ht="18.75" x14ac:dyDescent="0.25">
      <c r="A277" s="490"/>
      <c r="B277" s="70" t="s">
        <v>37</v>
      </c>
      <c r="C277" s="73" t="s">
        <v>180</v>
      </c>
      <c r="D277" s="68" t="s">
        <v>48</v>
      </c>
      <c r="E277" s="111"/>
      <c r="F277" s="259"/>
      <c r="G277" s="311"/>
      <c r="H277" s="333"/>
    </row>
    <row r="278" spans="1:8" ht="30" x14ac:dyDescent="0.25">
      <c r="A278" s="487" t="s">
        <v>503</v>
      </c>
      <c r="B278" s="89" t="s">
        <v>40</v>
      </c>
      <c r="C278" s="47" t="s">
        <v>410</v>
      </c>
      <c r="D278" s="89" t="s">
        <v>29</v>
      </c>
      <c r="E278" s="107">
        <f>Заходи!F253</f>
        <v>6</v>
      </c>
      <c r="F278" s="108">
        <v>0.5</v>
      </c>
      <c r="G278" s="308">
        <f>F278/E278*100</f>
        <v>8.3333333333333321</v>
      </c>
      <c r="H278" s="335" t="s">
        <v>643</v>
      </c>
    </row>
    <row r="279" spans="1:8" ht="37.5" x14ac:dyDescent="0.25">
      <c r="A279" s="488"/>
      <c r="B279" s="394" t="s">
        <v>36</v>
      </c>
      <c r="C279" s="72" t="s">
        <v>231</v>
      </c>
      <c r="D279" s="69" t="s">
        <v>230</v>
      </c>
      <c r="E279" s="109"/>
      <c r="F279" s="285"/>
      <c r="G279" s="316"/>
      <c r="H279" s="333"/>
    </row>
    <row r="280" spans="1:8" ht="18.75" x14ac:dyDescent="0.25">
      <c r="A280" s="488"/>
      <c r="B280" s="396"/>
      <c r="C280" s="93" t="s">
        <v>411</v>
      </c>
      <c r="D280" s="172" t="s">
        <v>73</v>
      </c>
      <c r="E280" s="109">
        <v>1</v>
      </c>
      <c r="F280" s="285">
        <v>1</v>
      </c>
      <c r="G280" s="316"/>
      <c r="H280" s="333"/>
    </row>
    <row r="281" spans="1:8" ht="28.5" customHeight="1" x14ac:dyDescent="0.25">
      <c r="A281" s="488"/>
      <c r="B281" s="491" t="s">
        <v>45</v>
      </c>
      <c r="C281" s="173" t="s">
        <v>413</v>
      </c>
      <c r="D281" s="474" t="s">
        <v>29</v>
      </c>
      <c r="E281" s="110">
        <v>0</v>
      </c>
      <c r="F281" s="283"/>
      <c r="G281" s="322"/>
      <c r="H281" s="333"/>
    </row>
    <row r="282" spans="1:8" ht="28.5" customHeight="1" x14ac:dyDescent="0.25">
      <c r="A282" s="488"/>
      <c r="B282" s="492"/>
      <c r="C282" s="173" t="s">
        <v>412</v>
      </c>
      <c r="D282" s="475"/>
      <c r="E282" s="110">
        <f>E278/E280</f>
        <v>6</v>
      </c>
      <c r="F282" s="283">
        <v>0.5</v>
      </c>
      <c r="G282" s="322"/>
      <c r="H282" s="333"/>
    </row>
    <row r="283" spans="1:8" ht="18.75" x14ac:dyDescent="0.25">
      <c r="A283" s="489"/>
      <c r="B283" s="70" t="s">
        <v>37</v>
      </c>
      <c r="C283" s="50" t="s">
        <v>180</v>
      </c>
      <c r="D283" s="68" t="s">
        <v>48</v>
      </c>
      <c r="E283" s="111">
        <v>100</v>
      </c>
      <c r="F283" s="271">
        <v>100</v>
      </c>
      <c r="G283" s="311"/>
      <c r="H283" s="333"/>
    </row>
    <row r="284" spans="1:8" ht="37.5" x14ac:dyDescent="0.25">
      <c r="A284" s="479" t="s">
        <v>504</v>
      </c>
      <c r="B284" s="89" t="s">
        <v>40</v>
      </c>
      <c r="C284" s="47" t="s">
        <v>232</v>
      </c>
      <c r="D284" s="89" t="s">
        <v>29</v>
      </c>
      <c r="E284" s="107">
        <f>Заходи!F257</f>
        <v>316.85000000000002</v>
      </c>
      <c r="F284" s="108">
        <v>314.57</v>
      </c>
      <c r="G284" s="308">
        <f>F284/E284*100</f>
        <v>99.28041660091526</v>
      </c>
      <c r="H284" s="333"/>
    </row>
    <row r="285" spans="1:8" ht="18.75" x14ac:dyDescent="0.25">
      <c r="A285" s="480"/>
      <c r="B285" s="91" t="s">
        <v>36</v>
      </c>
      <c r="C285" s="72" t="s">
        <v>233</v>
      </c>
      <c r="D285" s="69" t="s">
        <v>73</v>
      </c>
      <c r="E285" s="112">
        <v>116</v>
      </c>
      <c r="F285" s="284">
        <v>116</v>
      </c>
      <c r="G285" s="312"/>
      <c r="H285" s="333"/>
    </row>
    <row r="286" spans="1:8" ht="18.75" x14ac:dyDescent="0.25">
      <c r="A286" s="480"/>
      <c r="B286" s="70" t="s">
        <v>45</v>
      </c>
      <c r="C286" s="72" t="s">
        <v>234</v>
      </c>
      <c r="D286" s="68" t="s">
        <v>29</v>
      </c>
      <c r="E286" s="90">
        <f>E284/E285</f>
        <v>2.7314655172413795</v>
      </c>
      <c r="F286" s="90">
        <f>F284/F285</f>
        <v>2.7118103448275863</v>
      </c>
      <c r="G286" s="313"/>
      <c r="H286" s="333"/>
    </row>
    <row r="287" spans="1:8" ht="18.75" x14ac:dyDescent="0.25">
      <c r="A287" s="481"/>
      <c r="B287" s="70" t="s">
        <v>37</v>
      </c>
      <c r="C287" s="50" t="s">
        <v>180</v>
      </c>
      <c r="D287" s="68" t="s">
        <v>48</v>
      </c>
      <c r="E287" s="111">
        <v>100</v>
      </c>
      <c r="F287" s="271">
        <v>100</v>
      </c>
      <c r="G287" s="311"/>
      <c r="H287" s="333"/>
    </row>
    <row r="288" spans="1:8" ht="37.5" x14ac:dyDescent="0.25">
      <c r="A288" s="490" t="s">
        <v>505</v>
      </c>
      <c r="B288" s="89" t="s">
        <v>40</v>
      </c>
      <c r="C288" s="47" t="s">
        <v>235</v>
      </c>
      <c r="D288" s="89" t="s">
        <v>29</v>
      </c>
      <c r="E288" s="107">
        <f>Заходи!F261</f>
        <v>496</v>
      </c>
      <c r="F288" s="108">
        <v>496</v>
      </c>
      <c r="G288" s="308">
        <f>F288/E288*100</f>
        <v>100</v>
      </c>
      <c r="H288" s="333"/>
    </row>
    <row r="289" spans="1:8" ht="18.75" x14ac:dyDescent="0.25">
      <c r="A289" s="490"/>
      <c r="B289" s="91" t="s">
        <v>36</v>
      </c>
      <c r="C289" s="72" t="s">
        <v>236</v>
      </c>
      <c r="D289" s="68" t="s">
        <v>73</v>
      </c>
      <c r="E289" s="118">
        <v>50</v>
      </c>
      <c r="F289" s="118">
        <v>50</v>
      </c>
      <c r="G289" s="327"/>
      <c r="H289" s="333"/>
    </row>
    <row r="290" spans="1:8" ht="18.75" x14ac:dyDescent="0.25">
      <c r="A290" s="490"/>
      <c r="B290" s="70" t="s">
        <v>45</v>
      </c>
      <c r="C290" s="72" t="s">
        <v>237</v>
      </c>
      <c r="D290" s="76" t="s">
        <v>29</v>
      </c>
      <c r="E290" s="90">
        <f>E288/E289</f>
        <v>9.92</v>
      </c>
      <c r="F290" s="90">
        <f>F288/F289</f>
        <v>9.92</v>
      </c>
      <c r="G290" s="313"/>
      <c r="H290" s="333"/>
    </row>
    <row r="291" spans="1:8" ht="18.75" x14ac:dyDescent="0.25">
      <c r="A291" s="490"/>
      <c r="B291" s="70" t="s">
        <v>37</v>
      </c>
      <c r="C291" s="50" t="s">
        <v>180</v>
      </c>
      <c r="D291" s="68" t="s">
        <v>48</v>
      </c>
      <c r="E291" s="111">
        <v>100</v>
      </c>
      <c r="F291" s="271">
        <v>100</v>
      </c>
      <c r="G291" s="311"/>
      <c r="H291" s="333"/>
    </row>
    <row r="292" spans="1:8" ht="18.75" x14ac:dyDescent="0.25">
      <c r="A292" s="490" t="s">
        <v>506</v>
      </c>
      <c r="B292" s="89" t="s">
        <v>40</v>
      </c>
      <c r="C292" s="47" t="s">
        <v>240</v>
      </c>
      <c r="D292" s="89" t="s">
        <v>29</v>
      </c>
      <c r="E292" s="107">
        <f>Заходи!F265</f>
        <v>190.45999999999998</v>
      </c>
      <c r="F292" s="108">
        <v>160.19999999999999</v>
      </c>
      <c r="G292" s="308">
        <f>F292/E292*100</f>
        <v>84.112149532710276</v>
      </c>
      <c r="H292" s="333"/>
    </row>
    <row r="293" spans="1:8" ht="18.75" x14ac:dyDescent="0.25">
      <c r="A293" s="490"/>
      <c r="B293" s="91" t="s">
        <v>36</v>
      </c>
      <c r="C293" s="72" t="s">
        <v>238</v>
      </c>
      <c r="D293" s="68" t="s">
        <v>73</v>
      </c>
      <c r="E293" s="118">
        <v>5</v>
      </c>
      <c r="F293" s="118">
        <v>5</v>
      </c>
      <c r="G293" s="327"/>
      <c r="H293" s="333"/>
    </row>
    <row r="294" spans="1:8" ht="18.75" x14ac:dyDescent="0.25">
      <c r="A294" s="490"/>
      <c r="B294" s="70" t="s">
        <v>45</v>
      </c>
      <c r="C294" s="72" t="s">
        <v>239</v>
      </c>
      <c r="D294" s="67" t="s">
        <v>29</v>
      </c>
      <c r="E294" s="90">
        <f>E292/E293</f>
        <v>38.091999999999999</v>
      </c>
      <c r="F294" s="90">
        <f>F292/F293</f>
        <v>32.04</v>
      </c>
      <c r="G294" s="313"/>
      <c r="H294" s="333"/>
    </row>
    <row r="295" spans="1:8" ht="18.75" x14ac:dyDescent="0.25">
      <c r="A295" s="490"/>
      <c r="B295" s="70" t="s">
        <v>37</v>
      </c>
      <c r="C295" s="73" t="s">
        <v>180</v>
      </c>
      <c r="D295" s="68" t="s">
        <v>48</v>
      </c>
      <c r="E295" s="111">
        <v>100</v>
      </c>
      <c r="F295" s="271">
        <v>100</v>
      </c>
      <c r="G295" s="311"/>
      <c r="H295" s="333"/>
    </row>
    <row r="296" spans="1:8" ht="30" x14ac:dyDescent="0.25">
      <c r="A296" s="487" t="s">
        <v>507</v>
      </c>
      <c r="B296" s="89" t="s">
        <v>40</v>
      </c>
      <c r="C296" s="47" t="s">
        <v>241</v>
      </c>
      <c r="D296" s="89" t="s">
        <v>29</v>
      </c>
      <c r="E296" s="107">
        <f>Заходи!F269</f>
        <v>74.72</v>
      </c>
      <c r="F296" s="108">
        <f>73.41+0.65</f>
        <v>74.06</v>
      </c>
      <c r="G296" s="308">
        <f>F296/E296*100</f>
        <v>99.11670235546039</v>
      </c>
      <c r="H296" s="335" t="s">
        <v>644</v>
      </c>
    </row>
    <row r="297" spans="1:8" ht="37.5" x14ac:dyDescent="0.25">
      <c r="A297" s="488"/>
      <c r="B297" s="91" t="s">
        <v>36</v>
      </c>
      <c r="C297" s="72" t="s">
        <v>242</v>
      </c>
      <c r="D297" s="69" t="s">
        <v>140</v>
      </c>
      <c r="E297" s="115">
        <v>12</v>
      </c>
      <c r="F297" s="277">
        <v>12</v>
      </c>
      <c r="G297" s="309"/>
      <c r="H297" s="333"/>
    </row>
    <row r="298" spans="1:8" ht="37.5" x14ac:dyDescent="0.25">
      <c r="A298" s="488"/>
      <c r="B298" s="70" t="s">
        <v>45</v>
      </c>
      <c r="C298" s="72" t="s">
        <v>243</v>
      </c>
      <c r="D298" s="68" t="s">
        <v>29</v>
      </c>
      <c r="E298" s="110">
        <f>E296/E297</f>
        <v>6.2266666666666666</v>
      </c>
      <c r="F298" s="283">
        <f>F296/F297</f>
        <v>6.1716666666666669</v>
      </c>
      <c r="G298" s="322"/>
      <c r="H298" s="333"/>
    </row>
    <row r="299" spans="1:8" ht="18.75" x14ac:dyDescent="0.25">
      <c r="A299" s="489"/>
      <c r="B299" s="70" t="s">
        <v>37</v>
      </c>
      <c r="C299" s="50" t="s">
        <v>244</v>
      </c>
      <c r="D299" s="68" t="s">
        <v>48</v>
      </c>
      <c r="E299" s="111">
        <v>100</v>
      </c>
      <c r="F299" s="271">
        <v>100</v>
      </c>
      <c r="G299" s="311"/>
      <c r="H299" s="333"/>
    </row>
    <row r="300" spans="1:8" ht="18.75" x14ac:dyDescent="0.25">
      <c r="A300" s="487" t="s">
        <v>538</v>
      </c>
      <c r="B300" s="89" t="s">
        <v>40</v>
      </c>
      <c r="C300" s="47" t="s">
        <v>245</v>
      </c>
      <c r="D300" s="89" t="s">
        <v>29</v>
      </c>
      <c r="E300" s="107">
        <f>Заходи!F273</f>
        <v>23663.83</v>
      </c>
      <c r="F300" s="108">
        <f>22765.91-0.68+0.02</f>
        <v>22765.25</v>
      </c>
      <c r="G300" s="308">
        <f>F300/E300*100</f>
        <v>96.202727960773885</v>
      </c>
      <c r="H300" s="333"/>
    </row>
    <row r="301" spans="1:8" ht="18.75" x14ac:dyDescent="0.25">
      <c r="A301" s="488"/>
      <c r="B301" s="91" t="s">
        <v>36</v>
      </c>
      <c r="C301" s="72" t="s">
        <v>246</v>
      </c>
      <c r="D301" s="75" t="s">
        <v>73</v>
      </c>
      <c r="E301" s="115">
        <v>15</v>
      </c>
      <c r="F301" s="277">
        <v>15</v>
      </c>
      <c r="G301" s="309"/>
      <c r="H301" s="333"/>
    </row>
    <row r="302" spans="1:8" ht="18.75" x14ac:dyDescent="0.25">
      <c r="A302" s="488"/>
      <c r="B302" s="70" t="s">
        <v>45</v>
      </c>
      <c r="C302" s="72" t="s">
        <v>247</v>
      </c>
      <c r="D302" s="74" t="s">
        <v>29</v>
      </c>
      <c r="E302" s="113">
        <f>E300/E301</f>
        <v>1577.5886666666668</v>
      </c>
      <c r="F302" s="281">
        <f>F300/F301</f>
        <v>1517.6833333333334</v>
      </c>
      <c r="G302" s="314"/>
      <c r="H302" s="333"/>
    </row>
    <row r="303" spans="1:8" ht="18.75" x14ac:dyDescent="0.25">
      <c r="A303" s="489"/>
      <c r="B303" s="70" t="s">
        <v>37</v>
      </c>
      <c r="C303" s="50" t="s">
        <v>248</v>
      </c>
      <c r="D303" s="74" t="s">
        <v>48</v>
      </c>
      <c r="E303" s="111">
        <v>100</v>
      </c>
      <c r="F303" s="271">
        <v>100</v>
      </c>
      <c r="G303" s="311"/>
      <c r="H303" s="333"/>
    </row>
    <row r="304" spans="1:8" ht="19.5" x14ac:dyDescent="0.25">
      <c r="A304" s="58" t="s">
        <v>222</v>
      </c>
      <c r="B304" s="70"/>
      <c r="C304" s="78"/>
      <c r="D304" s="77"/>
      <c r="E304" s="104">
        <f>E306</f>
        <v>65</v>
      </c>
      <c r="F304" s="275">
        <f>F306</f>
        <v>0</v>
      </c>
      <c r="G304" s="305">
        <f>G306</f>
        <v>0</v>
      </c>
      <c r="H304" s="333"/>
    </row>
    <row r="305" spans="1:8" ht="37.5" x14ac:dyDescent="0.25">
      <c r="A305" s="50" t="s">
        <v>55</v>
      </c>
      <c r="B305" s="76"/>
      <c r="C305" s="51"/>
      <c r="D305" s="76"/>
      <c r="E305" s="105"/>
      <c r="F305" s="254"/>
      <c r="G305" s="306"/>
      <c r="H305" s="333"/>
    </row>
    <row r="306" spans="1:8" ht="19.5" x14ac:dyDescent="0.35">
      <c r="A306" s="57" t="s">
        <v>371</v>
      </c>
      <c r="B306" s="52"/>
      <c r="C306" s="53"/>
      <c r="D306" s="53"/>
      <c r="E306" s="106">
        <f>E307</f>
        <v>65</v>
      </c>
      <c r="F306" s="255">
        <f>F307</f>
        <v>0</v>
      </c>
      <c r="G306" s="307">
        <f>G307</f>
        <v>0</v>
      </c>
      <c r="H306" s="333"/>
    </row>
    <row r="307" spans="1:8" ht="18.75" x14ac:dyDescent="0.25">
      <c r="A307" s="479" t="s">
        <v>509</v>
      </c>
      <c r="B307" s="89" t="s">
        <v>40</v>
      </c>
      <c r="C307" s="47" t="s">
        <v>218</v>
      </c>
      <c r="D307" s="89" t="s">
        <v>29</v>
      </c>
      <c r="E307" s="107">
        <f>Заходи!F281</f>
        <v>65</v>
      </c>
      <c r="F307" s="256">
        <v>0</v>
      </c>
      <c r="G307" s="308">
        <f>Заходи!L281</f>
        <v>0</v>
      </c>
      <c r="H307" s="333"/>
    </row>
    <row r="308" spans="1:8" ht="18.75" x14ac:dyDescent="0.25">
      <c r="A308" s="480"/>
      <c r="B308" s="91" t="s">
        <v>36</v>
      </c>
      <c r="C308" s="72" t="s">
        <v>220</v>
      </c>
      <c r="D308" s="77" t="s">
        <v>73</v>
      </c>
      <c r="E308" s="119">
        <v>12</v>
      </c>
      <c r="F308" s="265">
        <v>0</v>
      </c>
      <c r="G308" s="326"/>
      <c r="H308" s="333"/>
    </row>
    <row r="309" spans="1:8" ht="18.75" x14ac:dyDescent="0.25">
      <c r="A309" s="480"/>
      <c r="B309" s="70" t="s">
        <v>45</v>
      </c>
      <c r="C309" s="72" t="s">
        <v>221</v>
      </c>
      <c r="D309" s="76" t="s">
        <v>29</v>
      </c>
      <c r="E309" s="163">
        <f>E307/E308</f>
        <v>5.416666666666667</v>
      </c>
      <c r="F309" s="267"/>
      <c r="G309" s="328"/>
      <c r="H309" s="333"/>
    </row>
    <row r="310" spans="1:8" ht="18.75" x14ac:dyDescent="0.25">
      <c r="A310" s="481"/>
      <c r="B310" s="70" t="s">
        <v>37</v>
      </c>
      <c r="C310" s="73" t="s">
        <v>219</v>
      </c>
      <c r="D310" s="76" t="s">
        <v>48</v>
      </c>
      <c r="E310" s="111">
        <v>100</v>
      </c>
      <c r="F310" s="259"/>
      <c r="G310" s="311"/>
      <c r="H310" s="333"/>
    </row>
    <row r="311" spans="1:8" ht="19.5" x14ac:dyDescent="0.25">
      <c r="A311" s="58" t="s">
        <v>249</v>
      </c>
      <c r="B311" s="76"/>
      <c r="C311" s="77"/>
      <c r="D311" s="77"/>
      <c r="E311" s="104">
        <f>E313</f>
        <v>91629.280000000013</v>
      </c>
      <c r="F311" s="275">
        <f>F313</f>
        <v>91621.13</v>
      </c>
      <c r="G311" s="305"/>
      <c r="H311" s="333"/>
    </row>
    <row r="312" spans="1:8" ht="37.5" x14ac:dyDescent="0.25">
      <c r="A312" s="50" t="s">
        <v>55</v>
      </c>
      <c r="B312" s="76"/>
      <c r="C312" s="51"/>
      <c r="D312" s="76"/>
      <c r="E312" s="105"/>
      <c r="F312" s="254"/>
      <c r="G312" s="306"/>
      <c r="H312" s="333"/>
    </row>
    <row r="313" spans="1:8" ht="39" x14ac:dyDescent="0.35">
      <c r="A313" s="57" t="s">
        <v>372</v>
      </c>
      <c r="B313" s="52"/>
      <c r="C313" s="53"/>
      <c r="D313" s="53"/>
      <c r="E313" s="106">
        <f>E314+E318+E322+E326+E330</f>
        <v>91629.280000000013</v>
      </c>
      <c r="F313" s="272">
        <f>F314+F318+F322+F326+F330</f>
        <v>91621.13</v>
      </c>
      <c r="G313" s="307">
        <f>G314+G318+G322+G326+G330</f>
        <v>386.81648645311145</v>
      </c>
      <c r="H313" s="333"/>
    </row>
    <row r="314" spans="1:8" ht="18.75" x14ac:dyDescent="0.25">
      <c r="A314" s="479" t="s">
        <v>510</v>
      </c>
      <c r="B314" s="89" t="s">
        <v>40</v>
      </c>
      <c r="C314" s="47" t="s">
        <v>250</v>
      </c>
      <c r="D314" s="89" t="s">
        <v>29</v>
      </c>
      <c r="E314" s="107">
        <f>Заходи!F289</f>
        <v>710</v>
      </c>
      <c r="F314" s="108">
        <v>709.56</v>
      </c>
      <c r="G314" s="308">
        <f>F314/E314*100</f>
        <v>99.938028169014075</v>
      </c>
      <c r="H314" s="333"/>
    </row>
    <row r="315" spans="1:8" ht="18.75" x14ac:dyDescent="0.25">
      <c r="A315" s="480"/>
      <c r="B315" s="88" t="s">
        <v>36</v>
      </c>
      <c r="C315" s="72" t="s">
        <v>348</v>
      </c>
      <c r="D315" s="77" t="s">
        <v>140</v>
      </c>
      <c r="E315" s="119">
        <v>12</v>
      </c>
      <c r="F315" s="282">
        <v>12</v>
      </c>
      <c r="G315" s="326"/>
      <c r="H315" s="333"/>
    </row>
    <row r="316" spans="1:8" ht="18.75" x14ac:dyDescent="0.25">
      <c r="A316" s="480"/>
      <c r="B316" s="70" t="s">
        <v>45</v>
      </c>
      <c r="C316" s="72" t="s">
        <v>349</v>
      </c>
      <c r="D316" s="76" t="s">
        <v>29</v>
      </c>
      <c r="E316" s="116">
        <f>E314/E315</f>
        <v>59.166666666666664</v>
      </c>
      <c r="F316" s="278">
        <f>F314/F315</f>
        <v>59.129999999999995</v>
      </c>
      <c r="G316" s="310"/>
      <c r="H316" s="333"/>
    </row>
    <row r="317" spans="1:8" ht="18.75" x14ac:dyDescent="0.25">
      <c r="A317" s="481"/>
      <c r="B317" s="70" t="s">
        <v>37</v>
      </c>
      <c r="C317" s="72" t="s">
        <v>251</v>
      </c>
      <c r="D317" s="76" t="s">
        <v>48</v>
      </c>
      <c r="E317" s="111">
        <v>100</v>
      </c>
      <c r="F317" s="271">
        <v>100</v>
      </c>
      <c r="G317" s="311"/>
      <c r="H317" s="333"/>
    </row>
    <row r="318" spans="1:8" ht="37.5" x14ac:dyDescent="0.25">
      <c r="A318" s="479" t="s">
        <v>539</v>
      </c>
      <c r="B318" s="89" t="s">
        <v>40</v>
      </c>
      <c r="C318" s="47" t="s">
        <v>390</v>
      </c>
      <c r="D318" s="89" t="s">
        <v>29</v>
      </c>
      <c r="E318" s="107">
        <f>Заходи!F293</f>
        <v>30.209999999999994</v>
      </c>
      <c r="F318" s="108">
        <v>28.04</v>
      </c>
      <c r="G318" s="308">
        <f>F318/E318*100</f>
        <v>92.816948030453503</v>
      </c>
      <c r="H318" s="333"/>
    </row>
    <row r="319" spans="1:8" ht="18.75" x14ac:dyDescent="0.3">
      <c r="A319" s="480"/>
      <c r="B319" s="88" t="s">
        <v>36</v>
      </c>
      <c r="C319" s="102" t="s">
        <v>252</v>
      </c>
      <c r="D319" s="77" t="s">
        <v>73</v>
      </c>
      <c r="E319" s="119">
        <v>3</v>
      </c>
      <c r="F319" s="282">
        <v>3</v>
      </c>
      <c r="G319" s="326"/>
      <c r="H319" s="333"/>
    </row>
    <row r="320" spans="1:8" ht="37.5" x14ac:dyDescent="0.25">
      <c r="A320" s="480"/>
      <c r="B320" s="70" t="s">
        <v>45</v>
      </c>
      <c r="C320" s="72" t="s">
        <v>391</v>
      </c>
      <c r="D320" s="76" t="s">
        <v>29</v>
      </c>
      <c r="E320" s="116">
        <f>E318/E319</f>
        <v>10.069999999999999</v>
      </c>
      <c r="F320" s="278">
        <f>F318/F319</f>
        <v>9.3466666666666658</v>
      </c>
      <c r="G320" s="310"/>
      <c r="H320" s="333"/>
    </row>
    <row r="321" spans="1:8" ht="18.75" x14ac:dyDescent="0.25">
      <c r="A321" s="481"/>
      <c r="B321" s="70" t="s">
        <v>37</v>
      </c>
      <c r="C321" s="72" t="s">
        <v>253</v>
      </c>
      <c r="D321" s="76" t="s">
        <v>48</v>
      </c>
      <c r="E321" s="111">
        <v>100</v>
      </c>
      <c r="F321" s="271">
        <v>100</v>
      </c>
      <c r="G321" s="311"/>
      <c r="H321" s="333"/>
    </row>
    <row r="322" spans="1:8" ht="37.5" x14ac:dyDescent="0.25">
      <c r="A322" s="479" t="s">
        <v>512</v>
      </c>
      <c r="B322" s="89" t="s">
        <v>40</v>
      </c>
      <c r="C322" s="47" t="s">
        <v>254</v>
      </c>
      <c r="D322" s="89" t="s">
        <v>29</v>
      </c>
      <c r="E322" s="107">
        <f>Заходи!F297</f>
        <v>0</v>
      </c>
      <c r="F322" s="256">
        <f>Заходи!I297</f>
        <v>0</v>
      </c>
      <c r="G322" s="308">
        <f>Заходи!L297</f>
        <v>0</v>
      </c>
      <c r="H322" s="333"/>
    </row>
    <row r="323" spans="1:8" ht="18.75" x14ac:dyDescent="0.25">
      <c r="A323" s="480"/>
      <c r="B323" s="91" t="s">
        <v>36</v>
      </c>
      <c r="C323" s="72" t="s">
        <v>255</v>
      </c>
      <c r="D323" s="77" t="s">
        <v>73</v>
      </c>
      <c r="E323" s="115"/>
      <c r="F323" s="257"/>
      <c r="G323" s="309"/>
      <c r="H323" s="333"/>
    </row>
    <row r="324" spans="1:8" ht="37.5" x14ac:dyDescent="0.25">
      <c r="A324" s="480"/>
      <c r="B324" s="70" t="s">
        <v>45</v>
      </c>
      <c r="C324" s="72" t="s">
        <v>256</v>
      </c>
      <c r="D324" s="76" t="s">
        <v>29</v>
      </c>
      <c r="E324" s="116"/>
      <c r="F324" s="258"/>
      <c r="G324" s="310"/>
      <c r="H324" s="333"/>
    </row>
    <row r="325" spans="1:8" ht="18.75" x14ac:dyDescent="0.25">
      <c r="A325" s="481"/>
      <c r="B325" s="70" t="s">
        <v>37</v>
      </c>
      <c r="C325" s="50" t="s">
        <v>257</v>
      </c>
      <c r="D325" s="76" t="s">
        <v>48</v>
      </c>
      <c r="E325" s="111"/>
      <c r="F325" s="259"/>
      <c r="G325" s="311"/>
      <c r="H325" s="333"/>
    </row>
    <row r="326" spans="1:8" ht="37.5" x14ac:dyDescent="0.25">
      <c r="A326" s="479" t="s">
        <v>513</v>
      </c>
      <c r="B326" s="89" t="s">
        <v>40</v>
      </c>
      <c r="C326" s="47" t="s">
        <v>324</v>
      </c>
      <c r="D326" s="89" t="s">
        <v>29</v>
      </c>
      <c r="E326" s="107">
        <f>Заходи!F301</f>
        <v>63</v>
      </c>
      <c r="F326" s="108">
        <v>59.26</v>
      </c>
      <c r="G326" s="308">
        <f>F326/E326*100</f>
        <v>94.063492063492063</v>
      </c>
      <c r="H326" s="335" t="s">
        <v>645</v>
      </c>
    </row>
    <row r="327" spans="1:8" ht="18.75" x14ac:dyDescent="0.25">
      <c r="A327" s="480"/>
      <c r="B327" s="88" t="s">
        <v>36</v>
      </c>
      <c r="C327" s="72" t="s">
        <v>258</v>
      </c>
      <c r="D327" s="77" t="s">
        <v>73</v>
      </c>
      <c r="E327" s="119">
        <v>2</v>
      </c>
      <c r="F327" s="282">
        <v>2</v>
      </c>
      <c r="G327" s="326"/>
      <c r="H327" s="333"/>
    </row>
    <row r="328" spans="1:8" ht="18.75" x14ac:dyDescent="0.25">
      <c r="A328" s="480"/>
      <c r="B328" s="70" t="s">
        <v>45</v>
      </c>
      <c r="C328" s="72" t="s">
        <v>259</v>
      </c>
      <c r="D328" s="76" t="s">
        <v>29</v>
      </c>
      <c r="E328" s="116">
        <f>E326/E327</f>
        <v>31.5</v>
      </c>
      <c r="F328" s="278">
        <f>F326/F327</f>
        <v>29.63</v>
      </c>
      <c r="G328" s="310"/>
      <c r="H328" s="333"/>
    </row>
    <row r="329" spans="1:8" ht="18.75" x14ac:dyDescent="0.25">
      <c r="A329" s="481"/>
      <c r="B329" s="70" t="s">
        <v>37</v>
      </c>
      <c r="C329" s="50" t="s">
        <v>257</v>
      </c>
      <c r="D329" s="76" t="s">
        <v>48</v>
      </c>
      <c r="E329" s="111">
        <v>100</v>
      </c>
      <c r="F329" s="271">
        <v>100</v>
      </c>
      <c r="G329" s="311"/>
      <c r="H329" s="333"/>
    </row>
    <row r="330" spans="1:8" ht="36.75" customHeight="1" x14ac:dyDescent="0.25">
      <c r="A330" s="479" t="s">
        <v>557</v>
      </c>
      <c r="B330" s="89" t="s">
        <v>40</v>
      </c>
      <c r="C330" s="47" t="s">
        <v>260</v>
      </c>
      <c r="D330" s="89" t="s">
        <v>29</v>
      </c>
      <c r="E330" s="107">
        <f>Заходи!F305</f>
        <v>90826.07</v>
      </c>
      <c r="F330" s="108">
        <v>90824.27</v>
      </c>
      <c r="G330" s="308">
        <f>F330/E330*100</f>
        <v>99.998018190151797</v>
      </c>
      <c r="H330" s="333"/>
    </row>
    <row r="331" spans="1:8" ht="25.5" customHeight="1" x14ac:dyDescent="0.25">
      <c r="A331" s="480"/>
      <c r="B331" s="131" t="s">
        <v>36</v>
      </c>
      <c r="C331" s="72" t="s">
        <v>261</v>
      </c>
      <c r="D331" s="77" t="s">
        <v>73</v>
      </c>
      <c r="E331" s="119">
        <v>1</v>
      </c>
      <c r="F331" s="282">
        <v>1</v>
      </c>
      <c r="G331" s="326"/>
      <c r="H331" s="333"/>
    </row>
    <row r="332" spans="1:8" ht="29.25" customHeight="1" x14ac:dyDescent="0.25">
      <c r="A332" s="480"/>
      <c r="B332" s="132" t="s">
        <v>45</v>
      </c>
      <c r="C332" s="72" t="s">
        <v>262</v>
      </c>
      <c r="D332" s="76" t="s">
        <v>29</v>
      </c>
      <c r="E332" s="116">
        <f>E330/E331</f>
        <v>90826.07</v>
      </c>
      <c r="F332" s="278">
        <f>F330/F331</f>
        <v>90824.27</v>
      </c>
      <c r="G332" s="310"/>
      <c r="H332" s="333"/>
    </row>
    <row r="333" spans="1:8" ht="99" customHeight="1" x14ac:dyDescent="0.25">
      <c r="A333" s="481"/>
      <c r="B333" s="132" t="s">
        <v>37</v>
      </c>
      <c r="C333" s="50" t="s">
        <v>257</v>
      </c>
      <c r="D333" s="76" t="s">
        <v>48</v>
      </c>
      <c r="E333" s="111">
        <v>100</v>
      </c>
      <c r="F333" s="271">
        <v>100</v>
      </c>
      <c r="G333" s="311"/>
      <c r="H333" s="333"/>
    </row>
    <row r="334" spans="1:8" ht="39" x14ac:dyDescent="0.25">
      <c r="A334" s="58" t="s">
        <v>263</v>
      </c>
      <c r="B334" s="137"/>
      <c r="C334" s="138"/>
      <c r="D334" s="77"/>
      <c r="E334" s="104">
        <f>E336</f>
        <v>5435.5999999999995</v>
      </c>
      <c r="F334" s="275">
        <f>F336</f>
        <v>4109.47</v>
      </c>
      <c r="G334" s="305">
        <f>G336</f>
        <v>0</v>
      </c>
      <c r="H334" s="333"/>
    </row>
    <row r="335" spans="1:8" ht="37.5" x14ac:dyDescent="0.25">
      <c r="A335" s="50" t="s">
        <v>55</v>
      </c>
      <c r="B335" s="137"/>
      <c r="C335" s="71"/>
      <c r="D335" s="76"/>
      <c r="E335" s="105"/>
      <c r="F335" s="276"/>
      <c r="G335" s="306"/>
      <c r="H335" s="333"/>
    </row>
    <row r="336" spans="1:8" ht="58.5" x14ac:dyDescent="0.35">
      <c r="A336" s="57" t="s">
        <v>554</v>
      </c>
      <c r="B336" s="79"/>
      <c r="C336" s="80"/>
      <c r="D336" s="53"/>
      <c r="E336" s="106">
        <f>E337</f>
        <v>5435.5999999999995</v>
      </c>
      <c r="F336" s="272">
        <f>F337</f>
        <v>4109.47</v>
      </c>
      <c r="G336" s="307"/>
      <c r="H336" s="333"/>
    </row>
    <row r="337" spans="1:8" ht="37.5" x14ac:dyDescent="0.25">
      <c r="A337" s="479" t="s">
        <v>555</v>
      </c>
      <c r="B337" s="89" t="s">
        <v>40</v>
      </c>
      <c r="C337" s="59" t="s">
        <v>296</v>
      </c>
      <c r="D337" s="89" t="s">
        <v>29</v>
      </c>
      <c r="E337" s="107">
        <f>Заходи!F310</f>
        <v>5435.5999999999995</v>
      </c>
      <c r="F337" s="108">
        <v>4109.47</v>
      </c>
      <c r="G337" s="308">
        <f>F337/E337*100</f>
        <v>75.602877327249999</v>
      </c>
      <c r="H337" s="333"/>
    </row>
    <row r="338" spans="1:8" ht="37.5" x14ac:dyDescent="0.25">
      <c r="A338" s="480"/>
      <c r="B338" s="91" t="s">
        <v>36</v>
      </c>
      <c r="C338" s="72" t="s">
        <v>298</v>
      </c>
      <c r="D338" s="77" t="s">
        <v>73</v>
      </c>
      <c r="E338" s="115">
        <v>3</v>
      </c>
      <c r="F338" s="277">
        <v>3</v>
      </c>
      <c r="G338" s="309"/>
      <c r="H338" s="333"/>
    </row>
    <row r="339" spans="1:8" ht="37.5" x14ac:dyDescent="0.25">
      <c r="A339" s="480"/>
      <c r="B339" s="70" t="s">
        <v>45</v>
      </c>
      <c r="C339" s="72" t="s">
        <v>297</v>
      </c>
      <c r="D339" s="76" t="s">
        <v>29</v>
      </c>
      <c r="E339" s="116">
        <f>E337/E338</f>
        <v>1811.8666666666666</v>
      </c>
      <c r="F339" s="278">
        <f>F337/F338</f>
        <v>1369.8233333333335</v>
      </c>
      <c r="G339" s="310"/>
      <c r="H339" s="333"/>
    </row>
    <row r="340" spans="1:8" ht="18.75" x14ac:dyDescent="0.25">
      <c r="A340" s="481"/>
      <c r="B340" s="70" t="s">
        <v>37</v>
      </c>
      <c r="C340" s="50" t="s">
        <v>257</v>
      </c>
      <c r="D340" s="76" t="s">
        <v>48</v>
      </c>
      <c r="E340" s="111">
        <v>100</v>
      </c>
      <c r="F340" s="271">
        <v>100</v>
      </c>
      <c r="G340" s="311"/>
      <c r="H340" s="333"/>
    </row>
    <row r="341" spans="1:8" ht="19.5" x14ac:dyDescent="0.25">
      <c r="A341" s="58" t="s">
        <v>264</v>
      </c>
      <c r="B341" s="70"/>
      <c r="C341" s="78"/>
      <c r="D341" s="77"/>
      <c r="E341" s="104">
        <f>E343</f>
        <v>835</v>
      </c>
      <c r="F341" s="275">
        <f>F343</f>
        <v>280.27999999999997</v>
      </c>
      <c r="G341" s="305">
        <f>G343</f>
        <v>63.61121212121212</v>
      </c>
      <c r="H341" s="333"/>
    </row>
    <row r="342" spans="1:8" ht="37.5" x14ac:dyDescent="0.25">
      <c r="A342" s="50" t="s">
        <v>55</v>
      </c>
      <c r="B342" s="70"/>
      <c r="C342" s="71"/>
      <c r="D342" s="76"/>
      <c r="E342" s="105"/>
      <c r="F342" s="276"/>
      <c r="G342" s="306"/>
      <c r="H342" s="333"/>
    </row>
    <row r="343" spans="1:8" ht="19.5" x14ac:dyDescent="0.35">
      <c r="A343" s="57" t="s">
        <v>373</v>
      </c>
      <c r="B343" s="79"/>
      <c r="C343" s="80"/>
      <c r="D343" s="53"/>
      <c r="E343" s="106">
        <f>E344+E349+E354</f>
        <v>835</v>
      </c>
      <c r="F343" s="272">
        <f>F344+F349+F354</f>
        <v>280.27999999999997</v>
      </c>
      <c r="G343" s="307">
        <f>G344+G349+G354</f>
        <v>63.61121212121212</v>
      </c>
      <c r="H343" s="333"/>
    </row>
    <row r="344" spans="1:8" ht="56.25" x14ac:dyDescent="0.25">
      <c r="A344" s="479" t="s">
        <v>514</v>
      </c>
      <c r="B344" s="89" t="s">
        <v>40</v>
      </c>
      <c r="C344" s="47" t="s">
        <v>295</v>
      </c>
      <c r="D344" s="89" t="s">
        <v>29</v>
      </c>
      <c r="E344" s="107">
        <f>Заходи!F318</f>
        <v>5</v>
      </c>
      <c r="F344" s="108">
        <v>0</v>
      </c>
      <c r="G344" s="308">
        <f>Заходи!L318</f>
        <v>0</v>
      </c>
      <c r="H344" s="333"/>
    </row>
    <row r="345" spans="1:8" ht="37.5" x14ac:dyDescent="0.25">
      <c r="A345" s="480"/>
      <c r="B345" s="394" t="s">
        <v>36</v>
      </c>
      <c r="C345" s="72" t="s">
        <v>288</v>
      </c>
      <c r="D345" s="485" t="s">
        <v>73</v>
      </c>
      <c r="E345" s="119">
        <v>2</v>
      </c>
      <c r="F345" s="282"/>
      <c r="G345" s="326"/>
      <c r="H345" s="333"/>
    </row>
    <row r="346" spans="1:8" ht="37.5" x14ac:dyDescent="0.25">
      <c r="A346" s="480"/>
      <c r="B346" s="396"/>
      <c r="C346" s="72" t="s">
        <v>292</v>
      </c>
      <c r="D346" s="486"/>
      <c r="E346" s="119">
        <v>2</v>
      </c>
      <c r="F346" s="282"/>
      <c r="G346" s="326"/>
      <c r="H346" s="333"/>
    </row>
    <row r="347" spans="1:8" ht="18.75" x14ac:dyDescent="0.25">
      <c r="A347" s="480"/>
      <c r="B347" s="70" t="s">
        <v>45</v>
      </c>
      <c r="C347" s="72" t="s">
        <v>293</v>
      </c>
      <c r="D347" s="76" t="s">
        <v>29</v>
      </c>
      <c r="E347" s="116">
        <f>E344/E346</f>
        <v>2.5</v>
      </c>
      <c r="F347" s="278"/>
      <c r="G347" s="310"/>
      <c r="H347" s="333"/>
    </row>
    <row r="348" spans="1:8" ht="18.75" x14ac:dyDescent="0.25">
      <c r="A348" s="481"/>
      <c r="B348" s="70" t="s">
        <v>37</v>
      </c>
      <c r="C348" s="50" t="s">
        <v>257</v>
      </c>
      <c r="D348" s="76" t="s">
        <v>48</v>
      </c>
      <c r="E348" s="111">
        <v>100</v>
      </c>
      <c r="F348" s="271"/>
      <c r="G348" s="311"/>
      <c r="H348" s="333"/>
    </row>
    <row r="349" spans="1:8" ht="75" x14ac:dyDescent="0.25">
      <c r="A349" s="479" t="s">
        <v>515</v>
      </c>
      <c r="B349" s="89" t="s">
        <v>40</v>
      </c>
      <c r="C349" s="47" t="s">
        <v>294</v>
      </c>
      <c r="D349" s="89" t="s">
        <v>29</v>
      </c>
      <c r="E349" s="107">
        <f>Заходи!F322</f>
        <v>500</v>
      </c>
      <c r="F349" s="108">
        <v>206.95</v>
      </c>
      <c r="G349" s="308">
        <f>F349/E349*100</f>
        <v>41.39</v>
      </c>
      <c r="H349" s="333"/>
    </row>
    <row r="350" spans="1:8" ht="37.5" x14ac:dyDescent="0.25">
      <c r="A350" s="480"/>
      <c r="B350" s="394" t="s">
        <v>36</v>
      </c>
      <c r="C350" s="72" t="s">
        <v>548</v>
      </c>
      <c r="D350" s="485" t="s">
        <v>73</v>
      </c>
      <c r="E350" s="119">
        <v>1</v>
      </c>
      <c r="F350" s="282">
        <v>1</v>
      </c>
      <c r="G350" s="326"/>
      <c r="H350" s="333"/>
    </row>
    <row r="351" spans="1:8" ht="37.5" x14ac:dyDescent="0.25">
      <c r="A351" s="480"/>
      <c r="B351" s="396"/>
      <c r="C351" s="72" t="s">
        <v>549</v>
      </c>
      <c r="D351" s="486"/>
      <c r="E351" s="119">
        <f>E350</f>
        <v>1</v>
      </c>
      <c r="F351" s="282">
        <v>1</v>
      </c>
      <c r="G351" s="326"/>
      <c r="H351" s="333"/>
    </row>
    <row r="352" spans="1:8" ht="18.75" x14ac:dyDescent="0.25">
      <c r="A352" s="480"/>
      <c r="B352" s="70" t="s">
        <v>45</v>
      </c>
      <c r="C352" s="72" t="s">
        <v>293</v>
      </c>
      <c r="D352" s="76" t="s">
        <v>29</v>
      </c>
      <c r="E352" s="116">
        <f>E349/E350</f>
        <v>500</v>
      </c>
      <c r="F352" s="281">
        <f>F349/F350</f>
        <v>206.95</v>
      </c>
      <c r="G352" s="310"/>
      <c r="H352" s="333"/>
    </row>
    <row r="353" spans="1:8" ht="18.75" x14ac:dyDescent="0.25">
      <c r="A353" s="481"/>
      <c r="B353" s="70" t="s">
        <v>37</v>
      </c>
      <c r="C353" s="50" t="s">
        <v>257</v>
      </c>
      <c r="D353" s="76" t="s">
        <v>48</v>
      </c>
      <c r="E353" s="111">
        <v>100</v>
      </c>
      <c r="F353" s="271">
        <v>100</v>
      </c>
      <c r="G353" s="311"/>
      <c r="H353" s="333"/>
    </row>
    <row r="354" spans="1:8" ht="66.75" customHeight="1" x14ac:dyDescent="0.3">
      <c r="A354" s="479" t="s">
        <v>516</v>
      </c>
      <c r="B354" s="89" t="s">
        <v>40</v>
      </c>
      <c r="C354" s="87" t="s">
        <v>289</v>
      </c>
      <c r="D354" s="89" t="s">
        <v>29</v>
      </c>
      <c r="E354" s="107">
        <f>Заходи!F326</f>
        <v>330</v>
      </c>
      <c r="F354" s="108">
        <v>73.33</v>
      </c>
      <c r="G354" s="308">
        <f>F354/E354*100</f>
        <v>22.221212121212119</v>
      </c>
      <c r="H354" s="333"/>
    </row>
    <row r="355" spans="1:8" ht="37.5" x14ac:dyDescent="0.25">
      <c r="A355" s="480"/>
      <c r="B355" s="394" t="s">
        <v>36</v>
      </c>
      <c r="C355" s="72" t="s">
        <v>288</v>
      </c>
      <c r="D355" s="485" t="s">
        <v>73</v>
      </c>
      <c r="E355" s="119">
        <v>15</v>
      </c>
      <c r="F355" s="277">
        <v>5</v>
      </c>
      <c r="G355" s="309"/>
      <c r="H355" s="333"/>
    </row>
    <row r="356" spans="1:8" ht="37.5" x14ac:dyDescent="0.25">
      <c r="A356" s="480"/>
      <c r="B356" s="396"/>
      <c r="C356" s="72" t="s">
        <v>292</v>
      </c>
      <c r="D356" s="486"/>
      <c r="E356" s="115">
        <f>E355</f>
        <v>15</v>
      </c>
      <c r="F356" s="277">
        <v>5</v>
      </c>
      <c r="G356" s="309"/>
      <c r="H356" s="333"/>
    </row>
    <row r="357" spans="1:8" ht="18.75" x14ac:dyDescent="0.25">
      <c r="A357" s="480"/>
      <c r="B357" s="70" t="s">
        <v>45</v>
      </c>
      <c r="C357" s="72" t="s">
        <v>290</v>
      </c>
      <c r="D357" s="76" t="s">
        <v>29</v>
      </c>
      <c r="E357" s="116">
        <f>E354/E356</f>
        <v>22</v>
      </c>
      <c r="F357" s="278">
        <f>F354/F356</f>
        <v>14.666</v>
      </c>
      <c r="G357" s="310"/>
      <c r="H357" s="333"/>
    </row>
    <row r="358" spans="1:8" ht="18.75" x14ac:dyDescent="0.25">
      <c r="A358" s="481"/>
      <c r="B358" s="70" t="s">
        <v>37</v>
      </c>
      <c r="C358" s="50" t="s">
        <v>291</v>
      </c>
      <c r="D358" s="76" t="s">
        <v>48</v>
      </c>
      <c r="E358" s="111">
        <v>100</v>
      </c>
      <c r="F358" s="271">
        <v>100</v>
      </c>
      <c r="G358" s="311"/>
      <c r="H358" s="333"/>
    </row>
    <row r="359" spans="1:8" ht="19.5" x14ac:dyDescent="0.25">
      <c r="A359" s="58" t="s">
        <v>265</v>
      </c>
      <c r="B359" s="70"/>
      <c r="C359" s="78"/>
      <c r="D359" s="77"/>
      <c r="E359" s="104">
        <f>E361</f>
        <v>13682.52</v>
      </c>
      <c r="F359" s="275">
        <f>F361</f>
        <v>11222.79</v>
      </c>
      <c r="G359" s="305">
        <f>G361</f>
        <v>82.022829127967654</v>
      </c>
      <c r="H359" s="333"/>
    </row>
    <row r="360" spans="1:8" ht="37.5" x14ac:dyDescent="0.25">
      <c r="A360" s="50" t="s">
        <v>55</v>
      </c>
      <c r="B360" s="70"/>
      <c r="C360" s="71"/>
      <c r="D360" s="76"/>
      <c r="E360" s="105"/>
      <c r="F360" s="276"/>
      <c r="G360" s="306"/>
      <c r="H360" s="333"/>
    </row>
    <row r="361" spans="1:8" ht="39" x14ac:dyDescent="0.35">
      <c r="A361" s="57" t="s">
        <v>374</v>
      </c>
      <c r="B361" s="79"/>
      <c r="C361" s="80"/>
      <c r="D361" s="53"/>
      <c r="E361" s="106">
        <f>E362</f>
        <v>13682.52</v>
      </c>
      <c r="F361" s="272">
        <f>F362</f>
        <v>11222.79</v>
      </c>
      <c r="G361" s="307">
        <f>G362</f>
        <v>82.022829127967654</v>
      </c>
      <c r="H361" s="333"/>
    </row>
    <row r="362" spans="1:8" ht="37.5" x14ac:dyDescent="0.25">
      <c r="A362" s="479" t="s">
        <v>540</v>
      </c>
      <c r="B362" s="89" t="s">
        <v>40</v>
      </c>
      <c r="C362" s="47" t="s">
        <v>285</v>
      </c>
      <c r="D362" s="89" t="s">
        <v>29</v>
      </c>
      <c r="E362" s="107">
        <f>Заходи!F330</f>
        <v>13682.52</v>
      </c>
      <c r="F362" s="108">
        <v>11222.79</v>
      </c>
      <c r="G362" s="308">
        <f>F362/E362*100</f>
        <v>82.022829127967654</v>
      </c>
      <c r="H362" s="333"/>
    </row>
    <row r="363" spans="1:8" ht="37.5" x14ac:dyDescent="0.25">
      <c r="A363" s="480"/>
      <c r="B363" s="91" t="s">
        <v>36</v>
      </c>
      <c r="C363" s="72" t="s">
        <v>286</v>
      </c>
      <c r="D363" s="77" t="s">
        <v>73</v>
      </c>
      <c r="E363" s="119">
        <v>4</v>
      </c>
      <c r="F363" s="277">
        <v>4</v>
      </c>
      <c r="G363" s="309"/>
      <c r="H363" s="333"/>
    </row>
    <row r="364" spans="1:8" ht="18.75" x14ac:dyDescent="0.25">
      <c r="A364" s="480"/>
      <c r="B364" s="70" t="s">
        <v>45</v>
      </c>
      <c r="C364" s="72" t="s">
        <v>287</v>
      </c>
      <c r="D364" s="76" t="s">
        <v>29</v>
      </c>
      <c r="E364" s="163">
        <f>E362/E363</f>
        <v>3420.63</v>
      </c>
      <c r="F364" s="278">
        <f>F362/F363</f>
        <v>2805.6975000000002</v>
      </c>
      <c r="G364" s="310"/>
      <c r="H364" s="333"/>
    </row>
    <row r="365" spans="1:8" ht="18.75" x14ac:dyDescent="0.25">
      <c r="A365" s="481"/>
      <c r="B365" s="70" t="s">
        <v>37</v>
      </c>
      <c r="C365" s="50" t="s">
        <v>257</v>
      </c>
      <c r="D365" s="76" t="s">
        <v>48</v>
      </c>
      <c r="E365" s="184">
        <v>100</v>
      </c>
      <c r="F365" s="271">
        <v>100</v>
      </c>
      <c r="G365" s="311"/>
      <c r="H365" s="333"/>
    </row>
    <row r="366" spans="1:8" ht="19.5" x14ac:dyDescent="0.25">
      <c r="A366" s="58" t="s">
        <v>266</v>
      </c>
      <c r="B366" s="70"/>
      <c r="C366" s="78"/>
      <c r="D366" s="77"/>
      <c r="E366" s="158">
        <f>E368</f>
        <v>14000</v>
      </c>
      <c r="F366" s="268">
        <f>F368</f>
        <v>0</v>
      </c>
      <c r="G366" s="329">
        <f>G368</f>
        <v>0</v>
      </c>
      <c r="H366" s="333"/>
    </row>
    <row r="367" spans="1:8" ht="37.5" x14ac:dyDescent="0.25">
      <c r="A367" s="50" t="s">
        <v>55</v>
      </c>
      <c r="B367" s="70"/>
      <c r="C367" s="71"/>
      <c r="D367" s="76"/>
      <c r="E367" s="159"/>
      <c r="F367" s="269"/>
      <c r="G367" s="330"/>
      <c r="H367" s="333"/>
    </row>
    <row r="368" spans="1:8" ht="39" x14ac:dyDescent="0.35">
      <c r="A368" s="57" t="s">
        <v>375</v>
      </c>
      <c r="B368" s="79"/>
      <c r="C368" s="80"/>
      <c r="D368" s="53"/>
      <c r="E368" s="106">
        <f>E369</f>
        <v>14000</v>
      </c>
      <c r="F368" s="255">
        <f>F369</f>
        <v>0</v>
      </c>
      <c r="G368" s="307">
        <f>G369</f>
        <v>0</v>
      </c>
      <c r="H368" s="333"/>
    </row>
    <row r="369" spans="1:8" ht="18.75" x14ac:dyDescent="0.25">
      <c r="A369" s="479" t="s">
        <v>541</v>
      </c>
      <c r="B369" s="89" t="s">
        <v>40</v>
      </c>
      <c r="C369" s="47" t="s">
        <v>284</v>
      </c>
      <c r="D369" s="89" t="s">
        <v>29</v>
      </c>
      <c r="E369" s="107">
        <f>Заходи!F344</f>
        <v>14000</v>
      </c>
      <c r="F369" s="256">
        <v>0</v>
      </c>
      <c r="G369" s="308">
        <f>F369/E369*100</f>
        <v>0</v>
      </c>
      <c r="H369" s="333"/>
    </row>
    <row r="370" spans="1:8" ht="18.75" x14ac:dyDescent="0.25">
      <c r="A370" s="480"/>
      <c r="B370" s="91" t="s">
        <v>36</v>
      </c>
      <c r="C370" s="72" t="s">
        <v>282</v>
      </c>
      <c r="D370" s="77" t="s">
        <v>73</v>
      </c>
      <c r="E370" s="115">
        <v>1</v>
      </c>
      <c r="F370" s="257"/>
      <c r="G370" s="309"/>
      <c r="H370" s="333"/>
    </row>
    <row r="371" spans="1:8" ht="18.75" x14ac:dyDescent="0.25">
      <c r="A371" s="480"/>
      <c r="B371" s="70" t="s">
        <v>45</v>
      </c>
      <c r="C371" s="72" t="s">
        <v>283</v>
      </c>
      <c r="D371" s="76" t="s">
        <v>29</v>
      </c>
      <c r="E371" s="116">
        <f>E369/E370</f>
        <v>14000</v>
      </c>
      <c r="F371" s="258"/>
      <c r="G371" s="310"/>
      <c r="H371" s="333"/>
    </row>
    <row r="372" spans="1:8" ht="18.75" x14ac:dyDescent="0.25">
      <c r="A372" s="481"/>
      <c r="B372" s="70" t="s">
        <v>37</v>
      </c>
      <c r="C372" s="50" t="s">
        <v>257</v>
      </c>
      <c r="D372" s="76" t="s">
        <v>48</v>
      </c>
      <c r="E372" s="111">
        <v>100</v>
      </c>
      <c r="F372" s="259"/>
      <c r="G372" s="311"/>
      <c r="H372" s="333"/>
    </row>
    <row r="373" spans="1:8" ht="39" x14ac:dyDescent="0.25">
      <c r="A373" s="58" t="s">
        <v>267</v>
      </c>
      <c r="B373" s="70"/>
      <c r="C373" s="78"/>
      <c r="D373" s="77"/>
      <c r="E373" s="104">
        <f>E375</f>
        <v>907.5</v>
      </c>
      <c r="F373" s="275">
        <f>F375</f>
        <v>903.86</v>
      </c>
      <c r="G373" s="305">
        <f>G375</f>
        <v>99.598898071625342</v>
      </c>
      <c r="H373" s="333"/>
    </row>
    <row r="374" spans="1:8" ht="37.5" x14ac:dyDescent="0.25">
      <c r="A374" s="50" t="s">
        <v>55</v>
      </c>
      <c r="B374" s="70"/>
      <c r="C374" s="71"/>
      <c r="D374" s="76"/>
      <c r="E374" s="105"/>
      <c r="F374" s="276"/>
      <c r="G374" s="306"/>
      <c r="H374" s="333"/>
    </row>
    <row r="375" spans="1:8" ht="39" x14ac:dyDescent="0.35">
      <c r="A375" s="57" t="s">
        <v>376</v>
      </c>
      <c r="B375" s="79"/>
      <c r="C375" s="80"/>
      <c r="D375" s="53"/>
      <c r="E375" s="106">
        <f>E376</f>
        <v>907.5</v>
      </c>
      <c r="F375" s="272">
        <f>F376</f>
        <v>903.86</v>
      </c>
      <c r="G375" s="307">
        <f>G376</f>
        <v>99.598898071625342</v>
      </c>
      <c r="H375" s="333"/>
    </row>
    <row r="376" spans="1:8" ht="37.5" x14ac:dyDescent="0.25">
      <c r="A376" s="479" t="s">
        <v>542</v>
      </c>
      <c r="B376" s="89" t="s">
        <v>40</v>
      </c>
      <c r="C376" s="47" t="s">
        <v>278</v>
      </c>
      <c r="D376" s="89" t="s">
        <v>29</v>
      </c>
      <c r="E376" s="107">
        <f>Заходи!F347</f>
        <v>907.5</v>
      </c>
      <c r="F376" s="108">
        <v>903.86</v>
      </c>
      <c r="G376" s="308">
        <f>F376/E376*100</f>
        <v>99.598898071625342</v>
      </c>
      <c r="H376" s="333"/>
    </row>
    <row r="377" spans="1:8" ht="112.5" x14ac:dyDescent="0.25">
      <c r="A377" s="480"/>
      <c r="B377" s="394" t="s">
        <v>36</v>
      </c>
      <c r="C377" s="72" t="s">
        <v>279</v>
      </c>
      <c r="D377" s="485" t="s">
        <v>280</v>
      </c>
      <c r="E377" s="115">
        <v>18</v>
      </c>
      <c r="F377" s="277">
        <v>18</v>
      </c>
      <c r="G377" s="309"/>
      <c r="H377" s="333"/>
    </row>
    <row r="378" spans="1:8" ht="33" customHeight="1" x14ac:dyDescent="0.25">
      <c r="A378" s="480"/>
      <c r="B378" s="396"/>
      <c r="C378" s="72" t="s">
        <v>281</v>
      </c>
      <c r="D378" s="486"/>
      <c r="E378" s="115"/>
      <c r="F378" s="277">
        <v>4</v>
      </c>
      <c r="G378" s="309"/>
      <c r="H378" s="333"/>
    </row>
    <row r="379" spans="1:8" ht="37.5" x14ac:dyDescent="0.25">
      <c r="A379" s="480"/>
      <c r="B379" s="70" t="s">
        <v>45</v>
      </c>
      <c r="C379" s="72" t="s">
        <v>315</v>
      </c>
      <c r="D379" s="76" t="s">
        <v>29</v>
      </c>
      <c r="E379" s="116">
        <f>E376/(E377+E378)</f>
        <v>50.416666666666664</v>
      </c>
      <c r="F379" s="278">
        <f>F376/(F377+F378)</f>
        <v>41.084545454545456</v>
      </c>
      <c r="G379" s="310"/>
      <c r="H379" s="333"/>
    </row>
    <row r="380" spans="1:8" ht="18.75" x14ac:dyDescent="0.25">
      <c r="A380" s="481"/>
      <c r="B380" s="70" t="s">
        <v>37</v>
      </c>
      <c r="C380" s="50" t="s">
        <v>257</v>
      </c>
      <c r="D380" s="76" t="s">
        <v>48</v>
      </c>
      <c r="E380" s="111">
        <v>100</v>
      </c>
      <c r="F380" s="271">
        <v>100</v>
      </c>
      <c r="G380" s="311"/>
      <c r="H380" s="333"/>
    </row>
    <row r="381" spans="1:8" ht="195" x14ac:dyDescent="0.25">
      <c r="A381" s="58" t="s">
        <v>551</v>
      </c>
      <c r="B381" s="70"/>
      <c r="C381" s="78"/>
      <c r="D381" s="77"/>
      <c r="E381" s="104">
        <f>E383</f>
        <v>55372.36</v>
      </c>
      <c r="F381" s="275">
        <f>F383</f>
        <v>17520.68</v>
      </c>
      <c r="G381" s="305">
        <f>G383</f>
        <v>164.01112039790257</v>
      </c>
      <c r="H381" s="333"/>
    </row>
    <row r="382" spans="1:8" ht="37.5" x14ac:dyDescent="0.25">
      <c r="A382" s="50" t="s">
        <v>409</v>
      </c>
      <c r="B382" s="70"/>
      <c r="C382" s="71"/>
      <c r="D382" s="76"/>
      <c r="E382" s="105"/>
      <c r="F382" s="276"/>
      <c r="G382" s="306"/>
      <c r="H382" s="333"/>
    </row>
    <row r="383" spans="1:8" ht="19.5" x14ac:dyDescent="0.35">
      <c r="A383" s="57" t="s">
        <v>377</v>
      </c>
      <c r="B383" s="79"/>
      <c r="C383" s="80"/>
      <c r="D383" s="53"/>
      <c r="E383" s="106">
        <f>E384+E388+E392</f>
        <v>55372.36</v>
      </c>
      <c r="F383" s="272">
        <f>F384+F388+F392</f>
        <v>17520.68</v>
      </c>
      <c r="G383" s="307">
        <f>G384+G388+G392</f>
        <v>164.01112039790257</v>
      </c>
      <c r="H383" s="333"/>
    </row>
    <row r="384" spans="1:8" ht="50.25" customHeight="1" x14ac:dyDescent="0.25">
      <c r="A384" s="479" t="s">
        <v>517</v>
      </c>
      <c r="B384" s="89" t="s">
        <v>40</v>
      </c>
      <c r="C384" s="47" t="s">
        <v>274</v>
      </c>
      <c r="D384" s="89" t="s">
        <v>29</v>
      </c>
      <c r="E384" s="107">
        <f>Заходи!F363</f>
        <v>28446.75</v>
      </c>
      <c r="F384" s="108">
        <v>3599.97</v>
      </c>
      <c r="G384" s="308">
        <f>F384/E384*100</f>
        <v>12.65511877455245</v>
      </c>
      <c r="H384" s="465" t="s">
        <v>646</v>
      </c>
    </row>
    <row r="385" spans="1:8" ht="18.75" x14ac:dyDescent="0.25">
      <c r="A385" s="480"/>
      <c r="B385" s="91" t="s">
        <v>36</v>
      </c>
      <c r="C385" s="72" t="s">
        <v>255</v>
      </c>
      <c r="D385" s="77" t="s">
        <v>73</v>
      </c>
      <c r="E385" s="115">
        <v>21</v>
      </c>
      <c r="F385" s="277">
        <v>20</v>
      </c>
      <c r="G385" s="309"/>
      <c r="H385" s="466"/>
    </row>
    <row r="386" spans="1:8" ht="37.5" x14ac:dyDescent="0.25">
      <c r="A386" s="480"/>
      <c r="B386" s="70" t="s">
        <v>45</v>
      </c>
      <c r="C386" s="72" t="s">
        <v>404</v>
      </c>
      <c r="D386" s="76" t="s">
        <v>29</v>
      </c>
      <c r="E386" s="116">
        <f>E384/E385</f>
        <v>1354.6071428571429</v>
      </c>
      <c r="F386" s="278">
        <f>F384/F385</f>
        <v>179.99849999999998</v>
      </c>
      <c r="G386" s="310"/>
      <c r="H386" s="466"/>
    </row>
    <row r="387" spans="1:8" ht="18.75" x14ac:dyDescent="0.25">
      <c r="A387" s="481"/>
      <c r="B387" s="70" t="s">
        <v>37</v>
      </c>
      <c r="C387" s="50" t="s">
        <v>257</v>
      </c>
      <c r="D387" s="76" t="s">
        <v>48</v>
      </c>
      <c r="E387" s="111">
        <v>100</v>
      </c>
      <c r="F387" s="271">
        <v>100</v>
      </c>
      <c r="G387" s="311"/>
      <c r="H387" s="467"/>
    </row>
    <row r="388" spans="1:8" ht="75" customHeight="1" x14ac:dyDescent="0.25">
      <c r="A388" s="479" t="s">
        <v>518</v>
      </c>
      <c r="B388" s="89" t="s">
        <v>40</v>
      </c>
      <c r="C388" s="47" t="s">
        <v>275</v>
      </c>
      <c r="D388" s="89" t="s">
        <v>29</v>
      </c>
      <c r="E388" s="107">
        <f>Заходи!F375</f>
        <v>26734.85</v>
      </c>
      <c r="F388" s="108">
        <v>13729.95</v>
      </c>
      <c r="G388" s="308">
        <f>F388/E388*100</f>
        <v>51.3560016233493</v>
      </c>
      <c r="H388" s="465" t="s">
        <v>647</v>
      </c>
    </row>
    <row r="389" spans="1:8" ht="18.75" x14ac:dyDescent="0.25">
      <c r="A389" s="480"/>
      <c r="B389" s="91" t="s">
        <v>36</v>
      </c>
      <c r="C389" s="72" t="s">
        <v>255</v>
      </c>
      <c r="D389" s="77" t="s">
        <v>73</v>
      </c>
      <c r="E389" s="115">
        <v>9</v>
      </c>
      <c r="F389" s="277">
        <v>6</v>
      </c>
      <c r="G389" s="309"/>
      <c r="H389" s="466"/>
    </row>
    <row r="390" spans="1:8" ht="37.5" x14ac:dyDescent="0.25">
      <c r="A390" s="480"/>
      <c r="B390" s="70" t="s">
        <v>45</v>
      </c>
      <c r="C390" s="72" t="s">
        <v>405</v>
      </c>
      <c r="D390" s="76" t="s">
        <v>29</v>
      </c>
      <c r="E390" s="116">
        <f>E388/E389</f>
        <v>2970.5388888888888</v>
      </c>
      <c r="F390" s="278">
        <f>F388/F389</f>
        <v>2288.3250000000003</v>
      </c>
      <c r="G390" s="310"/>
      <c r="H390" s="466"/>
    </row>
    <row r="391" spans="1:8" ht="18.75" x14ac:dyDescent="0.25">
      <c r="A391" s="481"/>
      <c r="B391" s="70" t="s">
        <v>37</v>
      </c>
      <c r="C391" s="50" t="s">
        <v>257</v>
      </c>
      <c r="D391" s="76" t="s">
        <v>48</v>
      </c>
      <c r="E391" s="111">
        <v>100</v>
      </c>
      <c r="F391" s="271">
        <v>100</v>
      </c>
      <c r="G391" s="311"/>
      <c r="H391" s="467"/>
    </row>
    <row r="392" spans="1:8" ht="18.75" x14ac:dyDescent="0.25">
      <c r="A392" s="479" t="s">
        <v>519</v>
      </c>
      <c r="B392" s="89" t="s">
        <v>40</v>
      </c>
      <c r="C392" s="47" t="s">
        <v>276</v>
      </c>
      <c r="D392" s="89" t="s">
        <v>29</v>
      </c>
      <c r="E392" s="107">
        <f>Заходи!F379</f>
        <v>190.7599999999984</v>
      </c>
      <c r="F392" s="108">
        <f>Заходи!I379</f>
        <v>190.76</v>
      </c>
      <c r="G392" s="308">
        <f>F392/E392*100</f>
        <v>100.00000000000084</v>
      </c>
      <c r="H392" s="333"/>
    </row>
    <row r="393" spans="1:8" ht="18.75" x14ac:dyDescent="0.25">
      <c r="A393" s="480"/>
      <c r="B393" s="91" t="s">
        <v>36</v>
      </c>
      <c r="C393" s="72" t="s">
        <v>255</v>
      </c>
      <c r="D393" s="77" t="s">
        <v>73</v>
      </c>
      <c r="E393" s="115">
        <v>1</v>
      </c>
      <c r="F393" s="277">
        <v>1</v>
      </c>
      <c r="G393" s="309"/>
      <c r="H393" s="333"/>
    </row>
    <row r="394" spans="1:8" ht="37.5" x14ac:dyDescent="0.25">
      <c r="A394" s="480"/>
      <c r="B394" s="70" t="s">
        <v>45</v>
      </c>
      <c r="C394" s="72" t="s">
        <v>277</v>
      </c>
      <c r="D394" s="76" t="s">
        <v>29</v>
      </c>
      <c r="E394" s="113">
        <f>E392/E393</f>
        <v>190.7599999999984</v>
      </c>
      <c r="F394" s="281">
        <f>F392/F393</f>
        <v>190.76</v>
      </c>
      <c r="G394" s="310"/>
      <c r="H394" s="333"/>
    </row>
    <row r="395" spans="1:8" ht="18.75" x14ac:dyDescent="0.25">
      <c r="A395" s="481"/>
      <c r="B395" s="70" t="s">
        <v>37</v>
      </c>
      <c r="C395" s="50" t="s">
        <v>257</v>
      </c>
      <c r="D395" s="76" t="s">
        <v>48</v>
      </c>
      <c r="E395" s="111">
        <v>100</v>
      </c>
      <c r="F395" s="271">
        <v>100</v>
      </c>
      <c r="G395" s="311"/>
      <c r="H395" s="333"/>
    </row>
    <row r="396" spans="1:8" ht="39" x14ac:dyDescent="0.25">
      <c r="A396" s="58" t="s">
        <v>420</v>
      </c>
      <c r="B396" s="70"/>
      <c r="C396" s="78"/>
      <c r="D396" s="77"/>
      <c r="E396" s="104">
        <f>E398</f>
        <v>-7654.09</v>
      </c>
      <c r="F396" s="104">
        <f>F398</f>
        <v>5500</v>
      </c>
      <c r="G396" s="305">
        <f>G398</f>
        <v>0</v>
      </c>
      <c r="H396" s="333"/>
    </row>
    <row r="397" spans="1:8" ht="37.5" x14ac:dyDescent="0.25">
      <c r="A397" s="50" t="s">
        <v>268</v>
      </c>
      <c r="B397" s="70"/>
      <c r="C397" s="71"/>
      <c r="D397" s="76"/>
      <c r="E397" s="105"/>
      <c r="F397" s="254"/>
      <c r="G397" s="306"/>
      <c r="H397" s="333"/>
    </row>
    <row r="398" spans="1:8" ht="19.5" x14ac:dyDescent="0.35">
      <c r="A398" s="57" t="s">
        <v>378</v>
      </c>
      <c r="B398" s="79"/>
      <c r="C398" s="80"/>
      <c r="D398" s="53"/>
      <c r="E398" s="106">
        <f>E399+E403</f>
        <v>-7654.09</v>
      </c>
      <c r="F398" s="106">
        <f>F399+F403</f>
        <v>5500</v>
      </c>
      <c r="G398" s="307">
        <f>G399</f>
        <v>0</v>
      </c>
      <c r="H398" s="333"/>
    </row>
    <row r="399" spans="1:8" ht="18.75" x14ac:dyDescent="0.25">
      <c r="A399" s="479" t="s">
        <v>520</v>
      </c>
      <c r="B399" s="89" t="s">
        <v>40</v>
      </c>
      <c r="C399" s="59" t="s">
        <v>271</v>
      </c>
      <c r="D399" s="89" t="s">
        <v>29</v>
      </c>
      <c r="E399" s="107">
        <f>Заходи!F387</f>
        <v>-13154.09</v>
      </c>
      <c r="F399" s="256"/>
      <c r="G399" s="308">
        <f>Заходи!L387</f>
        <v>0</v>
      </c>
      <c r="H399" s="333"/>
    </row>
    <row r="400" spans="1:8" ht="18.75" x14ac:dyDescent="0.25">
      <c r="A400" s="480"/>
      <c r="B400" s="91" t="s">
        <v>36</v>
      </c>
      <c r="C400" s="72" t="s">
        <v>272</v>
      </c>
      <c r="D400" s="77" t="s">
        <v>73</v>
      </c>
      <c r="E400" s="115">
        <v>3</v>
      </c>
      <c r="F400" s="257"/>
      <c r="G400" s="309"/>
      <c r="H400" s="333"/>
    </row>
    <row r="401" spans="1:8" ht="18.75" x14ac:dyDescent="0.25">
      <c r="A401" s="480"/>
      <c r="B401" s="70" t="s">
        <v>45</v>
      </c>
      <c r="C401" s="72" t="s">
        <v>273</v>
      </c>
      <c r="D401" s="76" t="s">
        <v>29</v>
      </c>
      <c r="E401" s="116">
        <f>-E399/E400</f>
        <v>4384.6966666666667</v>
      </c>
      <c r="F401" s="258"/>
      <c r="G401" s="310"/>
      <c r="H401" s="333"/>
    </row>
    <row r="402" spans="1:8" ht="18.75" x14ac:dyDescent="0.25">
      <c r="A402" s="481"/>
      <c r="B402" s="70" t="s">
        <v>37</v>
      </c>
      <c r="C402" s="50" t="s">
        <v>257</v>
      </c>
      <c r="D402" s="76" t="s">
        <v>48</v>
      </c>
      <c r="E402" s="111">
        <v>100</v>
      </c>
      <c r="F402" s="259"/>
      <c r="G402" s="311"/>
      <c r="H402" s="333"/>
    </row>
    <row r="403" spans="1:8" ht="18.75" x14ac:dyDescent="0.25">
      <c r="A403" s="470" t="s">
        <v>650</v>
      </c>
      <c r="B403" s="89" t="s">
        <v>40</v>
      </c>
      <c r="C403" s="59" t="s">
        <v>421</v>
      </c>
      <c r="D403" s="89" t="s">
        <v>29</v>
      </c>
      <c r="E403" s="183">
        <f>Заходи!F391</f>
        <v>5500</v>
      </c>
      <c r="F403" s="280">
        <v>5500</v>
      </c>
      <c r="G403" s="308">
        <f>F403/E403*100</f>
        <v>100</v>
      </c>
      <c r="H403" s="333"/>
    </row>
    <row r="404" spans="1:8" ht="18.75" x14ac:dyDescent="0.25">
      <c r="A404" s="470"/>
      <c r="B404" s="181" t="s">
        <v>36</v>
      </c>
      <c r="C404" s="72" t="s">
        <v>455</v>
      </c>
      <c r="D404" s="180" t="s">
        <v>73</v>
      </c>
      <c r="E404" s="111">
        <v>1</v>
      </c>
      <c r="F404" s="271">
        <v>1</v>
      </c>
      <c r="G404" s="311"/>
      <c r="H404" s="333"/>
    </row>
    <row r="405" spans="1:8" ht="18.75" x14ac:dyDescent="0.25">
      <c r="A405" s="470"/>
      <c r="B405" s="179" t="s">
        <v>45</v>
      </c>
      <c r="C405" s="72" t="s">
        <v>422</v>
      </c>
      <c r="D405" s="182" t="s">
        <v>29</v>
      </c>
      <c r="E405" s="111">
        <v>2500</v>
      </c>
      <c r="F405" s="271">
        <v>5500</v>
      </c>
      <c r="G405" s="311"/>
      <c r="H405" s="333"/>
    </row>
    <row r="406" spans="1:8" ht="18.75" x14ac:dyDescent="0.25">
      <c r="A406" s="470"/>
      <c r="B406" s="179" t="s">
        <v>37</v>
      </c>
      <c r="C406" s="50" t="s">
        <v>257</v>
      </c>
      <c r="D406" s="182" t="s">
        <v>48</v>
      </c>
      <c r="E406" s="111">
        <v>100</v>
      </c>
      <c r="F406" s="271">
        <v>100</v>
      </c>
      <c r="G406" s="311"/>
      <c r="H406" s="333"/>
    </row>
    <row r="407" spans="1:8" ht="52.5" customHeight="1" x14ac:dyDescent="0.25">
      <c r="A407" s="142" t="s">
        <v>322</v>
      </c>
      <c r="B407" s="70"/>
      <c r="C407" s="78"/>
      <c r="D407" s="77"/>
      <c r="E407" s="104">
        <f>E409</f>
        <v>74098.760000000009</v>
      </c>
      <c r="F407" s="275">
        <f>F409</f>
        <v>54340.160000000003</v>
      </c>
      <c r="G407" s="305">
        <f>G409</f>
        <v>73.334776452399467</v>
      </c>
      <c r="H407" s="333"/>
    </row>
    <row r="408" spans="1:8" ht="37.5" x14ac:dyDescent="0.25">
      <c r="A408" s="50" t="s">
        <v>440</v>
      </c>
      <c r="B408" s="70"/>
      <c r="C408" s="71"/>
      <c r="D408" s="76"/>
      <c r="E408" s="105"/>
      <c r="F408" s="276"/>
      <c r="G408" s="306"/>
      <c r="H408" s="333"/>
    </row>
    <row r="409" spans="1:8" ht="58.5" x14ac:dyDescent="0.35">
      <c r="A409" s="82" t="s">
        <v>379</v>
      </c>
      <c r="B409" s="79"/>
      <c r="C409" s="80"/>
      <c r="D409" s="53"/>
      <c r="E409" s="106">
        <f>E410</f>
        <v>74098.760000000009</v>
      </c>
      <c r="F409" s="272">
        <f>F410</f>
        <v>54340.160000000003</v>
      </c>
      <c r="G409" s="307">
        <f>G410</f>
        <v>73.334776452399467</v>
      </c>
      <c r="H409" s="333"/>
    </row>
    <row r="410" spans="1:8" ht="18.75" x14ac:dyDescent="0.25">
      <c r="A410" s="479" t="s">
        <v>316</v>
      </c>
      <c r="B410" s="89" t="s">
        <v>40</v>
      </c>
      <c r="C410" s="59" t="s">
        <v>270</v>
      </c>
      <c r="D410" s="89" t="s">
        <v>29</v>
      </c>
      <c r="E410" s="107">
        <f>Заходи!F395</f>
        <v>74098.760000000009</v>
      </c>
      <c r="F410" s="108">
        <v>54340.160000000003</v>
      </c>
      <c r="G410" s="308">
        <f>F410/E410*100</f>
        <v>73.334776452399467</v>
      </c>
      <c r="H410" s="465" t="s">
        <v>648</v>
      </c>
    </row>
    <row r="411" spans="1:8" ht="21" customHeight="1" x14ac:dyDescent="0.25">
      <c r="A411" s="480"/>
      <c r="B411" s="91" t="s">
        <v>36</v>
      </c>
      <c r="C411" s="72" t="s">
        <v>208</v>
      </c>
      <c r="D411" s="77" t="s">
        <v>73</v>
      </c>
      <c r="E411" s="119">
        <v>43</v>
      </c>
      <c r="F411" s="277">
        <v>43</v>
      </c>
      <c r="G411" s="309"/>
      <c r="H411" s="466"/>
    </row>
    <row r="412" spans="1:8" ht="18.75" x14ac:dyDescent="0.25">
      <c r="A412" s="480"/>
      <c r="B412" s="70" t="s">
        <v>45</v>
      </c>
      <c r="C412" s="72" t="s">
        <v>317</v>
      </c>
      <c r="D412" s="76" t="s">
        <v>29</v>
      </c>
      <c r="E412" s="116">
        <f>E410/E411</f>
        <v>1723.2269767441862</v>
      </c>
      <c r="F412" s="278">
        <f>F410/F411</f>
        <v>1263.7246511627907</v>
      </c>
      <c r="G412" s="310"/>
      <c r="H412" s="466"/>
    </row>
    <row r="413" spans="1:8" ht="18.75" x14ac:dyDescent="0.25">
      <c r="A413" s="480"/>
      <c r="B413" s="165" t="s">
        <v>37</v>
      </c>
      <c r="C413" s="166" t="s">
        <v>257</v>
      </c>
      <c r="D413" s="164" t="s">
        <v>48</v>
      </c>
      <c r="E413" s="167">
        <v>100</v>
      </c>
      <c r="F413" s="279">
        <v>100</v>
      </c>
      <c r="G413" s="331"/>
      <c r="H413" s="467"/>
    </row>
    <row r="414" spans="1:8" ht="58.5" x14ac:dyDescent="0.25">
      <c r="A414" s="177" t="s">
        <v>416</v>
      </c>
      <c r="B414" s="176"/>
      <c r="C414" s="50"/>
      <c r="D414" s="178"/>
      <c r="E414" s="171">
        <f>Заходи!F410</f>
        <v>89775</v>
      </c>
      <c r="F414" s="270">
        <v>82331.67</v>
      </c>
      <c r="G414" s="332"/>
      <c r="H414" s="333"/>
    </row>
    <row r="415" spans="1:8" ht="37.5" x14ac:dyDescent="0.25">
      <c r="A415" s="72" t="s">
        <v>55</v>
      </c>
      <c r="B415" s="176"/>
      <c r="C415" s="50"/>
      <c r="D415" s="178"/>
      <c r="E415" s="111"/>
      <c r="F415" s="271"/>
      <c r="G415" s="311"/>
      <c r="H415" s="333"/>
    </row>
    <row r="416" spans="1:8" ht="58.5" x14ac:dyDescent="0.35">
      <c r="A416" s="169" t="s">
        <v>441</v>
      </c>
      <c r="B416" s="79"/>
      <c r="C416" s="170"/>
      <c r="D416" s="170"/>
      <c r="E416" s="106">
        <f>E417</f>
        <v>89775</v>
      </c>
      <c r="F416" s="272">
        <f>F414</f>
        <v>82331.67</v>
      </c>
      <c r="G416" s="307">
        <f>G414</f>
        <v>0</v>
      </c>
      <c r="H416" s="333"/>
    </row>
    <row r="417" spans="1:8" ht="18.75" customHeight="1" x14ac:dyDescent="0.25">
      <c r="A417" s="470" t="s">
        <v>442</v>
      </c>
      <c r="B417" s="89" t="s">
        <v>40</v>
      </c>
      <c r="C417" s="59" t="s">
        <v>406</v>
      </c>
      <c r="D417" s="89" t="s">
        <v>29</v>
      </c>
      <c r="E417" s="190">
        <f>Заходи!F410</f>
        <v>89775</v>
      </c>
      <c r="F417" s="168">
        <v>82331.67</v>
      </c>
      <c r="G417" s="308">
        <f>F417/E417*100</f>
        <v>91.708905597326648</v>
      </c>
      <c r="H417" s="333"/>
    </row>
    <row r="418" spans="1:8" ht="56.25" x14ac:dyDescent="0.25">
      <c r="A418" s="470"/>
      <c r="B418" s="186" t="s">
        <v>36</v>
      </c>
      <c r="C418" s="72" t="s">
        <v>417</v>
      </c>
      <c r="D418" s="187" t="s">
        <v>73</v>
      </c>
      <c r="E418" s="147">
        <v>1</v>
      </c>
      <c r="F418" s="273">
        <v>1</v>
      </c>
      <c r="G418" s="320"/>
      <c r="H418" s="333"/>
    </row>
    <row r="419" spans="1:8" ht="37.5" x14ac:dyDescent="0.25">
      <c r="A419" s="470"/>
      <c r="B419" s="187" t="s">
        <v>45</v>
      </c>
      <c r="C419" s="72" t="s">
        <v>415</v>
      </c>
      <c r="D419" s="187" t="s">
        <v>29</v>
      </c>
      <c r="E419" s="163">
        <f>E417/E418</f>
        <v>89775</v>
      </c>
      <c r="F419" s="274">
        <v>82331.67</v>
      </c>
      <c r="G419" s="328"/>
      <c r="H419" s="333"/>
    </row>
    <row r="420" spans="1:8" ht="18.75" x14ac:dyDescent="0.25">
      <c r="A420" s="470"/>
      <c r="B420" s="187" t="s">
        <v>37</v>
      </c>
      <c r="C420" s="50" t="s">
        <v>257</v>
      </c>
      <c r="D420" s="187" t="s">
        <v>48</v>
      </c>
      <c r="E420" s="163">
        <v>100</v>
      </c>
      <c r="F420" s="274">
        <v>100</v>
      </c>
      <c r="G420" s="328"/>
      <c r="H420" s="333"/>
    </row>
    <row r="421" spans="1:8" ht="58.5" x14ac:dyDescent="0.25">
      <c r="A421" s="185" t="s">
        <v>429</v>
      </c>
      <c r="B421" s="187"/>
      <c r="C421" s="50"/>
      <c r="D421" s="188"/>
      <c r="E421" s="171">
        <f>Заходи!F414</f>
        <v>313.36</v>
      </c>
      <c r="F421" s="270">
        <v>313.3</v>
      </c>
      <c r="G421" s="332"/>
      <c r="H421" s="333"/>
    </row>
    <row r="422" spans="1:8" ht="37.5" x14ac:dyDescent="0.25">
      <c r="A422" s="72" t="s">
        <v>55</v>
      </c>
      <c r="B422" s="187"/>
      <c r="C422" s="50"/>
      <c r="D422" s="188"/>
      <c r="E422" s="111"/>
      <c r="F422" s="271"/>
      <c r="G422" s="311"/>
      <c r="H422" s="333"/>
    </row>
    <row r="423" spans="1:8" ht="53.25" customHeight="1" x14ac:dyDescent="0.35">
      <c r="A423" s="169" t="s">
        <v>443</v>
      </c>
      <c r="B423" s="79"/>
      <c r="C423" s="170"/>
      <c r="D423" s="170"/>
      <c r="E423" s="106">
        <f>E424</f>
        <v>313.36</v>
      </c>
      <c r="F423" s="272">
        <f>F421</f>
        <v>313.3</v>
      </c>
      <c r="G423" s="307">
        <f>G421</f>
        <v>0</v>
      </c>
      <c r="H423" s="333"/>
    </row>
    <row r="424" spans="1:8" ht="18.75" x14ac:dyDescent="0.25">
      <c r="A424" s="470" t="s">
        <v>444</v>
      </c>
      <c r="B424" s="89" t="s">
        <v>40</v>
      </c>
      <c r="C424" s="59" t="s">
        <v>406</v>
      </c>
      <c r="D424" s="89" t="s">
        <v>29</v>
      </c>
      <c r="E424" s="190">
        <f>Заходи!F414</f>
        <v>313.36</v>
      </c>
      <c r="F424" s="168">
        <v>313.3</v>
      </c>
      <c r="G424" s="308">
        <f>F424/E424*100</f>
        <v>99.980852693387803</v>
      </c>
      <c r="H424" s="333"/>
    </row>
    <row r="425" spans="1:8" ht="18.75" x14ac:dyDescent="0.25">
      <c r="A425" s="470"/>
      <c r="B425" s="394" t="s">
        <v>36</v>
      </c>
      <c r="C425" s="72" t="s">
        <v>433</v>
      </c>
      <c r="D425" s="187" t="s">
        <v>73</v>
      </c>
      <c r="E425" s="147">
        <v>500</v>
      </c>
      <c r="F425" s="273">
        <v>500</v>
      </c>
      <c r="G425" s="320"/>
      <c r="H425" s="333"/>
    </row>
    <row r="426" spans="1:8" ht="37.5" x14ac:dyDescent="0.25">
      <c r="A426" s="470"/>
      <c r="B426" s="395"/>
      <c r="C426" s="72" t="s">
        <v>434</v>
      </c>
      <c r="D426" s="187" t="s">
        <v>131</v>
      </c>
      <c r="E426" s="147">
        <v>40</v>
      </c>
      <c r="F426" s="273">
        <v>40</v>
      </c>
      <c r="G426" s="320"/>
      <c r="H426" s="333"/>
    </row>
    <row r="427" spans="1:8" ht="37.5" x14ac:dyDescent="0.25">
      <c r="A427" s="470"/>
      <c r="B427" s="396"/>
      <c r="C427" s="72" t="s">
        <v>550</v>
      </c>
      <c r="D427" s="187" t="s">
        <v>280</v>
      </c>
      <c r="E427" s="147">
        <v>550</v>
      </c>
      <c r="F427" s="273">
        <v>550</v>
      </c>
      <c r="G427" s="320"/>
      <c r="H427" s="333"/>
    </row>
    <row r="428" spans="1:8" s="192" customFormat="1" ht="18.75" hidden="1" x14ac:dyDescent="0.25">
      <c r="A428" s="470"/>
      <c r="B428" s="250"/>
      <c r="C428" s="72"/>
      <c r="D428" s="251"/>
      <c r="E428" s="147"/>
      <c r="F428" s="273"/>
      <c r="G428" s="320"/>
      <c r="H428" s="333"/>
    </row>
    <row r="429" spans="1:8" s="192" customFormat="1" ht="18.75" hidden="1" x14ac:dyDescent="0.25">
      <c r="A429" s="470"/>
      <c r="B429" s="250"/>
      <c r="C429" s="72"/>
      <c r="D429" s="251"/>
      <c r="E429" s="147"/>
      <c r="F429" s="273"/>
      <c r="G429" s="320"/>
      <c r="H429" s="333"/>
    </row>
    <row r="430" spans="1:8" s="192" customFormat="1" ht="18.75" hidden="1" x14ac:dyDescent="0.25">
      <c r="A430" s="470"/>
      <c r="B430" s="250"/>
      <c r="C430" s="72"/>
      <c r="D430" s="251"/>
      <c r="E430" s="147"/>
      <c r="F430" s="273"/>
      <c r="G430" s="320"/>
      <c r="H430" s="333"/>
    </row>
    <row r="431" spans="1:8" ht="18.75" x14ac:dyDescent="0.25">
      <c r="A431" s="470"/>
      <c r="B431" s="471" t="s">
        <v>45</v>
      </c>
      <c r="C431" s="72" t="s">
        <v>435</v>
      </c>
      <c r="D431" s="189"/>
      <c r="E431" s="147"/>
      <c r="F431" s="273"/>
      <c r="G431" s="320"/>
      <c r="H431" s="333"/>
    </row>
    <row r="432" spans="1:8" ht="18.75" x14ac:dyDescent="0.25">
      <c r="A432" s="470"/>
      <c r="B432" s="472"/>
      <c r="C432" s="191" t="s">
        <v>436</v>
      </c>
      <c r="D432" s="471" t="s">
        <v>29</v>
      </c>
      <c r="E432" s="163">
        <f>209/E425</f>
        <v>0.41799999999999998</v>
      </c>
      <c r="F432" s="274">
        <v>0.4</v>
      </c>
      <c r="G432" s="328"/>
      <c r="H432" s="333"/>
    </row>
    <row r="433" spans="1:8" ht="18.75" x14ac:dyDescent="0.25">
      <c r="A433" s="470"/>
      <c r="B433" s="472"/>
      <c r="C433" s="191" t="s">
        <v>437</v>
      </c>
      <c r="D433" s="472"/>
      <c r="E433" s="163">
        <f>7.36/E426</f>
        <v>0.184</v>
      </c>
      <c r="F433" s="274">
        <v>0.2</v>
      </c>
      <c r="G433" s="328"/>
      <c r="H433" s="333"/>
    </row>
    <row r="434" spans="1:8" ht="18.75" x14ac:dyDescent="0.25">
      <c r="A434" s="470"/>
      <c r="B434" s="473"/>
      <c r="C434" s="191" t="s">
        <v>438</v>
      </c>
      <c r="D434" s="473"/>
      <c r="E434" s="163">
        <f>97/E427</f>
        <v>0.17636363636363636</v>
      </c>
      <c r="F434" s="274">
        <v>0.2</v>
      </c>
      <c r="G434" s="328"/>
      <c r="H434" s="333"/>
    </row>
    <row r="435" spans="1:8" ht="18.75" x14ac:dyDescent="0.25">
      <c r="A435" s="470"/>
      <c r="B435" s="187" t="s">
        <v>37</v>
      </c>
      <c r="C435" s="72" t="s">
        <v>257</v>
      </c>
      <c r="D435" s="187" t="s">
        <v>48</v>
      </c>
      <c r="E435" s="163">
        <v>100</v>
      </c>
      <c r="F435" s="274">
        <v>100</v>
      </c>
      <c r="G435" s="328"/>
      <c r="H435" s="333"/>
    </row>
    <row r="436" spans="1:8" ht="39" x14ac:dyDescent="0.25">
      <c r="A436" s="185" t="s">
        <v>430</v>
      </c>
      <c r="B436" s="187"/>
      <c r="C436" s="50"/>
      <c r="D436" s="188"/>
      <c r="E436" s="171">
        <f>Заходи!F418</f>
        <v>5007.9100000000008</v>
      </c>
      <c r="F436" s="270">
        <v>4037.98</v>
      </c>
      <c r="G436" s="332"/>
      <c r="H436" s="333"/>
    </row>
    <row r="437" spans="1:8" ht="37.5" x14ac:dyDescent="0.25">
      <c r="A437" s="72" t="s">
        <v>55</v>
      </c>
      <c r="B437" s="187"/>
      <c r="C437" s="50"/>
      <c r="D437" s="188"/>
      <c r="E437" s="111"/>
      <c r="F437" s="271"/>
      <c r="G437" s="311"/>
      <c r="H437" s="333"/>
    </row>
    <row r="438" spans="1:8" ht="58.5" x14ac:dyDescent="0.35">
      <c r="A438" s="169" t="s">
        <v>445</v>
      </c>
      <c r="B438" s="79"/>
      <c r="C438" s="170"/>
      <c r="D438" s="170"/>
      <c r="E438" s="106">
        <f>E439</f>
        <v>5007.9100000000008</v>
      </c>
      <c r="F438" s="272">
        <f>F436</f>
        <v>4037.98</v>
      </c>
      <c r="G438" s="307">
        <f>G436</f>
        <v>0</v>
      </c>
      <c r="H438" s="333"/>
    </row>
    <row r="439" spans="1:8" ht="18.75" x14ac:dyDescent="0.25">
      <c r="A439" s="470" t="s">
        <v>426</v>
      </c>
      <c r="B439" s="89" t="s">
        <v>40</v>
      </c>
      <c r="C439" s="59" t="s">
        <v>406</v>
      </c>
      <c r="D439" s="89" t="s">
        <v>29</v>
      </c>
      <c r="E439" s="190">
        <f>Заходи!F418</f>
        <v>5007.9100000000008</v>
      </c>
      <c r="F439" s="168">
        <v>4037.98</v>
      </c>
      <c r="G439" s="308">
        <f>F439/E439*100</f>
        <v>80.632040112541944</v>
      </c>
      <c r="H439" s="333"/>
    </row>
    <row r="440" spans="1:8" ht="56.25" x14ac:dyDescent="0.25">
      <c r="A440" s="470"/>
      <c r="B440" s="186" t="s">
        <v>36</v>
      </c>
      <c r="C440" s="72" t="s">
        <v>431</v>
      </c>
      <c r="D440" s="187" t="s">
        <v>73</v>
      </c>
      <c r="E440" s="147">
        <v>4</v>
      </c>
      <c r="F440" s="273">
        <v>4</v>
      </c>
      <c r="G440" s="320"/>
      <c r="H440" s="333"/>
    </row>
    <row r="441" spans="1:8" ht="56.25" x14ac:dyDescent="0.25">
      <c r="A441" s="470"/>
      <c r="B441" s="187" t="s">
        <v>45</v>
      </c>
      <c r="C441" s="72" t="s">
        <v>432</v>
      </c>
      <c r="D441" s="187" t="s">
        <v>29</v>
      </c>
      <c r="E441" s="163">
        <f>E439/E440</f>
        <v>1251.9775000000002</v>
      </c>
      <c r="F441" s="163">
        <f>F439/F440</f>
        <v>1009.495</v>
      </c>
      <c r="G441" s="328"/>
      <c r="H441" s="333"/>
    </row>
    <row r="442" spans="1:8" ht="18.75" x14ac:dyDescent="0.25">
      <c r="A442" s="470"/>
      <c r="B442" s="187" t="s">
        <v>37</v>
      </c>
      <c r="C442" s="50" t="s">
        <v>257</v>
      </c>
      <c r="D442" s="187" t="s">
        <v>48</v>
      </c>
      <c r="E442" s="163">
        <v>100</v>
      </c>
      <c r="F442" s="163">
        <v>100</v>
      </c>
      <c r="G442" s="328"/>
      <c r="H442" s="333"/>
    </row>
    <row r="443" spans="1:8" s="192" customFormat="1" ht="19.5" x14ac:dyDescent="0.25">
      <c r="A443" s="199" t="s">
        <v>450</v>
      </c>
      <c r="B443" s="197"/>
      <c r="C443" s="50"/>
      <c r="D443" s="198"/>
      <c r="E443" s="171">
        <f>Заходи!F422</f>
        <v>300</v>
      </c>
      <c r="F443" s="270">
        <v>234</v>
      </c>
      <c r="G443" s="332"/>
      <c r="H443" s="333"/>
    </row>
    <row r="444" spans="1:8" s="192" customFormat="1" ht="37.5" x14ac:dyDescent="0.25">
      <c r="A444" s="72" t="s">
        <v>55</v>
      </c>
      <c r="B444" s="197"/>
      <c r="C444" s="50"/>
      <c r="D444" s="198"/>
      <c r="E444" s="111"/>
      <c r="F444" s="271"/>
      <c r="G444" s="311"/>
      <c r="H444" s="333"/>
    </row>
    <row r="445" spans="1:8" s="192" customFormat="1" ht="19.5" x14ac:dyDescent="0.35">
      <c r="A445" s="169" t="s">
        <v>448</v>
      </c>
      <c r="B445" s="79"/>
      <c r="C445" s="170"/>
      <c r="D445" s="170"/>
      <c r="E445" s="106">
        <f>E446</f>
        <v>300</v>
      </c>
      <c r="F445" s="272">
        <f>F443</f>
        <v>234</v>
      </c>
      <c r="G445" s="307">
        <f>G443</f>
        <v>0</v>
      </c>
      <c r="H445" s="333"/>
    </row>
    <row r="446" spans="1:8" s="192" customFormat="1" ht="18.75" x14ac:dyDescent="0.25">
      <c r="A446" s="470" t="s">
        <v>449</v>
      </c>
      <c r="B446" s="89" t="s">
        <v>40</v>
      </c>
      <c r="C446" s="59" t="s">
        <v>406</v>
      </c>
      <c r="D446" s="89" t="s">
        <v>29</v>
      </c>
      <c r="E446" s="190">
        <f>Заходи!F422</f>
        <v>300</v>
      </c>
      <c r="F446" s="168">
        <v>234</v>
      </c>
      <c r="G446" s="308">
        <f>F446/E446*100</f>
        <v>78</v>
      </c>
      <c r="H446" s="333"/>
    </row>
    <row r="447" spans="1:8" s="192" customFormat="1" ht="18.75" x14ac:dyDescent="0.25">
      <c r="A447" s="470"/>
      <c r="B447" s="196" t="s">
        <v>36</v>
      </c>
      <c r="C447" s="72" t="s">
        <v>451</v>
      </c>
      <c r="D447" s="197" t="s">
        <v>73</v>
      </c>
      <c r="E447" s="147">
        <v>1</v>
      </c>
      <c r="F447" s="273">
        <v>1</v>
      </c>
      <c r="G447" s="320"/>
      <c r="H447" s="333"/>
    </row>
    <row r="448" spans="1:8" s="192" customFormat="1" ht="18.75" x14ac:dyDescent="0.25">
      <c r="A448" s="470"/>
      <c r="B448" s="197" t="s">
        <v>45</v>
      </c>
      <c r="C448" s="72" t="s">
        <v>452</v>
      </c>
      <c r="D448" s="197" t="s">
        <v>29</v>
      </c>
      <c r="E448" s="163">
        <f>E446/E447</f>
        <v>300</v>
      </c>
      <c r="F448" s="274">
        <v>234</v>
      </c>
      <c r="G448" s="328"/>
      <c r="H448" s="333"/>
    </row>
    <row r="449" spans="1:8" s="192" customFormat="1" ht="18.75" x14ac:dyDescent="0.25">
      <c r="A449" s="470"/>
      <c r="B449" s="197" t="s">
        <v>37</v>
      </c>
      <c r="C449" s="50" t="s">
        <v>257</v>
      </c>
      <c r="D449" s="197" t="s">
        <v>48</v>
      </c>
      <c r="E449" s="163">
        <v>100</v>
      </c>
      <c r="F449" s="274">
        <v>100</v>
      </c>
      <c r="G449" s="328"/>
      <c r="H449" s="333"/>
    </row>
    <row r="450" spans="1:8" ht="18.75" x14ac:dyDescent="0.3">
      <c r="A450" s="2"/>
      <c r="B450" s="2"/>
      <c r="C450" s="2"/>
      <c r="D450" s="2"/>
      <c r="E450" s="2"/>
      <c r="F450" s="8"/>
      <c r="G450" s="41"/>
    </row>
    <row r="451" spans="1:8" ht="26.25" x14ac:dyDescent="0.4">
      <c r="A451" s="459" t="s">
        <v>307</v>
      </c>
      <c r="B451" s="459"/>
      <c r="C451" s="139" t="s">
        <v>30</v>
      </c>
      <c r="D451" s="2"/>
      <c r="G451" s="41"/>
    </row>
    <row r="452" spans="1:8" ht="18.75" hidden="1" x14ac:dyDescent="0.3">
      <c r="A452" s="56"/>
      <c r="C452" s="56"/>
      <c r="D452" s="56"/>
      <c r="E452" s="2"/>
      <c r="F452" s="8"/>
      <c r="G452" s="41"/>
    </row>
    <row r="453" spans="1:8" hidden="1" x14ac:dyDescent="0.25"/>
  </sheetData>
  <mergeCells count="156">
    <mergeCell ref="D1:G1"/>
    <mergeCell ref="A278:A283"/>
    <mergeCell ref="D18:D20"/>
    <mergeCell ref="C18:C20"/>
    <mergeCell ref="B18:B20"/>
    <mergeCell ref="A2:G2"/>
    <mergeCell ref="A3:A4"/>
    <mergeCell ref="B3:B4"/>
    <mergeCell ref="C3:C4"/>
    <mergeCell ref="D3:D4"/>
    <mergeCell ref="A40:A43"/>
    <mergeCell ref="A44:A48"/>
    <mergeCell ref="B45:B46"/>
    <mergeCell ref="D45:D46"/>
    <mergeCell ref="A31:A35"/>
    <mergeCell ref="D106:D107"/>
    <mergeCell ref="A54:A57"/>
    <mergeCell ref="B89:B90"/>
    <mergeCell ref="D89:D90"/>
    <mergeCell ref="D218:D219"/>
    <mergeCell ref="D66:D68"/>
    <mergeCell ref="D256:D257"/>
    <mergeCell ref="D99:D101"/>
    <mergeCell ref="D69:D70"/>
    <mergeCell ref="H6:H7"/>
    <mergeCell ref="H81:H84"/>
    <mergeCell ref="H40:H43"/>
    <mergeCell ref="H49:H53"/>
    <mergeCell ref="B119:B125"/>
    <mergeCell ref="D102:D103"/>
    <mergeCell ref="A144:A147"/>
    <mergeCell ref="D71:D72"/>
    <mergeCell ref="D50:D51"/>
    <mergeCell ref="A58:A61"/>
    <mergeCell ref="D94:D95"/>
    <mergeCell ref="B94:B95"/>
    <mergeCell ref="A49:A53"/>
    <mergeCell ref="B102:B103"/>
    <mergeCell ref="A105:A109"/>
    <mergeCell ref="D129:D130"/>
    <mergeCell ref="A98:A104"/>
    <mergeCell ref="B78:B80"/>
    <mergeCell ref="A36:A39"/>
    <mergeCell ref="B32:B33"/>
    <mergeCell ref="B106:B107"/>
    <mergeCell ref="A133:A136"/>
    <mergeCell ref="A65:A80"/>
    <mergeCell ref="D32:D33"/>
    <mergeCell ref="D122:D124"/>
    <mergeCell ref="B129:B130"/>
    <mergeCell ref="G6:G7"/>
    <mergeCell ref="A21:A25"/>
    <mergeCell ref="D12:D13"/>
    <mergeCell ref="B22:B23"/>
    <mergeCell ref="A6:A17"/>
    <mergeCell ref="B6:B9"/>
    <mergeCell ref="D10:D11"/>
    <mergeCell ref="B10:B13"/>
    <mergeCell ref="B14:B17"/>
    <mergeCell ref="D14:D17"/>
    <mergeCell ref="D22:D23"/>
    <mergeCell ref="D6:D7"/>
    <mergeCell ref="F6:F7"/>
    <mergeCell ref="A274:A277"/>
    <mergeCell ref="B256:B257"/>
    <mergeCell ref="B218:B219"/>
    <mergeCell ref="A93:A97"/>
    <mergeCell ref="A178:A181"/>
    <mergeCell ref="A314:A317"/>
    <mergeCell ref="B66:B73"/>
    <mergeCell ref="B99:B101"/>
    <mergeCell ref="A114:A117"/>
    <mergeCell ref="B279:B280"/>
    <mergeCell ref="A186:A189"/>
    <mergeCell ref="A110:A113"/>
    <mergeCell ref="A171:A174"/>
    <mergeCell ref="A148:A151"/>
    <mergeCell ref="A152:A155"/>
    <mergeCell ref="A163:A166"/>
    <mergeCell ref="A167:A170"/>
    <mergeCell ref="A156:A159"/>
    <mergeCell ref="A198:A201"/>
    <mergeCell ref="A284:A287"/>
    <mergeCell ref="A209:A212"/>
    <mergeCell ref="A205:A208"/>
    <mergeCell ref="A182:A185"/>
    <mergeCell ref="B74:B77"/>
    <mergeCell ref="B281:B282"/>
    <mergeCell ref="B355:B356"/>
    <mergeCell ref="A292:A295"/>
    <mergeCell ref="A376:A380"/>
    <mergeCell ref="A344:A348"/>
    <mergeCell ref="B377:B378"/>
    <mergeCell ref="B350:B351"/>
    <mergeCell ref="A349:A353"/>
    <mergeCell ref="A399:A402"/>
    <mergeCell ref="A288:A291"/>
    <mergeCell ref="A307:A310"/>
    <mergeCell ref="B345:B346"/>
    <mergeCell ref="A190:A193"/>
    <mergeCell ref="A213:A216"/>
    <mergeCell ref="A226:A229"/>
    <mergeCell ref="A217:A221"/>
    <mergeCell ref="A222:A225"/>
    <mergeCell ref="A270:A273"/>
    <mergeCell ref="A194:A197"/>
    <mergeCell ref="A230:A233"/>
    <mergeCell ref="A234:A237"/>
    <mergeCell ref="A255:A259"/>
    <mergeCell ref="A263:A266"/>
    <mergeCell ref="A451:B451"/>
    <mergeCell ref="A330:A333"/>
    <mergeCell ref="A337:A340"/>
    <mergeCell ref="D377:D378"/>
    <mergeCell ref="D355:D356"/>
    <mergeCell ref="D350:D351"/>
    <mergeCell ref="D345:D346"/>
    <mergeCell ref="A296:A299"/>
    <mergeCell ref="A300:A303"/>
    <mergeCell ref="A403:A406"/>
    <mergeCell ref="B431:B434"/>
    <mergeCell ref="A354:A358"/>
    <mergeCell ref="A362:A365"/>
    <mergeCell ref="A410:A413"/>
    <mergeCell ref="A384:A387"/>
    <mergeCell ref="A369:A372"/>
    <mergeCell ref="A318:A321"/>
    <mergeCell ref="A326:A329"/>
    <mergeCell ref="A388:A391"/>
    <mergeCell ref="A392:A395"/>
    <mergeCell ref="A322:A325"/>
    <mergeCell ref="A446:A449"/>
    <mergeCell ref="H217:H218"/>
    <mergeCell ref="H226:H228"/>
    <mergeCell ref="H384:H387"/>
    <mergeCell ref="H388:H391"/>
    <mergeCell ref="H410:H413"/>
    <mergeCell ref="E3:F3"/>
    <mergeCell ref="A417:A420"/>
    <mergeCell ref="A424:A435"/>
    <mergeCell ref="A439:A442"/>
    <mergeCell ref="B425:B427"/>
    <mergeCell ref="D432:D434"/>
    <mergeCell ref="D281:D282"/>
    <mergeCell ref="D27:D28"/>
    <mergeCell ref="E6:E7"/>
    <mergeCell ref="A26:A30"/>
    <mergeCell ref="B27:B28"/>
    <mergeCell ref="A118:A127"/>
    <mergeCell ref="A128:A132"/>
    <mergeCell ref="A137:A140"/>
    <mergeCell ref="B50:B51"/>
    <mergeCell ref="A81:A84"/>
    <mergeCell ref="A88:A92"/>
    <mergeCell ref="A248:A251"/>
    <mergeCell ref="A241:A244"/>
  </mergeCells>
  <printOptions horizontalCentered="1"/>
  <pageMargins left="0.11811023622047245" right="0.11811023622047245" top="0.74803149606299213" bottom="0.55118110236220474" header="0.19685039370078741" footer="0.19685039370078741"/>
  <pageSetup paperSize="9"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Заходи</vt:lpstr>
      <vt:lpstr>Результативні</vt:lpstr>
      <vt:lpstr>Заходи!Область_печати</vt:lpstr>
      <vt:lpstr>Результативні!Область_печати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2026-05-04T06:07:23Z</dcterms:modified>
</cp:coreProperties>
</file>