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n2-fs2\dfei\Budg\2026\Бюджет\Бюджет\1 Рішення\ЗВІТ\І квартал\Рішення\МВК\Доопрацьовано\"/>
    </mc:Choice>
  </mc:AlternateContent>
  <bookViews>
    <workbookView xWindow="0" yWindow="0" windowWidth="28800" windowHeight="12345" tabRatio="345" activeTab="1"/>
  </bookViews>
  <sheets>
    <sheet name="дод 2" sheetId="1" r:id="rId1"/>
    <sheet name="дод 5" sheetId="3" r:id="rId2"/>
  </sheets>
  <definedNames>
    <definedName name="_xlnm.Print_Titles" localSheetId="0">'дод 2'!$11:$14</definedName>
    <definedName name="_xlnm.Print_Titles" localSheetId="1">'дод 5'!$10:$13</definedName>
    <definedName name="_xlnm.Print_Area" localSheetId="0">'дод 2'!$A$1:$AD$217</definedName>
    <definedName name="_xlnm.Print_Area" localSheetId="1">'дод 5'!$A$1:$AC$203</definedName>
  </definedNames>
  <calcPr calcId="162913"/>
</workbook>
</file>

<file path=xl/calcChain.xml><?xml version="1.0" encoding="utf-8"?>
<calcChain xmlns="http://schemas.openxmlformats.org/spreadsheetml/2006/main">
  <c r="L15" i="3" l="1"/>
  <c r="L16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8" i="3"/>
  <c r="L49" i="3"/>
  <c r="L50" i="3"/>
  <c r="L51" i="3"/>
  <c r="L52" i="3"/>
  <c r="L53" i="3"/>
  <c r="L54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80" i="3"/>
  <c r="L81" i="3"/>
  <c r="L82" i="3"/>
  <c r="L83" i="3"/>
  <c r="L85" i="3"/>
  <c r="L86" i="3"/>
  <c r="L87" i="3"/>
  <c r="L88" i="3"/>
  <c r="L89" i="3"/>
  <c r="L90" i="3"/>
  <c r="L91" i="3"/>
  <c r="L93" i="3"/>
  <c r="L94" i="3"/>
  <c r="L95" i="3"/>
  <c r="L96" i="3"/>
  <c r="L97" i="3"/>
  <c r="L98" i="3"/>
  <c r="L99" i="3"/>
  <c r="L100" i="3"/>
  <c r="L101" i="3"/>
  <c r="L102" i="3"/>
  <c r="L103" i="3"/>
  <c r="L106" i="3"/>
  <c r="L105" i="3" s="1"/>
  <c r="L108" i="3"/>
  <c r="L109" i="3"/>
  <c r="L110" i="3"/>
  <c r="L112" i="3"/>
  <c r="L113" i="3"/>
  <c r="L114" i="3"/>
  <c r="L115" i="3"/>
  <c r="L116" i="3"/>
  <c r="L118" i="3"/>
  <c r="L117" i="3" s="1"/>
  <c r="L120" i="3"/>
  <c r="L121" i="3"/>
  <c r="L122" i="3"/>
  <c r="L123" i="3"/>
  <c r="L124" i="3"/>
  <c r="L125" i="3"/>
  <c r="L126" i="3"/>
  <c r="L127" i="3"/>
  <c r="L130" i="3"/>
  <c r="L131" i="3"/>
  <c r="L133" i="3"/>
  <c r="L134" i="3"/>
  <c r="L136" i="3"/>
  <c r="L137" i="3"/>
  <c r="L138" i="3"/>
  <c r="L140" i="3"/>
  <c r="L139" i="3" s="1"/>
  <c r="L143" i="3"/>
  <c r="L142" i="3" s="1"/>
  <c r="L145" i="3"/>
  <c r="L144" i="3" s="1"/>
  <c r="L146" i="3"/>
  <c r="M213" i="1"/>
  <c r="M212" i="1" s="1"/>
  <c r="M207" i="1"/>
  <c r="M206" i="1" s="1"/>
  <c r="M196" i="1"/>
  <c r="M195" i="1" s="1"/>
  <c r="M200" i="1"/>
  <c r="M199" i="1" s="1"/>
  <c r="M192" i="1"/>
  <c r="M191" i="1" s="1"/>
  <c r="M188" i="1"/>
  <c r="M187" i="1" s="1"/>
  <c r="M185" i="1"/>
  <c r="M184" i="1" s="1"/>
  <c r="M180" i="1"/>
  <c r="M179" i="1" s="1"/>
  <c r="M165" i="1"/>
  <c r="M164" i="1" s="1"/>
  <c r="M136" i="1"/>
  <c r="M135" i="1" s="1"/>
  <c r="M126" i="1"/>
  <c r="M125" i="1" s="1"/>
  <c r="M121" i="1"/>
  <c r="M120" i="1" s="1"/>
  <c r="M99" i="1"/>
  <c r="M98" i="1" s="1"/>
  <c r="M85" i="1"/>
  <c r="M84" i="1" s="1"/>
  <c r="M51" i="1"/>
  <c r="M50" i="1" s="1"/>
  <c r="M16" i="1"/>
  <c r="M15" i="1" s="1"/>
  <c r="L132" i="3" l="1"/>
  <c r="L111" i="3"/>
  <c r="L141" i="3"/>
  <c r="L84" i="3"/>
  <c r="L55" i="3"/>
  <c r="L135" i="3"/>
  <c r="L119" i="3"/>
  <c r="L107" i="3"/>
  <c r="L47" i="3"/>
  <c r="L14" i="3"/>
  <c r="L92" i="3"/>
  <c r="L79" i="3"/>
  <c r="L17" i="3"/>
  <c r="L129" i="3"/>
  <c r="M215" i="1"/>
  <c r="L128" i="3" l="1"/>
  <c r="L104" i="3"/>
  <c r="I15" i="3"/>
  <c r="L147" i="3" l="1"/>
  <c r="J15" i="3"/>
  <c r="K15" i="3"/>
  <c r="P15" i="3"/>
  <c r="Q15" i="3"/>
  <c r="R15" i="3"/>
  <c r="U15" i="3"/>
  <c r="V15" i="3"/>
  <c r="W15" i="3"/>
  <c r="X15" i="3"/>
  <c r="Y15" i="3"/>
  <c r="E16" i="3"/>
  <c r="F16" i="3"/>
  <c r="G16" i="3"/>
  <c r="H16" i="3"/>
  <c r="I16" i="3"/>
  <c r="J16" i="3"/>
  <c r="K16" i="3"/>
  <c r="O16" i="3"/>
  <c r="P16" i="3"/>
  <c r="Q16" i="3"/>
  <c r="R16" i="3"/>
  <c r="S16" i="3"/>
  <c r="U16" i="3"/>
  <c r="V16" i="3"/>
  <c r="W16" i="3"/>
  <c r="X16" i="3"/>
  <c r="Y16" i="3"/>
  <c r="H18" i="3"/>
  <c r="I18" i="3"/>
  <c r="J18" i="3"/>
  <c r="K18" i="3"/>
  <c r="O18" i="3"/>
  <c r="P18" i="3"/>
  <c r="Q18" i="3"/>
  <c r="R18" i="3"/>
  <c r="S18" i="3"/>
  <c r="U18" i="3"/>
  <c r="V18" i="3"/>
  <c r="W18" i="3"/>
  <c r="X18" i="3"/>
  <c r="Y18" i="3"/>
  <c r="H19" i="3"/>
  <c r="I19" i="3"/>
  <c r="J19" i="3"/>
  <c r="K19" i="3"/>
  <c r="O19" i="3"/>
  <c r="P19" i="3"/>
  <c r="Q19" i="3"/>
  <c r="R19" i="3"/>
  <c r="S19" i="3"/>
  <c r="U19" i="3"/>
  <c r="V19" i="3"/>
  <c r="W19" i="3"/>
  <c r="X19" i="3"/>
  <c r="Y19" i="3"/>
  <c r="H20" i="3"/>
  <c r="I20" i="3"/>
  <c r="J20" i="3"/>
  <c r="K20" i="3"/>
  <c r="O20" i="3"/>
  <c r="P20" i="3"/>
  <c r="Q20" i="3"/>
  <c r="R20" i="3"/>
  <c r="S20" i="3"/>
  <c r="U20" i="3"/>
  <c r="V20" i="3"/>
  <c r="W20" i="3"/>
  <c r="X20" i="3"/>
  <c r="Y20" i="3"/>
  <c r="G21" i="3"/>
  <c r="H21" i="3"/>
  <c r="I21" i="3"/>
  <c r="J21" i="3"/>
  <c r="K21" i="3"/>
  <c r="O21" i="3"/>
  <c r="P21" i="3"/>
  <c r="Q21" i="3"/>
  <c r="R21" i="3"/>
  <c r="S21" i="3"/>
  <c r="U21" i="3"/>
  <c r="V21" i="3"/>
  <c r="W21" i="3"/>
  <c r="X21" i="3"/>
  <c r="Y21" i="3"/>
  <c r="F22" i="3"/>
  <c r="G22" i="3"/>
  <c r="H22" i="3"/>
  <c r="I22" i="3"/>
  <c r="J22" i="3"/>
  <c r="K22" i="3"/>
  <c r="O22" i="3"/>
  <c r="P22" i="3"/>
  <c r="Q22" i="3"/>
  <c r="R22" i="3"/>
  <c r="S22" i="3"/>
  <c r="U22" i="3"/>
  <c r="V22" i="3"/>
  <c r="W22" i="3"/>
  <c r="X22" i="3"/>
  <c r="Y22" i="3"/>
  <c r="E23" i="3"/>
  <c r="F23" i="3"/>
  <c r="G23" i="3"/>
  <c r="H23" i="3"/>
  <c r="I23" i="3"/>
  <c r="J23" i="3"/>
  <c r="K23" i="3"/>
  <c r="O23" i="3"/>
  <c r="P23" i="3"/>
  <c r="Q23" i="3"/>
  <c r="R23" i="3"/>
  <c r="S23" i="3"/>
  <c r="U23" i="3"/>
  <c r="V23" i="3"/>
  <c r="W23" i="3"/>
  <c r="X23" i="3"/>
  <c r="Y23" i="3"/>
  <c r="E24" i="3"/>
  <c r="F24" i="3"/>
  <c r="G24" i="3"/>
  <c r="H24" i="3"/>
  <c r="I24" i="3"/>
  <c r="J24" i="3"/>
  <c r="K24" i="3"/>
  <c r="O24" i="3"/>
  <c r="P24" i="3"/>
  <c r="Q24" i="3"/>
  <c r="R24" i="3"/>
  <c r="S24" i="3"/>
  <c r="U24" i="3"/>
  <c r="V24" i="3"/>
  <c r="W24" i="3"/>
  <c r="X24" i="3"/>
  <c r="Y24" i="3"/>
  <c r="I25" i="3"/>
  <c r="J25" i="3"/>
  <c r="K25" i="3"/>
  <c r="O25" i="3"/>
  <c r="P25" i="3"/>
  <c r="Q25" i="3"/>
  <c r="R25" i="3"/>
  <c r="S25" i="3"/>
  <c r="U25" i="3"/>
  <c r="V25" i="3"/>
  <c r="W25" i="3"/>
  <c r="X25" i="3"/>
  <c r="Y25" i="3"/>
  <c r="I26" i="3"/>
  <c r="J26" i="3"/>
  <c r="K26" i="3"/>
  <c r="O26" i="3"/>
  <c r="P26" i="3"/>
  <c r="Q26" i="3"/>
  <c r="R26" i="3"/>
  <c r="S26" i="3"/>
  <c r="U26" i="3"/>
  <c r="V26" i="3"/>
  <c r="W26" i="3"/>
  <c r="X26" i="3"/>
  <c r="Y26" i="3"/>
  <c r="G27" i="3"/>
  <c r="I27" i="3"/>
  <c r="J27" i="3"/>
  <c r="K27" i="3"/>
  <c r="O27" i="3"/>
  <c r="Q27" i="3"/>
  <c r="R27" i="3"/>
  <c r="S27" i="3"/>
  <c r="U27" i="3"/>
  <c r="V27" i="3"/>
  <c r="W27" i="3"/>
  <c r="X27" i="3"/>
  <c r="Y27" i="3"/>
  <c r="G28" i="3"/>
  <c r="H28" i="3"/>
  <c r="I28" i="3"/>
  <c r="J28" i="3"/>
  <c r="K28" i="3"/>
  <c r="O28" i="3"/>
  <c r="P28" i="3"/>
  <c r="Q28" i="3"/>
  <c r="R28" i="3"/>
  <c r="S28" i="3"/>
  <c r="U28" i="3"/>
  <c r="V28" i="3"/>
  <c r="W28" i="3"/>
  <c r="X28" i="3"/>
  <c r="Y28" i="3"/>
  <c r="G29" i="3"/>
  <c r="H29" i="3"/>
  <c r="I29" i="3"/>
  <c r="J29" i="3"/>
  <c r="K29" i="3"/>
  <c r="O29" i="3"/>
  <c r="P29" i="3"/>
  <c r="Q29" i="3"/>
  <c r="R29" i="3"/>
  <c r="S29" i="3"/>
  <c r="U29" i="3"/>
  <c r="V29" i="3"/>
  <c r="W29" i="3"/>
  <c r="X29" i="3"/>
  <c r="Y29" i="3"/>
  <c r="F30" i="3"/>
  <c r="G30" i="3"/>
  <c r="H30" i="3"/>
  <c r="I30" i="3"/>
  <c r="J30" i="3"/>
  <c r="K30" i="3"/>
  <c r="O30" i="3"/>
  <c r="P30" i="3"/>
  <c r="Q30" i="3"/>
  <c r="R30" i="3"/>
  <c r="S30" i="3"/>
  <c r="U30" i="3"/>
  <c r="V30" i="3"/>
  <c r="W30" i="3"/>
  <c r="X30" i="3"/>
  <c r="Y30" i="3"/>
  <c r="E31" i="3"/>
  <c r="F31" i="3"/>
  <c r="G31" i="3"/>
  <c r="H31" i="3"/>
  <c r="I31" i="3"/>
  <c r="J31" i="3"/>
  <c r="K31" i="3"/>
  <c r="O31" i="3"/>
  <c r="P31" i="3"/>
  <c r="Q31" i="3"/>
  <c r="R31" i="3"/>
  <c r="S31" i="3"/>
  <c r="U31" i="3"/>
  <c r="V31" i="3"/>
  <c r="W31" i="3"/>
  <c r="X31" i="3"/>
  <c r="Y31" i="3"/>
  <c r="G32" i="3"/>
  <c r="H32" i="3"/>
  <c r="I32" i="3"/>
  <c r="J32" i="3"/>
  <c r="K32" i="3"/>
  <c r="O32" i="3"/>
  <c r="P32" i="3"/>
  <c r="Q32" i="3"/>
  <c r="R32" i="3"/>
  <c r="S32" i="3"/>
  <c r="U32" i="3"/>
  <c r="V32" i="3"/>
  <c r="W32" i="3"/>
  <c r="X32" i="3"/>
  <c r="Y32" i="3"/>
  <c r="G33" i="3"/>
  <c r="H33" i="3"/>
  <c r="I33" i="3"/>
  <c r="J33" i="3"/>
  <c r="K33" i="3"/>
  <c r="O33" i="3"/>
  <c r="P33" i="3"/>
  <c r="Q33" i="3"/>
  <c r="R33" i="3"/>
  <c r="S33" i="3"/>
  <c r="U33" i="3"/>
  <c r="V33" i="3"/>
  <c r="W33" i="3"/>
  <c r="X33" i="3"/>
  <c r="Y33" i="3"/>
  <c r="E34" i="3"/>
  <c r="F34" i="3"/>
  <c r="G34" i="3"/>
  <c r="H34" i="3"/>
  <c r="I34" i="3"/>
  <c r="J34" i="3"/>
  <c r="K34" i="3"/>
  <c r="O34" i="3"/>
  <c r="P34" i="3"/>
  <c r="Q34" i="3"/>
  <c r="R34" i="3"/>
  <c r="S34" i="3"/>
  <c r="U34" i="3"/>
  <c r="V34" i="3"/>
  <c r="W34" i="3"/>
  <c r="X34" i="3"/>
  <c r="Y34" i="3"/>
  <c r="E35" i="3"/>
  <c r="F35" i="3"/>
  <c r="G35" i="3"/>
  <c r="H35" i="3"/>
  <c r="I35" i="3"/>
  <c r="J35" i="3"/>
  <c r="K35" i="3"/>
  <c r="O35" i="3"/>
  <c r="P35" i="3"/>
  <c r="Q35" i="3"/>
  <c r="R35" i="3"/>
  <c r="S35" i="3"/>
  <c r="U35" i="3"/>
  <c r="V35" i="3"/>
  <c r="W35" i="3"/>
  <c r="X35" i="3"/>
  <c r="Y35" i="3"/>
  <c r="E36" i="3"/>
  <c r="F36" i="3"/>
  <c r="G36" i="3"/>
  <c r="H36" i="3"/>
  <c r="I36" i="3"/>
  <c r="J36" i="3"/>
  <c r="K36" i="3"/>
  <c r="O36" i="3"/>
  <c r="P36" i="3"/>
  <c r="Q36" i="3"/>
  <c r="R36" i="3"/>
  <c r="S36" i="3"/>
  <c r="U36" i="3"/>
  <c r="V36" i="3"/>
  <c r="W36" i="3"/>
  <c r="X36" i="3"/>
  <c r="Y36" i="3"/>
  <c r="E37" i="3"/>
  <c r="F37" i="3"/>
  <c r="G37" i="3"/>
  <c r="H37" i="3"/>
  <c r="I37" i="3"/>
  <c r="J37" i="3"/>
  <c r="K37" i="3"/>
  <c r="O37" i="3"/>
  <c r="P37" i="3"/>
  <c r="Q37" i="3"/>
  <c r="R37" i="3"/>
  <c r="S37" i="3"/>
  <c r="U37" i="3"/>
  <c r="V37" i="3"/>
  <c r="W37" i="3"/>
  <c r="X37" i="3"/>
  <c r="Y37" i="3"/>
  <c r="E38" i="3"/>
  <c r="F38" i="3"/>
  <c r="G38" i="3"/>
  <c r="H38" i="3"/>
  <c r="I38" i="3"/>
  <c r="J38" i="3"/>
  <c r="K38" i="3"/>
  <c r="O38" i="3"/>
  <c r="P38" i="3"/>
  <c r="Q38" i="3"/>
  <c r="R38" i="3"/>
  <c r="S38" i="3"/>
  <c r="U38" i="3"/>
  <c r="V38" i="3"/>
  <c r="W38" i="3"/>
  <c r="X38" i="3"/>
  <c r="Y38" i="3"/>
  <c r="E39" i="3"/>
  <c r="F39" i="3"/>
  <c r="G39" i="3"/>
  <c r="H39" i="3"/>
  <c r="I39" i="3"/>
  <c r="J39" i="3"/>
  <c r="K39" i="3"/>
  <c r="O39" i="3"/>
  <c r="P39" i="3"/>
  <c r="Q39" i="3"/>
  <c r="R39" i="3"/>
  <c r="S39" i="3"/>
  <c r="U39" i="3"/>
  <c r="V39" i="3"/>
  <c r="W39" i="3"/>
  <c r="X39" i="3"/>
  <c r="Y39" i="3"/>
  <c r="E40" i="3"/>
  <c r="F40" i="3"/>
  <c r="G40" i="3"/>
  <c r="H40" i="3"/>
  <c r="I40" i="3"/>
  <c r="J40" i="3"/>
  <c r="K40" i="3"/>
  <c r="P40" i="3"/>
  <c r="Q40" i="3"/>
  <c r="R40" i="3"/>
  <c r="U40" i="3"/>
  <c r="V40" i="3"/>
  <c r="W40" i="3"/>
  <c r="X40" i="3"/>
  <c r="Y40" i="3"/>
  <c r="E41" i="3"/>
  <c r="F41" i="3"/>
  <c r="G41" i="3"/>
  <c r="H41" i="3"/>
  <c r="I41" i="3"/>
  <c r="J41" i="3"/>
  <c r="K41" i="3"/>
  <c r="O41" i="3"/>
  <c r="P41" i="3"/>
  <c r="Q41" i="3"/>
  <c r="R41" i="3"/>
  <c r="S41" i="3"/>
  <c r="U41" i="3"/>
  <c r="V41" i="3"/>
  <c r="W41" i="3"/>
  <c r="X41" i="3"/>
  <c r="Y41" i="3"/>
  <c r="E42" i="3"/>
  <c r="F42" i="3"/>
  <c r="G42" i="3"/>
  <c r="H42" i="3"/>
  <c r="I42" i="3"/>
  <c r="J42" i="3"/>
  <c r="K42" i="3"/>
  <c r="P42" i="3"/>
  <c r="Q42" i="3"/>
  <c r="R42" i="3"/>
  <c r="U42" i="3"/>
  <c r="V42" i="3"/>
  <c r="W42" i="3"/>
  <c r="X42" i="3"/>
  <c r="Y42" i="3"/>
  <c r="E43" i="3"/>
  <c r="F43" i="3"/>
  <c r="G43" i="3"/>
  <c r="I43" i="3"/>
  <c r="J43" i="3"/>
  <c r="K43" i="3"/>
  <c r="O43" i="3"/>
  <c r="P43" i="3"/>
  <c r="Q43" i="3"/>
  <c r="R43" i="3"/>
  <c r="S43" i="3"/>
  <c r="U43" i="3"/>
  <c r="V43" i="3"/>
  <c r="W43" i="3"/>
  <c r="X43" i="3"/>
  <c r="Y43" i="3"/>
  <c r="E44" i="3"/>
  <c r="F44" i="3"/>
  <c r="G44" i="3"/>
  <c r="H44" i="3"/>
  <c r="I44" i="3"/>
  <c r="J44" i="3"/>
  <c r="K44" i="3"/>
  <c r="O44" i="3"/>
  <c r="P44" i="3"/>
  <c r="Q44" i="3"/>
  <c r="R44" i="3"/>
  <c r="S44" i="3"/>
  <c r="U44" i="3"/>
  <c r="V44" i="3"/>
  <c r="W44" i="3"/>
  <c r="X44" i="3"/>
  <c r="Y44" i="3"/>
  <c r="E45" i="3"/>
  <c r="F45" i="3"/>
  <c r="G45" i="3"/>
  <c r="H45" i="3"/>
  <c r="I45" i="3"/>
  <c r="J45" i="3"/>
  <c r="K45" i="3"/>
  <c r="O45" i="3"/>
  <c r="P45" i="3"/>
  <c r="Q45" i="3"/>
  <c r="R45" i="3"/>
  <c r="S45" i="3"/>
  <c r="U45" i="3"/>
  <c r="V45" i="3"/>
  <c r="W45" i="3"/>
  <c r="X45" i="3"/>
  <c r="Y45" i="3"/>
  <c r="E46" i="3"/>
  <c r="F46" i="3"/>
  <c r="G46" i="3"/>
  <c r="H46" i="3"/>
  <c r="I46" i="3"/>
  <c r="J46" i="3"/>
  <c r="K46" i="3"/>
  <c r="O46" i="3"/>
  <c r="P46" i="3"/>
  <c r="Q46" i="3"/>
  <c r="R46" i="3"/>
  <c r="S46" i="3"/>
  <c r="U46" i="3"/>
  <c r="V46" i="3"/>
  <c r="W46" i="3"/>
  <c r="X46" i="3"/>
  <c r="Y46" i="3"/>
  <c r="F48" i="3"/>
  <c r="G48" i="3"/>
  <c r="I48" i="3"/>
  <c r="J48" i="3"/>
  <c r="K48" i="3"/>
  <c r="O48" i="3"/>
  <c r="P48" i="3"/>
  <c r="Q48" i="3"/>
  <c r="R48" i="3"/>
  <c r="S48" i="3"/>
  <c r="U48" i="3"/>
  <c r="V48" i="3"/>
  <c r="W48" i="3"/>
  <c r="X48" i="3"/>
  <c r="Y48" i="3"/>
  <c r="E49" i="3"/>
  <c r="F49" i="3"/>
  <c r="G49" i="3"/>
  <c r="H49" i="3"/>
  <c r="I49" i="3"/>
  <c r="J49" i="3"/>
  <c r="K49" i="3"/>
  <c r="O49" i="3"/>
  <c r="P49" i="3"/>
  <c r="Q49" i="3"/>
  <c r="R49" i="3"/>
  <c r="S49" i="3"/>
  <c r="U49" i="3"/>
  <c r="V49" i="3"/>
  <c r="W49" i="3"/>
  <c r="X49" i="3"/>
  <c r="Y49" i="3"/>
  <c r="E50" i="3"/>
  <c r="F50" i="3"/>
  <c r="G50" i="3"/>
  <c r="H50" i="3"/>
  <c r="I50" i="3"/>
  <c r="J50" i="3"/>
  <c r="K50" i="3"/>
  <c r="O50" i="3"/>
  <c r="P50" i="3"/>
  <c r="Q50" i="3"/>
  <c r="R50" i="3"/>
  <c r="S50" i="3"/>
  <c r="U50" i="3"/>
  <c r="V50" i="3"/>
  <c r="W50" i="3"/>
  <c r="X50" i="3"/>
  <c r="Y50" i="3"/>
  <c r="E51" i="3"/>
  <c r="F51" i="3"/>
  <c r="G51" i="3"/>
  <c r="H51" i="3"/>
  <c r="I51" i="3"/>
  <c r="J51" i="3"/>
  <c r="K51" i="3"/>
  <c r="O51" i="3"/>
  <c r="P51" i="3"/>
  <c r="Q51" i="3"/>
  <c r="R51" i="3"/>
  <c r="S51" i="3"/>
  <c r="U51" i="3"/>
  <c r="V51" i="3"/>
  <c r="W51" i="3"/>
  <c r="X51" i="3"/>
  <c r="Y51" i="3"/>
  <c r="G52" i="3"/>
  <c r="H52" i="3"/>
  <c r="I52" i="3"/>
  <c r="J52" i="3"/>
  <c r="K52" i="3"/>
  <c r="O52" i="3"/>
  <c r="P52" i="3"/>
  <c r="Q52" i="3"/>
  <c r="R52" i="3"/>
  <c r="S52" i="3"/>
  <c r="U52" i="3"/>
  <c r="V52" i="3"/>
  <c r="W52" i="3"/>
  <c r="X52" i="3"/>
  <c r="Y52" i="3"/>
  <c r="F53" i="3"/>
  <c r="G53" i="3"/>
  <c r="H53" i="3"/>
  <c r="I53" i="3"/>
  <c r="J53" i="3"/>
  <c r="K53" i="3"/>
  <c r="O53" i="3"/>
  <c r="P53" i="3"/>
  <c r="Q53" i="3"/>
  <c r="R53" i="3"/>
  <c r="S53" i="3"/>
  <c r="U53" i="3"/>
  <c r="V53" i="3"/>
  <c r="W53" i="3"/>
  <c r="X53" i="3"/>
  <c r="Y53" i="3"/>
  <c r="E54" i="3"/>
  <c r="F54" i="3"/>
  <c r="G54" i="3"/>
  <c r="H54" i="3"/>
  <c r="I54" i="3"/>
  <c r="J54" i="3"/>
  <c r="K54" i="3"/>
  <c r="P54" i="3"/>
  <c r="Q54" i="3"/>
  <c r="R54" i="3"/>
  <c r="U54" i="3"/>
  <c r="V54" i="3"/>
  <c r="W54" i="3"/>
  <c r="X54" i="3"/>
  <c r="Y54" i="3"/>
  <c r="F56" i="3"/>
  <c r="G56" i="3"/>
  <c r="H56" i="3"/>
  <c r="I56" i="3"/>
  <c r="J56" i="3"/>
  <c r="K56" i="3"/>
  <c r="O56" i="3"/>
  <c r="P56" i="3"/>
  <c r="Q56" i="3"/>
  <c r="R56" i="3"/>
  <c r="S56" i="3"/>
  <c r="U56" i="3"/>
  <c r="V56" i="3"/>
  <c r="W56" i="3"/>
  <c r="X56" i="3"/>
  <c r="Y56" i="3"/>
  <c r="E57" i="3"/>
  <c r="F57" i="3"/>
  <c r="G57" i="3"/>
  <c r="H57" i="3"/>
  <c r="I57" i="3"/>
  <c r="J57" i="3"/>
  <c r="K57" i="3"/>
  <c r="O57" i="3"/>
  <c r="P57" i="3"/>
  <c r="Q57" i="3"/>
  <c r="R57" i="3"/>
  <c r="S57" i="3"/>
  <c r="U57" i="3"/>
  <c r="V57" i="3"/>
  <c r="W57" i="3"/>
  <c r="X57" i="3"/>
  <c r="Y57" i="3"/>
  <c r="F58" i="3"/>
  <c r="G58" i="3"/>
  <c r="H58" i="3"/>
  <c r="I58" i="3"/>
  <c r="J58" i="3"/>
  <c r="K58" i="3"/>
  <c r="O58" i="3"/>
  <c r="P58" i="3"/>
  <c r="Q58" i="3"/>
  <c r="R58" i="3"/>
  <c r="S58" i="3"/>
  <c r="U58" i="3"/>
  <c r="V58" i="3"/>
  <c r="W58" i="3"/>
  <c r="X58" i="3"/>
  <c r="Y58" i="3"/>
  <c r="E59" i="3"/>
  <c r="F59" i="3"/>
  <c r="G59" i="3"/>
  <c r="H59" i="3"/>
  <c r="I59" i="3"/>
  <c r="J59" i="3"/>
  <c r="K59" i="3"/>
  <c r="O59" i="3"/>
  <c r="P59" i="3"/>
  <c r="Q59" i="3"/>
  <c r="R59" i="3"/>
  <c r="S59" i="3"/>
  <c r="U59" i="3"/>
  <c r="V59" i="3"/>
  <c r="W59" i="3"/>
  <c r="X59" i="3"/>
  <c r="Y59" i="3"/>
  <c r="E60" i="3"/>
  <c r="F60" i="3"/>
  <c r="G60" i="3"/>
  <c r="H60" i="3"/>
  <c r="I60" i="3"/>
  <c r="J60" i="3"/>
  <c r="K60" i="3"/>
  <c r="O60" i="3"/>
  <c r="P60" i="3"/>
  <c r="Q60" i="3"/>
  <c r="R60" i="3"/>
  <c r="S60" i="3"/>
  <c r="U60" i="3"/>
  <c r="V60" i="3"/>
  <c r="W60" i="3"/>
  <c r="X60" i="3"/>
  <c r="Y60" i="3"/>
  <c r="E61" i="3"/>
  <c r="F61" i="3"/>
  <c r="G61" i="3"/>
  <c r="H61" i="3"/>
  <c r="I61" i="3"/>
  <c r="J61" i="3"/>
  <c r="K61" i="3"/>
  <c r="N61" i="3"/>
  <c r="O61" i="3"/>
  <c r="P61" i="3"/>
  <c r="Q61" i="3"/>
  <c r="R61" i="3"/>
  <c r="S61" i="3"/>
  <c r="U61" i="3"/>
  <c r="V61" i="3"/>
  <c r="W61" i="3"/>
  <c r="X61" i="3"/>
  <c r="Y61" i="3"/>
  <c r="E62" i="3"/>
  <c r="F62" i="3"/>
  <c r="G62" i="3"/>
  <c r="H62" i="3"/>
  <c r="I62" i="3"/>
  <c r="J62" i="3"/>
  <c r="K62" i="3"/>
  <c r="N62" i="3"/>
  <c r="O62" i="3"/>
  <c r="P62" i="3"/>
  <c r="Q62" i="3"/>
  <c r="R62" i="3"/>
  <c r="S62" i="3"/>
  <c r="U62" i="3"/>
  <c r="V62" i="3"/>
  <c r="W62" i="3"/>
  <c r="X62" i="3"/>
  <c r="Y62" i="3"/>
  <c r="G63" i="3"/>
  <c r="H63" i="3"/>
  <c r="I63" i="3"/>
  <c r="J63" i="3"/>
  <c r="K63" i="3"/>
  <c r="O63" i="3"/>
  <c r="P63" i="3"/>
  <c r="Q63" i="3"/>
  <c r="R63" i="3"/>
  <c r="S63" i="3"/>
  <c r="U63" i="3"/>
  <c r="V63" i="3"/>
  <c r="W63" i="3"/>
  <c r="X63" i="3"/>
  <c r="Y63" i="3"/>
  <c r="F64" i="3"/>
  <c r="G64" i="3"/>
  <c r="H64" i="3"/>
  <c r="I64" i="3"/>
  <c r="J64" i="3"/>
  <c r="K64" i="3"/>
  <c r="O64" i="3"/>
  <c r="P64" i="3"/>
  <c r="Q64" i="3"/>
  <c r="R64" i="3"/>
  <c r="S64" i="3"/>
  <c r="U64" i="3"/>
  <c r="V64" i="3"/>
  <c r="W64" i="3"/>
  <c r="X64" i="3"/>
  <c r="Y64" i="3"/>
  <c r="F65" i="3"/>
  <c r="H65" i="3"/>
  <c r="I65" i="3"/>
  <c r="J65" i="3"/>
  <c r="K65" i="3"/>
  <c r="N65" i="3"/>
  <c r="O65" i="3"/>
  <c r="P65" i="3"/>
  <c r="Q65" i="3"/>
  <c r="R65" i="3"/>
  <c r="S65" i="3"/>
  <c r="U65" i="3"/>
  <c r="V65" i="3"/>
  <c r="W65" i="3"/>
  <c r="X65" i="3"/>
  <c r="Y65" i="3"/>
  <c r="G66" i="3"/>
  <c r="H66" i="3"/>
  <c r="I66" i="3"/>
  <c r="J66" i="3"/>
  <c r="K66" i="3"/>
  <c r="O66" i="3"/>
  <c r="P66" i="3"/>
  <c r="Q66" i="3"/>
  <c r="R66" i="3"/>
  <c r="S66" i="3"/>
  <c r="U66" i="3"/>
  <c r="V66" i="3"/>
  <c r="W66" i="3"/>
  <c r="X66" i="3"/>
  <c r="Y66" i="3"/>
  <c r="E67" i="3"/>
  <c r="F67" i="3"/>
  <c r="G67" i="3"/>
  <c r="H67" i="3"/>
  <c r="I67" i="3"/>
  <c r="J67" i="3"/>
  <c r="K67" i="3"/>
  <c r="O67" i="3"/>
  <c r="P67" i="3"/>
  <c r="Q67" i="3"/>
  <c r="R67" i="3"/>
  <c r="S67" i="3"/>
  <c r="U67" i="3"/>
  <c r="V67" i="3"/>
  <c r="W67" i="3"/>
  <c r="X67" i="3"/>
  <c r="Y67" i="3"/>
  <c r="E68" i="3"/>
  <c r="F68" i="3"/>
  <c r="G68" i="3"/>
  <c r="H68" i="3"/>
  <c r="I68" i="3"/>
  <c r="J68" i="3"/>
  <c r="K68" i="3"/>
  <c r="O68" i="3"/>
  <c r="P68" i="3"/>
  <c r="Q68" i="3"/>
  <c r="S68" i="3"/>
  <c r="U68" i="3"/>
  <c r="V68" i="3"/>
  <c r="W68" i="3"/>
  <c r="X68" i="3"/>
  <c r="Y68" i="3"/>
  <c r="E69" i="3"/>
  <c r="F69" i="3"/>
  <c r="G69" i="3"/>
  <c r="H69" i="3"/>
  <c r="I69" i="3"/>
  <c r="J69" i="3"/>
  <c r="K69" i="3"/>
  <c r="N69" i="3"/>
  <c r="O69" i="3"/>
  <c r="P69" i="3"/>
  <c r="Q69" i="3"/>
  <c r="R69" i="3"/>
  <c r="S69" i="3"/>
  <c r="U69" i="3"/>
  <c r="V69" i="3"/>
  <c r="W69" i="3"/>
  <c r="X69" i="3"/>
  <c r="Y69" i="3"/>
  <c r="E70" i="3"/>
  <c r="F70" i="3"/>
  <c r="G70" i="3"/>
  <c r="H70" i="3"/>
  <c r="I70" i="3"/>
  <c r="J70" i="3"/>
  <c r="K70" i="3"/>
  <c r="O70" i="3"/>
  <c r="P70" i="3"/>
  <c r="Q70" i="3"/>
  <c r="R70" i="3"/>
  <c r="S70" i="3"/>
  <c r="U70" i="3"/>
  <c r="V70" i="3"/>
  <c r="W70" i="3"/>
  <c r="X70" i="3"/>
  <c r="Y70" i="3"/>
  <c r="E71" i="3"/>
  <c r="F71" i="3"/>
  <c r="G71" i="3"/>
  <c r="H71" i="3"/>
  <c r="I71" i="3"/>
  <c r="J71" i="3"/>
  <c r="K71" i="3"/>
  <c r="N71" i="3"/>
  <c r="O71" i="3"/>
  <c r="P71" i="3"/>
  <c r="Q71" i="3"/>
  <c r="R71" i="3"/>
  <c r="S71" i="3"/>
  <c r="U71" i="3"/>
  <c r="V71" i="3"/>
  <c r="W71" i="3"/>
  <c r="X71" i="3"/>
  <c r="Y71" i="3"/>
  <c r="E72" i="3"/>
  <c r="F72" i="3"/>
  <c r="G72" i="3"/>
  <c r="H72" i="3"/>
  <c r="I72" i="3"/>
  <c r="J72" i="3"/>
  <c r="K72" i="3"/>
  <c r="O72" i="3"/>
  <c r="P72" i="3"/>
  <c r="Q72" i="3"/>
  <c r="R72" i="3"/>
  <c r="S72" i="3"/>
  <c r="U72" i="3"/>
  <c r="V72" i="3"/>
  <c r="W72" i="3"/>
  <c r="X72" i="3"/>
  <c r="Y72" i="3"/>
  <c r="E73" i="3"/>
  <c r="F73" i="3"/>
  <c r="G73" i="3"/>
  <c r="H73" i="3"/>
  <c r="I73" i="3"/>
  <c r="J73" i="3"/>
  <c r="K73" i="3"/>
  <c r="O73" i="3"/>
  <c r="P73" i="3"/>
  <c r="Q73" i="3"/>
  <c r="R73" i="3"/>
  <c r="S73" i="3"/>
  <c r="U73" i="3"/>
  <c r="V73" i="3"/>
  <c r="W73" i="3"/>
  <c r="X73" i="3"/>
  <c r="Y73" i="3"/>
  <c r="E74" i="3"/>
  <c r="F74" i="3"/>
  <c r="G74" i="3"/>
  <c r="H74" i="3"/>
  <c r="I74" i="3"/>
  <c r="J74" i="3"/>
  <c r="K74" i="3"/>
  <c r="O74" i="3"/>
  <c r="P74" i="3"/>
  <c r="Q74" i="3"/>
  <c r="R74" i="3"/>
  <c r="S74" i="3"/>
  <c r="U74" i="3"/>
  <c r="V74" i="3"/>
  <c r="W74" i="3"/>
  <c r="X74" i="3"/>
  <c r="Y74" i="3"/>
  <c r="E75" i="3"/>
  <c r="F75" i="3"/>
  <c r="G75" i="3"/>
  <c r="H75" i="3"/>
  <c r="I75" i="3"/>
  <c r="J75" i="3"/>
  <c r="K75" i="3"/>
  <c r="O75" i="3"/>
  <c r="P75" i="3"/>
  <c r="Q75" i="3"/>
  <c r="R75" i="3"/>
  <c r="S75" i="3"/>
  <c r="U75" i="3"/>
  <c r="V75" i="3"/>
  <c r="W75" i="3"/>
  <c r="X75" i="3"/>
  <c r="Y75" i="3"/>
  <c r="E76" i="3"/>
  <c r="F76" i="3"/>
  <c r="G76" i="3"/>
  <c r="H76" i="3"/>
  <c r="I76" i="3"/>
  <c r="J76" i="3"/>
  <c r="K76" i="3"/>
  <c r="O76" i="3"/>
  <c r="P76" i="3"/>
  <c r="Q76" i="3"/>
  <c r="R76" i="3"/>
  <c r="S76" i="3"/>
  <c r="U76" i="3"/>
  <c r="V76" i="3"/>
  <c r="W76" i="3"/>
  <c r="X76" i="3"/>
  <c r="Y76" i="3"/>
  <c r="G77" i="3"/>
  <c r="H77" i="3"/>
  <c r="I77" i="3"/>
  <c r="J77" i="3"/>
  <c r="K77" i="3"/>
  <c r="O77" i="3"/>
  <c r="P77" i="3"/>
  <c r="Q77" i="3"/>
  <c r="R77" i="3"/>
  <c r="S77" i="3"/>
  <c r="U77" i="3"/>
  <c r="V77" i="3"/>
  <c r="W77" i="3"/>
  <c r="X77" i="3"/>
  <c r="Y77" i="3"/>
  <c r="F78" i="3"/>
  <c r="G78" i="3"/>
  <c r="H78" i="3"/>
  <c r="I78" i="3"/>
  <c r="J78" i="3"/>
  <c r="K78" i="3"/>
  <c r="O78" i="3"/>
  <c r="P78" i="3"/>
  <c r="Q78" i="3"/>
  <c r="R78" i="3"/>
  <c r="S78" i="3"/>
  <c r="U78" i="3"/>
  <c r="V78" i="3"/>
  <c r="W78" i="3"/>
  <c r="X78" i="3"/>
  <c r="Y78" i="3"/>
  <c r="F80" i="3"/>
  <c r="H80" i="3"/>
  <c r="I80" i="3"/>
  <c r="J80" i="3"/>
  <c r="K80" i="3"/>
  <c r="O80" i="3"/>
  <c r="P80" i="3"/>
  <c r="Q80" i="3"/>
  <c r="R80" i="3"/>
  <c r="S80" i="3"/>
  <c r="U80" i="3"/>
  <c r="V80" i="3"/>
  <c r="W80" i="3"/>
  <c r="X80" i="3"/>
  <c r="Y80" i="3"/>
  <c r="F81" i="3"/>
  <c r="H81" i="3"/>
  <c r="I81" i="3"/>
  <c r="J81" i="3"/>
  <c r="K81" i="3"/>
  <c r="O81" i="3"/>
  <c r="P81" i="3"/>
  <c r="Q81" i="3"/>
  <c r="R81" i="3"/>
  <c r="S81" i="3"/>
  <c r="U81" i="3"/>
  <c r="V81" i="3"/>
  <c r="W81" i="3"/>
  <c r="X81" i="3"/>
  <c r="Y81" i="3"/>
  <c r="H82" i="3"/>
  <c r="I82" i="3"/>
  <c r="J82" i="3"/>
  <c r="K82" i="3"/>
  <c r="O82" i="3"/>
  <c r="P82" i="3"/>
  <c r="Q82" i="3"/>
  <c r="R82" i="3"/>
  <c r="S82" i="3"/>
  <c r="U82" i="3"/>
  <c r="V82" i="3"/>
  <c r="W82" i="3"/>
  <c r="X82" i="3"/>
  <c r="Y82" i="3"/>
  <c r="E83" i="3"/>
  <c r="F83" i="3"/>
  <c r="G83" i="3"/>
  <c r="H83" i="3"/>
  <c r="I83" i="3"/>
  <c r="J83" i="3"/>
  <c r="K83" i="3"/>
  <c r="O83" i="3"/>
  <c r="P83" i="3"/>
  <c r="Q83" i="3"/>
  <c r="R83" i="3"/>
  <c r="S83" i="3"/>
  <c r="U83" i="3"/>
  <c r="V83" i="3"/>
  <c r="W83" i="3"/>
  <c r="X83" i="3"/>
  <c r="Y83" i="3"/>
  <c r="E85" i="3"/>
  <c r="F85" i="3"/>
  <c r="G85" i="3"/>
  <c r="H85" i="3"/>
  <c r="I85" i="3"/>
  <c r="J85" i="3"/>
  <c r="K85" i="3"/>
  <c r="O85" i="3"/>
  <c r="P85" i="3"/>
  <c r="Q85" i="3"/>
  <c r="R85" i="3"/>
  <c r="S85" i="3"/>
  <c r="U85" i="3"/>
  <c r="V85" i="3"/>
  <c r="W85" i="3"/>
  <c r="X85" i="3"/>
  <c r="Y85" i="3"/>
  <c r="E86" i="3"/>
  <c r="F86" i="3"/>
  <c r="G86" i="3"/>
  <c r="H86" i="3"/>
  <c r="I86" i="3"/>
  <c r="J86" i="3"/>
  <c r="K86" i="3"/>
  <c r="O86" i="3"/>
  <c r="P86" i="3"/>
  <c r="Q86" i="3"/>
  <c r="R86" i="3"/>
  <c r="S86" i="3"/>
  <c r="U86" i="3"/>
  <c r="V86" i="3"/>
  <c r="W86" i="3"/>
  <c r="X86" i="3"/>
  <c r="Y86" i="3"/>
  <c r="E87" i="3"/>
  <c r="F87" i="3"/>
  <c r="G87" i="3"/>
  <c r="H87" i="3"/>
  <c r="I87" i="3"/>
  <c r="J87" i="3"/>
  <c r="K87" i="3"/>
  <c r="O87" i="3"/>
  <c r="P87" i="3"/>
  <c r="Q87" i="3"/>
  <c r="R87" i="3"/>
  <c r="S87" i="3"/>
  <c r="U87" i="3"/>
  <c r="V87" i="3"/>
  <c r="W87" i="3"/>
  <c r="X87" i="3"/>
  <c r="Y87" i="3"/>
  <c r="E88" i="3"/>
  <c r="F88" i="3"/>
  <c r="H88" i="3"/>
  <c r="I88" i="3"/>
  <c r="J88" i="3"/>
  <c r="K88" i="3"/>
  <c r="O88" i="3"/>
  <c r="P88" i="3"/>
  <c r="Q88" i="3"/>
  <c r="R88" i="3"/>
  <c r="S88" i="3"/>
  <c r="U88" i="3"/>
  <c r="V88" i="3"/>
  <c r="W88" i="3"/>
  <c r="X88" i="3"/>
  <c r="Y88" i="3"/>
  <c r="E89" i="3"/>
  <c r="F89" i="3"/>
  <c r="G89" i="3"/>
  <c r="H89" i="3"/>
  <c r="I89" i="3"/>
  <c r="J89" i="3"/>
  <c r="K89" i="3"/>
  <c r="O89" i="3"/>
  <c r="P89" i="3"/>
  <c r="Q89" i="3"/>
  <c r="R89" i="3"/>
  <c r="S89" i="3"/>
  <c r="U89" i="3"/>
  <c r="V89" i="3"/>
  <c r="W89" i="3"/>
  <c r="X89" i="3"/>
  <c r="Y89" i="3"/>
  <c r="F90" i="3"/>
  <c r="G90" i="3"/>
  <c r="H90" i="3"/>
  <c r="I90" i="3"/>
  <c r="J90" i="3"/>
  <c r="K90" i="3"/>
  <c r="O90" i="3"/>
  <c r="P90" i="3"/>
  <c r="Q90" i="3"/>
  <c r="R90" i="3"/>
  <c r="S90" i="3"/>
  <c r="U90" i="3"/>
  <c r="V90" i="3"/>
  <c r="W90" i="3"/>
  <c r="X90" i="3"/>
  <c r="Y90" i="3"/>
  <c r="E91" i="3"/>
  <c r="F91" i="3"/>
  <c r="G91" i="3"/>
  <c r="H91" i="3"/>
  <c r="I91" i="3"/>
  <c r="J91" i="3"/>
  <c r="K91" i="3"/>
  <c r="O91" i="3"/>
  <c r="P91" i="3"/>
  <c r="Q91" i="3"/>
  <c r="R91" i="3"/>
  <c r="S91" i="3"/>
  <c r="U91" i="3"/>
  <c r="V91" i="3"/>
  <c r="W91" i="3"/>
  <c r="X91" i="3"/>
  <c r="Y91" i="3"/>
  <c r="F93" i="3"/>
  <c r="G93" i="3"/>
  <c r="I93" i="3"/>
  <c r="J93" i="3"/>
  <c r="K93" i="3"/>
  <c r="O93" i="3"/>
  <c r="P93" i="3"/>
  <c r="Q93" i="3"/>
  <c r="R93" i="3"/>
  <c r="S93" i="3"/>
  <c r="U93" i="3"/>
  <c r="V93" i="3"/>
  <c r="W93" i="3"/>
  <c r="X93" i="3"/>
  <c r="Y93" i="3"/>
  <c r="E94" i="3"/>
  <c r="F94" i="3"/>
  <c r="G94" i="3"/>
  <c r="H94" i="3"/>
  <c r="I94" i="3"/>
  <c r="J94" i="3"/>
  <c r="K94" i="3"/>
  <c r="O94" i="3"/>
  <c r="P94" i="3"/>
  <c r="Q94" i="3"/>
  <c r="R94" i="3"/>
  <c r="S94" i="3"/>
  <c r="U94" i="3"/>
  <c r="V94" i="3"/>
  <c r="W94" i="3"/>
  <c r="X94" i="3"/>
  <c r="Y94" i="3"/>
  <c r="E95" i="3"/>
  <c r="F95" i="3"/>
  <c r="G95" i="3"/>
  <c r="H95" i="3"/>
  <c r="I95" i="3"/>
  <c r="J95" i="3"/>
  <c r="K95" i="3"/>
  <c r="O95" i="3"/>
  <c r="P95" i="3"/>
  <c r="Q95" i="3"/>
  <c r="R95" i="3"/>
  <c r="S95" i="3"/>
  <c r="U95" i="3"/>
  <c r="V95" i="3"/>
  <c r="W95" i="3"/>
  <c r="X95" i="3"/>
  <c r="Y95" i="3"/>
  <c r="E96" i="3"/>
  <c r="F96" i="3"/>
  <c r="G96" i="3"/>
  <c r="H96" i="3"/>
  <c r="I96" i="3"/>
  <c r="J96" i="3"/>
  <c r="K96" i="3"/>
  <c r="O96" i="3"/>
  <c r="P96" i="3"/>
  <c r="Q96" i="3"/>
  <c r="R96" i="3"/>
  <c r="S96" i="3"/>
  <c r="U96" i="3"/>
  <c r="V96" i="3"/>
  <c r="W96" i="3"/>
  <c r="X96" i="3"/>
  <c r="Y96" i="3"/>
  <c r="E97" i="3"/>
  <c r="F97" i="3"/>
  <c r="G97" i="3"/>
  <c r="I97" i="3"/>
  <c r="J97" i="3"/>
  <c r="K97" i="3"/>
  <c r="O97" i="3"/>
  <c r="P97" i="3"/>
  <c r="Q97" i="3"/>
  <c r="R97" i="3"/>
  <c r="S97" i="3"/>
  <c r="U97" i="3"/>
  <c r="V97" i="3"/>
  <c r="W97" i="3"/>
  <c r="X97" i="3"/>
  <c r="Y97" i="3"/>
  <c r="F98" i="3"/>
  <c r="G98" i="3"/>
  <c r="I98" i="3"/>
  <c r="J98" i="3"/>
  <c r="K98" i="3"/>
  <c r="O98" i="3"/>
  <c r="P98" i="3"/>
  <c r="Q98" i="3"/>
  <c r="R98" i="3"/>
  <c r="S98" i="3"/>
  <c r="U98" i="3"/>
  <c r="V98" i="3"/>
  <c r="W98" i="3"/>
  <c r="X98" i="3"/>
  <c r="Y98" i="3"/>
  <c r="E99" i="3"/>
  <c r="F99" i="3"/>
  <c r="G99" i="3"/>
  <c r="H99" i="3"/>
  <c r="I99" i="3"/>
  <c r="J99" i="3"/>
  <c r="K99" i="3"/>
  <c r="P99" i="3"/>
  <c r="Q99" i="3"/>
  <c r="R99" i="3"/>
  <c r="U99" i="3"/>
  <c r="V99" i="3"/>
  <c r="W99" i="3"/>
  <c r="X99" i="3"/>
  <c r="Y99" i="3"/>
  <c r="E100" i="3"/>
  <c r="F100" i="3"/>
  <c r="G100" i="3"/>
  <c r="H100" i="3"/>
  <c r="I100" i="3"/>
  <c r="J100" i="3"/>
  <c r="K100" i="3"/>
  <c r="O100" i="3"/>
  <c r="P100" i="3"/>
  <c r="Q100" i="3"/>
  <c r="R100" i="3"/>
  <c r="S100" i="3"/>
  <c r="U100" i="3"/>
  <c r="V100" i="3"/>
  <c r="W100" i="3"/>
  <c r="X100" i="3"/>
  <c r="Y100" i="3"/>
  <c r="F101" i="3"/>
  <c r="I101" i="3"/>
  <c r="J101" i="3"/>
  <c r="K101" i="3"/>
  <c r="O101" i="3"/>
  <c r="P101" i="3"/>
  <c r="Q101" i="3"/>
  <c r="R101" i="3"/>
  <c r="S101" i="3"/>
  <c r="U101" i="3"/>
  <c r="V101" i="3"/>
  <c r="W101" i="3"/>
  <c r="X101" i="3"/>
  <c r="Y101" i="3"/>
  <c r="E102" i="3"/>
  <c r="F102" i="3"/>
  <c r="G102" i="3"/>
  <c r="H102" i="3"/>
  <c r="I102" i="3"/>
  <c r="J102" i="3"/>
  <c r="K102" i="3"/>
  <c r="P102" i="3"/>
  <c r="Q102" i="3"/>
  <c r="R102" i="3"/>
  <c r="U102" i="3"/>
  <c r="V102" i="3"/>
  <c r="W102" i="3"/>
  <c r="X102" i="3"/>
  <c r="Y102" i="3"/>
  <c r="E103" i="3"/>
  <c r="F103" i="3"/>
  <c r="G103" i="3"/>
  <c r="I103" i="3"/>
  <c r="J103" i="3"/>
  <c r="K103" i="3"/>
  <c r="O103" i="3"/>
  <c r="P103" i="3"/>
  <c r="Q103" i="3"/>
  <c r="R103" i="3"/>
  <c r="S103" i="3"/>
  <c r="U103" i="3"/>
  <c r="V103" i="3"/>
  <c r="W103" i="3"/>
  <c r="X103" i="3"/>
  <c r="Y103" i="3"/>
  <c r="E106" i="3"/>
  <c r="E105" i="3" s="1"/>
  <c r="F106" i="3"/>
  <c r="F105" i="3" s="1"/>
  <c r="G106" i="3"/>
  <c r="G105" i="3" s="1"/>
  <c r="H106" i="3"/>
  <c r="H105" i="3" s="1"/>
  <c r="I106" i="3"/>
  <c r="J106" i="3"/>
  <c r="J105" i="3" s="1"/>
  <c r="K106" i="3"/>
  <c r="K105" i="3" s="1"/>
  <c r="O106" i="3"/>
  <c r="O105" i="3" s="1"/>
  <c r="P106" i="3"/>
  <c r="P105" i="3" s="1"/>
  <c r="Q106" i="3"/>
  <c r="Q105" i="3" s="1"/>
  <c r="R106" i="3"/>
  <c r="R105" i="3" s="1"/>
  <c r="S106" i="3"/>
  <c r="S105" i="3" s="1"/>
  <c r="U106" i="3"/>
  <c r="U105" i="3" s="1"/>
  <c r="V106" i="3"/>
  <c r="V105" i="3" s="1"/>
  <c r="W106" i="3"/>
  <c r="W105" i="3" s="1"/>
  <c r="X106" i="3"/>
  <c r="X105" i="3" s="1"/>
  <c r="Y106" i="3"/>
  <c r="Y105" i="3" s="1"/>
  <c r="E108" i="3"/>
  <c r="F108" i="3"/>
  <c r="G108" i="3"/>
  <c r="H108" i="3"/>
  <c r="I108" i="3"/>
  <c r="J108" i="3"/>
  <c r="K108" i="3"/>
  <c r="P108" i="3"/>
  <c r="Q108" i="3"/>
  <c r="R108" i="3"/>
  <c r="U108" i="3"/>
  <c r="V108" i="3"/>
  <c r="W108" i="3"/>
  <c r="X108" i="3"/>
  <c r="Y108" i="3"/>
  <c r="E109" i="3"/>
  <c r="F109" i="3"/>
  <c r="G109" i="3"/>
  <c r="H109" i="3"/>
  <c r="I109" i="3"/>
  <c r="J109" i="3"/>
  <c r="K109" i="3"/>
  <c r="O109" i="3"/>
  <c r="P109" i="3"/>
  <c r="Q109" i="3"/>
  <c r="R109" i="3"/>
  <c r="S109" i="3"/>
  <c r="U109" i="3"/>
  <c r="V109" i="3"/>
  <c r="W109" i="3"/>
  <c r="X109" i="3"/>
  <c r="Y109" i="3"/>
  <c r="E110" i="3"/>
  <c r="F110" i="3"/>
  <c r="G110" i="3"/>
  <c r="H110" i="3"/>
  <c r="I110" i="3"/>
  <c r="J110" i="3"/>
  <c r="K110" i="3"/>
  <c r="O110" i="3"/>
  <c r="P110" i="3"/>
  <c r="Q110" i="3"/>
  <c r="R110" i="3"/>
  <c r="U110" i="3"/>
  <c r="V110" i="3"/>
  <c r="W110" i="3"/>
  <c r="X110" i="3"/>
  <c r="Y110" i="3"/>
  <c r="E112" i="3"/>
  <c r="F112" i="3"/>
  <c r="G112" i="3"/>
  <c r="H112" i="3"/>
  <c r="I112" i="3"/>
  <c r="J112" i="3"/>
  <c r="K112" i="3"/>
  <c r="O112" i="3"/>
  <c r="P112" i="3"/>
  <c r="Q112" i="3"/>
  <c r="R112" i="3"/>
  <c r="S112" i="3"/>
  <c r="U112" i="3"/>
  <c r="V112" i="3"/>
  <c r="W112" i="3"/>
  <c r="X112" i="3"/>
  <c r="Y112" i="3"/>
  <c r="E113" i="3"/>
  <c r="F113" i="3"/>
  <c r="G113" i="3"/>
  <c r="H113" i="3"/>
  <c r="I113" i="3"/>
  <c r="J113" i="3"/>
  <c r="K113" i="3"/>
  <c r="O113" i="3"/>
  <c r="P113" i="3"/>
  <c r="Q113" i="3"/>
  <c r="R113" i="3"/>
  <c r="S113" i="3"/>
  <c r="U113" i="3"/>
  <c r="V113" i="3"/>
  <c r="W113" i="3"/>
  <c r="X113" i="3"/>
  <c r="Y113" i="3"/>
  <c r="E114" i="3"/>
  <c r="F114" i="3"/>
  <c r="G114" i="3"/>
  <c r="H114" i="3"/>
  <c r="I114" i="3"/>
  <c r="J114" i="3"/>
  <c r="K114" i="3"/>
  <c r="O114" i="3"/>
  <c r="P114" i="3"/>
  <c r="Q114" i="3"/>
  <c r="R114" i="3"/>
  <c r="S114" i="3"/>
  <c r="U114" i="3"/>
  <c r="V114" i="3"/>
  <c r="W114" i="3"/>
  <c r="X114" i="3"/>
  <c r="Y114" i="3"/>
  <c r="E115" i="3"/>
  <c r="F115" i="3"/>
  <c r="G115" i="3"/>
  <c r="H115" i="3"/>
  <c r="I115" i="3"/>
  <c r="J115" i="3"/>
  <c r="K115" i="3"/>
  <c r="O115" i="3"/>
  <c r="P115" i="3"/>
  <c r="Q115" i="3"/>
  <c r="R115" i="3"/>
  <c r="S115" i="3"/>
  <c r="U115" i="3"/>
  <c r="V115" i="3"/>
  <c r="W115" i="3"/>
  <c r="X115" i="3"/>
  <c r="Y115" i="3"/>
  <c r="E116" i="3"/>
  <c r="F116" i="3"/>
  <c r="G116" i="3"/>
  <c r="H116" i="3"/>
  <c r="I116" i="3"/>
  <c r="J116" i="3"/>
  <c r="K116" i="3"/>
  <c r="O116" i="3"/>
  <c r="P116" i="3"/>
  <c r="Q116" i="3"/>
  <c r="R116" i="3"/>
  <c r="S116" i="3"/>
  <c r="U116" i="3"/>
  <c r="V116" i="3"/>
  <c r="W116" i="3"/>
  <c r="X116" i="3"/>
  <c r="Y116" i="3"/>
  <c r="F118" i="3"/>
  <c r="F117" i="3" s="1"/>
  <c r="G118" i="3"/>
  <c r="G117" i="3" s="1"/>
  <c r="I118" i="3"/>
  <c r="J118" i="3"/>
  <c r="J117" i="3" s="1"/>
  <c r="K118" i="3"/>
  <c r="K117" i="3" s="1"/>
  <c r="O118" i="3"/>
  <c r="O117" i="3" s="1"/>
  <c r="P118" i="3"/>
  <c r="P117" i="3" s="1"/>
  <c r="Q118" i="3"/>
  <c r="Q117" i="3" s="1"/>
  <c r="R118" i="3"/>
  <c r="R117" i="3" s="1"/>
  <c r="S118" i="3"/>
  <c r="S117" i="3" s="1"/>
  <c r="U118" i="3"/>
  <c r="U117" i="3" s="1"/>
  <c r="V118" i="3"/>
  <c r="V117" i="3" s="1"/>
  <c r="W118" i="3"/>
  <c r="W117" i="3" s="1"/>
  <c r="X118" i="3"/>
  <c r="X117" i="3" s="1"/>
  <c r="Y118" i="3"/>
  <c r="Y117" i="3" s="1"/>
  <c r="E120" i="3"/>
  <c r="F120" i="3"/>
  <c r="G120" i="3"/>
  <c r="H120" i="3"/>
  <c r="I120" i="3"/>
  <c r="J120" i="3"/>
  <c r="K120" i="3"/>
  <c r="P120" i="3"/>
  <c r="Q120" i="3"/>
  <c r="R120" i="3"/>
  <c r="U120" i="3"/>
  <c r="V120" i="3"/>
  <c r="W120" i="3"/>
  <c r="X120" i="3"/>
  <c r="Y120" i="3"/>
  <c r="E121" i="3"/>
  <c r="F121" i="3"/>
  <c r="G121" i="3"/>
  <c r="I121" i="3"/>
  <c r="J121" i="3"/>
  <c r="K121" i="3"/>
  <c r="O121" i="3"/>
  <c r="P121" i="3"/>
  <c r="Q121" i="3"/>
  <c r="R121" i="3"/>
  <c r="S121" i="3"/>
  <c r="U121" i="3"/>
  <c r="V121" i="3"/>
  <c r="W121" i="3"/>
  <c r="X121" i="3"/>
  <c r="Y121" i="3"/>
  <c r="E122" i="3"/>
  <c r="F122" i="3"/>
  <c r="G122" i="3"/>
  <c r="H122" i="3"/>
  <c r="I122" i="3"/>
  <c r="J122" i="3"/>
  <c r="K122" i="3"/>
  <c r="O122" i="3"/>
  <c r="P122" i="3"/>
  <c r="Q122" i="3"/>
  <c r="R122" i="3"/>
  <c r="S122" i="3"/>
  <c r="U122" i="3"/>
  <c r="V122" i="3"/>
  <c r="W122" i="3"/>
  <c r="X122" i="3"/>
  <c r="Y122" i="3"/>
  <c r="E123" i="3"/>
  <c r="F123" i="3"/>
  <c r="G123" i="3"/>
  <c r="H123" i="3"/>
  <c r="I123" i="3"/>
  <c r="J123" i="3"/>
  <c r="K123" i="3"/>
  <c r="O123" i="3"/>
  <c r="P123" i="3"/>
  <c r="Q123" i="3"/>
  <c r="R123" i="3"/>
  <c r="S123" i="3"/>
  <c r="U123" i="3"/>
  <c r="V123" i="3"/>
  <c r="W123" i="3"/>
  <c r="X123" i="3"/>
  <c r="Y123" i="3"/>
  <c r="E124" i="3"/>
  <c r="F124" i="3"/>
  <c r="G124" i="3"/>
  <c r="H124" i="3"/>
  <c r="I124" i="3"/>
  <c r="J124" i="3"/>
  <c r="K124" i="3"/>
  <c r="P124" i="3"/>
  <c r="Q124" i="3"/>
  <c r="R124" i="3"/>
  <c r="U124" i="3"/>
  <c r="V124" i="3"/>
  <c r="W124" i="3"/>
  <c r="X124" i="3"/>
  <c r="Y124" i="3"/>
  <c r="E125" i="3"/>
  <c r="F125" i="3"/>
  <c r="G125" i="3"/>
  <c r="H125" i="3"/>
  <c r="I125" i="3"/>
  <c r="J125" i="3"/>
  <c r="K125" i="3"/>
  <c r="O125" i="3"/>
  <c r="P125" i="3"/>
  <c r="Q125" i="3"/>
  <c r="R125" i="3"/>
  <c r="S125" i="3"/>
  <c r="U125" i="3"/>
  <c r="V125" i="3"/>
  <c r="W125" i="3"/>
  <c r="X125" i="3"/>
  <c r="Y125" i="3"/>
  <c r="E126" i="3"/>
  <c r="F126" i="3"/>
  <c r="G126" i="3"/>
  <c r="H126" i="3"/>
  <c r="I126" i="3"/>
  <c r="J126" i="3"/>
  <c r="K126" i="3"/>
  <c r="O126" i="3"/>
  <c r="P126" i="3"/>
  <c r="Q126" i="3"/>
  <c r="R126" i="3"/>
  <c r="S126" i="3"/>
  <c r="U126" i="3"/>
  <c r="V126" i="3"/>
  <c r="W126" i="3"/>
  <c r="X126" i="3"/>
  <c r="Y126" i="3"/>
  <c r="F127" i="3"/>
  <c r="G127" i="3"/>
  <c r="H127" i="3"/>
  <c r="I127" i="3"/>
  <c r="J127" i="3"/>
  <c r="K127" i="3"/>
  <c r="O127" i="3"/>
  <c r="P127" i="3"/>
  <c r="Q127" i="3"/>
  <c r="R127" i="3"/>
  <c r="S127" i="3"/>
  <c r="U127" i="3"/>
  <c r="V127" i="3"/>
  <c r="W127" i="3"/>
  <c r="X127" i="3"/>
  <c r="Y127" i="3"/>
  <c r="F130" i="3"/>
  <c r="I130" i="3"/>
  <c r="J130" i="3"/>
  <c r="K130" i="3"/>
  <c r="O130" i="3"/>
  <c r="P130" i="3"/>
  <c r="Q130" i="3"/>
  <c r="R130" i="3"/>
  <c r="S130" i="3"/>
  <c r="U130" i="3"/>
  <c r="V130" i="3"/>
  <c r="W130" i="3"/>
  <c r="X130" i="3"/>
  <c r="Y130" i="3"/>
  <c r="G131" i="3"/>
  <c r="H131" i="3"/>
  <c r="I131" i="3"/>
  <c r="J131" i="3"/>
  <c r="K131" i="3"/>
  <c r="O131" i="3"/>
  <c r="P131" i="3"/>
  <c r="Q131" i="3"/>
  <c r="R131" i="3"/>
  <c r="S131" i="3"/>
  <c r="U131" i="3"/>
  <c r="V131" i="3"/>
  <c r="W131" i="3"/>
  <c r="X131" i="3"/>
  <c r="Y131" i="3"/>
  <c r="E133" i="3"/>
  <c r="F133" i="3"/>
  <c r="G133" i="3"/>
  <c r="H133" i="3"/>
  <c r="I133" i="3"/>
  <c r="J133" i="3"/>
  <c r="K133" i="3"/>
  <c r="O133" i="3"/>
  <c r="P133" i="3"/>
  <c r="Q133" i="3"/>
  <c r="R133" i="3"/>
  <c r="S133" i="3"/>
  <c r="U133" i="3"/>
  <c r="V133" i="3"/>
  <c r="W133" i="3"/>
  <c r="X133" i="3"/>
  <c r="Y133" i="3"/>
  <c r="F134" i="3"/>
  <c r="H134" i="3"/>
  <c r="I134" i="3"/>
  <c r="J134" i="3"/>
  <c r="K134" i="3"/>
  <c r="O134" i="3"/>
  <c r="P134" i="3"/>
  <c r="Q134" i="3"/>
  <c r="R134" i="3"/>
  <c r="S134" i="3"/>
  <c r="U134" i="3"/>
  <c r="V134" i="3"/>
  <c r="W134" i="3"/>
  <c r="X134" i="3"/>
  <c r="Y134" i="3"/>
  <c r="F136" i="3"/>
  <c r="G136" i="3"/>
  <c r="H136" i="3"/>
  <c r="I136" i="3"/>
  <c r="J136" i="3"/>
  <c r="K136" i="3"/>
  <c r="O136" i="3"/>
  <c r="P136" i="3"/>
  <c r="Q136" i="3"/>
  <c r="R136" i="3"/>
  <c r="S136" i="3"/>
  <c r="U136" i="3"/>
  <c r="V136" i="3"/>
  <c r="W136" i="3"/>
  <c r="X136" i="3"/>
  <c r="Y136" i="3"/>
  <c r="E137" i="3"/>
  <c r="F137" i="3"/>
  <c r="G137" i="3"/>
  <c r="H137" i="3"/>
  <c r="I137" i="3"/>
  <c r="J137" i="3"/>
  <c r="K137" i="3"/>
  <c r="O137" i="3"/>
  <c r="Q137" i="3"/>
  <c r="Q135" i="3" s="1"/>
  <c r="R137" i="3"/>
  <c r="R135" i="3" s="1"/>
  <c r="S137" i="3"/>
  <c r="S135" i="3" s="1"/>
  <c r="U137" i="3"/>
  <c r="U135" i="3" s="1"/>
  <c r="V137" i="3"/>
  <c r="V135" i="3" s="1"/>
  <c r="W137" i="3"/>
  <c r="W135" i="3" s="1"/>
  <c r="X137" i="3"/>
  <c r="X135" i="3" s="1"/>
  <c r="Y137" i="3"/>
  <c r="Y135" i="3" s="1"/>
  <c r="F138" i="3"/>
  <c r="G138" i="3"/>
  <c r="H138" i="3"/>
  <c r="I138" i="3"/>
  <c r="J138" i="3"/>
  <c r="K138" i="3"/>
  <c r="O138" i="3"/>
  <c r="P138" i="3"/>
  <c r="Q138" i="3"/>
  <c r="R138" i="3"/>
  <c r="S138" i="3"/>
  <c r="U138" i="3"/>
  <c r="V138" i="3"/>
  <c r="W138" i="3"/>
  <c r="X138" i="3"/>
  <c r="Y138" i="3"/>
  <c r="E140" i="3"/>
  <c r="E139" i="3" s="1"/>
  <c r="F140" i="3"/>
  <c r="F139" i="3" s="1"/>
  <c r="G140" i="3"/>
  <c r="G139" i="3" s="1"/>
  <c r="H140" i="3"/>
  <c r="H139" i="3" s="1"/>
  <c r="I140" i="3"/>
  <c r="J140" i="3"/>
  <c r="J139" i="3" s="1"/>
  <c r="K140" i="3"/>
  <c r="K139" i="3" s="1"/>
  <c r="O140" i="3"/>
  <c r="O139" i="3" s="1"/>
  <c r="P140" i="3"/>
  <c r="P139" i="3" s="1"/>
  <c r="Q140" i="3"/>
  <c r="Q139" i="3" s="1"/>
  <c r="R140" i="3"/>
  <c r="R139" i="3" s="1"/>
  <c r="S140" i="3"/>
  <c r="S139" i="3" s="1"/>
  <c r="U140" i="3"/>
  <c r="U139" i="3" s="1"/>
  <c r="V140" i="3"/>
  <c r="V139" i="3" s="1"/>
  <c r="W140" i="3"/>
  <c r="W139" i="3" s="1"/>
  <c r="X140" i="3"/>
  <c r="X139" i="3" s="1"/>
  <c r="Y140" i="3"/>
  <c r="Y139" i="3" s="1"/>
  <c r="E143" i="3"/>
  <c r="E142" i="3" s="1"/>
  <c r="F143" i="3"/>
  <c r="F142" i="3" s="1"/>
  <c r="G143" i="3"/>
  <c r="G142" i="3" s="1"/>
  <c r="H143" i="3"/>
  <c r="H142" i="3" s="1"/>
  <c r="I143" i="3"/>
  <c r="J143" i="3"/>
  <c r="J142" i="3" s="1"/>
  <c r="K143" i="3"/>
  <c r="K142" i="3" s="1"/>
  <c r="O143" i="3"/>
  <c r="O142" i="3" s="1"/>
  <c r="P143" i="3"/>
  <c r="P142" i="3" s="1"/>
  <c r="Q143" i="3"/>
  <c r="Q142" i="3" s="1"/>
  <c r="R143" i="3"/>
  <c r="R142" i="3" s="1"/>
  <c r="S143" i="3"/>
  <c r="S142" i="3" s="1"/>
  <c r="U143" i="3"/>
  <c r="U142" i="3" s="1"/>
  <c r="V143" i="3"/>
  <c r="V142" i="3" s="1"/>
  <c r="W143" i="3"/>
  <c r="W142" i="3" s="1"/>
  <c r="X143" i="3"/>
  <c r="X142" i="3" s="1"/>
  <c r="Y143" i="3"/>
  <c r="Y142" i="3" s="1"/>
  <c r="E145" i="3"/>
  <c r="E144" i="3" s="1"/>
  <c r="F145" i="3"/>
  <c r="F144" i="3" s="1"/>
  <c r="G145" i="3"/>
  <c r="G144" i="3" s="1"/>
  <c r="H145" i="3"/>
  <c r="H144" i="3" s="1"/>
  <c r="I145" i="3"/>
  <c r="J145" i="3"/>
  <c r="J144" i="3" s="1"/>
  <c r="K145" i="3"/>
  <c r="K144" i="3" s="1"/>
  <c r="O145" i="3"/>
  <c r="O144" i="3" s="1"/>
  <c r="P145" i="3"/>
  <c r="P144" i="3" s="1"/>
  <c r="Q145" i="3"/>
  <c r="Q144" i="3" s="1"/>
  <c r="R145" i="3"/>
  <c r="R144" i="3" s="1"/>
  <c r="S145" i="3"/>
  <c r="S144" i="3" s="1"/>
  <c r="U145" i="3"/>
  <c r="U144" i="3" s="1"/>
  <c r="V145" i="3"/>
  <c r="V144" i="3" s="1"/>
  <c r="W145" i="3"/>
  <c r="W144" i="3" s="1"/>
  <c r="X145" i="3"/>
  <c r="X144" i="3" s="1"/>
  <c r="Y145" i="3"/>
  <c r="Y144" i="3" s="1"/>
  <c r="F146" i="3"/>
  <c r="G146" i="3"/>
  <c r="I146" i="3"/>
  <c r="J146" i="3"/>
  <c r="K146" i="3"/>
  <c r="O146" i="3"/>
  <c r="P146" i="3"/>
  <c r="Q146" i="3"/>
  <c r="R146" i="3"/>
  <c r="S146" i="3"/>
  <c r="U146" i="3"/>
  <c r="V146" i="3"/>
  <c r="W146" i="3"/>
  <c r="X146" i="3"/>
  <c r="Y146" i="3"/>
  <c r="G213" i="1"/>
  <c r="G212" i="1" s="1"/>
  <c r="J213" i="1"/>
  <c r="J212" i="1" s="1"/>
  <c r="K213" i="1"/>
  <c r="K212" i="1" s="1"/>
  <c r="L213" i="1"/>
  <c r="L212" i="1" s="1"/>
  <c r="P213" i="1"/>
  <c r="P212" i="1" s="1"/>
  <c r="Q213" i="1"/>
  <c r="Q212" i="1" s="1"/>
  <c r="R213" i="1"/>
  <c r="R212" i="1" s="1"/>
  <c r="S213" i="1"/>
  <c r="S212" i="1" s="1"/>
  <c r="T213" i="1"/>
  <c r="T212" i="1" s="1"/>
  <c r="V213" i="1"/>
  <c r="V212" i="1" s="1"/>
  <c r="W213" i="1"/>
  <c r="W212" i="1" s="1"/>
  <c r="X213" i="1"/>
  <c r="X212" i="1" s="1"/>
  <c r="Y213" i="1"/>
  <c r="Y212" i="1" s="1"/>
  <c r="Z213" i="1"/>
  <c r="Z212" i="1" s="1"/>
  <c r="H207" i="1"/>
  <c r="H206" i="1" s="1"/>
  <c r="I207" i="1"/>
  <c r="I206" i="1" s="1"/>
  <c r="J207" i="1"/>
  <c r="K207" i="1"/>
  <c r="K206" i="1" s="1"/>
  <c r="L207" i="1"/>
  <c r="L206" i="1" s="1"/>
  <c r="P207" i="1"/>
  <c r="P206" i="1" s="1"/>
  <c r="Q207" i="1"/>
  <c r="Q206" i="1" s="1"/>
  <c r="R207" i="1"/>
  <c r="R206" i="1" s="1"/>
  <c r="S207" i="1"/>
  <c r="S206" i="1" s="1"/>
  <c r="T207" i="1"/>
  <c r="T206" i="1" s="1"/>
  <c r="V207" i="1"/>
  <c r="V206" i="1" s="1"/>
  <c r="W207" i="1"/>
  <c r="W206" i="1" s="1"/>
  <c r="X207" i="1"/>
  <c r="X206" i="1" s="1"/>
  <c r="Y207" i="1"/>
  <c r="Y206" i="1" s="1"/>
  <c r="Z207" i="1"/>
  <c r="Z206" i="1" s="1"/>
  <c r="F200" i="1"/>
  <c r="F199" i="1" s="1"/>
  <c r="G200" i="1"/>
  <c r="G199" i="1" s="1"/>
  <c r="H200" i="1"/>
  <c r="H199" i="1" s="1"/>
  <c r="I200" i="1"/>
  <c r="I199" i="1" s="1"/>
  <c r="J200" i="1"/>
  <c r="K200" i="1"/>
  <c r="K199" i="1" s="1"/>
  <c r="L200" i="1"/>
  <c r="L199" i="1" s="1"/>
  <c r="P200" i="1"/>
  <c r="P199" i="1" s="1"/>
  <c r="Q200" i="1"/>
  <c r="Q199" i="1" s="1"/>
  <c r="R200" i="1"/>
  <c r="R199" i="1" s="1"/>
  <c r="S200" i="1"/>
  <c r="S199" i="1" s="1"/>
  <c r="T200" i="1"/>
  <c r="T199" i="1" s="1"/>
  <c r="V200" i="1"/>
  <c r="V199" i="1" s="1"/>
  <c r="W200" i="1"/>
  <c r="W199" i="1" s="1"/>
  <c r="X200" i="1"/>
  <c r="X199" i="1" s="1"/>
  <c r="Y200" i="1"/>
  <c r="Y199" i="1" s="1"/>
  <c r="Z200" i="1"/>
  <c r="Z199" i="1" s="1"/>
  <c r="I196" i="1"/>
  <c r="I195" i="1" s="1"/>
  <c r="J196" i="1"/>
  <c r="K196" i="1"/>
  <c r="K195" i="1" s="1"/>
  <c r="L196" i="1"/>
  <c r="L195" i="1" s="1"/>
  <c r="P196" i="1"/>
  <c r="P195" i="1" s="1"/>
  <c r="Q196" i="1"/>
  <c r="Q195" i="1" s="1"/>
  <c r="R196" i="1"/>
  <c r="R195" i="1" s="1"/>
  <c r="S196" i="1"/>
  <c r="S195" i="1" s="1"/>
  <c r="T196" i="1"/>
  <c r="T195" i="1" s="1"/>
  <c r="V196" i="1"/>
  <c r="V195" i="1" s="1"/>
  <c r="W196" i="1"/>
  <c r="W195" i="1" s="1"/>
  <c r="X196" i="1"/>
  <c r="X195" i="1" s="1"/>
  <c r="Y196" i="1"/>
  <c r="Y195" i="1" s="1"/>
  <c r="Z196" i="1"/>
  <c r="Z195" i="1" s="1"/>
  <c r="F192" i="1"/>
  <c r="F191" i="1" s="1"/>
  <c r="G192" i="1"/>
  <c r="G191" i="1" s="1"/>
  <c r="H192" i="1"/>
  <c r="H191" i="1" s="1"/>
  <c r="I192" i="1"/>
  <c r="I191" i="1" s="1"/>
  <c r="J192" i="1"/>
  <c r="K192" i="1"/>
  <c r="K191" i="1" s="1"/>
  <c r="L192" i="1"/>
  <c r="L191" i="1" s="1"/>
  <c r="P192" i="1"/>
  <c r="P191" i="1" s="1"/>
  <c r="Q192" i="1"/>
  <c r="Q191" i="1" s="1"/>
  <c r="R192" i="1"/>
  <c r="R191" i="1" s="1"/>
  <c r="S192" i="1"/>
  <c r="S191" i="1" s="1"/>
  <c r="T192" i="1"/>
  <c r="T191" i="1" s="1"/>
  <c r="V192" i="1"/>
  <c r="V191" i="1" s="1"/>
  <c r="W192" i="1"/>
  <c r="W191" i="1" s="1"/>
  <c r="X192" i="1"/>
  <c r="X191" i="1" s="1"/>
  <c r="Y192" i="1"/>
  <c r="Y191" i="1" s="1"/>
  <c r="Z192" i="1"/>
  <c r="Z191" i="1" s="1"/>
  <c r="G188" i="1"/>
  <c r="G187" i="1" s="1"/>
  <c r="H188" i="1"/>
  <c r="H187" i="1" s="1"/>
  <c r="I188" i="1"/>
  <c r="I187" i="1" s="1"/>
  <c r="J188" i="1"/>
  <c r="K188" i="1"/>
  <c r="K187" i="1" s="1"/>
  <c r="L188" i="1"/>
  <c r="L187" i="1" s="1"/>
  <c r="Q188" i="1"/>
  <c r="Q187" i="1" s="1"/>
  <c r="R188" i="1"/>
  <c r="R187" i="1" s="1"/>
  <c r="S188" i="1"/>
  <c r="S187" i="1" s="1"/>
  <c r="V188" i="1"/>
  <c r="V187" i="1" s="1"/>
  <c r="W188" i="1"/>
  <c r="W187" i="1" s="1"/>
  <c r="X188" i="1"/>
  <c r="X187" i="1" s="1"/>
  <c r="Y188" i="1"/>
  <c r="Y187" i="1" s="1"/>
  <c r="Z188" i="1"/>
  <c r="Z187" i="1" s="1"/>
  <c r="G185" i="1"/>
  <c r="G184" i="1" s="1"/>
  <c r="H185" i="1"/>
  <c r="H184" i="1" s="1"/>
  <c r="I185" i="1"/>
  <c r="I184" i="1" s="1"/>
  <c r="J185" i="1"/>
  <c r="J184" i="1" s="1"/>
  <c r="K185" i="1"/>
  <c r="K184" i="1" s="1"/>
  <c r="L185" i="1"/>
  <c r="L184" i="1" s="1"/>
  <c r="P185" i="1"/>
  <c r="P184" i="1" s="1"/>
  <c r="Q185" i="1"/>
  <c r="Q184" i="1" s="1"/>
  <c r="R185" i="1"/>
  <c r="R184" i="1" s="1"/>
  <c r="S185" i="1"/>
  <c r="S184" i="1" s="1"/>
  <c r="T185" i="1"/>
  <c r="T184" i="1" s="1"/>
  <c r="V185" i="1"/>
  <c r="V184" i="1" s="1"/>
  <c r="W185" i="1"/>
  <c r="W184" i="1" s="1"/>
  <c r="X185" i="1"/>
  <c r="X184" i="1" s="1"/>
  <c r="Y185" i="1"/>
  <c r="Y184" i="1" s="1"/>
  <c r="Z185" i="1"/>
  <c r="Z184" i="1" s="1"/>
  <c r="F180" i="1"/>
  <c r="F179" i="1" s="1"/>
  <c r="G180" i="1"/>
  <c r="G179" i="1" s="1"/>
  <c r="H180" i="1"/>
  <c r="H179" i="1" s="1"/>
  <c r="I180" i="1"/>
  <c r="I179" i="1" s="1"/>
  <c r="J180" i="1"/>
  <c r="K180" i="1"/>
  <c r="K179" i="1" s="1"/>
  <c r="L180" i="1"/>
  <c r="L179" i="1" s="1"/>
  <c r="P180" i="1"/>
  <c r="P179" i="1" s="1"/>
  <c r="Q180" i="1"/>
  <c r="Q179" i="1" s="1"/>
  <c r="R180" i="1"/>
  <c r="R179" i="1" s="1"/>
  <c r="S180" i="1"/>
  <c r="S179" i="1" s="1"/>
  <c r="T180" i="1"/>
  <c r="T179" i="1" s="1"/>
  <c r="V180" i="1"/>
  <c r="V179" i="1" s="1"/>
  <c r="W180" i="1"/>
  <c r="W179" i="1" s="1"/>
  <c r="X180" i="1"/>
  <c r="X179" i="1" s="1"/>
  <c r="Y180" i="1"/>
  <c r="Y179" i="1" s="1"/>
  <c r="Z180" i="1"/>
  <c r="Z179" i="1" s="1"/>
  <c r="F165" i="1"/>
  <c r="F164" i="1" s="1"/>
  <c r="G165" i="1"/>
  <c r="G164" i="1" s="1"/>
  <c r="H165" i="1"/>
  <c r="H164" i="1" s="1"/>
  <c r="J165" i="1"/>
  <c r="J164" i="1" s="1"/>
  <c r="K165" i="1"/>
  <c r="K164" i="1" s="1"/>
  <c r="L165" i="1"/>
  <c r="L164" i="1" s="1"/>
  <c r="Q165" i="1"/>
  <c r="Q164" i="1" s="1"/>
  <c r="R165" i="1"/>
  <c r="R164" i="1" s="1"/>
  <c r="S165" i="1"/>
  <c r="S164" i="1" s="1"/>
  <c r="V165" i="1"/>
  <c r="V164" i="1" s="1"/>
  <c r="W165" i="1"/>
  <c r="W164" i="1" s="1"/>
  <c r="X165" i="1"/>
  <c r="X164" i="1" s="1"/>
  <c r="Y165" i="1"/>
  <c r="Y164" i="1" s="1"/>
  <c r="Z165" i="1"/>
  <c r="Z164" i="1" s="1"/>
  <c r="G136" i="1"/>
  <c r="G135" i="1" s="1"/>
  <c r="J136" i="1"/>
  <c r="K136" i="1"/>
  <c r="K135" i="1" s="1"/>
  <c r="L136" i="1"/>
  <c r="L135" i="1" s="1"/>
  <c r="Q136" i="1"/>
  <c r="Q135" i="1" s="1"/>
  <c r="R136" i="1"/>
  <c r="R135" i="1" s="1"/>
  <c r="S136" i="1"/>
  <c r="S135" i="1" s="1"/>
  <c r="V136" i="1"/>
  <c r="V135" i="1" s="1"/>
  <c r="W136" i="1"/>
  <c r="W135" i="1" s="1"/>
  <c r="X136" i="1"/>
  <c r="X135" i="1" s="1"/>
  <c r="Y136" i="1"/>
  <c r="Y135" i="1" s="1"/>
  <c r="Z136" i="1"/>
  <c r="Z135" i="1" s="1"/>
  <c r="J126" i="1"/>
  <c r="K126" i="1"/>
  <c r="K125" i="1" s="1"/>
  <c r="L126" i="1"/>
  <c r="L125" i="1" s="1"/>
  <c r="P126" i="1"/>
  <c r="P125" i="1" s="1"/>
  <c r="Q126" i="1"/>
  <c r="Q125" i="1" s="1"/>
  <c r="R126" i="1"/>
  <c r="R125" i="1" s="1"/>
  <c r="S126" i="1"/>
  <c r="S125" i="1" s="1"/>
  <c r="T126" i="1"/>
  <c r="T125" i="1" s="1"/>
  <c r="V126" i="1"/>
  <c r="V125" i="1" s="1"/>
  <c r="W126" i="1"/>
  <c r="W125" i="1" s="1"/>
  <c r="X126" i="1"/>
  <c r="X125" i="1" s="1"/>
  <c r="Y126" i="1"/>
  <c r="Y125" i="1" s="1"/>
  <c r="Z126" i="1"/>
  <c r="Z125" i="1" s="1"/>
  <c r="G121" i="1"/>
  <c r="G120" i="1" s="1"/>
  <c r="I121" i="1"/>
  <c r="I120" i="1" s="1"/>
  <c r="J121" i="1"/>
  <c r="K121" i="1"/>
  <c r="K120" i="1" s="1"/>
  <c r="L121" i="1"/>
  <c r="L120" i="1" s="1"/>
  <c r="Q121" i="1"/>
  <c r="Q120" i="1" s="1"/>
  <c r="R121" i="1"/>
  <c r="R120" i="1" s="1"/>
  <c r="S121" i="1"/>
  <c r="S120" i="1" s="1"/>
  <c r="V121" i="1"/>
  <c r="V120" i="1" s="1"/>
  <c r="W121" i="1"/>
  <c r="W120" i="1" s="1"/>
  <c r="X121" i="1"/>
  <c r="X120" i="1" s="1"/>
  <c r="Y121" i="1"/>
  <c r="Y120" i="1" s="1"/>
  <c r="Z121" i="1"/>
  <c r="Z120" i="1" s="1"/>
  <c r="H99" i="1"/>
  <c r="H98" i="1" s="1"/>
  <c r="I99" i="1"/>
  <c r="I98" i="1" s="1"/>
  <c r="J99" i="1"/>
  <c r="J98" i="1" s="1"/>
  <c r="K99" i="1"/>
  <c r="K98" i="1" s="1"/>
  <c r="L99" i="1"/>
  <c r="L98" i="1" s="1"/>
  <c r="P99" i="1"/>
  <c r="P98" i="1" s="1"/>
  <c r="Q99" i="1"/>
  <c r="Q98" i="1" s="1"/>
  <c r="R99" i="1"/>
  <c r="R98" i="1" s="1"/>
  <c r="S99" i="1"/>
  <c r="S98" i="1" s="1"/>
  <c r="T99" i="1"/>
  <c r="T98" i="1" s="1"/>
  <c r="V99" i="1"/>
  <c r="V98" i="1" s="1"/>
  <c r="W99" i="1"/>
  <c r="W98" i="1" s="1"/>
  <c r="X99" i="1"/>
  <c r="X98" i="1" s="1"/>
  <c r="Y99" i="1"/>
  <c r="Y98" i="1" s="1"/>
  <c r="Z99" i="1"/>
  <c r="Z98" i="1" s="1"/>
  <c r="H85" i="1"/>
  <c r="H84" i="1" s="1"/>
  <c r="J85" i="1"/>
  <c r="K85" i="1"/>
  <c r="K84" i="1" s="1"/>
  <c r="L85" i="1"/>
  <c r="L84" i="1" s="1"/>
  <c r="Q85" i="1"/>
  <c r="Q84" i="1" s="1"/>
  <c r="R85" i="1"/>
  <c r="R84" i="1" s="1"/>
  <c r="S85" i="1"/>
  <c r="S84" i="1" s="1"/>
  <c r="V85" i="1"/>
  <c r="V84" i="1" s="1"/>
  <c r="W85" i="1"/>
  <c r="W84" i="1" s="1"/>
  <c r="X85" i="1"/>
  <c r="X84" i="1" s="1"/>
  <c r="Y85" i="1"/>
  <c r="Y84" i="1" s="1"/>
  <c r="Z85" i="1"/>
  <c r="Z84" i="1" s="1"/>
  <c r="J51" i="1"/>
  <c r="J50" i="1" s="1"/>
  <c r="K51" i="1"/>
  <c r="K50" i="1" s="1"/>
  <c r="L51" i="1"/>
  <c r="L50" i="1" s="1"/>
  <c r="P51" i="1"/>
  <c r="P50" i="1" s="1"/>
  <c r="R51" i="1"/>
  <c r="R50" i="1" s="1"/>
  <c r="S51" i="1"/>
  <c r="S50" i="1" s="1"/>
  <c r="T51" i="1"/>
  <c r="T50" i="1" s="1"/>
  <c r="V51" i="1"/>
  <c r="V50" i="1" s="1"/>
  <c r="W51" i="1"/>
  <c r="W50" i="1" s="1"/>
  <c r="X51" i="1"/>
  <c r="X50" i="1" s="1"/>
  <c r="Y51" i="1"/>
  <c r="Y50" i="1" s="1"/>
  <c r="Z51" i="1"/>
  <c r="Z50" i="1" s="1"/>
  <c r="J16" i="1"/>
  <c r="K16" i="1"/>
  <c r="K15" i="1" s="1"/>
  <c r="L16" i="1"/>
  <c r="L15" i="1" s="1"/>
  <c r="P16" i="1"/>
  <c r="P15" i="1" s="1"/>
  <c r="R16" i="1"/>
  <c r="R15" i="1" s="1"/>
  <c r="T16" i="1"/>
  <c r="T15" i="1" s="1"/>
  <c r="V16" i="1"/>
  <c r="V15" i="1" s="1"/>
  <c r="W16" i="1"/>
  <c r="W15" i="1" s="1"/>
  <c r="X16" i="1"/>
  <c r="X15" i="1" s="1"/>
  <c r="Y16" i="1"/>
  <c r="Y15" i="1" s="1"/>
  <c r="Z16" i="1"/>
  <c r="Z15" i="1" s="1"/>
  <c r="U17" i="1"/>
  <c r="U18" i="1"/>
  <c r="U19" i="1"/>
  <c r="AB19" i="1" s="1"/>
  <c r="U20" i="1"/>
  <c r="U21" i="1"/>
  <c r="T67" i="3" s="1"/>
  <c r="U22" i="1"/>
  <c r="T68" i="3" s="1"/>
  <c r="U23" i="1"/>
  <c r="AB23" i="1" s="1"/>
  <c r="U24" i="1"/>
  <c r="U25" i="1"/>
  <c r="T85" i="3" s="1"/>
  <c r="U26" i="1"/>
  <c r="T86" i="3" s="1"/>
  <c r="U27" i="1"/>
  <c r="AB27" i="1" s="1"/>
  <c r="AA87" i="3" s="1"/>
  <c r="U28" i="1"/>
  <c r="U29" i="1"/>
  <c r="T89" i="3" s="1"/>
  <c r="U30" i="1"/>
  <c r="T90" i="3" s="1"/>
  <c r="U31" i="1"/>
  <c r="AB31" i="1" s="1"/>
  <c r="AA91" i="3" s="1"/>
  <c r="U32" i="1"/>
  <c r="U33" i="1"/>
  <c r="U34" i="1"/>
  <c r="U35" i="1"/>
  <c r="AB35" i="1" s="1"/>
  <c r="U36" i="1"/>
  <c r="U37" i="1"/>
  <c r="T118" i="3" s="1"/>
  <c r="U38" i="1"/>
  <c r="U39" i="1"/>
  <c r="AB39" i="1" s="1"/>
  <c r="AA125" i="3" s="1"/>
  <c r="U40" i="1"/>
  <c r="U41" i="1"/>
  <c r="U42" i="1"/>
  <c r="U43" i="1"/>
  <c r="T131" i="3" s="1"/>
  <c r="U44" i="1"/>
  <c r="T133" i="3" s="1"/>
  <c r="U45" i="1"/>
  <c r="U46" i="1"/>
  <c r="T136" i="3" s="1"/>
  <c r="U47" i="1"/>
  <c r="AB47" i="1" s="1"/>
  <c r="U48" i="1"/>
  <c r="U49" i="1"/>
  <c r="U52" i="1"/>
  <c r="U53" i="1"/>
  <c r="T18" i="3" s="1"/>
  <c r="U54" i="1"/>
  <c r="U55" i="1"/>
  <c r="U56" i="1"/>
  <c r="T21" i="3" s="1"/>
  <c r="U57" i="1"/>
  <c r="T22" i="3" s="1"/>
  <c r="U58" i="1"/>
  <c r="T23" i="3" s="1"/>
  <c r="U59" i="1"/>
  <c r="T24" i="3" s="1"/>
  <c r="U60" i="1"/>
  <c r="T25" i="3" s="1"/>
  <c r="U61" i="1"/>
  <c r="T27" i="3" s="1"/>
  <c r="U62" i="1"/>
  <c r="T28" i="3" s="1"/>
  <c r="U63" i="1"/>
  <c r="U64" i="1"/>
  <c r="T30" i="3" s="1"/>
  <c r="U65" i="1"/>
  <c r="T31" i="3" s="1"/>
  <c r="U66" i="1"/>
  <c r="T32" i="3" s="1"/>
  <c r="U67" i="1"/>
  <c r="T33" i="3" s="1"/>
  <c r="U68" i="1"/>
  <c r="T34" i="3" s="1"/>
  <c r="U69" i="1"/>
  <c r="T35" i="3" s="1"/>
  <c r="U70" i="1"/>
  <c r="T36" i="3" s="1"/>
  <c r="U71" i="1"/>
  <c r="U72" i="1"/>
  <c r="T38" i="3" s="1"/>
  <c r="U73" i="1"/>
  <c r="T41" i="3" s="1"/>
  <c r="U74" i="1"/>
  <c r="U75" i="1"/>
  <c r="T44" i="3" s="1"/>
  <c r="U76" i="1"/>
  <c r="T45" i="3" s="1"/>
  <c r="U77" i="1"/>
  <c r="T46" i="3" s="1"/>
  <c r="U78" i="1"/>
  <c r="U79" i="1"/>
  <c r="AB79" i="1" s="1"/>
  <c r="U80" i="1"/>
  <c r="U81" i="1"/>
  <c r="U82" i="1"/>
  <c r="U83" i="1"/>
  <c r="U86" i="1"/>
  <c r="U87" i="1"/>
  <c r="U88" i="1"/>
  <c r="T49" i="3" s="1"/>
  <c r="U89" i="1"/>
  <c r="T50" i="3" s="1"/>
  <c r="U90" i="1"/>
  <c r="T51" i="3" s="1"/>
  <c r="U91" i="1"/>
  <c r="T52" i="3" s="1"/>
  <c r="U92" i="1"/>
  <c r="T53" i="3" s="1"/>
  <c r="U93" i="1"/>
  <c r="T54" i="3" s="1"/>
  <c r="U94" i="1"/>
  <c r="U95" i="1"/>
  <c r="AB95" i="1" s="1"/>
  <c r="U96" i="1"/>
  <c r="U97" i="1"/>
  <c r="U100" i="1"/>
  <c r="U101" i="1"/>
  <c r="T56" i="3" s="1"/>
  <c r="U102" i="1"/>
  <c r="T57" i="3" s="1"/>
  <c r="U103" i="1"/>
  <c r="U104" i="1"/>
  <c r="T59" i="3" s="1"/>
  <c r="U105" i="1"/>
  <c r="U106" i="1"/>
  <c r="U107" i="1"/>
  <c r="U108" i="1"/>
  <c r="T63" i="3" s="1"/>
  <c r="U109" i="1"/>
  <c r="T66" i="3" s="1"/>
  <c r="U110" i="1"/>
  <c r="U111" i="1"/>
  <c r="U112" i="1"/>
  <c r="U113" i="1"/>
  <c r="T72" i="3" s="1"/>
  <c r="U114" i="1"/>
  <c r="T73" i="3" s="1"/>
  <c r="U115" i="1"/>
  <c r="U116" i="1"/>
  <c r="T75" i="3" s="1"/>
  <c r="U117" i="1"/>
  <c r="T77" i="3" s="1"/>
  <c r="U118" i="1"/>
  <c r="U119" i="1"/>
  <c r="AB119" i="1" s="1"/>
  <c r="U122" i="1"/>
  <c r="U123" i="1"/>
  <c r="T64" i="3" s="1"/>
  <c r="U124" i="1"/>
  <c r="U127" i="1"/>
  <c r="AB127" i="1" s="1"/>
  <c r="U128" i="1"/>
  <c r="T26" i="3" s="1"/>
  <c r="U129" i="1"/>
  <c r="T80" i="3" s="1"/>
  <c r="U130" i="1"/>
  <c r="T81" i="3" s="1"/>
  <c r="U131" i="1"/>
  <c r="U132" i="1"/>
  <c r="T83" i="3" s="1"/>
  <c r="U133" i="1"/>
  <c r="U134" i="1"/>
  <c r="U137" i="1"/>
  <c r="U138" i="1"/>
  <c r="T16" i="3" s="1"/>
  <c r="U139" i="1"/>
  <c r="T76" i="3" s="1"/>
  <c r="U140" i="1"/>
  <c r="T93" i="3" s="1"/>
  <c r="U141" i="1"/>
  <c r="T94" i="3" s="1"/>
  <c r="U142" i="1"/>
  <c r="T95" i="3" s="1"/>
  <c r="U143" i="1"/>
  <c r="U144" i="1"/>
  <c r="T97" i="3" s="1"/>
  <c r="U145" i="1"/>
  <c r="U146" i="1"/>
  <c r="T101" i="3" s="1"/>
  <c r="U147" i="1"/>
  <c r="U148" i="1"/>
  <c r="U149" i="1"/>
  <c r="U150" i="1"/>
  <c r="T110" i="3" s="1"/>
  <c r="U151" i="1"/>
  <c r="AB151" i="1" s="1"/>
  <c r="U152" i="1"/>
  <c r="U153" i="1"/>
  <c r="U154" i="1"/>
  <c r="U155" i="1"/>
  <c r="U156" i="1"/>
  <c r="U157" i="1"/>
  <c r="T124" i="3" s="1"/>
  <c r="U158" i="1"/>
  <c r="U159" i="1"/>
  <c r="AB159" i="1" s="1"/>
  <c r="U160" i="1"/>
  <c r="U161" i="1"/>
  <c r="U162" i="1"/>
  <c r="U163" i="1"/>
  <c r="T146" i="3" s="1"/>
  <c r="U166" i="1"/>
  <c r="U167" i="1"/>
  <c r="U168" i="1"/>
  <c r="T39" i="3" s="1"/>
  <c r="U169" i="1"/>
  <c r="T40" i="3" s="1"/>
  <c r="U170" i="1"/>
  <c r="T42" i="3" s="1"/>
  <c r="U171" i="1"/>
  <c r="U172" i="1"/>
  <c r="U173" i="1"/>
  <c r="T99" i="3" s="1"/>
  <c r="U174" i="1"/>
  <c r="T100" i="3" s="1"/>
  <c r="U175" i="1"/>
  <c r="AB175" i="1" s="1"/>
  <c r="U176" i="1"/>
  <c r="U177" i="1"/>
  <c r="U178" i="1"/>
  <c r="U181" i="1"/>
  <c r="U182" i="1"/>
  <c r="T109" i="3" s="1"/>
  <c r="U183" i="1"/>
  <c r="AB183" i="1" s="1"/>
  <c r="U186" i="1"/>
  <c r="U189" i="1"/>
  <c r="U190" i="1"/>
  <c r="T120" i="3" s="1"/>
  <c r="U193" i="1"/>
  <c r="U194" i="1"/>
  <c r="U197" i="1"/>
  <c r="U198" i="1"/>
  <c r="U201" i="1"/>
  <c r="U202" i="1"/>
  <c r="T106" i="3" s="1"/>
  <c r="U203" i="1"/>
  <c r="T122" i="3" s="1"/>
  <c r="U204" i="1"/>
  <c r="T123" i="3" s="1"/>
  <c r="U205" i="1"/>
  <c r="U208" i="1"/>
  <c r="U209" i="1"/>
  <c r="T138" i="3" s="1"/>
  <c r="U210" i="1"/>
  <c r="T140" i="3" s="1"/>
  <c r="U211" i="1"/>
  <c r="T143" i="3" s="1"/>
  <c r="U214" i="1"/>
  <c r="T43" i="3" l="1"/>
  <c r="T114" i="3"/>
  <c r="T82" i="3"/>
  <c r="T116" i="3"/>
  <c r="T60" i="3"/>
  <c r="K135" i="3"/>
  <c r="G135" i="3"/>
  <c r="Y14" i="3"/>
  <c r="T134" i="3"/>
  <c r="T132" i="3" s="1"/>
  <c r="T115" i="3"/>
  <c r="T113" i="3"/>
  <c r="T78" i="3"/>
  <c r="T88" i="3"/>
  <c r="Q47" i="3"/>
  <c r="Q14" i="3"/>
  <c r="R215" i="1"/>
  <c r="O135" i="3"/>
  <c r="J135" i="3"/>
  <c r="H135" i="3"/>
  <c r="F135" i="3"/>
  <c r="E111" i="3"/>
  <c r="Y47" i="3"/>
  <c r="U47" i="3"/>
  <c r="X14" i="3"/>
  <c r="T137" i="3"/>
  <c r="T135" i="3" s="1"/>
  <c r="AB71" i="1"/>
  <c r="AA37" i="3" s="1"/>
  <c r="T37" i="3"/>
  <c r="AB63" i="1"/>
  <c r="AA29" i="3" s="1"/>
  <c r="T29" i="3"/>
  <c r="AB55" i="1"/>
  <c r="AA20" i="3" s="1"/>
  <c r="T20" i="3"/>
  <c r="V129" i="3"/>
  <c r="V119" i="3"/>
  <c r="V111" i="3"/>
  <c r="Y92" i="3"/>
  <c r="U92" i="3"/>
  <c r="T91" i="3"/>
  <c r="T87" i="3"/>
  <c r="F84" i="3"/>
  <c r="Q79" i="3"/>
  <c r="H79" i="3"/>
  <c r="T127" i="3"/>
  <c r="T126" i="3"/>
  <c r="T121" i="3"/>
  <c r="R129" i="3"/>
  <c r="T125" i="3"/>
  <c r="R119" i="3"/>
  <c r="R111" i="3"/>
  <c r="Q92" i="3"/>
  <c r="W84" i="3"/>
  <c r="O84" i="3"/>
  <c r="Y79" i="3"/>
  <c r="U79" i="3"/>
  <c r="W79" i="3"/>
  <c r="W55" i="3"/>
  <c r="W47" i="3"/>
  <c r="W17" i="3"/>
  <c r="K17" i="3"/>
  <c r="I17" i="3"/>
  <c r="S79" i="3"/>
  <c r="O79" i="3"/>
  <c r="K79" i="3"/>
  <c r="I79" i="3"/>
  <c r="S55" i="3"/>
  <c r="O55" i="3"/>
  <c r="K55" i="3"/>
  <c r="I55" i="3"/>
  <c r="K47" i="3"/>
  <c r="I47" i="3"/>
  <c r="G47" i="3"/>
  <c r="V14" i="3"/>
  <c r="U14" i="3"/>
  <c r="R14" i="3"/>
  <c r="P14" i="3"/>
  <c r="J14" i="3"/>
  <c r="T142" i="3"/>
  <c r="T139" i="3"/>
  <c r="T105" i="3"/>
  <c r="T103" i="3"/>
  <c r="T65" i="3"/>
  <c r="T71" i="3"/>
  <c r="T69" i="3"/>
  <c r="T61" i="3"/>
  <c r="T74" i="3"/>
  <c r="T15" i="3"/>
  <c r="X141" i="3"/>
  <c r="V141" i="3"/>
  <c r="T145" i="3"/>
  <c r="R141" i="3"/>
  <c r="P141" i="3"/>
  <c r="J141" i="3"/>
  <c r="F141" i="3"/>
  <c r="Y132" i="3"/>
  <c r="W132" i="3"/>
  <c r="U132" i="3"/>
  <c r="S132" i="3"/>
  <c r="Q132" i="3"/>
  <c r="O132" i="3"/>
  <c r="K132" i="3"/>
  <c r="I132" i="3"/>
  <c r="Y129" i="3"/>
  <c r="Y128" i="3" s="1"/>
  <c r="W129" i="3"/>
  <c r="W128" i="3" s="1"/>
  <c r="U129" i="3"/>
  <c r="U128" i="3" s="1"/>
  <c r="S129" i="3"/>
  <c r="Q129" i="3"/>
  <c r="Q128" i="3" s="1"/>
  <c r="O129" i="3"/>
  <c r="K129" i="3"/>
  <c r="I129" i="3"/>
  <c r="X119" i="3"/>
  <c r="P119" i="3"/>
  <c r="J119" i="3"/>
  <c r="F119" i="3"/>
  <c r="I117" i="3"/>
  <c r="Y111" i="3"/>
  <c r="W111" i="3"/>
  <c r="U111" i="3"/>
  <c r="S111" i="3"/>
  <c r="Q111" i="3"/>
  <c r="O111" i="3"/>
  <c r="K111" i="3"/>
  <c r="G111" i="3"/>
  <c r="I111" i="3"/>
  <c r="X107" i="3"/>
  <c r="V107" i="3"/>
  <c r="AB167" i="1"/>
  <c r="T19" i="3"/>
  <c r="T108" i="3"/>
  <c r="T102" i="3"/>
  <c r="T98" i="3"/>
  <c r="AB143" i="1"/>
  <c r="AA96" i="3" s="1"/>
  <c r="T96" i="3"/>
  <c r="T79" i="3"/>
  <c r="AB111" i="1"/>
  <c r="AA70" i="3" s="1"/>
  <c r="T70" i="3"/>
  <c r="T62" i="3"/>
  <c r="AB103" i="1"/>
  <c r="AA58" i="3" s="1"/>
  <c r="T58" i="3"/>
  <c r="AB87" i="1"/>
  <c r="AA48" i="3" s="1"/>
  <c r="T48" i="3"/>
  <c r="Y141" i="3"/>
  <c r="W141" i="3"/>
  <c r="U141" i="3"/>
  <c r="S141" i="3"/>
  <c r="Q141" i="3"/>
  <c r="O141" i="3"/>
  <c r="K141" i="3"/>
  <c r="I144" i="3"/>
  <c r="G141" i="3"/>
  <c r="I142" i="3"/>
  <c r="I139" i="3"/>
  <c r="I135" i="3"/>
  <c r="X132" i="3"/>
  <c r="V132" i="3"/>
  <c r="R132" i="3"/>
  <c r="P132" i="3"/>
  <c r="J132" i="3"/>
  <c r="H132" i="3"/>
  <c r="F132" i="3"/>
  <c r="X129" i="3"/>
  <c r="T130" i="3"/>
  <c r="P129" i="3"/>
  <c r="J129" i="3"/>
  <c r="Y119" i="3"/>
  <c r="W119" i="3"/>
  <c r="U119" i="3"/>
  <c r="Q119" i="3"/>
  <c r="K119" i="3"/>
  <c r="G119" i="3"/>
  <c r="I119" i="3"/>
  <c r="T117" i="3"/>
  <c r="X111" i="3"/>
  <c r="T112" i="3"/>
  <c r="P111" i="3"/>
  <c r="J111" i="3"/>
  <c r="H111" i="3"/>
  <c r="F111" i="3"/>
  <c r="Y107" i="3"/>
  <c r="W107" i="3"/>
  <c r="U107" i="3"/>
  <c r="Q107" i="3"/>
  <c r="K107" i="3"/>
  <c r="I107" i="3"/>
  <c r="G107" i="3"/>
  <c r="E107" i="3"/>
  <c r="I105" i="3"/>
  <c r="X92" i="3"/>
  <c r="V92" i="3"/>
  <c r="R92" i="3"/>
  <c r="P92" i="3"/>
  <c r="J92" i="3"/>
  <c r="F92" i="3"/>
  <c r="X84" i="3"/>
  <c r="V84" i="3"/>
  <c r="R84" i="3"/>
  <c r="P84" i="3"/>
  <c r="J84" i="3"/>
  <c r="R107" i="3"/>
  <c r="P107" i="3"/>
  <c r="J107" i="3"/>
  <c r="H107" i="3"/>
  <c r="F107" i="3"/>
  <c r="W92" i="3"/>
  <c r="K92" i="3"/>
  <c r="I92" i="3"/>
  <c r="S84" i="3"/>
  <c r="K84" i="3"/>
  <c r="I84" i="3"/>
  <c r="X79" i="3"/>
  <c r="V79" i="3"/>
  <c r="R79" i="3"/>
  <c r="P79" i="3"/>
  <c r="J79" i="3"/>
  <c r="X55" i="3"/>
  <c r="V55" i="3"/>
  <c r="P55" i="3"/>
  <c r="J55" i="3"/>
  <c r="X47" i="3"/>
  <c r="V47" i="3"/>
  <c r="R47" i="3"/>
  <c r="P47" i="3"/>
  <c r="J47" i="3"/>
  <c r="X17" i="3"/>
  <c r="V17" i="3"/>
  <c r="R17" i="3"/>
  <c r="J17" i="3"/>
  <c r="W14" i="3"/>
  <c r="K14" i="3"/>
  <c r="I14" i="3"/>
  <c r="Y55" i="3"/>
  <c r="U55" i="3"/>
  <c r="Q55" i="3"/>
  <c r="H55" i="3"/>
  <c r="Y84" i="3"/>
  <c r="U84" i="3"/>
  <c r="Q84" i="3"/>
  <c r="H84" i="3"/>
  <c r="Y17" i="3"/>
  <c r="U17" i="3"/>
  <c r="Q17" i="3"/>
  <c r="Z215" i="1"/>
  <c r="X215" i="1"/>
  <c r="V215" i="1"/>
  <c r="L215" i="1"/>
  <c r="Y215" i="1"/>
  <c r="W215" i="1"/>
  <c r="K215" i="1"/>
  <c r="U207" i="1"/>
  <c r="AB207" i="1" s="1"/>
  <c r="U121" i="1"/>
  <c r="AB121" i="1" s="1"/>
  <c r="U85" i="1"/>
  <c r="AB58" i="1"/>
  <c r="AA23" i="3" s="1"/>
  <c r="AB56" i="1"/>
  <c r="AA21" i="3" s="1"/>
  <c r="AB54" i="1"/>
  <c r="AB52" i="1"/>
  <c r="AB48" i="1"/>
  <c r="AB46" i="1"/>
  <c r="AA136" i="3" s="1"/>
  <c r="AB44" i="1"/>
  <c r="AA133" i="3" s="1"/>
  <c r="AB42" i="1"/>
  <c r="AB40" i="1"/>
  <c r="AB38" i="1"/>
  <c r="AB36" i="1"/>
  <c r="AB34" i="1"/>
  <c r="AB32" i="1"/>
  <c r="AA112" i="3" s="1"/>
  <c r="AB30" i="1"/>
  <c r="AA90" i="3" s="1"/>
  <c r="AB28" i="1"/>
  <c r="AA88" i="3" s="1"/>
  <c r="AB26" i="1"/>
  <c r="AA86" i="3" s="1"/>
  <c r="AB24" i="1"/>
  <c r="AB22" i="1"/>
  <c r="AA68" i="3" s="1"/>
  <c r="AB20" i="1"/>
  <c r="AB18" i="1"/>
  <c r="J15" i="1"/>
  <c r="U51" i="1"/>
  <c r="AB51" i="1" s="1"/>
  <c r="J84" i="1"/>
  <c r="AB85" i="1"/>
  <c r="U99" i="1"/>
  <c r="AB99" i="1" s="1"/>
  <c r="J120" i="1"/>
  <c r="U126" i="1"/>
  <c r="J135" i="1"/>
  <c r="U165" i="1"/>
  <c r="AB165" i="1" s="1"/>
  <c r="J179" i="1"/>
  <c r="U185" i="1"/>
  <c r="AB185" i="1" s="1"/>
  <c r="J187" i="1"/>
  <c r="U192" i="1"/>
  <c r="J195" i="1"/>
  <c r="U200" i="1"/>
  <c r="J206" i="1"/>
  <c r="U213" i="1"/>
  <c r="AB213" i="1" s="1"/>
  <c r="AB208" i="1"/>
  <c r="AB204" i="1"/>
  <c r="AA123" i="3" s="1"/>
  <c r="AB176" i="1"/>
  <c r="AB172" i="1"/>
  <c r="AB168" i="1"/>
  <c r="AA39" i="3" s="1"/>
  <c r="AB160" i="1"/>
  <c r="AB156" i="1"/>
  <c r="AB152" i="1"/>
  <c r="AB148" i="1"/>
  <c r="AB144" i="1"/>
  <c r="AA97" i="3" s="1"/>
  <c r="AB140" i="1"/>
  <c r="AA93" i="3" s="1"/>
  <c r="AB132" i="1"/>
  <c r="AA83" i="3" s="1"/>
  <c r="AB128" i="1"/>
  <c r="AA26" i="3" s="1"/>
  <c r="AB124" i="1"/>
  <c r="AA65" i="3" s="1"/>
  <c r="AB116" i="1"/>
  <c r="AA75" i="3" s="1"/>
  <c r="AB112" i="1"/>
  <c r="AA71" i="3" s="1"/>
  <c r="AB108" i="1"/>
  <c r="AA63" i="3" s="1"/>
  <c r="AB104" i="1"/>
  <c r="AA59" i="3" s="1"/>
  <c r="AB100" i="1"/>
  <c r="AB96" i="1"/>
  <c r="AB92" i="1"/>
  <c r="AA53" i="3" s="1"/>
  <c r="AB88" i="1"/>
  <c r="AA49" i="3" s="1"/>
  <c r="AB80" i="1"/>
  <c r="AB76" i="1"/>
  <c r="AA45" i="3" s="1"/>
  <c r="AB72" i="1"/>
  <c r="AA38" i="3" s="1"/>
  <c r="AB68" i="1"/>
  <c r="AA34" i="3" s="1"/>
  <c r="AB64" i="1"/>
  <c r="AA30" i="3" s="1"/>
  <c r="AB60" i="1"/>
  <c r="AA25" i="3" s="1"/>
  <c r="AB214" i="1"/>
  <c r="AB210" i="1"/>
  <c r="AA140" i="3" s="1"/>
  <c r="AA139" i="3" s="1"/>
  <c r="AB202" i="1"/>
  <c r="AA106" i="3" s="1"/>
  <c r="AA105" i="3" s="1"/>
  <c r="AB198" i="1"/>
  <c r="AB194" i="1"/>
  <c r="AB190" i="1"/>
  <c r="AA120" i="3" s="1"/>
  <c r="AB186" i="1"/>
  <c r="AB182" i="1"/>
  <c r="AA109" i="3" s="1"/>
  <c r="AB178" i="1"/>
  <c r="AB174" i="1"/>
  <c r="AA100" i="3" s="1"/>
  <c r="AB170" i="1"/>
  <c r="AA42" i="3" s="1"/>
  <c r="AB166" i="1"/>
  <c r="AB162" i="1"/>
  <c r="AB158" i="1"/>
  <c r="AB154" i="1"/>
  <c r="AA115" i="3" s="1"/>
  <c r="AB150" i="1"/>
  <c r="AA110" i="3" s="1"/>
  <c r="AB146" i="1"/>
  <c r="AA101" i="3" s="1"/>
  <c r="AB142" i="1"/>
  <c r="AA95" i="3" s="1"/>
  <c r="AB138" i="1"/>
  <c r="AA16" i="3" s="1"/>
  <c r="AB134" i="1"/>
  <c r="AB130" i="1"/>
  <c r="AA81" i="3" s="1"/>
  <c r="AB122" i="1"/>
  <c r="AB118" i="1"/>
  <c r="AB114" i="1"/>
  <c r="AA73" i="3" s="1"/>
  <c r="AB110" i="1"/>
  <c r="AA69" i="3" s="1"/>
  <c r="AB106" i="1"/>
  <c r="AA61" i="3" s="1"/>
  <c r="AB102" i="1"/>
  <c r="AA57" i="3" s="1"/>
  <c r="AB94" i="1"/>
  <c r="AB90" i="1"/>
  <c r="AA51" i="3" s="1"/>
  <c r="AB86" i="1"/>
  <c r="AB82" i="1"/>
  <c r="AB78" i="1"/>
  <c r="AB74" i="1"/>
  <c r="AB70" i="1"/>
  <c r="AA36" i="3" s="1"/>
  <c r="AB66" i="1"/>
  <c r="AA32" i="3" s="1"/>
  <c r="AB62" i="1"/>
  <c r="AA28" i="3" s="1"/>
  <c r="AB37" i="1"/>
  <c r="AA118" i="3" s="1"/>
  <c r="AA117" i="3" s="1"/>
  <c r="AB33" i="1"/>
  <c r="AB29" i="1"/>
  <c r="AA89" i="3" s="1"/>
  <c r="AB25" i="1"/>
  <c r="AA85" i="3" s="1"/>
  <c r="AB21" i="1"/>
  <c r="AA67" i="3" s="1"/>
  <c r="AB17" i="1"/>
  <c r="U16" i="1"/>
  <c r="AB16" i="1" s="1"/>
  <c r="J125" i="1"/>
  <c r="U136" i="1"/>
  <c r="U180" i="1"/>
  <c r="U188" i="1"/>
  <c r="J191" i="1"/>
  <c r="U196" i="1"/>
  <c r="AB196" i="1" s="1"/>
  <c r="J199" i="1"/>
  <c r="AB211" i="1"/>
  <c r="AA143" i="3" s="1"/>
  <c r="AA142" i="3" s="1"/>
  <c r="AB209" i="1"/>
  <c r="AA138" i="3" s="1"/>
  <c r="AB205" i="1"/>
  <c r="AB203" i="1"/>
  <c r="AA122" i="3" s="1"/>
  <c r="AB201" i="1"/>
  <c r="AB197" i="1"/>
  <c r="AB193" i="1"/>
  <c r="AB189" i="1"/>
  <c r="AB181" i="1"/>
  <c r="AB177" i="1"/>
  <c r="AB173" i="1"/>
  <c r="AA99" i="3" s="1"/>
  <c r="AB171" i="1"/>
  <c r="AB169" i="1"/>
  <c r="AA40" i="3" s="1"/>
  <c r="AB163" i="1"/>
  <c r="AB161" i="1"/>
  <c r="AB157" i="1"/>
  <c r="AA124" i="3" s="1"/>
  <c r="AB155" i="1"/>
  <c r="AB153" i="1"/>
  <c r="AB149" i="1"/>
  <c r="AB147" i="1"/>
  <c r="AA102" i="3" s="1"/>
  <c r="AB145" i="1"/>
  <c r="AB141" i="1"/>
  <c r="AA94" i="3" s="1"/>
  <c r="AB139" i="1"/>
  <c r="AA76" i="3" s="1"/>
  <c r="AB137" i="1"/>
  <c r="AB133" i="1"/>
  <c r="AB131" i="1"/>
  <c r="AB129" i="1"/>
  <c r="AA80" i="3" s="1"/>
  <c r="AB123" i="1"/>
  <c r="AA64" i="3" s="1"/>
  <c r="AB117" i="1"/>
  <c r="AA77" i="3" s="1"/>
  <c r="AB115" i="1"/>
  <c r="AB113" i="1"/>
  <c r="AA72" i="3" s="1"/>
  <c r="AB109" i="1"/>
  <c r="AA66" i="3" s="1"/>
  <c r="AB107" i="1"/>
  <c r="AA62" i="3" s="1"/>
  <c r="AB105" i="1"/>
  <c r="AB101" i="1"/>
  <c r="AA56" i="3" s="1"/>
  <c r="AB97" i="1"/>
  <c r="AB93" i="1"/>
  <c r="AA54" i="3" s="1"/>
  <c r="AB91" i="1"/>
  <c r="AA52" i="3" s="1"/>
  <c r="AB89" i="1"/>
  <c r="AA50" i="3" s="1"/>
  <c r="AB83" i="1"/>
  <c r="AB81" i="1"/>
  <c r="AB77" i="1"/>
  <c r="AA46" i="3" s="1"/>
  <c r="AB75" i="1"/>
  <c r="AA44" i="3" s="1"/>
  <c r="AB73" i="1"/>
  <c r="AA41" i="3" s="1"/>
  <c r="AB69" i="1"/>
  <c r="AA35" i="3" s="1"/>
  <c r="AB67" i="1"/>
  <c r="AA33" i="3" s="1"/>
  <c r="AB65" i="1"/>
  <c r="AA31" i="3" s="1"/>
  <c r="AB61" i="1"/>
  <c r="AA27" i="3" s="1"/>
  <c r="AB59" i="1"/>
  <c r="AA24" i="3" s="1"/>
  <c r="AB57" i="1"/>
  <c r="AA22" i="3" s="1"/>
  <c r="AB53" i="1"/>
  <c r="AA18" i="3" s="1"/>
  <c r="AB49" i="1"/>
  <c r="AB45" i="1"/>
  <c r="AB43" i="1"/>
  <c r="AA131" i="3" s="1"/>
  <c r="AB41" i="1"/>
  <c r="AA103" i="3" l="1"/>
  <c r="AA98" i="3"/>
  <c r="AA92" i="3" s="1"/>
  <c r="AA116" i="3"/>
  <c r="S128" i="3"/>
  <c r="K128" i="3"/>
  <c r="X128" i="3"/>
  <c r="V128" i="3"/>
  <c r="K104" i="3"/>
  <c r="W104" i="3"/>
  <c r="W147" i="3" s="1"/>
  <c r="F104" i="3"/>
  <c r="X104" i="3"/>
  <c r="V104" i="3"/>
  <c r="V147" i="3" s="1"/>
  <c r="O128" i="3"/>
  <c r="Q104" i="3"/>
  <c r="Q147" i="3" s="1"/>
  <c r="AA43" i="3"/>
  <c r="AA60" i="3"/>
  <c r="AA82" i="3"/>
  <c r="AA79" i="3" s="1"/>
  <c r="I128" i="3"/>
  <c r="AA130" i="3"/>
  <c r="AA129" i="3" s="1"/>
  <c r="AA108" i="3"/>
  <c r="AA107" i="3" s="1"/>
  <c r="P104" i="3"/>
  <c r="J128" i="3"/>
  <c r="R104" i="3"/>
  <c r="T119" i="3"/>
  <c r="T84" i="3"/>
  <c r="R128" i="3"/>
  <c r="G104" i="3"/>
  <c r="U104" i="3"/>
  <c r="U147" i="3" s="1"/>
  <c r="Y104" i="3"/>
  <c r="Y147" i="3" s="1"/>
  <c r="J104" i="3"/>
  <c r="J147" i="3" s="1"/>
  <c r="T17" i="3"/>
  <c r="AA137" i="3"/>
  <c r="AA135" i="3" s="1"/>
  <c r="AA126" i="3"/>
  <c r="J215" i="1"/>
  <c r="I104" i="3"/>
  <c r="AA114" i="3"/>
  <c r="AA84" i="3"/>
  <c r="AA146" i="3"/>
  <c r="AA78" i="3"/>
  <c r="AA145" i="3"/>
  <c r="AA144" i="3" s="1"/>
  <c r="AA19" i="3"/>
  <c r="AA113" i="3"/>
  <c r="AA134" i="3"/>
  <c r="AA132" i="3" s="1"/>
  <c r="AA15" i="3"/>
  <c r="AA14" i="3" s="1"/>
  <c r="AA74" i="3"/>
  <c r="AA127" i="3"/>
  <c r="T111" i="3"/>
  <c r="T47" i="3"/>
  <c r="T107" i="3"/>
  <c r="T14" i="3"/>
  <c r="AA121" i="3"/>
  <c r="T129" i="3"/>
  <c r="I141" i="3"/>
  <c r="AA47" i="3"/>
  <c r="T55" i="3"/>
  <c r="T144" i="3"/>
  <c r="T92" i="3"/>
  <c r="U187" i="1"/>
  <c r="AB187" i="1" s="1"/>
  <c r="U179" i="1"/>
  <c r="AB179" i="1" s="1"/>
  <c r="U135" i="1"/>
  <c r="AB135" i="1" s="1"/>
  <c r="AB136" i="1"/>
  <c r="AB180" i="1"/>
  <c r="U191" i="1"/>
  <c r="AB191" i="1" s="1"/>
  <c r="AB192" i="1"/>
  <c r="U164" i="1"/>
  <c r="U195" i="1"/>
  <c r="AB195" i="1" s="1"/>
  <c r="U15" i="1"/>
  <c r="AB15" i="1" s="1"/>
  <c r="AB188" i="1"/>
  <c r="U212" i="1"/>
  <c r="U199" i="1"/>
  <c r="AB200" i="1"/>
  <c r="U184" i="1"/>
  <c r="U125" i="1"/>
  <c r="AB125" i="1" s="1"/>
  <c r="AB126" i="1"/>
  <c r="U98" i="1"/>
  <c r="U50" i="1"/>
  <c r="U84" i="1"/>
  <c r="U120" i="1"/>
  <c r="U206" i="1"/>
  <c r="K147" i="3" l="1"/>
  <c r="AA141" i="3"/>
  <c r="AA111" i="3"/>
  <c r="AA17" i="3"/>
  <c r="X147" i="3"/>
  <c r="I147" i="3"/>
  <c r="AA119" i="3"/>
  <c r="AA104" i="3" s="1"/>
  <c r="AA55" i="3"/>
  <c r="AA128" i="3"/>
  <c r="T128" i="3"/>
  <c r="T104" i="3"/>
  <c r="T141" i="3"/>
  <c r="AB50" i="1"/>
  <c r="AB98" i="1"/>
  <c r="AB212" i="1"/>
  <c r="AB164" i="1"/>
  <c r="AB206" i="1"/>
  <c r="AB184" i="1"/>
  <c r="U215" i="1"/>
  <c r="AB84" i="1"/>
  <c r="AB120" i="1"/>
  <c r="AB199" i="1"/>
  <c r="AA147" i="3" l="1"/>
  <c r="T147" i="3"/>
  <c r="AB215" i="1"/>
  <c r="F103" i="1" l="1"/>
  <c r="E58" i="3" s="1"/>
  <c r="E210" i="1" l="1"/>
  <c r="N210" i="1" s="1"/>
  <c r="T93" i="1" l="1"/>
  <c r="P93" i="1"/>
  <c r="F101" i="1"/>
  <c r="E56" i="3" s="1"/>
  <c r="P85" i="1" l="1"/>
  <c r="P84" i="1" s="1"/>
  <c r="O54" i="3"/>
  <c r="O47" i="3" s="1"/>
  <c r="T85" i="1"/>
  <c r="T84" i="1" s="1"/>
  <c r="S54" i="3"/>
  <c r="S47" i="3" s="1"/>
  <c r="I42" i="1"/>
  <c r="I61" i="1"/>
  <c r="H27" i="3" s="1"/>
  <c r="G208" i="1"/>
  <c r="G207" i="1" s="1"/>
  <c r="G206" i="1" s="1"/>
  <c r="F208" i="1"/>
  <c r="G109" i="1"/>
  <c r="F66" i="3" s="1"/>
  <c r="F109" i="1"/>
  <c r="E66" i="3" s="1"/>
  <c r="G108" i="1"/>
  <c r="F63" i="3" s="1"/>
  <c r="F108" i="1"/>
  <c r="E63" i="3" s="1"/>
  <c r="G17" i="1"/>
  <c r="F17" i="1"/>
  <c r="E17" i="1" s="1"/>
  <c r="N17" i="1" s="1"/>
  <c r="G100" i="1"/>
  <c r="F100" i="1"/>
  <c r="D69" i="1"/>
  <c r="C69" i="1"/>
  <c r="B69" i="1"/>
  <c r="O69" i="1"/>
  <c r="N35" i="3" s="1"/>
  <c r="Z35" i="3" s="1"/>
  <c r="E69" i="1"/>
  <c r="H214" i="1"/>
  <c r="H213" i="1" s="1"/>
  <c r="H212" i="1" s="1"/>
  <c r="H124" i="1"/>
  <c r="H42" i="1"/>
  <c r="G130" i="3" s="1"/>
  <c r="G129" i="3" s="1"/>
  <c r="H28" i="1"/>
  <c r="G88" i="3" s="1"/>
  <c r="G84" i="3" s="1"/>
  <c r="F160" i="1"/>
  <c r="F159" i="1"/>
  <c r="I146" i="1"/>
  <c r="H101" i="3" s="1"/>
  <c r="F145" i="1"/>
  <c r="E98" i="3" s="1"/>
  <c r="F137" i="1"/>
  <c r="H131" i="1"/>
  <c r="F131" i="1"/>
  <c r="E82" i="3" s="1"/>
  <c r="H128" i="1"/>
  <c r="G26" i="3" s="1"/>
  <c r="F128" i="1"/>
  <c r="E26" i="3" s="1"/>
  <c r="H130" i="1"/>
  <c r="G81" i="3" s="1"/>
  <c r="F130" i="1"/>
  <c r="E81" i="3" s="1"/>
  <c r="H129" i="1"/>
  <c r="G80" i="3" s="1"/>
  <c r="F129" i="1"/>
  <c r="E80" i="3" s="1"/>
  <c r="H127" i="1"/>
  <c r="H126" i="1" s="1"/>
  <c r="H125" i="1" s="1"/>
  <c r="F127" i="1"/>
  <c r="F86" i="1"/>
  <c r="H82" i="1"/>
  <c r="F82" i="1"/>
  <c r="F60" i="1"/>
  <c r="E25" i="3" s="1"/>
  <c r="I60" i="1"/>
  <c r="F54" i="1"/>
  <c r="E19" i="3" s="1"/>
  <c r="F53" i="1"/>
  <c r="E18" i="3" s="1"/>
  <c r="F52" i="1"/>
  <c r="F49" i="1"/>
  <c r="E146" i="3" s="1"/>
  <c r="E141" i="3" s="1"/>
  <c r="I49" i="1"/>
  <c r="H146" i="3" s="1"/>
  <c r="H141" i="3" s="1"/>
  <c r="F126" i="1" l="1"/>
  <c r="F125" i="1" s="1"/>
  <c r="E79" i="3"/>
  <c r="I51" i="1"/>
  <c r="I50" i="1" s="1"/>
  <c r="H25" i="3"/>
  <c r="H121" i="1"/>
  <c r="H120" i="1" s="1"/>
  <c r="G65" i="3"/>
  <c r="G55" i="3" s="1"/>
  <c r="D35" i="3"/>
  <c r="AA69" i="1"/>
  <c r="AC69" i="1"/>
  <c r="T177" i="1"/>
  <c r="P177" i="1"/>
  <c r="T170" i="1"/>
  <c r="S42" i="3" s="1"/>
  <c r="P170" i="1"/>
  <c r="O42" i="3" s="1"/>
  <c r="T169" i="1"/>
  <c r="S40" i="3" s="1"/>
  <c r="P169" i="1"/>
  <c r="O40" i="3" s="1"/>
  <c r="O17" i="3" l="1"/>
  <c r="S17" i="3"/>
  <c r="AB35" i="3"/>
  <c r="I159" i="1"/>
  <c r="H130" i="3" s="1"/>
  <c r="H129" i="3" s="1"/>
  <c r="H128" i="3" s="1"/>
  <c r="F118" i="1" l="1"/>
  <c r="H17" i="1"/>
  <c r="I144" i="1" l="1"/>
  <c r="H97" i="3" s="1"/>
  <c r="G56" i="1" l="1"/>
  <c r="F21" i="3" s="1"/>
  <c r="F56" i="1"/>
  <c r="E21" i="3" s="1"/>
  <c r="G55" i="1"/>
  <c r="F20" i="3" s="1"/>
  <c r="F55" i="1"/>
  <c r="E20" i="3" s="1"/>
  <c r="G53" i="1"/>
  <c r="F18" i="3" s="1"/>
  <c r="F42" i="1" l="1"/>
  <c r="E130" i="3" s="1"/>
  <c r="G43" i="1" l="1"/>
  <c r="F43" i="1"/>
  <c r="E131" i="3" s="1"/>
  <c r="E129" i="3" s="1"/>
  <c r="G66" i="1"/>
  <c r="F32" i="3" s="1"/>
  <c r="F66" i="1"/>
  <c r="E32" i="3" s="1"/>
  <c r="G62" i="1"/>
  <c r="F28" i="3" s="1"/>
  <c r="F62" i="1"/>
  <c r="E28" i="3" s="1"/>
  <c r="G128" i="1"/>
  <c r="F26" i="3" s="1"/>
  <c r="G67" i="1"/>
  <c r="F33" i="3" s="1"/>
  <c r="F67" i="1"/>
  <c r="E33" i="3" s="1"/>
  <c r="G63" i="1"/>
  <c r="F29" i="3" s="1"/>
  <c r="F63" i="1"/>
  <c r="E29" i="3" s="1"/>
  <c r="G61" i="1"/>
  <c r="F27" i="3" s="1"/>
  <c r="F61" i="1"/>
  <c r="E27" i="3" s="1"/>
  <c r="G60" i="1"/>
  <c r="F25" i="3" s="1"/>
  <c r="G54" i="1"/>
  <c r="F19" i="3" s="1"/>
  <c r="G52" i="1"/>
  <c r="H24" i="1"/>
  <c r="G82" i="3" s="1"/>
  <c r="G79" i="3" s="1"/>
  <c r="F41" i="1"/>
  <c r="F46" i="1"/>
  <c r="E136" i="3" s="1"/>
  <c r="E135" i="3" s="1"/>
  <c r="F186" i="1"/>
  <c r="I178" i="1"/>
  <c r="H121" i="3" s="1"/>
  <c r="H119" i="3" s="1"/>
  <c r="F146" i="1"/>
  <c r="E101" i="3" s="1"/>
  <c r="I128" i="1"/>
  <c r="I87" i="1"/>
  <c r="I85" i="1" l="1"/>
  <c r="I84" i="1" s="1"/>
  <c r="H48" i="3"/>
  <c r="H47" i="3" s="1"/>
  <c r="F185" i="1"/>
  <c r="F184" i="1" s="1"/>
  <c r="G51" i="1"/>
  <c r="G50" i="1" s="1"/>
  <c r="I126" i="1"/>
  <c r="I125" i="1" s="1"/>
  <c r="H26" i="3"/>
  <c r="F17" i="3"/>
  <c r="G16" i="1"/>
  <c r="G15" i="1" s="1"/>
  <c r="F131" i="3"/>
  <c r="F129" i="3" s="1"/>
  <c r="F128" i="3" s="1"/>
  <c r="O70" i="1"/>
  <c r="N36" i="3" s="1"/>
  <c r="E70" i="1"/>
  <c r="C70" i="1"/>
  <c r="D70" i="1"/>
  <c r="B70" i="1"/>
  <c r="F57" i="1"/>
  <c r="E22" i="3" s="1"/>
  <c r="AC70" i="1" l="1"/>
  <c r="AB36" i="3" s="1"/>
  <c r="N70" i="1"/>
  <c r="D36" i="3"/>
  <c r="M36" i="3" s="1"/>
  <c r="T157" i="1" l="1"/>
  <c r="S124" i="3" s="1"/>
  <c r="P157" i="1"/>
  <c r="O124" i="3" s="1"/>
  <c r="T147" i="1" l="1"/>
  <c r="P147" i="1"/>
  <c r="D174" i="1" l="1"/>
  <c r="F37" i="1" l="1"/>
  <c r="E118" i="3" s="1"/>
  <c r="E117" i="3" s="1"/>
  <c r="O169" i="1" l="1"/>
  <c r="N40" i="3" s="1"/>
  <c r="Z40" i="3" s="1"/>
  <c r="E169" i="1"/>
  <c r="C169" i="1"/>
  <c r="D169" i="1"/>
  <c r="B169" i="1"/>
  <c r="T173" i="1"/>
  <c r="S99" i="3" s="1"/>
  <c r="P173" i="1"/>
  <c r="O99" i="3" s="1"/>
  <c r="E173" i="1"/>
  <c r="C173" i="1"/>
  <c r="D173" i="1"/>
  <c r="B173" i="1"/>
  <c r="T175" i="1"/>
  <c r="P175" i="1"/>
  <c r="T149" i="1"/>
  <c r="S108" i="3" s="1"/>
  <c r="P149" i="1"/>
  <c r="T150" i="1"/>
  <c r="S110" i="3" s="1"/>
  <c r="P136" i="1" l="1"/>
  <c r="P135" i="1" s="1"/>
  <c r="O108" i="3"/>
  <c r="O107" i="3" s="1"/>
  <c r="P165" i="1"/>
  <c r="P164" i="1" s="1"/>
  <c r="O102" i="3"/>
  <c r="O92" i="3" s="1"/>
  <c r="S107" i="3"/>
  <c r="T165" i="1"/>
  <c r="T164" i="1" s="1"/>
  <c r="S102" i="3"/>
  <c r="S92" i="3" s="1"/>
  <c r="T136" i="1"/>
  <c r="T135" i="1" s="1"/>
  <c r="D99" i="3"/>
  <c r="AA169" i="1"/>
  <c r="AC169" i="1"/>
  <c r="AB40" i="3" s="1"/>
  <c r="O173" i="1"/>
  <c r="N99" i="3" s="1"/>
  <c r="Z99" i="3" s="1"/>
  <c r="D40" i="3"/>
  <c r="F23" i="1"/>
  <c r="E78" i="3" s="1"/>
  <c r="AA173" i="1" l="1"/>
  <c r="AC173" i="1"/>
  <c r="I148" i="1"/>
  <c r="O74" i="1"/>
  <c r="E74" i="1"/>
  <c r="C74" i="1"/>
  <c r="D74" i="1"/>
  <c r="B74" i="1"/>
  <c r="AC74" i="1" l="1"/>
  <c r="N74" i="1"/>
  <c r="AB99" i="3"/>
  <c r="I214" i="1"/>
  <c r="F214" i="1"/>
  <c r="F213" i="1" s="1"/>
  <c r="F212" i="1" s="1"/>
  <c r="F189" i="1"/>
  <c r="F188" i="1" s="1"/>
  <c r="F187" i="1" s="1"/>
  <c r="O97" i="1"/>
  <c r="E97" i="1"/>
  <c r="C97" i="1"/>
  <c r="D97" i="1"/>
  <c r="B97" i="1"/>
  <c r="O95" i="1"/>
  <c r="E95" i="1"/>
  <c r="N95" i="1" s="1"/>
  <c r="C95" i="1"/>
  <c r="D95" i="1"/>
  <c r="B95" i="1"/>
  <c r="O80" i="1"/>
  <c r="E80" i="1"/>
  <c r="N80" i="1" s="1"/>
  <c r="C80" i="1"/>
  <c r="D80" i="1"/>
  <c r="B80" i="1"/>
  <c r="F30" i="1"/>
  <c r="E90" i="3" s="1"/>
  <c r="E84" i="3" s="1"/>
  <c r="I213" i="1" l="1"/>
  <c r="I212" i="1" s="1"/>
  <c r="H15" i="3"/>
  <c r="H14" i="3" s="1"/>
  <c r="AC97" i="1"/>
  <c r="N97" i="1"/>
  <c r="AC80" i="1"/>
  <c r="AC95" i="1"/>
  <c r="O96" i="1"/>
  <c r="E96" i="1"/>
  <c r="N96" i="1" s="1"/>
  <c r="C96" i="1"/>
  <c r="D96" i="1"/>
  <c r="B96" i="1"/>
  <c r="AC96" i="1" l="1"/>
  <c r="E133" i="1"/>
  <c r="N133" i="1" s="1"/>
  <c r="C133" i="1"/>
  <c r="D133" i="1"/>
  <c r="B133" i="1"/>
  <c r="O81" i="1"/>
  <c r="E81" i="1"/>
  <c r="N81" i="1" s="1"/>
  <c r="C81" i="1"/>
  <c r="D81" i="1"/>
  <c r="B81" i="1"/>
  <c r="AC81" i="1" l="1"/>
  <c r="AC133" i="1"/>
  <c r="F117" i="1"/>
  <c r="F99" i="1" l="1"/>
  <c r="F98" i="1" s="1"/>
  <c r="E77" i="3"/>
  <c r="G117" i="1"/>
  <c r="G99" i="1" l="1"/>
  <c r="G98" i="1" s="1"/>
  <c r="F77" i="3"/>
  <c r="F55" i="3" s="1"/>
  <c r="C73" i="1"/>
  <c r="D73" i="1"/>
  <c r="B73" i="1"/>
  <c r="O73" i="1"/>
  <c r="N41" i="3" s="1"/>
  <c r="Z41" i="3" s="1"/>
  <c r="E73" i="1"/>
  <c r="C76" i="1"/>
  <c r="B76" i="1"/>
  <c r="D76" i="1"/>
  <c r="O76" i="1"/>
  <c r="N45" i="3" s="1"/>
  <c r="Z45" i="3" s="1"/>
  <c r="E76" i="1"/>
  <c r="H45" i="1"/>
  <c r="I176" i="1"/>
  <c r="H103" i="3" s="1"/>
  <c r="H16" i="1" l="1"/>
  <c r="H15" i="1" s="1"/>
  <c r="G134" i="3"/>
  <c r="G132" i="3" s="1"/>
  <c r="G128" i="3" s="1"/>
  <c r="AA73" i="1"/>
  <c r="AA76" i="1"/>
  <c r="AC73" i="1"/>
  <c r="D41" i="3"/>
  <c r="AC76" i="1"/>
  <c r="D45" i="3"/>
  <c r="AB45" i="3" l="1"/>
  <c r="AB41" i="3"/>
  <c r="H146" i="1"/>
  <c r="I145" i="1"/>
  <c r="H98" i="3" s="1"/>
  <c r="O115" i="1"/>
  <c r="E115" i="1"/>
  <c r="N115" i="1" s="1"/>
  <c r="C115" i="1"/>
  <c r="D115" i="1"/>
  <c r="B115" i="1"/>
  <c r="D94" i="1"/>
  <c r="C94" i="1"/>
  <c r="B94" i="1"/>
  <c r="O94" i="1"/>
  <c r="E94" i="1"/>
  <c r="N74" i="3" l="1"/>
  <c r="H136" i="1"/>
  <c r="H135" i="1" s="1"/>
  <c r="G101" i="3"/>
  <c r="G92" i="3" s="1"/>
  <c r="D74" i="3"/>
  <c r="M74" i="3" s="1"/>
  <c r="N94" i="1"/>
  <c r="AC94" i="1"/>
  <c r="AC115" i="1"/>
  <c r="D78" i="1"/>
  <c r="C78" i="1"/>
  <c r="AB74" i="3" l="1"/>
  <c r="O194" i="1" l="1"/>
  <c r="E194" i="1"/>
  <c r="O193" i="1"/>
  <c r="E193" i="1"/>
  <c r="N193" i="1" s="1"/>
  <c r="F198" i="1"/>
  <c r="E127" i="3" s="1"/>
  <c r="E119" i="3" s="1"/>
  <c r="E104" i="3" s="1"/>
  <c r="H197" i="1"/>
  <c r="G197" i="1"/>
  <c r="F197" i="1"/>
  <c r="O75" i="1"/>
  <c r="N44" i="3" s="1"/>
  <c r="E75" i="1"/>
  <c r="C75" i="1"/>
  <c r="D75" i="1"/>
  <c r="B75" i="1"/>
  <c r="F196" i="1" l="1"/>
  <c r="F195" i="1" s="1"/>
  <c r="E15" i="3"/>
  <c r="E14" i="3" s="1"/>
  <c r="H196" i="1"/>
  <c r="H195" i="1" s="1"/>
  <c r="G15" i="3"/>
  <c r="G14" i="3" s="1"/>
  <c r="G196" i="1"/>
  <c r="G195" i="1" s="1"/>
  <c r="F15" i="3"/>
  <c r="F14" i="3" s="1"/>
  <c r="AC194" i="1"/>
  <c r="N194" i="1"/>
  <c r="D44" i="3"/>
  <c r="M44" i="3" s="1"/>
  <c r="N75" i="1"/>
  <c r="O192" i="1"/>
  <c r="AC193" i="1"/>
  <c r="E192" i="1"/>
  <c r="AC75" i="1"/>
  <c r="E191" i="1" l="1"/>
  <c r="N191" i="1" s="1"/>
  <c r="N192" i="1"/>
  <c r="O191" i="1"/>
  <c r="AB44" i="3"/>
  <c r="AC192" i="1"/>
  <c r="AC191" i="1" l="1"/>
  <c r="O58" i="1"/>
  <c r="E58" i="1"/>
  <c r="N58" i="1" s="1"/>
  <c r="N23" i="3" l="1"/>
  <c r="AC58" i="1"/>
  <c r="I37" i="1"/>
  <c r="I16" i="1" l="1"/>
  <c r="I15" i="1" s="1"/>
  <c r="H118" i="3"/>
  <c r="H117" i="3" s="1"/>
  <c r="H104" i="3" s="1"/>
  <c r="O77" i="1"/>
  <c r="N46" i="3" s="1"/>
  <c r="E77" i="1"/>
  <c r="C77" i="1"/>
  <c r="D77" i="1"/>
  <c r="B77" i="1"/>
  <c r="D46" i="3" l="1"/>
  <c r="M46" i="3" s="1"/>
  <c r="N77" i="1"/>
  <c r="AC77" i="1"/>
  <c r="AB46" i="3" l="1"/>
  <c r="F45" i="1"/>
  <c r="F16" i="1" l="1"/>
  <c r="F15" i="1" s="1"/>
  <c r="E134" i="3"/>
  <c r="E132" i="3" s="1"/>
  <c r="F209" i="1"/>
  <c r="F207" i="1" l="1"/>
  <c r="F206" i="1" s="1"/>
  <c r="E138" i="3"/>
  <c r="E128" i="3" s="1"/>
  <c r="O62" i="1"/>
  <c r="E62" i="1"/>
  <c r="N62" i="1" s="1"/>
  <c r="O59" i="1"/>
  <c r="E59" i="1"/>
  <c r="N59" i="1" s="1"/>
  <c r="N24" i="3" l="1"/>
  <c r="N28" i="3"/>
  <c r="I140" i="1"/>
  <c r="I136" i="1" l="1"/>
  <c r="I135" i="1" s="1"/>
  <c r="H93" i="3"/>
  <c r="H92" i="3" s="1"/>
  <c r="O72" i="1"/>
  <c r="N38" i="3" s="1"/>
  <c r="Z38" i="3" s="1"/>
  <c r="E72" i="1"/>
  <c r="AA72" i="1" l="1"/>
  <c r="D38" i="3"/>
  <c r="AC72" i="1"/>
  <c r="AB38" i="3" l="1"/>
  <c r="F92" i="1" l="1"/>
  <c r="E53" i="3" s="1"/>
  <c r="F87" i="1"/>
  <c r="E48" i="3" s="1"/>
  <c r="Q61" i="1" l="1"/>
  <c r="Q51" i="1" l="1"/>
  <c r="Q50" i="1" s="1"/>
  <c r="P27" i="3"/>
  <c r="P17" i="3" s="1"/>
  <c r="F64" i="1"/>
  <c r="H60" i="1"/>
  <c r="G25" i="3" s="1"/>
  <c r="H55" i="1"/>
  <c r="G20" i="3" s="1"/>
  <c r="H54" i="1"/>
  <c r="G19" i="3" s="1"/>
  <c r="H53" i="1"/>
  <c r="H51" i="1" l="1"/>
  <c r="H50" i="1" s="1"/>
  <c r="H215" i="1" s="1"/>
  <c r="G18" i="3"/>
  <c r="G17" i="3" s="1"/>
  <c r="G147" i="3" s="1"/>
  <c r="F51" i="1"/>
  <c r="F50" i="1" s="1"/>
  <c r="E30" i="3"/>
  <c r="E17" i="3" s="1"/>
  <c r="F124" i="1"/>
  <c r="E65" i="3" s="1"/>
  <c r="F123" i="1"/>
  <c r="E64" i="3" s="1"/>
  <c r="Q47" i="1"/>
  <c r="P137" i="3" s="1"/>
  <c r="P135" i="3" s="1"/>
  <c r="P128" i="3" s="1"/>
  <c r="P147" i="3" s="1"/>
  <c r="E55" i="3" l="1"/>
  <c r="Q16" i="1"/>
  <c r="Q15" i="1" s="1"/>
  <c r="Q215" i="1" s="1"/>
  <c r="F121" i="1"/>
  <c r="F120" i="1" s="1"/>
  <c r="I171" i="1"/>
  <c r="G91" i="1"/>
  <c r="F91" i="1"/>
  <c r="G85" i="1" l="1"/>
  <c r="G84" i="1" s="1"/>
  <c r="F52" i="3"/>
  <c r="F47" i="3" s="1"/>
  <c r="F85" i="1"/>
  <c r="F84" i="1" s="1"/>
  <c r="E52" i="3"/>
  <c r="E47" i="3" s="1"/>
  <c r="I165" i="1"/>
  <c r="I164" i="1" s="1"/>
  <c r="I215" i="1" s="1"/>
  <c r="H43" i="3"/>
  <c r="H17" i="3" s="1"/>
  <c r="H147" i="3" s="1"/>
  <c r="G131" i="1"/>
  <c r="G126" i="1" l="1"/>
  <c r="G125" i="1" s="1"/>
  <c r="G215" i="1" s="1"/>
  <c r="F82" i="3"/>
  <c r="F79" i="3" s="1"/>
  <c r="F147" i="3" s="1"/>
  <c r="D150" i="1"/>
  <c r="D54" i="1" l="1"/>
  <c r="S22" i="1" l="1"/>
  <c r="S16" i="1" l="1"/>
  <c r="S15" i="1" s="1"/>
  <c r="S215" i="1" s="1"/>
  <c r="R68" i="3"/>
  <c r="R55" i="3" s="1"/>
  <c r="R147" i="3" s="1"/>
  <c r="O182" i="1"/>
  <c r="E182" i="1"/>
  <c r="AA182" i="1" l="1"/>
  <c r="N109" i="3"/>
  <c r="Z109" i="3" s="1"/>
  <c r="D109" i="3"/>
  <c r="AC182" i="1"/>
  <c r="E211" i="1"/>
  <c r="N211" i="1" s="1"/>
  <c r="AB109" i="3" l="1"/>
  <c r="D143" i="3" l="1"/>
  <c r="D142" i="3" l="1"/>
  <c r="M142" i="3" s="1"/>
  <c r="M143" i="3"/>
  <c r="O211" i="1"/>
  <c r="N143" i="3" s="1"/>
  <c r="F140" i="1"/>
  <c r="F136" i="1" l="1"/>
  <c r="F135" i="1" s="1"/>
  <c r="F215" i="1" s="1"/>
  <c r="E93" i="3"/>
  <c r="E92" i="3" s="1"/>
  <c r="E147" i="3" s="1"/>
  <c r="N142" i="3"/>
  <c r="AC211" i="1"/>
  <c r="AB143" i="3" l="1"/>
  <c r="E183" i="1"/>
  <c r="O183" i="1"/>
  <c r="AA183" i="1" s="1"/>
  <c r="C183" i="1"/>
  <c r="D183" i="1"/>
  <c r="B183" i="1"/>
  <c r="C181" i="1"/>
  <c r="D181" i="1"/>
  <c r="B181" i="1"/>
  <c r="O181" i="1"/>
  <c r="E181" i="1"/>
  <c r="N181" i="1" s="1"/>
  <c r="O180" i="1" l="1"/>
  <c r="AB142" i="3"/>
  <c r="AC181" i="1"/>
  <c r="E180" i="1"/>
  <c r="AC183" i="1"/>
  <c r="E179" i="1" l="1"/>
  <c r="N179" i="1" s="1"/>
  <c r="N180" i="1"/>
  <c r="O179" i="1"/>
  <c r="AA179" i="1" s="1"/>
  <c r="AA180" i="1"/>
  <c r="AC180" i="1"/>
  <c r="C46" i="1"/>
  <c r="D46" i="1"/>
  <c r="B46" i="1"/>
  <c r="O46" i="1"/>
  <c r="N136" i="3" s="1"/>
  <c r="E46" i="1"/>
  <c r="O38" i="1"/>
  <c r="E38" i="1"/>
  <c r="N38" i="1" s="1"/>
  <c r="C38" i="1"/>
  <c r="B38" i="1"/>
  <c r="C36" i="1"/>
  <c r="D36" i="1"/>
  <c r="B36" i="1"/>
  <c r="O36" i="1"/>
  <c r="E36" i="1"/>
  <c r="N36" i="1" s="1"/>
  <c r="O35" i="1"/>
  <c r="AA35" i="1" s="1"/>
  <c r="E35" i="1"/>
  <c r="N35" i="1" s="1"/>
  <c r="O34" i="1"/>
  <c r="E34" i="1"/>
  <c r="N34" i="1" s="1"/>
  <c r="C34" i="1"/>
  <c r="D34" i="1"/>
  <c r="C35" i="1"/>
  <c r="D35" i="1"/>
  <c r="B35" i="1"/>
  <c r="B34" i="1"/>
  <c r="C32" i="1"/>
  <c r="D32" i="1"/>
  <c r="C33" i="1"/>
  <c r="D33" i="1"/>
  <c r="B33" i="1"/>
  <c r="B32" i="1"/>
  <c r="O33" i="1"/>
  <c r="AA33" i="1" s="1"/>
  <c r="E33" i="1"/>
  <c r="N33" i="1" s="1"/>
  <c r="O32" i="1"/>
  <c r="E32" i="1"/>
  <c r="N32" i="1" s="1"/>
  <c r="D136" i="3" l="1"/>
  <c r="M136" i="3" s="1"/>
  <c r="N46" i="1"/>
  <c r="AC179" i="1"/>
  <c r="AC36" i="1"/>
  <c r="AC32" i="1"/>
  <c r="AC35" i="1"/>
  <c r="AC33" i="1"/>
  <c r="AC38" i="1"/>
  <c r="AC46" i="1"/>
  <c r="AC34" i="1"/>
  <c r="AB136" i="3" l="1"/>
  <c r="E93" i="1"/>
  <c r="D54" i="3" l="1"/>
  <c r="O142" i="1"/>
  <c r="E142" i="1"/>
  <c r="C142" i="1"/>
  <c r="D142" i="1"/>
  <c r="B142" i="1"/>
  <c r="N95" i="3" l="1"/>
  <c r="D95" i="3"/>
  <c r="M95" i="3" s="1"/>
  <c r="N142" i="1"/>
  <c r="AC142" i="1"/>
  <c r="AB95" i="3" l="1"/>
  <c r="O93" i="1"/>
  <c r="N54" i="3" s="1"/>
  <c r="Z54" i="3" s="1"/>
  <c r="AA93" i="1" l="1"/>
  <c r="O163" i="1"/>
  <c r="AA163" i="1" s="1"/>
  <c r="E163" i="1"/>
  <c r="N163" i="1" s="1"/>
  <c r="C163" i="1"/>
  <c r="D163" i="1"/>
  <c r="B163" i="1"/>
  <c r="AC163" i="1" l="1"/>
  <c r="C48" i="1" l="1"/>
  <c r="D48" i="1"/>
  <c r="B48" i="1"/>
  <c r="O48" i="1"/>
  <c r="E48" i="1"/>
  <c r="N48" i="1" s="1"/>
  <c r="AC48" i="1" l="1"/>
  <c r="C152" i="1" l="1"/>
  <c r="D152" i="1"/>
  <c r="B152" i="1"/>
  <c r="E152" i="1"/>
  <c r="O152" i="1"/>
  <c r="N113" i="3" s="1"/>
  <c r="D113" i="3" l="1"/>
  <c r="M113" i="3" s="1"/>
  <c r="N152" i="1"/>
  <c r="AA152" i="1"/>
  <c r="AC152" i="1"/>
  <c r="AB113" i="3" l="1"/>
  <c r="B110" i="3"/>
  <c r="A110" i="3"/>
  <c r="O150" i="1" l="1"/>
  <c r="E150" i="1"/>
  <c r="AA150" i="1" l="1"/>
  <c r="N110" i="3"/>
  <c r="Z110" i="3" s="1"/>
  <c r="D110" i="3"/>
  <c r="AC150" i="1"/>
  <c r="AB110" i="3" l="1"/>
  <c r="O71" i="1"/>
  <c r="N37" i="3" s="1"/>
  <c r="Z37" i="3" s="1"/>
  <c r="E71" i="1"/>
  <c r="AA71" i="1" l="1"/>
  <c r="D37" i="3"/>
  <c r="AC71" i="1"/>
  <c r="AB37" i="3" l="1"/>
  <c r="C27" i="1"/>
  <c r="D27" i="1"/>
  <c r="B27" i="1"/>
  <c r="O27" i="1"/>
  <c r="N87" i="3" s="1"/>
  <c r="E27" i="1"/>
  <c r="N27" i="1" s="1"/>
  <c r="AC27" i="1" l="1"/>
  <c r="D87" i="3"/>
  <c r="M87" i="3" s="1"/>
  <c r="AB87" i="3" l="1"/>
  <c r="O176" i="1"/>
  <c r="E176" i="1"/>
  <c r="N176" i="1" s="1"/>
  <c r="C176" i="1"/>
  <c r="D176" i="1"/>
  <c r="B176" i="1"/>
  <c r="AC176" i="1" l="1"/>
  <c r="O171" i="1" l="1"/>
  <c r="N43" i="3" s="1"/>
  <c r="E171" i="1"/>
  <c r="C171" i="1"/>
  <c r="D171" i="1"/>
  <c r="B171" i="1"/>
  <c r="D43" i="3" l="1"/>
  <c r="M43" i="3" s="1"/>
  <c r="N171" i="1"/>
  <c r="AC171" i="1"/>
  <c r="AB43" i="3" l="1"/>
  <c r="C167" i="1"/>
  <c r="B167" i="1"/>
  <c r="O167" i="1"/>
  <c r="E167" i="1"/>
  <c r="N167" i="1" s="1"/>
  <c r="AC167" i="1" l="1"/>
  <c r="O172" i="1" l="1"/>
  <c r="E172" i="1"/>
  <c r="N172" i="1" s="1"/>
  <c r="C172" i="1"/>
  <c r="D172" i="1"/>
  <c r="B172" i="1"/>
  <c r="AC172" i="1" l="1"/>
  <c r="D148" i="1" l="1"/>
  <c r="D43" i="1" l="1"/>
  <c r="E170" i="1" l="1"/>
  <c r="C168" i="1"/>
  <c r="D42" i="3" l="1"/>
  <c r="E168" i="1"/>
  <c r="O168" i="1"/>
  <c r="N39" i="3" s="1"/>
  <c r="Z39" i="3" s="1"/>
  <c r="D168" i="1"/>
  <c r="B168" i="1"/>
  <c r="AA168" i="1" l="1"/>
  <c r="D39" i="3"/>
  <c r="AC168" i="1"/>
  <c r="AB39" i="3" l="1"/>
  <c r="E149" i="1"/>
  <c r="D93" i="1" l="1"/>
  <c r="C93" i="1" l="1"/>
  <c r="B93" i="1"/>
  <c r="AC93" i="1" l="1"/>
  <c r="AB54" i="3" l="1"/>
  <c r="E153" i="1" l="1"/>
  <c r="O153" i="1"/>
  <c r="N114" i="3" s="1"/>
  <c r="C153" i="1"/>
  <c r="D153" i="1"/>
  <c r="B153" i="1"/>
  <c r="AA153" i="1" l="1"/>
  <c r="D114" i="3"/>
  <c r="M114" i="3" s="1"/>
  <c r="N153" i="1"/>
  <c r="AC153" i="1"/>
  <c r="AB114" i="3" l="1"/>
  <c r="C177" i="1"/>
  <c r="B177" i="1"/>
  <c r="C175" i="1"/>
  <c r="D175" i="1"/>
  <c r="B175" i="1"/>
  <c r="O177" i="1"/>
  <c r="AA177" i="1" s="1"/>
  <c r="E177" i="1"/>
  <c r="O175" i="1"/>
  <c r="AA175" i="1" s="1"/>
  <c r="E175" i="1"/>
  <c r="N175" i="1" s="1"/>
  <c r="C170" i="1"/>
  <c r="B170" i="1"/>
  <c r="AC175" i="1" l="1"/>
  <c r="AC177" i="1"/>
  <c r="O170" i="1"/>
  <c r="N42" i="3" s="1"/>
  <c r="Z42" i="3" s="1"/>
  <c r="AA170" i="1" l="1"/>
  <c r="AC170" i="1"/>
  <c r="AB42" i="3" l="1"/>
  <c r="C124" i="1"/>
  <c r="D124" i="1"/>
  <c r="B124" i="1"/>
  <c r="E124" i="1"/>
  <c r="D65" i="3" l="1"/>
  <c r="M65" i="3" s="1"/>
  <c r="N124" i="1"/>
  <c r="AC124" i="1"/>
  <c r="C68" i="1"/>
  <c r="D68" i="1"/>
  <c r="B68" i="1"/>
  <c r="O68" i="1"/>
  <c r="E68" i="1"/>
  <c r="AA68" i="1" l="1"/>
  <c r="N34" i="3"/>
  <c r="Z34" i="3" s="1"/>
  <c r="AB65" i="3"/>
  <c r="D34" i="3"/>
  <c r="AC68" i="1"/>
  <c r="AB34" i="3" l="1"/>
  <c r="E112" i="1" l="1"/>
  <c r="C112" i="1"/>
  <c r="D112" i="1"/>
  <c r="B112" i="1"/>
  <c r="E107" i="1"/>
  <c r="E106" i="1"/>
  <c r="B107" i="1"/>
  <c r="C107" i="1"/>
  <c r="D107" i="1"/>
  <c r="C106" i="1"/>
  <c r="D106" i="1"/>
  <c r="B106" i="1"/>
  <c r="C62" i="1"/>
  <c r="D62" i="1"/>
  <c r="B62" i="1"/>
  <c r="C59" i="1"/>
  <c r="D59" i="1"/>
  <c r="B59" i="1"/>
  <c r="C58" i="1"/>
  <c r="D58" i="1"/>
  <c r="B58" i="1"/>
  <c r="O66" i="1"/>
  <c r="N32" i="3" s="1"/>
  <c r="E66" i="1"/>
  <c r="N66" i="1" s="1"/>
  <c r="C66" i="1"/>
  <c r="D66" i="1"/>
  <c r="B66" i="1"/>
  <c r="D57" i="1"/>
  <c r="O57" i="1"/>
  <c r="C57" i="1"/>
  <c r="B57" i="1"/>
  <c r="N22" i="3" l="1"/>
  <c r="AC106" i="1"/>
  <c r="N106" i="1"/>
  <c r="AC107" i="1"/>
  <c r="AB62" i="3" s="1"/>
  <c r="N107" i="1"/>
  <c r="D71" i="3"/>
  <c r="M71" i="3" s="1"/>
  <c r="N112" i="1"/>
  <c r="AB61" i="3"/>
  <c r="E57" i="1"/>
  <c r="N57" i="1" s="1"/>
  <c r="D62" i="3"/>
  <c r="M62" i="3" s="1"/>
  <c r="AC112" i="1"/>
  <c r="D61" i="3"/>
  <c r="M61" i="3" s="1"/>
  <c r="AC66" i="1"/>
  <c r="D32" i="3"/>
  <c r="M32" i="3" s="1"/>
  <c r="AB32" i="3" l="1"/>
  <c r="AB71" i="3"/>
  <c r="D22" i="3"/>
  <c r="M22" i="3" s="1"/>
  <c r="AC62" i="1"/>
  <c r="AC57" i="1"/>
  <c r="D28" i="3"/>
  <c r="M28" i="3" s="1"/>
  <c r="D24" i="3"/>
  <c r="M24" i="3" s="1"/>
  <c r="AC59" i="1"/>
  <c r="D23" i="3"/>
  <c r="M23" i="3" s="1"/>
  <c r="AB23" i="3" l="1"/>
  <c r="AB24" i="3"/>
  <c r="AB22" i="3"/>
  <c r="AB28" i="3"/>
  <c r="D119" i="1" l="1"/>
  <c r="D214" i="1"/>
  <c r="C214" i="1"/>
  <c r="B214" i="1"/>
  <c r="C210" i="1"/>
  <c r="D210" i="1"/>
  <c r="B210" i="1"/>
  <c r="C160" i="1"/>
  <c r="D160" i="1"/>
  <c r="B160" i="1"/>
  <c r="C158" i="1"/>
  <c r="B158" i="1"/>
  <c r="D138" i="1"/>
  <c r="C138" i="1"/>
  <c r="B138" i="1"/>
  <c r="D128" i="1"/>
  <c r="C128" i="1"/>
  <c r="B128" i="1"/>
  <c r="D123" i="1"/>
  <c r="C123" i="1"/>
  <c r="B123" i="1"/>
  <c r="D83" i="1"/>
  <c r="C83" i="1"/>
  <c r="B83" i="1"/>
  <c r="D82" i="1"/>
  <c r="C82" i="1"/>
  <c r="B82" i="1"/>
  <c r="D79" i="1"/>
  <c r="C79" i="1"/>
  <c r="B79" i="1"/>
  <c r="B78" i="1"/>
  <c r="D67" i="1"/>
  <c r="C65" i="1"/>
  <c r="C67" i="1"/>
  <c r="B67" i="1"/>
  <c r="D64" i="1"/>
  <c r="D65" i="1"/>
  <c r="C64" i="1"/>
  <c r="B64" i="1"/>
  <c r="B65" i="1"/>
  <c r="D63" i="1"/>
  <c r="C63" i="1"/>
  <c r="B63" i="1"/>
  <c r="C61" i="1"/>
  <c r="D61" i="1"/>
  <c r="B61" i="1"/>
  <c r="C60" i="1"/>
  <c r="D60" i="1"/>
  <c r="B60" i="1"/>
  <c r="C56" i="1"/>
  <c r="D56" i="1"/>
  <c r="B56" i="1"/>
  <c r="D55" i="1"/>
  <c r="C55" i="1"/>
  <c r="B55" i="1"/>
  <c r="D24" i="1"/>
  <c r="C24" i="1"/>
  <c r="B23" i="1"/>
  <c r="D22" i="1"/>
  <c r="C22" i="1"/>
  <c r="B22" i="1"/>
  <c r="O61" i="1" l="1"/>
  <c r="AA61" i="1" l="1"/>
  <c r="N27" i="3"/>
  <c r="Z27" i="3" s="1"/>
  <c r="O108" i="1"/>
  <c r="N63" i="3" l="1"/>
  <c r="C109" i="1"/>
  <c r="D109" i="1"/>
  <c r="B109" i="1"/>
  <c r="O109" i="1"/>
  <c r="N66" i="3" s="1"/>
  <c r="E109" i="1"/>
  <c r="D66" i="3" l="1"/>
  <c r="M66" i="3" s="1"/>
  <c r="N109" i="1"/>
  <c r="AC109" i="1"/>
  <c r="E147" i="1"/>
  <c r="C147" i="1"/>
  <c r="D147" i="1"/>
  <c r="B147" i="1"/>
  <c r="O147" i="1"/>
  <c r="AA147" i="1" l="1"/>
  <c r="N102" i="3"/>
  <c r="Z102" i="3" s="1"/>
  <c r="D102" i="3"/>
  <c r="AB66" i="3"/>
  <c r="AC147" i="1"/>
  <c r="O25" i="1"/>
  <c r="N85" i="3" l="1"/>
  <c r="AB102" i="3"/>
  <c r="C155" i="1" l="1"/>
  <c r="D155" i="1"/>
  <c r="B155" i="1"/>
  <c r="E154" i="1"/>
  <c r="C154" i="1"/>
  <c r="D154" i="1"/>
  <c r="B154" i="1"/>
  <c r="O155" i="1"/>
  <c r="E155" i="1"/>
  <c r="O154" i="1"/>
  <c r="N115" i="3" s="1"/>
  <c r="O151" i="1"/>
  <c r="N112" i="3" s="1"/>
  <c r="E151" i="1"/>
  <c r="C151" i="1"/>
  <c r="D151" i="1"/>
  <c r="B151" i="1"/>
  <c r="O148" i="1"/>
  <c r="E148" i="1"/>
  <c r="C148" i="1"/>
  <c r="B148" i="1"/>
  <c r="O141" i="1"/>
  <c r="N94" i="3" s="1"/>
  <c r="E141" i="1"/>
  <c r="N141" i="1" s="1"/>
  <c r="C141" i="1"/>
  <c r="D141" i="1"/>
  <c r="B141" i="1"/>
  <c r="E111" i="1"/>
  <c r="N111" i="1" s="1"/>
  <c r="E110" i="1"/>
  <c r="C110" i="1"/>
  <c r="D110" i="1"/>
  <c r="B110" i="1"/>
  <c r="N103" i="3" l="1"/>
  <c r="AA155" i="1"/>
  <c r="N116" i="3"/>
  <c r="AC110" i="1"/>
  <c r="N110" i="1"/>
  <c r="D103" i="3"/>
  <c r="M103" i="3" s="1"/>
  <c r="N148" i="1"/>
  <c r="AA151" i="1"/>
  <c r="D116" i="3"/>
  <c r="M116" i="3" s="1"/>
  <c r="N155" i="1"/>
  <c r="D112" i="3"/>
  <c r="M112" i="3" s="1"/>
  <c r="N151" i="1"/>
  <c r="AA154" i="1"/>
  <c r="D115" i="3"/>
  <c r="M115" i="3" s="1"/>
  <c r="N154" i="1"/>
  <c r="AB69" i="3"/>
  <c r="AC155" i="1"/>
  <c r="AC151" i="1"/>
  <c r="AC154" i="1"/>
  <c r="AC141" i="1"/>
  <c r="D94" i="3"/>
  <c r="M94" i="3" s="1"/>
  <c r="AC148" i="1"/>
  <c r="D69" i="3"/>
  <c r="M69" i="3" s="1"/>
  <c r="N111" i="3" l="1"/>
  <c r="AB94" i="3"/>
  <c r="AB115" i="3"/>
  <c r="AB112" i="3"/>
  <c r="AB116" i="3"/>
  <c r="D111" i="3"/>
  <c r="M111" i="3" s="1"/>
  <c r="AB103" i="3"/>
  <c r="D103" i="1"/>
  <c r="D108" i="1"/>
  <c r="D118" i="1"/>
  <c r="D186" i="1"/>
  <c r="D166" i="1"/>
  <c r="D137" i="1"/>
  <c r="D127" i="1"/>
  <c r="D122" i="1"/>
  <c r="D100" i="1"/>
  <c r="D86" i="1"/>
  <c r="D52" i="1"/>
  <c r="D17" i="1"/>
  <c r="AB111" i="3" l="1"/>
  <c r="C174" i="1" l="1"/>
  <c r="B174" i="1"/>
  <c r="D189" i="1"/>
  <c r="D197" i="1"/>
  <c r="D193" i="1" s="1"/>
  <c r="D201" i="1"/>
  <c r="D208" i="1"/>
  <c r="C49" i="1" l="1"/>
  <c r="D49" i="1"/>
  <c r="B49" i="1"/>
  <c r="O210" i="1" l="1"/>
  <c r="N140" i="3" l="1"/>
  <c r="E108" i="1"/>
  <c r="N108" i="1" s="1"/>
  <c r="N139" i="3" l="1"/>
  <c r="O128" i="1"/>
  <c r="AA128" i="1" l="1"/>
  <c r="N26" i="3"/>
  <c r="Z26" i="3" s="1"/>
  <c r="O214" i="1"/>
  <c r="O213" i="1" l="1"/>
  <c r="O212" i="1" l="1"/>
  <c r="E189" i="1"/>
  <c r="N189" i="1" s="1"/>
  <c r="O129" i="1" l="1"/>
  <c r="N80" i="3" l="1"/>
  <c r="O37" i="1"/>
  <c r="N118" i="3" s="1"/>
  <c r="N117" i="3" l="1"/>
  <c r="E144" i="1" l="1"/>
  <c r="N144" i="1" s="1"/>
  <c r="E214" i="1" l="1"/>
  <c r="N214" i="1" s="1"/>
  <c r="AC214" i="1" l="1"/>
  <c r="E213" i="1"/>
  <c r="E212" i="1" l="1"/>
  <c r="N212" i="1" s="1"/>
  <c r="N213" i="1"/>
  <c r="AC212" i="1"/>
  <c r="AC213" i="1"/>
  <c r="E53" i="1" l="1"/>
  <c r="N53" i="1" s="1"/>
  <c r="E54" i="1"/>
  <c r="E55" i="1"/>
  <c r="E56" i="1"/>
  <c r="N56" i="1" s="1"/>
  <c r="E60" i="1"/>
  <c r="N60" i="1" s="1"/>
  <c r="E61" i="1"/>
  <c r="N61" i="1" s="1"/>
  <c r="E63" i="1"/>
  <c r="E64" i="1"/>
  <c r="N64" i="1" s="1"/>
  <c r="E65" i="1"/>
  <c r="N65" i="1" s="1"/>
  <c r="E67" i="1"/>
  <c r="N67" i="1" s="1"/>
  <c r="E78" i="1"/>
  <c r="N78" i="1" s="1"/>
  <c r="E79" i="1"/>
  <c r="N79" i="1" s="1"/>
  <c r="E82" i="1"/>
  <c r="N82" i="1" s="1"/>
  <c r="E83" i="1"/>
  <c r="E52" i="1"/>
  <c r="N52" i="1" s="1"/>
  <c r="D29" i="3" l="1"/>
  <c r="M29" i="3" s="1"/>
  <c r="N63" i="1"/>
  <c r="D20" i="3"/>
  <c r="M20" i="3" s="1"/>
  <c r="N55" i="1"/>
  <c r="D19" i="3"/>
  <c r="M19" i="3" s="1"/>
  <c r="N54" i="1"/>
  <c r="E51" i="1"/>
  <c r="N51" i="1" s="1"/>
  <c r="D18" i="3"/>
  <c r="M18" i="3" s="1"/>
  <c r="E127" i="1"/>
  <c r="N127" i="1" s="1"/>
  <c r="E128" i="1"/>
  <c r="N128" i="1" s="1"/>
  <c r="E129" i="1"/>
  <c r="N129" i="1" s="1"/>
  <c r="E130" i="1"/>
  <c r="E131" i="1"/>
  <c r="N131" i="1" s="1"/>
  <c r="E132" i="1"/>
  <c r="D83" i="3" l="1"/>
  <c r="M83" i="3" s="1"/>
  <c r="N132" i="1"/>
  <c r="D81" i="3"/>
  <c r="M81" i="3" s="1"/>
  <c r="N130" i="1"/>
  <c r="E174" i="1"/>
  <c r="D100" i="3" l="1"/>
  <c r="O78" i="1"/>
  <c r="O82" i="1" l="1"/>
  <c r="AC82" i="1" l="1"/>
  <c r="O157" i="1"/>
  <c r="O149" i="1"/>
  <c r="AA157" i="1" l="1"/>
  <c r="N124" i="3"/>
  <c r="Z124" i="3" s="1"/>
  <c r="AA149" i="1"/>
  <c r="N108" i="3"/>
  <c r="E157" i="1"/>
  <c r="N107" i="3" l="1"/>
  <c r="Z107" i="3" s="1"/>
  <c r="Z108" i="3"/>
  <c r="D124" i="3"/>
  <c r="AC157" i="1"/>
  <c r="E49" i="1"/>
  <c r="N49" i="1" s="1"/>
  <c r="E160" i="1"/>
  <c r="N160" i="1" s="1"/>
  <c r="D146" i="3" l="1"/>
  <c r="M146" i="3" s="1"/>
  <c r="AB124" i="3"/>
  <c r="O159" i="1"/>
  <c r="O160" i="1"/>
  <c r="E161" i="1"/>
  <c r="AC160" i="1" l="1"/>
  <c r="C190" i="1"/>
  <c r="D190" i="1"/>
  <c r="B190" i="1"/>
  <c r="C189" i="1"/>
  <c r="B189" i="1"/>
  <c r="T190" i="1"/>
  <c r="S120" i="3" s="1"/>
  <c r="S119" i="3" s="1"/>
  <c r="S104" i="3" s="1"/>
  <c r="P190" i="1"/>
  <c r="O120" i="3" s="1"/>
  <c r="O119" i="3" s="1"/>
  <c r="O104" i="3" s="1"/>
  <c r="E190" i="1"/>
  <c r="N190" i="1" s="1"/>
  <c r="T189" i="1"/>
  <c r="T188" i="1" s="1"/>
  <c r="T187" i="1" s="1"/>
  <c r="P189" i="1"/>
  <c r="P188" i="1" l="1"/>
  <c r="P187" i="1" s="1"/>
  <c r="D120" i="3"/>
  <c r="M120" i="3" s="1"/>
  <c r="E188" i="1"/>
  <c r="O189" i="1"/>
  <c r="O190" i="1"/>
  <c r="N120" i="3" s="1"/>
  <c r="O188" i="1" l="1"/>
  <c r="E187" i="1"/>
  <c r="N187" i="1" s="1"/>
  <c r="N188" i="1"/>
  <c r="AC189" i="1"/>
  <c r="AC190" i="1"/>
  <c r="E87" i="1"/>
  <c r="D48" i="3" l="1"/>
  <c r="M48" i="3" s="1"/>
  <c r="N87" i="1"/>
  <c r="O187" i="1"/>
  <c r="AB120" i="3"/>
  <c r="AC188" i="1"/>
  <c r="AC187" i="1" l="1"/>
  <c r="D87" i="1"/>
  <c r="O161" i="1" l="1"/>
  <c r="AA161" i="1" s="1"/>
  <c r="E208" i="1" l="1"/>
  <c r="N208" i="1" s="1"/>
  <c r="C203" i="1" l="1"/>
  <c r="D203" i="1"/>
  <c r="C204" i="1"/>
  <c r="D204" i="1"/>
  <c r="C205" i="1"/>
  <c r="D205" i="1"/>
  <c r="B205" i="1"/>
  <c r="B204" i="1"/>
  <c r="B203" i="1"/>
  <c r="C202" i="1"/>
  <c r="D202" i="1"/>
  <c r="B202" i="1"/>
  <c r="E205" i="1"/>
  <c r="N205" i="1" s="1"/>
  <c r="O204" i="1"/>
  <c r="N123" i="3" s="1"/>
  <c r="Z123" i="3" s="1"/>
  <c r="E204" i="1"/>
  <c r="O203" i="1"/>
  <c r="N122" i="3" s="1"/>
  <c r="Z122" i="3" s="1"/>
  <c r="E203" i="1"/>
  <c r="O202" i="1"/>
  <c r="N106" i="3" s="1"/>
  <c r="E202" i="1"/>
  <c r="C198" i="1"/>
  <c r="C194" i="1" s="1"/>
  <c r="B198" i="1"/>
  <c r="B194" i="1" s="1"/>
  <c r="C201" i="1"/>
  <c r="B201" i="1"/>
  <c r="C197" i="1"/>
  <c r="C193" i="1" s="1"/>
  <c r="B197" i="1"/>
  <c r="B193" i="1" s="1"/>
  <c r="D198" i="1"/>
  <c r="D194" i="1" s="1"/>
  <c r="E201" i="1"/>
  <c r="N201" i="1" s="1"/>
  <c r="O198" i="1"/>
  <c r="AA198" i="1" s="1"/>
  <c r="E198" i="1"/>
  <c r="N198" i="1" s="1"/>
  <c r="O197" i="1"/>
  <c r="E197" i="1"/>
  <c r="N197" i="1" s="1"/>
  <c r="N105" i="3" l="1"/>
  <c r="O196" i="1"/>
  <c r="AA203" i="1"/>
  <c r="AA204" i="1"/>
  <c r="D106" i="3"/>
  <c r="M106" i="3" s="1"/>
  <c r="N202" i="1"/>
  <c r="D122" i="3"/>
  <c r="D123" i="3"/>
  <c r="E200" i="1"/>
  <c r="E196" i="1"/>
  <c r="O201" i="1"/>
  <c r="O205" i="1"/>
  <c r="AC202" i="1"/>
  <c r="AC203" i="1"/>
  <c r="AC204" i="1"/>
  <c r="AC198" i="1"/>
  <c r="AC197" i="1"/>
  <c r="E195" i="1" l="1"/>
  <c r="N195" i="1" s="1"/>
  <c r="N196" i="1"/>
  <c r="O200" i="1"/>
  <c r="E199" i="1"/>
  <c r="N199" i="1" s="1"/>
  <c r="N200" i="1"/>
  <c r="O195" i="1"/>
  <c r="AB106" i="3"/>
  <c r="AB123" i="3"/>
  <c r="AB122" i="3"/>
  <c r="AC196" i="1"/>
  <c r="AC205" i="1"/>
  <c r="AC201" i="1"/>
  <c r="O199" i="1" l="1"/>
  <c r="AA199" i="1" s="1"/>
  <c r="AA200" i="1"/>
  <c r="AC195" i="1"/>
  <c r="AC200" i="1"/>
  <c r="AC199" i="1" l="1"/>
  <c r="O143" i="1"/>
  <c r="N96" i="3" l="1"/>
  <c r="O146" i="1"/>
  <c r="N101" i="3" l="1"/>
  <c r="C45" i="1"/>
  <c r="D45" i="1"/>
  <c r="B45" i="1"/>
  <c r="O45" i="1"/>
  <c r="E45" i="1"/>
  <c r="N45" i="1" s="1"/>
  <c r="N134" i="3" l="1"/>
  <c r="D134" i="3"/>
  <c r="M134" i="3" s="1"/>
  <c r="AC45" i="1"/>
  <c r="AB134" i="3" l="1"/>
  <c r="D27" i="3" l="1"/>
  <c r="M27" i="3" s="1"/>
  <c r="AC61" i="1" l="1"/>
  <c r="AB27" i="3" l="1"/>
  <c r="D114" i="1" l="1"/>
  <c r="D178" i="1"/>
  <c r="D89" i="1"/>
  <c r="D88" i="1"/>
  <c r="D53" i="1"/>
  <c r="D37" i="1"/>
  <c r="D30" i="1"/>
  <c r="D29" i="1"/>
  <c r="D28" i="1"/>
  <c r="D26" i="1"/>
  <c r="D25" i="1"/>
  <c r="E22" i="1" l="1"/>
  <c r="N22" i="1" s="1"/>
  <c r="D68" i="3" l="1"/>
  <c r="M68" i="3" s="1"/>
  <c r="O22" i="1"/>
  <c r="AA22" i="1" l="1"/>
  <c r="N68" i="3"/>
  <c r="Z68" i="3" s="1"/>
  <c r="AC22" i="1"/>
  <c r="AB68" i="3" l="1"/>
  <c r="O56" i="1" l="1"/>
  <c r="N21" i="3" l="1"/>
  <c r="AC56" i="1"/>
  <c r="D21" i="3"/>
  <c r="M21" i="3" s="1"/>
  <c r="AB21" i="3" l="1"/>
  <c r="O138" i="1" l="1"/>
  <c r="E138" i="1"/>
  <c r="N138" i="1" s="1"/>
  <c r="T122" i="1"/>
  <c r="P122" i="1"/>
  <c r="O15" i="3" s="1"/>
  <c r="O14" i="3" s="1"/>
  <c r="O147" i="3" s="1"/>
  <c r="T121" i="1" l="1"/>
  <c r="T120" i="1" s="1"/>
  <c r="T215" i="1" s="1"/>
  <c r="S15" i="3"/>
  <c r="S14" i="3" s="1"/>
  <c r="S147" i="3" s="1"/>
  <c r="P121" i="1"/>
  <c r="P120" i="1" s="1"/>
  <c r="P215" i="1" s="1"/>
  <c r="AC138" i="1"/>
  <c r="D26" i="3" l="1"/>
  <c r="M26" i="3" s="1"/>
  <c r="AC128" i="1"/>
  <c r="AB26" i="3" l="1"/>
  <c r="O83" i="1" l="1"/>
  <c r="AA83" i="1" s="1"/>
  <c r="O79" i="1"/>
  <c r="AC79" i="1" l="1"/>
  <c r="AC83" i="1"/>
  <c r="AC78" i="1"/>
  <c r="D130" i="1" l="1"/>
  <c r="O18" i="1" l="1"/>
  <c r="N16" i="3" s="1"/>
  <c r="O64" i="1" l="1"/>
  <c r="N30" i="3" l="1"/>
  <c r="D30" i="3"/>
  <c r="M30" i="3" s="1"/>
  <c r="AC64" i="1"/>
  <c r="AB30" i="3" l="1"/>
  <c r="O63" i="1" l="1"/>
  <c r="N29" i="3" s="1"/>
  <c r="O55" i="1"/>
  <c r="N20" i="3" l="1"/>
  <c r="AC63" i="1"/>
  <c r="AB29" i="3" l="1"/>
  <c r="AC55" i="1"/>
  <c r="AB20" i="3" l="1"/>
  <c r="E92" i="1"/>
  <c r="N92" i="1" s="1"/>
  <c r="O49" i="1"/>
  <c r="N146" i="3" s="1"/>
  <c r="AC49" i="1" l="1"/>
  <c r="AB146" i="3" l="1"/>
  <c r="E159" i="1"/>
  <c r="N159" i="1" s="1"/>
  <c r="C159" i="1"/>
  <c r="D159" i="1"/>
  <c r="B159" i="1"/>
  <c r="AC159" i="1" l="1"/>
  <c r="D102" i="1" l="1"/>
  <c r="D162" i="1" l="1"/>
  <c r="O134" i="1" l="1"/>
  <c r="AA134" i="1" s="1"/>
  <c r="E134" i="1"/>
  <c r="C134" i="1"/>
  <c r="D134" i="1"/>
  <c r="B134" i="1"/>
  <c r="E126" i="1" l="1"/>
  <c r="N126" i="1" s="1"/>
  <c r="AC134" i="1"/>
  <c r="D140" i="3"/>
  <c r="M140" i="3" s="1"/>
  <c r="O53" i="1"/>
  <c r="N18" i="3" s="1"/>
  <c r="O209" i="1"/>
  <c r="O208" i="1"/>
  <c r="O186" i="1"/>
  <c r="O174" i="1"/>
  <c r="O166" i="1"/>
  <c r="O139" i="1"/>
  <c r="O140" i="1"/>
  <c r="O144" i="1"/>
  <c r="O145" i="1"/>
  <c r="O156" i="1"/>
  <c r="O162" i="1"/>
  <c r="AA162" i="1" s="1"/>
  <c r="O137" i="1"/>
  <c r="O130" i="1"/>
  <c r="O131" i="1"/>
  <c r="O132" i="1"/>
  <c r="N83" i="3" s="1"/>
  <c r="O127" i="1"/>
  <c r="O123" i="1"/>
  <c r="O122" i="1"/>
  <c r="O102" i="1"/>
  <c r="O103" i="1"/>
  <c r="O104" i="1"/>
  <c r="O105" i="1"/>
  <c r="O111" i="1"/>
  <c r="O113" i="1"/>
  <c r="O114" i="1"/>
  <c r="O116" i="1"/>
  <c r="O117" i="1"/>
  <c r="N77" i="3" s="1"/>
  <c r="O118" i="1"/>
  <c r="O119" i="1"/>
  <c r="N145" i="3" s="1"/>
  <c r="O100" i="1"/>
  <c r="O87" i="1"/>
  <c r="O88" i="1"/>
  <c r="O89" i="1"/>
  <c r="O90" i="1"/>
  <c r="O91" i="1"/>
  <c r="O92" i="1"/>
  <c r="O86" i="1"/>
  <c r="O60" i="1"/>
  <c r="O65" i="1"/>
  <c r="O67" i="1"/>
  <c r="O52" i="1"/>
  <c r="O19" i="1"/>
  <c r="O20" i="1"/>
  <c r="O21" i="1"/>
  <c r="O23" i="1"/>
  <c r="O24" i="1"/>
  <c r="O26" i="1"/>
  <c r="O28" i="1"/>
  <c r="O29" i="1"/>
  <c r="O30" i="1"/>
  <c r="O31" i="1"/>
  <c r="O39" i="1"/>
  <c r="O40" i="1"/>
  <c r="O41" i="1"/>
  <c r="N127" i="3" s="1"/>
  <c r="O42" i="1"/>
  <c r="N130" i="3" s="1"/>
  <c r="O43" i="1"/>
  <c r="O44" i="1"/>
  <c r="N133" i="3" s="1"/>
  <c r="O47" i="1"/>
  <c r="N137" i="3" s="1"/>
  <c r="O17" i="1"/>
  <c r="N15" i="3" l="1"/>
  <c r="N14" i="3" s="1"/>
  <c r="N132" i="3"/>
  <c r="AA40" i="1"/>
  <c r="N91" i="3"/>
  <c r="N89" i="3"/>
  <c r="N86" i="3"/>
  <c r="N78" i="3"/>
  <c r="N31" i="3"/>
  <c r="N52" i="3"/>
  <c r="N50" i="3"/>
  <c r="N48" i="3"/>
  <c r="N144" i="3"/>
  <c r="N73" i="3"/>
  <c r="N70" i="3"/>
  <c r="N59" i="3"/>
  <c r="N57" i="3"/>
  <c r="N64" i="3"/>
  <c r="N81" i="3"/>
  <c r="N98" i="3"/>
  <c r="N93" i="3"/>
  <c r="N138" i="3"/>
  <c r="N135" i="3"/>
  <c r="Z135" i="3" s="1"/>
  <c r="Z137" i="3"/>
  <c r="N131" i="3"/>
  <c r="N125" i="3"/>
  <c r="AA30" i="1"/>
  <c r="N90" i="3"/>
  <c r="Z90" i="3" s="1"/>
  <c r="N88" i="3"/>
  <c r="N82" i="3"/>
  <c r="N67" i="3"/>
  <c r="N33" i="3"/>
  <c r="N25" i="3"/>
  <c r="N53" i="3"/>
  <c r="N51" i="3"/>
  <c r="N49" i="3"/>
  <c r="N75" i="3"/>
  <c r="N72" i="3"/>
  <c r="N60" i="3"/>
  <c r="N58" i="3"/>
  <c r="N97" i="3"/>
  <c r="N76" i="3"/>
  <c r="AA174" i="1"/>
  <c r="N100" i="3"/>
  <c r="Z100" i="3" s="1"/>
  <c r="O16" i="1"/>
  <c r="O85" i="1"/>
  <c r="O207" i="1"/>
  <c r="AA47" i="1"/>
  <c r="O121" i="1"/>
  <c r="O126" i="1"/>
  <c r="O185" i="1"/>
  <c r="D139" i="3"/>
  <c r="M139" i="3" s="1"/>
  <c r="AC17" i="1"/>
  <c r="O178" i="1"/>
  <c r="N121" i="3" s="1"/>
  <c r="O158" i="1"/>
  <c r="AA158" i="1" s="1"/>
  <c r="N92" i="3" l="1"/>
  <c r="Z92" i="3" s="1"/>
  <c r="N79" i="3"/>
  <c r="N47" i="3"/>
  <c r="Z47" i="3" s="1"/>
  <c r="N84" i="3"/>
  <c r="Z84" i="3" s="1"/>
  <c r="N126" i="3"/>
  <c r="Z126" i="3" s="1"/>
  <c r="N141" i="3"/>
  <c r="N129" i="3"/>
  <c r="O125" i="1"/>
  <c r="AA125" i="1" s="1"/>
  <c r="AA126" i="1"/>
  <c r="O184" i="1"/>
  <c r="O165" i="1"/>
  <c r="O136" i="1"/>
  <c r="O120" i="1"/>
  <c r="O206" i="1"/>
  <c r="O84" i="1"/>
  <c r="AA84" i="1" s="1"/>
  <c r="AA85" i="1"/>
  <c r="O15" i="1"/>
  <c r="N119" i="3" l="1"/>
  <c r="N104" i="3" s="1"/>
  <c r="Z104" i="3" s="1"/>
  <c r="N128" i="3"/>
  <c r="Z128" i="3" s="1"/>
  <c r="O135" i="1"/>
  <c r="AA135" i="1" s="1"/>
  <c r="AA136" i="1"/>
  <c r="O164" i="1"/>
  <c r="AA164" i="1" s="1"/>
  <c r="AA165" i="1"/>
  <c r="Z119" i="3" l="1"/>
  <c r="O54" i="1"/>
  <c r="N19" i="3" s="1"/>
  <c r="Z19" i="3" l="1"/>
  <c r="N17" i="3"/>
  <c r="AA54" i="1"/>
  <c r="O51" i="1"/>
  <c r="C130" i="1"/>
  <c r="B130" i="1"/>
  <c r="AC210" i="1"/>
  <c r="E209" i="1"/>
  <c r="E186" i="1"/>
  <c r="N186" i="1" s="1"/>
  <c r="E178" i="1"/>
  <c r="N178" i="1" s="1"/>
  <c r="E166" i="1"/>
  <c r="N166" i="1" s="1"/>
  <c r="E139" i="1"/>
  <c r="E140" i="1"/>
  <c r="N140" i="1" s="1"/>
  <c r="E143" i="1"/>
  <c r="N143" i="1" s="1"/>
  <c r="E145" i="1"/>
  <c r="N145" i="1" s="1"/>
  <c r="E146" i="1"/>
  <c r="D108" i="3"/>
  <c r="E156" i="1"/>
  <c r="N156" i="1" s="1"/>
  <c r="E158" i="1"/>
  <c r="AC161" i="1"/>
  <c r="E162" i="1"/>
  <c r="N162" i="1" s="1"/>
  <c r="E137" i="1"/>
  <c r="N137" i="1" s="1"/>
  <c r="E123" i="1"/>
  <c r="N123" i="1" s="1"/>
  <c r="E122" i="1"/>
  <c r="N122" i="1" s="1"/>
  <c r="E101" i="1"/>
  <c r="N101" i="1" s="1"/>
  <c r="E102" i="1"/>
  <c r="N102" i="1" s="1"/>
  <c r="E103" i="1"/>
  <c r="N103" i="1" s="1"/>
  <c r="E104" i="1"/>
  <c r="N104" i="1" s="1"/>
  <c r="E105" i="1"/>
  <c r="N105" i="1" s="1"/>
  <c r="E113" i="1"/>
  <c r="N113" i="1" s="1"/>
  <c r="E114" i="1"/>
  <c r="N114" i="1" s="1"/>
  <c r="E116" i="1"/>
  <c r="E117" i="1"/>
  <c r="E118" i="1"/>
  <c r="N118" i="1" s="1"/>
  <c r="E119" i="1"/>
  <c r="E100" i="1"/>
  <c r="N100" i="1" s="1"/>
  <c r="E88" i="1"/>
  <c r="N88" i="1" s="1"/>
  <c r="E89" i="1"/>
  <c r="N89" i="1" s="1"/>
  <c r="E90" i="1"/>
  <c r="N90" i="1" s="1"/>
  <c r="E91" i="1"/>
  <c r="N91" i="1" s="1"/>
  <c r="D53" i="3"/>
  <c r="M53" i="3" s="1"/>
  <c r="E86" i="1"/>
  <c r="N86" i="1" s="1"/>
  <c r="D25" i="3"/>
  <c r="M25" i="3" s="1"/>
  <c r="D31" i="3"/>
  <c r="M31" i="3" s="1"/>
  <c r="D33" i="3"/>
  <c r="M33" i="3" s="1"/>
  <c r="E18" i="1"/>
  <c r="N18" i="1" s="1"/>
  <c r="E19" i="1"/>
  <c r="N19" i="1" s="1"/>
  <c r="E20" i="1"/>
  <c r="N20" i="1" s="1"/>
  <c r="E21" i="1"/>
  <c r="N21" i="1" s="1"/>
  <c r="E23" i="1"/>
  <c r="N23" i="1" s="1"/>
  <c r="E24" i="1"/>
  <c r="N24" i="1" s="1"/>
  <c r="E25" i="1"/>
  <c r="N25" i="1" s="1"/>
  <c r="E26" i="1"/>
  <c r="N26" i="1" s="1"/>
  <c r="E28" i="1"/>
  <c r="N28" i="1" s="1"/>
  <c r="E29" i="1"/>
  <c r="N29" i="1" s="1"/>
  <c r="E30" i="1"/>
  <c r="N30" i="1" s="1"/>
  <c r="E31" i="1"/>
  <c r="N31" i="1" s="1"/>
  <c r="E37" i="1"/>
  <c r="E39" i="1"/>
  <c r="N39" i="1" s="1"/>
  <c r="E40" i="1"/>
  <c r="E41" i="1"/>
  <c r="E42" i="1"/>
  <c r="E43" i="1"/>
  <c r="N43" i="1" s="1"/>
  <c r="E44" i="1"/>
  <c r="E47" i="1"/>
  <c r="Z17" i="3" l="1"/>
  <c r="D107" i="3"/>
  <c r="D137" i="3"/>
  <c r="D127" i="3"/>
  <c r="M127" i="3" s="1"/>
  <c r="N41" i="1"/>
  <c r="D145" i="3"/>
  <c r="M145" i="3" s="1"/>
  <c r="N119" i="1"/>
  <c r="D77" i="3"/>
  <c r="M77" i="3" s="1"/>
  <c r="N117" i="1"/>
  <c r="O50" i="1"/>
  <c r="AA51" i="1"/>
  <c r="D133" i="3"/>
  <c r="M133" i="3" s="1"/>
  <c r="N44" i="1"/>
  <c r="D130" i="3"/>
  <c r="M130" i="3" s="1"/>
  <c r="N42" i="1"/>
  <c r="D118" i="3"/>
  <c r="M118" i="3" s="1"/>
  <c r="N37" i="1"/>
  <c r="AC116" i="1"/>
  <c r="N116" i="1"/>
  <c r="D101" i="3"/>
  <c r="M101" i="3" s="1"/>
  <c r="N146" i="1"/>
  <c r="D76" i="3"/>
  <c r="M76" i="3" s="1"/>
  <c r="N139" i="1"/>
  <c r="E207" i="1"/>
  <c r="N207" i="1" s="1"/>
  <c r="N209" i="1"/>
  <c r="F227" i="1"/>
  <c r="E165" i="1"/>
  <c r="N165" i="1" s="1"/>
  <c r="D17" i="3"/>
  <c r="M17" i="3" s="1"/>
  <c r="E85" i="1"/>
  <c r="N85" i="1" s="1"/>
  <c r="D121" i="3"/>
  <c r="M121" i="3" s="1"/>
  <c r="E16" i="1"/>
  <c r="E99" i="1"/>
  <c r="D15" i="3"/>
  <c r="M15" i="3" s="1"/>
  <c r="H227" i="1"/>
  <c r="I227" i="1"/>
  <c r="G227" i="1"/>
  <c r="R227" i="1"/>
  <c r="E121" i="1"/>
  <c r="N121" i="1" s="1"/>
  <c r="D126" i="3"/>
  <c r="E136" i="1"/>
  <c r="E164" i="1"/>
  <c r="N164" i="1" s="1"/>
  <c r="D98" i="3"/>
  <c r="M98" i="3" s="1"/>
  <c r="D16" i="3"/>
  <c r="M16" i="3" s="1"/>
  <c r="D78" i="3"/>
  <c r="M78" i="3" s="1"/>
  <c r="E125" i="1"/>
  <c r="N125" i="1" s="1"/>
  <c r="E185" i="1"/>
  <c r="AC149" i="1"/>
  <c r="AC158" i="1"/>
  <c r="D52" i="3"/>
  <c r="M52" i="3" s="1"/>
  <c r="D64" i="3"/>
  <c r="M64" i="3" s="1"/>
  <c r="D67" i="3"/>
  <c r="M67" i="3" s="1"/>
  <c r="D138" i="3"/>
  <c r="M138" i="3" s="1"/>
  <c r="D105" i="3"/>
  <c r="M105" i="3" s="1"/>
  <c r="D51" i="3"/>
  <c r="M51" i="3" s="1"/>
  <c r="D50" i="3"/>
  <c r="M50" i="3" s="1"/>
  <c r="D75" i="3"/>
  <c r="M75" i="3" s="1"/>
  <c r="D73" i="3"/>
  <c r="M73" i="3" s="1"/>
  <c r="D72" i="3"/>
  <c r="M72" i="3" s="1"/>
  <c r="D59" i="3"/>
  <c r="M59" i="3" s="1"/>
  <c r="D56" i="3"/>
  <c r="M56" i="3" s="1"/>
  <c r="D125" i="3"/>
  <c r="M125" i="3" s="1"/>
  <c r="D89" i="3"/>
  <c r="M89" i="3" s="1"/>
  <c r="D86" i="3"/>
  <c r="M86" i="3" s="1"/>
  <c r="D85" i="3"/>
  <c r="M85" i="3" s="1"/>
  <c r="D131" i="3"/>
  <c r="M131" i="3" s="1"/>
  <c r="E50" i="1"/>
  <c r="N50" i="1" s="1"/>
  <c r="AB140" i="3"/>
  <c r="D70" i="3"/>
  <c r="M70" i="3" s="1"/>
  <c r="D91" i="3"/>
  <c r="M91" i="3" s="1"/>
  <c r="D88" i="3"/>
  <c r="M88" i="3" s="1"/>
  <c r="D80" i="3"/>
  <c r="M80" i="3" s="1"/>
  <c r="D63" i="3"/>
  <c r="M63" i="3" s="1"/>
  <c r="D90" i="3"/>
  <c r="M90" i="3" s="1"/>
  <c r="AC118" i="1"/>
  <c r="AC139" i="1"/>
  <c r="D57" i="3"/>
  <c r="M57" i="3" s="1"/>
  <c r="D49" i="3"/>
  <c r="M49" i="3" s="1"/>
  <c r="D96" i="3"/>
  <c r="M96" i="3" s="1"/>
  <c r="D97" i="3"/>
  <c r="M97" i="3" s="1"/>
  <c r="AC162" i="1"/>
  <c r="D93" i="3"/>
  <c r="M93" i="3" s="1"/>
  <c r="AC137" i="1"/>
  <c r="D82" i="3"/>
  <c r="M82" i="3" s="1"/>
  <c r="AC119" i="1"/>
  <c r="D60" i="3"/>
  <c r="M60" i="3" s="1"/>
  <c r="D58" i="3"/>
  <c r="M58" i="3" s="1"/>
  <c r="AC47" i="1"/>
  <c r="AC43" i="1"/>
  <c r="AC41" i="1"/>
  <c r="AC39" i="1"/>
  <c r="AC67" i="1"/>
  <c r="AC54" i="1"/>
  <c r="AC86" i="1"/>
  <c r="AC113" i="1"/>
  <c r="AC111" i="1"/>
  <c r="AC105" i="1"/>
  <c r="AC103" i="1"/>
  <c r="AC146" i="1"/>
  <c r="AC144" i="1"/>
  <c r="AC140" i="1"/>
  <c r="AC44" i="1"/>
  <c r="AC42" i="1"/>
  <c r="AC40" i="1"/>
  <c r="AC37" i="1"/>
  <c r="AC65" i="1"/>
  <c r="AC60" i="1"/>
  <c r="AC100" i="1"/>
  <c r="AC114" i="1"/>
  <c r="AC108" i="1"/>
  <c r="AC104" i="1"/>
  <c r="AC102" i="1"/>
  <c r="AC145" i="1"/>
  <c r="AC143" i="1"/>
  <c r="AC208" i="1"/>
  <c r="AC156" i="1"/>
  <c r="AC123" i="1"/>
  <c r="AC28" i="1"/>
  <c r="AC25" i="1"/>
  <c r="AC24" i="1"/>
  <c r="AC23" i="1"/>
  <c r="AC19" i="1"/>
  <c r="AC127" i="1"/>
  <c r="AC178" i="1"/>
  <c r="AC186" i="1"/>
  <c r="AC31" i="1"/>
  <c r="AC29" i="1"/>
  <c r="AC26" i="1"/>
  <c r="AC21" i="1"/>
  <c r="AC20" i="1"/>
  <c r="AC92" i="1"/>
  <c r="AC91" i="1"/>
  <c r="AC90" i="1"/>
  <c r="AC89" i="1"/>
  <c r="AC88" i="1"/>
  <c r="AC87" i="1"/>
  <c r="AC132" i="1"/>
  <c r="AC129" i="1"/>
  <c r="AC18" i="1"/>
  <c r="AC30" i="1"/>
  <c r="AC53" i="1"/>
  <c r="AC122" i="1"/>
  <c r="AC131" i="1"/>
  <c r="AC130" i="1"/>
  <c r="AC166" i="1"/>
  <c r="AC209" i="1"/>
  <c r="AC52" i="1"/>
  <c r="AC117" i="1"/>
  <c r="D132" i="3" l="1"/>
  <c r="M132" i="3" s="1"/>
  <c r="D117" i="3"/>
  <c r="M117" i="3" s="1"/>
  <c r="E120" i="1"/>
  <c r="N120" i="1" s="1"/>
  <c r="E206" i="1"/>
  <c r="N206" i="1" s="1"/>
  <c r="D135" i="3"/>
  <c r="M135" i="3" s="1"/>
  <c r="D144" i="3"/>
  <c r="D141" i="3" s="1"/>
  <c r="M141" i="3" s="1"/>
  <c r="E184" i="1"/>
  <c r="N184" i="1" s="1"/>
  <c r="N185" i="1"/>
  <c r="E135" i="1"/>
  <c r="N135" i="1" s="1"/>
  <c r="N136" i="1"/>
  <c r="E15" i="1"/>
  <c r="N15" i="1" s="1"/>
  <c r="N16" i="1"/>
  <c r="E98" i="1"/>
  <c r="N98" i="1" s="1"/>
  <c r="N99" i="1"/>
  <c r="AA50" i="1"/>
  <c r="AC51" i="1"/>
  <c r="AB127" i="3"/>
  <c r="AB130" i="3"/>
  <c r="D92" i="3"/>
  <c r="M92" i="3" s="1"/>
  <c r="AB121" i="3"/>
  <c r="AC85" i="1"/>
  <c r="AB145" i="3"/>
  <c r="AC126" i="1"/>
  <c r="D55" i="3"/>
  <c r="M55" i="3" s="1"/>
  <c r="AB15" i="3"/>
  <c r="AB101" i="3"/>
  <c r="AB77" i="3"/>
  <c r="AB18" i="3"/>
  <c r="AB83" i="3"/>
  <c r="AB133" i="3"/>
  <c r="AB81" i="3"/>
  <c r="AC185" i="1"/>
  <c r="AB118" i="3"/>
  <c r="AB19" i="3"/>
  <c r="AB76" i="3"/>
  <c r="AB48" i="3"/>
  <c r="AB126" i="3"/>
  <c r="AB97" i="3"/>
  <c r="AB137" i="3"/>
  <c r="D47" i="3"/>
  <c r="M47" i="3" s="1"/>
  <c r="D79" i="3"/>
  <c r="M79" i="3" s="1"/>
  <c r="AC207" i="1"/>
  <c r="AC121" i="1"/>
  <c r="AC136" i="1"/>
  <c r="AC16" i="1"/>
  <c r="AB98" i="3"/>
  <c r="D84" i="3"/>
  <c r="M84" i="3" s="1"/>
  <c r="AB108" i="3"/>
  <c r="AB139" i="3"/>
  <c r="AB16" i="3"/>
  <c r="D119" i="3"/>
  <c r="AB78" i="3"/>
  <c r="D14" i="3"/>
  <c r="M14" i="3" s="1"/>
  <c r="E84" i="1"/>
  <c r="D129" i="3"/>
  <c r="AB50" i="3"/>
  <c r="AB53" i="3"/>
  <c r="AB51" i="3"/>
  <c r="AB138" i="3"/>
  <c r="AB64" i="3"/>
  <c r="AB63" i="3"/>
  <c r="AB52" i="3"/>
  <c r="AB67" i="3"/>
  <c r="AB105" i="3"/>
  <c r="AB75" i="3"/>
  <c r="AB73" i="3"/>
  <c r="AB72" i="3"/>
  <c r="AB59" i="3"/>
  <c r="AB125" i="3"/>
  <c r="AB90" i="3"/>
  <c r="AB89" i="3"/>
  <c r="AB88" i="3"/>
  <c r="AB86" i="3"/>
  <c r="AB85" i="3"/>
  <c r="AB131" i="3"/>
  <c r="AB31" i="3"/>
  <c r="AB33" i="3"/>
  <c r="AB25" i="3"/>
  <c r="AB93" i="3"/>
  <c r="AB70" i="3"/>
  <c r="AB91" i="3"/>
  <c r="AB80" i="3"/>
  <c r="AB57" i="3"/>
  <c r="AB49" i="3"/>
  <c r="AB96" i="3"/>
  <c r="AB82" i="3"/>
  <c r="AB60" i="3"/>
  <c r="AB58" i="3"/>
  <c r="Q227" i="1"/>
  <c r="M144" i="3" l="1"/>
  <c r="D128" i="3"/>
  <c r="M128" i="3" s="1"/>
  <c r="M129" i="3"/>
  <c r="D104" i="3"/>
  <c r="M104" i="3" s="1"/>
  <c r="M119" i="3"/>
  <c r="E215" i="1"/>
  <c r="N215" i="1" s="1"/>
  <c r="N84" i="1"/>
  <c r="AB17" i="3"/>
  <c r="AB132" i="3"/>
  <c r="AB135" i="3"/>
  <c r="AB144" i="3"/>
  <c r="AB117" i="3"/>
  <c r="AB107" i="3"/>
  <c r="D147" i="3"/>
  <c r="AC184" i="1"/>
  <c r="AC84" i="1"/>
  <c r="AC15" i="1"/>
  <c r="AC135" i="1"/>
  <c r="AC50" i="1"/>
  <c r="AB79" i="3"/>
  <c r="AB47" i="3"/>
  <c r="AB84" i="3"/>
  <c r="AB14" i="3"/>
  <c r="AB129" i="3"/>
  <c r="AB119" i="3"/>
  <c r="AC174" i="1"/>
  <c r="E227" i="1" l="1"/>
  <c r="M147" i="3"/>
  <c r="AC165" i="1"/>
  <c r="AB104" i="3"/>
  <c r="AB141" i="3"/>
  <c r="AB128" i="3"/>
  <c r="AB100" i="3"/>
  <c r="AB92" i="3" l="1"/>
  <c r="O101" i="1"/>
  <c r="N56" i="3" s="1"/>
  <c r="N55" i="3" l="1"/>
  <c r="O99" i="1"/>
  <c r="T227" i="1"/>
  <c r="P227" i="1"/>
  <c r="AC101" i="1"/>
  <c r="AC206" i="1"/>
  <c r="N147" i="3" l="1"/>
  <c r="Z147" i="3" s="1"/>
  <c r="O98" i="1"/>
  <c r="AC99" i="1"/>
  <c r="AB56" i="3"/>
  <c r="AC164" i="1"/>
  <c r="AC125" i="1"/>
  <c r="AC120" i="1"/>
  <c r="O215" i="1" l="1"/>
  <c r="AA215" i="1" s="1"/>
  <c r="AB55" i="3"/>
  <c r="AB147" i="3" s="1"/>
  <c r="AC98" i="1"/>
  <c r="AC215" i="1" s="1"/>
  <c r="C43" i="1"/>
  <c r="O227" i="1" l="1"/>
  <c r="C157" i="1"/>
  <c r="B157" i="1"/>
  <c r="AF215" i="1" l="1"/>
  <c r="C104" i="1"/>
  <c r="D104" i="1"/>
  <c r="B104" i="1"/>
  <c r="D92" i="1"/>
  <c r="C92" i="1"/>
  <c r="B92" i="1"/>
  <c r="C91" i="1"/>
  <c r="D91" i="1"/>
  <c r="B91" i="1"/>
  <c r="C40" i="1"/>
  <c r="B40" i="1"/>
  <c r="C119" i="1"/>
  <c r="B119" i="1"/>
  <c r="C117" i="1"/>
  <c r="D117" i="1"/>
  <c r="C118" i="1"/>
  <c r="B118" i="1"/>
  <c r="B117" i="1"/>
  <c r="C116" i="1"/>
  <c r="D116" i="1"/>
  <c r="B116" i="1"/>
  <c r="C114" i="1"/>
  <c r="B114" i="1"/>
  <c r="C113" i="1"/>
  <c r="D113" i="1"/>
  <c r="B113" i="1"/>
  <c r="C111" i="1"/>
  <c r="D111" i="1"/>
  <c r="B111" i="1"/>
  <c r="C108" i="1"/>
  <c r="B108" i="1"/>
  <c r="C105" i="1"/>
  <c r="D105" i="1"/>
  <c r="B105" i="1"/>
  <c r="C103" i="1"/>
  <c r="B103" i="1"/>
  <c r="C102" i="1"/>
  <c r="B102" i="1"/>
  <c r="C101" i="1"/>
  <c r="D101" i="1"/>
  <c r="B101" i="1"/>
  <c r="C90" i="1"/>
  <c r="D90" i="1"/>
  <c r="B90" i="1"/>
  <c r="C89" i="1"/>
  <c r="B89" i="1"/>
  <c r="C88" i="1"/>
  <c r="B88" i="1"/>
  <c r="C87" i="1"/>
  <c r="B87" i="1"/>
  <c r="C54" i="1"/>
  <c r="B54" i="1"/>
  <c r="C53" i="1"/>
  <c r="B53" i="1"/>
  <c r="C47" i="1"/>
  <c r="D47" i="1"/>
  <c r="B47" i="1"/>
  <c r="C44" i="1"/>
  <c r="D44" i="1"/>
  <c r="B44" i="1"/>
  <c r="B43" i="1"/>
  <c r="C42" i="1"/>
  <c r="D42" i="1"/>
  <c r="B42" i="1"/>
  <c r="C41" i="1"/>
  <c r="D41" i="1"/>
  <c r="B41" i="1"/>
  <c r="C39" i="1"/>
  <c r="D39" i="1"/>
  <c r="B39" i="1"/>
  <c r="C37" i="1"/>
  <c r="B37" i="1"/>
  <c r="C23" i="1"/>
  <c r="B24" i="1"/>
  <c r="C31" i="1"/>
  <c r="D31" i="1"/>
  <c r="B31" i="1"/>
  <c r="C30" i="1"/>
  <c r="B30" i="1"/>
  <c r="C29" i="1"/>
  <c r="B29" i="1"/>
  <c r="C28" i="1"/>
  <c r="B28" i="1"/>
  <c r="C26" i="1"/>
  <c r="B26" i="1"/>
  <c r="C25" i="1"/>
  <c r="B25" i="1"/>
  <c r="C21" i="1"/>
  <c r="D21" i="1"/>
  <c r="B21" i="1"/>
  <c r="C20" i="1"/>
  <c r="D20" i="1"/>
  <c r="B20" i="1"/>
  <c r="C19" i="1"/>
  <c r="B19" i="1"/>
  <c r="C18" i="1"/>
  <c r="D18" i="1"/>
  <c r="B18" i="1"/>
  <c r="C129" i="1"/>
  <c r="D129" i="1"/>
  <c r="B129" i="1"/>
  <c r="C131" i="1"/>
  <c r="D131" i="1"/>
  <c r="C132" i="1"/>
  <c r="D132" i="1"/>
  <c r="B132" i="1"/>
  <c r="B131" i="1"/>
  <c r="C139" i="1"/>
  <c r="D139" i="1"/>
  <c r="B139" i="1"/>
  <c r="C143" i="1"/>
  <c r="D143" i="1"/>
  <c r="B143" i="1"/>
  <c r="C140" i="1"/>
  <c r="D140" i="1"/>
  <c r="B140" i="1"/>
  <c r="C144" i="1"/>
  <c r="D144" i="1"/>
  <c r="B144" i="1"/>
  <c r="C145" i="1"/>
  <c r="D145" i="1"/>
  <c r="B145" i="1"/>
  <c r="C146" i="1"/>
  <c r="D146" i="1"/>
  <c r="B146" i="1"/>
  <c r="C149" i="1"/>
  <c r="B149" i="1"/>
  <c r="C156" i="1"/>
  <c r="B156" i="1"/>
  <c r="C161" i="1"/>
  <c r="D161" i="1"/>
  <c r="B161" i="1"/>
  <c r="C162" i="1"/>
  <c r="B162" i="1"/>
  <c r="C178" i="1"/>
  <c r="B178" i="1"/>
  <c r="C209" i="1"/>
  <c r="D209" i="1"/>
  <c r="B209" i="1"/>
  <c r="C208" i="1"/>
  <c r="B208" i="1"/>
  <c r="C186" i="1"/>
  <c r="B186" i="1"/>
  <c r="C166" i="1"/>
  <c r="B166" i="1"/>
  <c r="C137" i="1"/>
  <c r="B137" i="1"/>
  <c r="C127" i="1"/>
  <c r="B127" i="1"/>
  <c r="C122" i="1"/>
  <c r="B122" i="1"/>
  <c r="C100" i="1"/>
  <c r="B100" i="1"/>
  <c r="C86" i="1"/>
  <c r="B86" i="1"/>
  <c r="C52" i="1"/>
  <c r="B52" i="1"/>
  <c r="C17" i="1"/>
  <c r="B17" i="1"/>
  <c r="S227" i="1" l="1"/>
</calcChain>
</file>

<file path=xl/sharedStrings.xml><?xml version="1.0" encoding="utf-8"?>
<sst xmlns="http://schemas.openxmlformats.org/spreadsheetml/2006/main" count="703" uniqueCount="531">
  <si>
    <t>7640</t>
  </si>
  <si>
    <t>7412</t>
  </si>
  <si>
    <t>7610</t>
  </si>
  <si>
    <t>7670</t>
  </si>
  <si>
    <t>8300</t>
  </si>
  <si>
    <t>8110</t>
  </si>
  <si>
    <t xml:space="preserve">Охорона навколишнього природного середовища </t>
  </si>
  <si>
    <t>8340</t>
  </si>
  <si>
    <t>Природоохоронні заходи за рахунок цільових фондів</t>
  </si>
  <si>
    <t>Обслуговування місцевого боргу</t>
  </si>
  <si>
    <t>9000</t>
  </si>
  <si>
    <t>9700</t>
  </si>
  <si>
    <t>9770</t>
  </si>
  <si>
    <t>Забезпечення діяльності бібліотек</t>
  </si>
  <si>
    <t>Проведення навчально-тренувальних зборів і змагань з неолімпійських видів спорту</t>
  </si>
  <si>
    <t>Інші заходи, пов'язані з економічною діяльністю</t>
  </si>
  <si>
    <t>Інші видатки на соціальний захист ветеранів війни та праці</t>
  </si>
  <si>
    <t>Компенсаційні виплати на пільговий проїзд електротранспортом окремим категоріям громадян</t>
  </si>
  <si>
    <t>Проведення навчально-тренувальних зборів і змагань з олімпійських видів спорту</t>
  </si>
  <si>
    <t>Фінансова підтримка дитячо-юнацьких спортивних шкіл фізкультурно-спортивних товариств</t>
  </si>
  <si>
    <t>Сприяння розвитку малого та середнього підприємництва</t>
  </si>
  <si>
    <t>Управління  освіти і науки Сумської міської ради</t>
  </si>
  <si>
    <t>1000000</t>
  </si>
  <si>
    <t>1500000</t>
  </si>
  <si>
    <t>1510000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</si>
  <si>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</si>
  <si>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Заходи державної політики з питань дітей та їх соціального захисту</t>
  </si>
  <si>
    <t>Департамент інфраструктури міста Сумської міської ради</t>
  </si>
  <si>
    <t>Управління капітального будівництва та дорожнього господарства Сумської міської ради</t>
  </si>
  <si>
    <t>Виконавчий комітет Сумської міської ради</t>
  </si>
  <si>
    <t>Регулювання цін на послуги місцевого автотранспорту</t>
  </si>
  <si>
    <t>Організація та проведення громадських робіт</t>
  </si>
  <si>
    <t xml:space="preserve">Департамент соціального захисту населення Сумської міської ради </t>
  </si>
  <si>
    <t>Департамент забезпечення ресурсних платежів Сумської міської ради</t>
  </si>
  <si>
    <t>Управління державного архітектурно-будівельного контролю Сумської міської ради</t>
  </si>
  <si>
    <t>0100</t>
  </si>
  <si>
    <t>0180</t>
  </si>
  <si>
    <t>0111</t>
  </si>
  <si>
    <t>1000</t>
  </si>
  <si>
    <t>1010</t>
  </si>
  <si>
    <t>0910</t>
  </si>
  <si>
    <t>1020</t>
  </si>
  <si>
    <t>0921</t>
  </si>
  <si>
    <t>1030</t>
  </si>
  <si>
    <t>1070</t>
  </si>
  <si>
    <t>0922</t>
  </si>
  <si>
    <t>1090</t>
  </si>
  <si>
    <t>0960</t>
  </si>
  <si>
    <t>0990</t>
  </si>
  <si>
    <t>2000</t>
  </si>
  <si>
    <t>2010</t>
  </si>
  <si>
    <t>0731</t>
  </si>
  <si>
    <t>0733</t>
  </si>
  <si>
    <t>0722</t>
  </si>
  <si>
    <t>0763</t>
  </si>
  <si>
    <t>3000</t>
  </si>
  <si>
    <t>6000</t>
  </si>
  <si>
    <t>0610</t>
  </si>
  <si>
    <t>6020</t>
  </si>
  <si>
    <t>0620</t>
  </si>
  <si>
    <t>4000</t>
  </si>
  <si>
    <t xml:space="preserve"> Культура і мистецтво</t>
  </si>
  <si>
    <t>4030</t>
  </si>
  <si>
    <t>0824</t>
  </si>
  <si>
    <t>0829</t>
  </si>
  <si>
    <t>5000</t>
  </si>
  <si>
    <t>5011</t>
  </si>
  <si>
    <t>0810</t>
  </si>
  <si>
    <t>5012</t>
  </si>
  <si>
    <t>0490</t>
  </si>
  <si>
    <t>0421</t>
  </si>
  <si>
    <t>0451</t>
  </si>
  <si>
    <t>7400</t>
  </si>
  <si>
    <t>0470</t>
  </si>
  <si>
    <t>0411</t>
  </si>
  <si>
    <t>7600</t>
  </si>
  <si>
    <t>0320</t>
  </si>
  <si>
    <t>0170</t>
  </si>
  <si>
    <t>0540</t>
  </si>
  <si>
    <t>0133</t>
  </si>
  <si>
    <t>8000</t>
  </si>
  <si>
    <t>8600</t>
  </si>
  <si>
    <t>8100</t>
  </si>
  <si>
    <t>7300</t>
  </si>
  <si>
    <t>3031</t>
  </si>
  <si>
    <t>3033</t>
  </si>
  <si>
    <t>1040</t>
  </si>
  <si>
    <t>3104</t>
  </si>
  <si>
    <t>3112</t>
  </si>
  <si>
    <t>3200</t>
  </si>
  <si>
    <t>1050</t>
  </si>
  <si>
    <t>3131</t>
  </si>
  <si>
    <t>3160</t>
  </si>
  <si>
    <t>0443</t>
  </si>
  <si>
    <t>5061</t>
  </si>
  <si>
    <t>Підтримка спорту вищих досягнень та організацій, які здійснюють фізкультурно-спортивну діяльність в регіоні</t>
  </si>
  <si>
    <t>5062</t>
  </si>
  <si>
    <t>5031</t>
  </si>
  <si>
    <t>5032</t>
  </si>
  <si>
    <t>0160</t>
  </si>
  <si>
    <t>2030</t>
  </si>
  <si>
    <t>2100</t>
  </si>
  <si>
    <t>2111</t>
  </si>
  <si>
    <t>Надання інших пільг окремим категоріям громадян відповідно до законодавства</t>
  </si>
  <si>
    <t>3032</t>
  </si>
  <si>
    <t>3036</t>
  </si>
  <si>
    <t>3121</t>
  </si>
  <si>
    <t>6013</t>
  </si>
  <si>
    <t>6030</t>
  </si>
  <si>
    <t>Організація благоустрою населених пунктів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</si>
  <si>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</si>
  <si>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7000</t>
  </si>
  <si>
    <t>7130</t>
  </si>
  <si>
    <t>1010160</t>
  </si>
  <si>
    <t>1510160</t>
  </si>
  <si>
    <t>6090</t>
  </si>
  <si>
    <t>Інша діяльність у сфері житлово-комунального господарства</t>
  </si>
  <si>
    <t>7100</t>
  </si>
  <si>
    <t>Сільське, лісове, рибне господарство та мисливство</t>
  </si>
  <si>
    <t>1517640</t>
  </si>
  <si>
    <t>Забезпечення діяльності водопровідно-каналізаційного господарства</t>
  </si>
  <si>
    <t>8120</t>
  </si>
  <si>
    <t>0200000</t>
  </si>
  <si>
    <t>0210000</t>
  </si>
  <si>
    <t>0210160</t>
  </si>
  <si>
    <t>0213036</t>
  </si>
  <si>
    <t>0213131</t>
  </si>
  <si>
    <t>0215011</t>
  </si>
  <si>
    <t>0215012</t>
  </si>
  <si>
    <t>0215031</t>
  </si>
  <si>
    <t>0215061</t>
  </si>
  <si>
    <t>0218110</t>
  </si>
  <si>
    <t>0218340</t>
  </si>
  <si>
    <t>0600000</t>
  </si>
  <si>
    <t>0610000</t>
  </si>
  <si>
    <t>0610160</t>
  </si>
  <si>
    <t>0611010</t>
  </si>
  <si>
    <t>0700000</t>
  </si>
  <si>
    <t>0710000</t>
  </si>
  <si>
    <t>0710160</t>
  </si>
  <si>
    <t>0712010</t>
  </si>
  <si>
    <t>0712111</t>
  </si>
  <si>
    <t>0712100</t>
  </si>
  <si>
    <t>0712030</t>
  </si>
  <si>
    <t>0800000</t>
  </si>
  <si>
    <t>0810000</t>
  </si>
  <si>
    <t>0810160</t>
  </si>
  <si>
    <t>0813031</t>
  </si>
  <si>
    <t>0813032</t>
  </si>
  <si>
    <t>0813036</t>
  </si>
  <si>
    <t>0813104</t>
  </si>
  <si>
    <t>0813160</t>
  </si>
  <si>
    <t>0813200</t>
  </si>
  <si>
    <t>0900000</t>
  </si>
  <si>
    <t>0910000</t>
  </si>
  <si>
    <t>0910160</t>
  </si>
  <si>
    <t>0913112</t>
  </si>
  <si>
    <t>1010000</t>
  </si>
  <si>
    <t>1014030</t>
  </si>
  <si>
    <t>1200000</t>
  </si>
  <si>
    <t>1210000</t>
  </si>
  <si>
    <t>1210160</t>
  </si>
  <si>
    <t>1216013</t>
  </si>
  <si>
    <t>1216020</t>
  </si>
  <si>
    <t>1216030</t>
  </si>
  <si>
    <t>1217640</t>
  </si>
  <si>
    <t>1218340</t>
  </si>
  <si>
    <t>1219770</t>
  </si>
  <si>
    <t>1516084</t>
  </si>
  <si>
    <t>1710000</t>
  </si>
  <si>
    <t>1710160</t>
  </si>
  <si>
    <t>1700000</t>
  </si>
  <si>
    <t>3700000</t>
  </si>
  <si>
    <t>3710000</t>
  </si>
  <si>
    <t>3710160</t>
  </si>
  <si>
    <t>3718600</t>
  </si>
  <si>
    <t>0218120</t>
  </si>
  <si>
    <t>Загальний фонд</t>
  </si>
  <si>
    <t>Спеціальний фонд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</si>
  <si>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</si>
  <si>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</si>
  <si>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</si>
  <si>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</si>
  <si>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</si>
  <si>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</si>
  <si>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0217530</t>
  </si>
  <si>
    <t>Інші заходи у сфері зв'язку, телекомунікації та інформатики</t>
  </si>
  <si>
    <t>7530</t>
  </si>
  <si>
    <t>0460</t>
  </si>
  <si>
    <t>7500</t>
  </si>
  <si>
    <t>Зв'язок, телекомунікації та інформатика</t>
  </si>
  <si>
    <t>7693</t>
  </si>
  <si>
    <t>0217693</t>
  </si>
  <si>
    <t>0210180</t>
  </si>
  <si>
    <t>Інша діяльність у сфері державного управління</t>
  </si>
  <si>
    <t>0218230</t>
  </si>
  <si>
    <t>8230</t>
  </si>
  <si>
    <t>0380</t>
  </si>
  <si>
    <t>Інші заходи громадського порядку та безпеки</t>
  </si>
  <si>
    <t>0217680</t>
  </si>
  <si>
    <t>7680</t>
  </si>
  <si>
    <t>Членські внески до асоціацій органів місцевого самоврядування</t>
  </si>
  <si>
    <t>8200</t>
  </si>
  <si>
    <t>Громадський порядок та безпека</t>
  </si>
  <si>
    <t>1216090</t>
  </si>
  <si>
    <t>0213033</t>
  </si>
  <si>
    <t>1216017</t>
  </si>
  <si>
    <t>6017</t>
  </si>
  <si>
    <t>0819770</t>
  </si>
  <si>
    <t>7650</t>
  </si>
  <si>
    <t>7660</t>
  </si>
  <si>
    <t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t>
  </si>
  <si>
    <t>1217330</t>
  </si>
  <si>
    <t>7330</t>
  </si>
  <si>
    <t>Інші програми та заходи у сфері освіти</t>
  </si>
  <si>
    <t>2151</t>
  </si>
  <si>
    <t>2152</t>
  </si>
  <si>
    <t>3191</t>
  </si>
  <si>
    <t>3192</t>
  </si>
  <si>
    <t>3210</t>
  </si>
  <si>
    <t>3241</t>
  </si>
  <si>
    <t>3242</t>
  </si>
  <si>
    <t>4081</t>
  </si>
  <si>
    <t>4082</t>
  </si>
  <si>
    <t>Інші заходи в галузі культури і мистецтва</t>
  </si>
  <si>
    <t>7691</t>
  </si>
  <si>
    <t>1217691</t>
  </si>
  <si>
    <t>0217691</t>
  </si>
  <si>
    <t>1213210</t>
  </si>
  <si>
    <t>0214081</t>
  </si>
  <si>
    <t>0213242</t>
  </si>
  <si>
    <t>0813241</t>
  </si>
  <si>
    <t>0813191</t>
  </si>
  <si>
    <t>0813192</t>
  </si>
  <si>
    <t>0640</t>
  </si>
  <si>
    <t>0726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</si>
  <si>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</si>
  <si>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</si>
  <si>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</si>
  <si>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</si>
  <si>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Компенсаційні виплати за пільговий проїзд окремих категорій громадян на залізничному транспорті</t>
  </si>
  <si>
    <t>3035</t>
  </si>
  <si>
    <t>0813035</t>
  </si>
  <si>
    <t>0712151</t>
  </si>
  <si>
    <t>0712152</t>
  </si>
  <si>
    <t>Код Функціональної класифікації видатків та кредитування бюджету</t>
  </si>
  <si>
    <t>у тому числі бюджет розвитку</t>
  </si>
  <si>
    <t>1217670</t>
  </si>
  <si>
    <t>Відділ культури Сумської міської ради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</si>
  <si>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</si>
  <si>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</si>
  <si>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</si>
  <si>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</si>
  <si>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Здійснення заходів та реалізація проектів на виконання Державної цільової соціальної програми "Молодь України"</t>
  </si>
  <si>
    <t>Забезпечення обробки інформації з нарахування та виплати допомог і компенсацій</t>
  </si>
  <si>
    <t>Забезпечення діяльності інших закладів в галузі культури і мистецтва</t>
  </si>
  <si>
    <t>Інша діяльність, пов’язана з експлуатацією об’єктів житлово-комунального господарства</t>
  </si>
  <si>
    <t>Здійснення заходів із землеустрою</t>
  </si>
  <si>
    <t>Проведення експертної грошової оцінки земельної ділянки чи права на неї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</si>
  <si>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</si>
  <si>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 xml:space="preserve">Інша діяльність у сфері екології та охорони природних ресурсів </t>
  </si>
  <si>
    <t>0215062</t>
  </si>
  <si>
    <t>0813033</t>
  </si>
  <si>
    <t>0813242</t>
  </si>
  <si>
    <t>Інші субвенції з місцевого бюджету</t>
  </si>
  <si>
    <t>0215032</t>
  </si>
  <si>
    <t>(грн)</t>
  </si>
  <si>
    <t>Надання пільг окремим категоріям громадян з оплати послуг зв'язку</t>
  </si>
  <si>
    <t>Управління  «Служба у справах дітей» Сумської міської ради</t>
  </si>
  <si>
    <t>Надання позашкільної освіти закладами позашкільної освіти, заходи із позашкільної роботи з дітьми</t>
  </si>
  <si>
    <t>1218110</t>
  </si>
  <si>
    <t>0219800</t>
  </si>
  <si>
    <t>Компенсаційні виплати на пільговий проїзд автомобільним транспортом окремим категоріям громадян</t>
  </si>
  <si>
    <t>Інші заходи у сфері соціального захисту і соціального забезпечення</t>
  </si>
  <si>
    <t>Заходи з енергозбереження</t>
  </si>
  <si>
    <t xml:space="preserve">Управління охорони здоров’я Сумської міської ради  </t>
  </si>
  <si>
    <t>Лікарсько-акушерська допомога вагітним, породіллям та новонародженим</t>
  </si>
  <si>
    <t>Стоматологічна допомога населенню</t>
  </si>
  <si>
    <t>Первинна медична допомога населенню, що надається центрами первинної медичної (медико-санітарної) допомоги</t>
  </si>
  <si>
    <t>0611021</t>
  </si>
  <si>
    <t>0611022</t>
  </si>
  <si>
    <t>0611070</t>
  </si>
  <si>
    <t>0611141</t>
  </si>
  <si>
    <t>1141</t>
  </si>
  <si>
    <t>0611142</t>
  </si>
  <si>
    <t>1142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</si>
  <si>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</si>
  <si>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</si>
  <si>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</si>
  <si>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0611160</t>
  </si>
  <si>
    <t>1160</t>
  </si>
  <si>
    <t>Забезпечення діяльності центрів професійного розвитку педагогічних працівників</t>
  </si>
  <si>
    <t>0613242</t>
  </si>
  <si>
    <t>0615031</t>
  </si>
  <si>
    <t>0618340</t>
  </si>
  <si>
    <t>Надання фінансової підтримки громадським об'єднанням ветеранів і осіб з інвалідністю, діяльність яких має соціальну спрямованість</t>
  </si>
  <si>
    <t>1011080</t>
  </si>
  <si>
    <t>Забезпечення діяльності інших закладів у сфері освіти</t>
  </si>
  <si>
    <t>3718710</t>
  </si>
  <si>
    <t>Резервний фонд місцевого бюджету</t>
  </si>
  <si>
    <t>1210180</t>
  </si>
  <si>
    <t>0611025</t>
  </si>
  <si>
    <t>Надання спеціалізованої освіти мистецькими школами</t>
  </si>
  <si>
    <t>0213133</t>
  </si>
  <si>
    <t>Багатопрофільна стаціонарна медична допомога населенню</t>
  </si>
  <si>
    <t>Фізична культура і спорт</t>
  </si>
  <si>
    <t>Транспорт та транспортна інфраструктура, дорожнє господарство</t>
  </si>
  <si>
    <t>Забезпечення діяльності інших закладів у сфері охорони здоров'я</t>
  </si>
  <si>
    <t>Інші програми та заходи у сфері охорони здоров'я</t>
  </si>
  <si>
    <t>0611091</t>
  </si>
  <si>
    <t>0930</t>
  </si>
  <si>
    <t>Резервний фонд</t>
  </si>
  <si>
    <t>0218240</t>
  </si>
  <si>
    <t>Заходи та роботи з територіальної оборони</t>
  </si>
  <si>
    <t>Департамент інспекційної роботи Сумської міської ради</t>
  </si>
  <si>
    <t>3600000</t>
  </si>
  <si>
    <t>3610000</t>
  </si>
  <si>
    <t>3610160</t>
  </si>
  <si>
    <t>Управління комунального майна Сумської міської ради</t>
  </si>
  <si>
    <t>3617130</t>
  </si>
  <si>
    <t>3617650</t>
  </si>
  <si>
    <t>3617660</t>
  </si>
  <si>
    <t>3617693</t>
  </si>
  <si>
    <t>2700000</t>
  </si>
  <si>
    <t>2710160</t>
  </si>
  <si>
    <t>2710000</t>
  </si>
  <si>
    <t>2717610</t>
  </si>
  <si>
    <t>1218240</t>
  </si>
  <si>
    <t>0618240</t>
  </si>
  <si>
    <t>1853100000</t>
  </si>
  <si>
    <t>5010000</t>
  </si>
  <si>
    <t>5010160</t>
  </si>
  <si>
    <t>Сумська міська військова адміністрація Сумського району Сумської області</t>
  </si>
  <si>
    <t>Керівництво і управління у відповідній сфері у містах (місті Києві), селищах, селах, територіальних громадах</t>
  </si>
  <si>
    <t>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порушеннями інтелектуального розвитку, фізичними та/або сенсорними порушеннями, за рахунок коштів місцевого бюджету</t>
  </si>
  <si>
    <t>Надання загальної середньої освіти навчально-реабілітаційними центрами для осіб з особливими освітніми потребами, зумовленими складними порушеннями розвитку, за рахунок коштів місцевого бюджету</t>
  </si>
  <si>
    <t>Субвенція з місцевого бюджету державному бюджету на виконання програм соціально-економічного розвитку регіонів</t>
  </si>
  <si>
    <t>Державне управління</t>
  </si>
  <si>
    <t>Надання загальної середньої освіти закладами загальної середньої освіти за рахунок коштів місцевого бюджету</t>
  </si>
  <si>
    <t>Заходи із запобігання та ліквідації надзвичайних ситуацій та наслідків стихійного лиха</t>
  </si>
  <si>
    <t>Охорона здоров’я</t>
  </si>
  <si>
    <t>0813140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</si>
  <si>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</si>
  <si>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Забезпечення збору та вивезення сміття і відходів</t>
  </si>
  <si>
    <t>1216014</t>
  </si>
  <si>
    <t>1216092</t>
  </si>
  <si>
    <t>1217412</t>
  </si>
  <si>
    <t>1217450</t>
  </si>
  <si>
    <t>0456</t>
  </si>
  <si>
    <t>Інша діяльність у сфері транспорту</t>
  </si>
  <si>
    <t>1217426</t>
  </si>
  <si>
    <t>Інші заходи у сфері електротранспорту</t>
  </si>
  <si>
    <t>0455</t>
  </si>
  <si>
    <t>1216091</t>
  </si>
  <si>
    <t>0813121</t>
  </si>
  <si>
    <t>0611031</t>
  </si>
  <si>
    <t>1152</t>
  </si>
  <si>
    <t>0611152</t>
  </si>
  <si>
    <t>0611032</t>
  </si>
  <si>
    <t>1032</t>
  </si>
  <si>
    <t>0611035</t>
  </si>
  <si>
    <t>0611092</t>
  </si>
  <si>
    <t>0813050</t>
  </si>
  <si>
    <t>0813090</t>
  </si>
  <si>
    <t>0813171</t>
  </si>
  <si>
    <t>3050</t>
  </si>
  <si>
    <t>3090</t>
  </si>
  <si>
    <t>3171</t>
  </si>
  <si>
    <t>Забезпечення молодіжними центрами соціального
становлення та розвитку молоді та інші заходи у
сфері молодіжної політики</t>
  </si>
  <si>
    <t>Розвиток здібностей у дітей та молоді з фізичної
культури та спорту комунальними дитячо-юнацькими спортивними школами</t>
  </si>
  <si>
    <t>0611183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</si>
  <si>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</si>
  <si>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1183</t>
  </si>
  <si>
    <t>0913114</t>
  </si>
  <si>
    <t>Забезпечення умов для догляду та виховання дітей і молоді в дитячих будинках сімейного типу, прийомних сім’ях та сім’ях патронатних вихователів</t>
  </si>
  <si>
    <t>1300</t>
  </si>
  <si>
    <t>1511300</t>
  </si>
  <si>
    <t>1516091</t>
  </si>
  <si>
    <t>1517330</t>
  </si>
  <si>
    <t>Регулювання цін на послуги місцевого наземного електротранспорту</t>
  </si>
  <si>
    <t>0453</t>
  </si>
  <si>
    <t>1217422</t>
  </si>
  <si>
    <t>Надання комплексу послуг особам/сім’ям у сфері соціального захисту та соціального забезпечення іншими надавачами соціальних послуг</t>
  </si>
  <si>
    <t>0712170</t>
  </si>
  <si>
    <t>1261</t>
  </si>
  <si>
    <t>1511261</t>
  </si>
  <si>
    <t>усього</t>
  </si>
  <si>
    <t>1516030</t>
  </si>
  <si>
    <t>1511021</t>
  </si>
  <si>
    <t>Департамент забезпечення ресурсних платежів Сумської міської ради, у т.ч. за рахунок:</t>
  </si>
  <si>
    <t>Витрати, пов'язані з наданням та обслуговуванням пільгових довгострокових кредитів, наданих громадянам на будівництво/реконструкцію/придбання житла</t>
  </si>
  <si>
    <t>1511310</t>
  </si>
  <si>
    <t>1310</t>
  </si>
  <si>
    <t>1516092</t>
  </si>
  <si>
    <t>0215022</t>
  </si>
  <si>
    <t>Проведення навчально-тренувальних зборів і змагань та заходів зі спорту осіб з інвалідністю</t>
  </si>
  <si>
    <t>0611231</t>
  </si>
  <si>
    <t>1217367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</si>
  <si>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</t>
  </si>
  <si>
    <t>1217413</t>
  </si>
  <si>
    <t>Інші заходи у сфері автотранспорту</t>
  </si>
  <si>
    <t>0219770</t>
  </si>
  <si>
    <t>1219800</t>
  </si>
  <si>
    <t>Забезпечення надійної та безперебійної експлуатації ліфтів</t>
  </si>
  <si>
    <t>1216015</t>
  </si>
  <si>
    <t>0217412</t>
  </si>
  <si>
    <t>0217413</t>
  </si>
  <si>
    <t>0217422</t>
  </si>
  <si>
    <t>0217426</t>
  </si>
  <si>
    <t>0217450</t>
  </si>
  <si>
    <t>0217640</t>
  </si>
  <si>
    <t>0218330</t>
  </si>
  <si>
    <t>1600000</t>
  </si>
  <si>
    <t>1610000</t>
  </si>
  <si>
    <t>Управління архітектури, містобудування та охорони культурної спадщини громади Сумської міської ради</t>
  </si>
  <si>
    <t>1610160</t>
  </si>
  <si>
    <t>1617691</t>
  </si>
  <si>
    <t>Департамент фінансів Сумської міської ради</t>
  </si>
  <si>
    <t>3719110</t>
  </si>
  <si>
    <t>Реверсна дотація</t>
  </si>
  <si>
    <t xml:space="preserve">    (код бюджету)</t>
  </si>
  <si>
    <t xml:space="preserve">     (код бюджету)</t>
  </si>
  <si>
    <t>1617351</t>
  </si>
  <si>
    <t>Розроблення комплексних планів просторового розвитку територій територіальних громад</t>
  </si>
  <si>
    <t>3300000</t>
  </si>
  <si>
    <t>3310000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</si>
  <si>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здоров’я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</si>
  <si>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 комунального господарства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</si>
  <si>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</si>
  <si>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Здійснення соціальної роботи та надання соціальних послуг центрами соціальних служб та центрами надання соціальних послуг особам/сім’ям, які належать до вразливих груп населення та/або перебувають у складних життєвих обставинах</t>
  </si>
  <si>
    <t>Реалізація проектів (заходів) з відновлення об'єктів житлового фонду, пошкоджених/знищених внаслідок збройної агресії, за рахунок коштів місцевих бюджетів</t>
  </si>
  <si>
    <t>Дотації з місцевого бюджету іншим бюджетам</t>
  </si>
  <si>
    <t>Міжбюджетні трансферти</t>
  </si>
  <si>
    <t>Заходи з організації рятування на водах</t>
  </si>
  <si>
    <t>Захист населення і територій від надзвичайних ситуацій</t>
  </si>
  <si>
    <t>Інша діяльність</t>
  </si>
  <si>
    <t>Реалізація проектів у рамках Програми відновлення України III</t>
  </si>
  <si>
    <t>Управління охорони здоров’я Сумської міської ради</t>
  </si>
  <si>
    <t>Реалізація проектів (заходів) з відновлення освітніх установ та закладів, пошкоджених/знищених внаслідок збройної агресії, за рахунок коштів місцевих бюджетів</t>
  </si>
  <si>
    <t>Інші програми та заходи, пов'язані з економічною діяльністю</t>
  </si>
  <si>
    <t>5000000</t>
  </si>
  <si>
    <t>0611241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</si>
  <si>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військово-фізичною підготовкою</t>
  </si>
  <si>
    <t>Внески до статутного капіталу суб'єктів господарювання</t>
  </si>
  <si>
    <t>Економічна діяльність</t>
  </si>
  <si>
    <t>Житлово-комунальне господарство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</si>
  <si>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</si>
  <si>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3310160</t>
  </si>
  <si>
    <t>3317693</t>
  </si>
  <si>
    <t>Департамент соціального захисту населення Сумської міської ради</t>
  </si>
  <si>
    <t>УСЬОГО</t>
  </si>
  <si>
    <t>Освіта</t>
  </si>
  <si>
    <t>Надання дошкільної освіти</t>
  </si>
  <si>
    <t>Забезпечення діяльності інклюзивно-ресурсних центрів за рахунок освітньої субвенції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</si>
  <si>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</si>
  <si>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 інтелектуального розвитку, фізичного та/або сенсорними порушеннями, за рахунок освітньої субвенції</t>
  </si>
  <si>
    <t>Надання загальної середньої освіти закладами загальної середньої освіти за рахунок освітньої субвенції</t>
  </si>
  <si>
    <t>Надання загальної середньої освіти навчально-реабілітаційними центрами для осіб з особливими освітніми потребами, зумовленими складними порушеннями розвитку, за рахунок освітньої субвенції</t>
  </si>
  <si>
    <t>Соціальний захист та соціальне забезпечення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</si>
  <si>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</si>
  <si>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0611702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</si>
  <si>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</si>
  <si>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</si>
  <si>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3100000</t>
  </si>
  <si>
    <t>3110000</t>
  </si>
  <si>
    <t>Департамент комунального майна Сумської міської ради</t>
  </si>
  <si>
    <t>3110160</t>
  </si>
  <si>
    <t>3117693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</si>
  <si>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</si>
  <si>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</si>
  <si>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</si>
  <si>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Підготовка кадрів закладами професійної освіти та іншими закладами освіти за рахунок коштів місцевого бюджету</t>
  </si>
  <si>
    <t>Підготовка кадрів закладами професійної освіти та іншими закладами освіти за рахунок освітньої субвенції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</si>
  <si>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(облаштування укриттів) у закладах, що надають загальну середню освіту, зокрема військових (військово-морських, військово-спортивних) ліцеях, ліцеях із посиленою військово-фізичною підготовкою та у закладах дошкільної освіти</t>
  </si>
  <si>
    <t>Інші заходи та заклади у сфері соціального захисту і соціального забезпечення</t>
  </si>
  <si>
    <t xml:space="preserve"> Забезпечення діяльності місцевих центрів фізичного здоров'я населення та проведення фізкультурно-масових заходів серед населення регіону</t>
  </si>
  <si>
    <t>Регіональний розвиток та інші публічні інвестиційні проекти / програми публічних інвестицій</t>
  </si>
  <si>
    <t>0713193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</si>
  <si>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</si>
  <si>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0813193</t>
  </si>
  <si>
    <t>1700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</si>
  <si>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</si>
  <si>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0611700</t>
  </si>
  <si>
    <t>0611279</t>
  </si>
  <si>
    <t>1279</t>
  </si>
  <si>
    <t>Пільгове медичне обслуговування осіб, які постраждали внаслідок Чорнобильської катастрофи</t>
  </si>
  <si>
    <t>Видатки на поховання учасників бойових дій та осіб з інвалідністю внаслідок війни</t>
  </si>
  <si>
    <t>0618110</t>
  </si>
  <si>
    <t>1018110</t>
  </si>
  <si>
    <t>0718110</t>
  </si>
  <si>
    <t>0617640</t>
  </si>
  <si>
    <t>0717640</t>
  </si>
  <si>
    <t>0719770</t>
  </si>
  <si>
    <t>0611310</t>
  </si>
  <si>
    <t>1516081</t>
  </si>
  <si>
    <t>Підготовка та реалізація публічних інвестиційних проектів/програм публічних інвестицій в галузі (секторі) «Житло» за рахунок коштів місцевого бюджету</t>
  </si>
  <si>
    <t>1511262</t>
  </si>
  <si>
    <t>1262</t>
  </si>
  <si>
    <t>Виконання заходів щодо реалізації публічного інвестиційного проекту на облаштування безпечних умов (облаштування укриттів) у закладах, що надають загальну середню освіту, зокрема військових (військово-морських, військово-спортивних) ліцеях, ліцеях із посиленою військово-фізичною підготовкою, та у закладах дошкільної освіти, за рахунок субвенції з державного бюджету місцевим бюджетам</t>
  </si>
  <si>
    <t>0611200</t>
  </si>
  <si>
    <t>1200</t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</si>
  <si>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</si>
  <si>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повинно бути 0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</si>
  <si>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</si>
  <si>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</si>
  <si>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</si>
  <si>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Реалізація заходів за рахунок освітньої субвенції з державного бюджету місцевим бюджетам (за спеціальним фондом державного бюджету) з урахуванням залишків на забезпечення харчуванням учнів закладів загальної середньої освіти</t>
  </si>
  <si>
    <t>% виконан-ня до затвердже-ного по бюджету</t>
  </si>
  <si>
    <t>Затверджено по бюджету з урахуванням змін (відповідно до казначейської звітності)</t>
  </si>
  <si>
    <t>Касові видатки</t>
  </si>
  <si>
    <t>Разом план</t>
  </si>
  <si>
    <t>Звіт про виконання видаткової частини бюджету Сумської міської територіальної громади за І квартал 2026 року
за головними розпорядниками бюджетних коштів</t>
  </si>
  <si>
    <t>% виконання до затвердже-ного по бюджету</t>
  </si>
  <si>
    <t>Звіт про виконання видаткової частини бюджету Сумської міської територіальної громади 
за І квартал 2026 року за типовою програмною класифікацією видатків та кредитування місцевих бюджетів</t>
  </si>
  <si>
    <t>в 2,5 разів</t>
  </si>
  <si>
    <t>в 12,8 разів</t>
  </si>
  <si>
    <t>в 50,7 разів</t>
  </si>
  <si>
    <t>в 121,4 рази</t>
  </si>
  <si>
    <t>в 3,7 разів</t>
  </si>
  <si>
    <t>в 23,4 разів</t>
  </si>
  <si>
    <t>в 12,7 разів</t>
  </si>
  <si>
    <t>в 60,8 разів</t>
  </si>
  <si>
    <t>в 58,8 разів</t>
  </si>
  <si>
    <t>Додаток 2</t>
  </si>
  <si>
    <t>до    рішення    виконавчого комітету</t>
  </si>
  <si>
    <t>Директор Департаменту фінансів Сумської міської ради</t>
  </si>
  <si>
    <t>Л.А. Скиртач</t>
  </si>
  <si>
    <t>Додаток 5</t>
  </si>
  <si>
    <t>від      22.05.2026</t>
  </si>
  <si>
    <t xml:space="preserve"> № 1437</t>
  </si>
  <si>
    <t>від  22.05.2026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</si>
</sst>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52" x14ac:knownFonts="1">
    <font>
      <sz val="10"/>
      <name val="Times New Roman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0"/>
      <color indexed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2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5"/>
      <name val="Times New Roman"/>
      <family val="1"/>
      <charset val="204"/>
    </font>
    <font>
      <b/>
      <sz val="25"/>
      <name val="Times New Roman"/>
      <family val="1"/>
      <charset val="204"/>
    </font>
    <font>
      <u/>
      <sz val="18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4"/>
      <name val="Times New Roman"/>
      <family val="1"/>
      <charset val="204"/>
    </font>
    <font>
      <sz val="23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25"/>
      <name val="Times New Roman"/>
      <family val="1"/>
      <charset val="204"/>
    </font>
    <font>
      <b/>
      <i/>
      <sz val="25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26"/>
      <name val="Times New Roman"/>
      <family val="1"/>
      <charset val="204"/>
    </font>
    <font>
      <sz val="24"/>
      <name val="Times New Roman"/>
      <family val="1"/>
      <charset val="204"/>
    </font>
    <font>
      <sz val="35"/>
      <name val="Times New Roman"/>
      <family val="1"/>
      <charset val="204"/>
    </font>
    <font>
      <b/>
      <i/>
      <sz val="25"/>
      <color rgb="FFFF0000"/>
      <name val="Times New Roman"/>
      <family val="1"/>
      <charset val="204"/>
    </font>
    <font>
      <b/>
      <sz val="35"/>
      <name val="Times New Roman"/>
      <family val="1"/>
      <charset val="204"/>
    </font>
    <font>
      <sz val="30"/>
      <name val="Times New Roman"/>
      <family val="1"/>
      <charset val="204"/>
    </font>
    <font>
      <sz val="32"/>
      <name val="Times New Roman"/>
      <family val="1"/>
      <charset val="204"/>
    </font>
    <font>
      <sz val="36"/>
      <name val="Times New Roman"/>
      <family val="1"/>
      <charset val="204"/>
    </font>
  </fonts>
  <fills count="4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0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2" borderId="0" applyNumberFormat="0" applyBorder="0" applyAlignment="0" applyProtection="0"/>
    <xf numFmtId="0" fontId="11" fillId="14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8" fillId="0" borderId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8" borderId="0" applyNumberFormat="0" applyBorder="0" applyAlignment="0" applyProtection="0"/>
    <xf numFmtId="0" fontId="5" fillId="7" borderId="1" applyNumberFormat="0" applyAlignment="0" applyProtection="0"/>
    <xf numFmtId="0" fontId="6" fillId="22" borderId="2" applyNumberFormat="0" applyAlignment="0" applyProtection="0"/>
    <xf numFmtId="0" fontId="13" fillId="22" borderId="1" applyNumberForma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>
      <alignment vertical="top"/>
    </xf>
    <xf numFmtId="0" fontId="10" fillId="0" borderId="3" applyNumberFormat="0" applyFill="0" applyAlignment="0" applyProtection="0"/>
    <xf numFmtId="0" fontId="8" fillId="23" borderId="4" applyNumberFormat="0" applyAlignment="0" applyProtection="0"/>
    <xf numFmtId="0" fontId="14" fillId="0" borderId="0" applyNumberFormat="0" applyFill="0" applyBorder="0" applyAlignment="0" applyProtection="0"/>
    <xf numFmtId="0" fontId="15" fillId="13" borderId="0" applyNumberFormat="0" applyBorder="0" applyAlignment="0" applyProtection="0"/>
    <xf numFmtId="0" fontId="18" fillId="0" borderId="0"/>
    <xf numFmtId="0" fontId="4" fillId="3" borderId="0" applyNumberFormat="0" applyBorder="0" applyAlignment="0" applyProtection="0"/>
    <xf numFmtId="0" fontId="9" fillId="0" borderId="0" applyNumberFormat="0" applyFill="0" applyBorder="0" applyAlignment="0" applyProtection="0"/>
    <xf numFmtId="0" fontId="12" fillId="10" borderId="5" applyNumberFormat="0" applyFont="0" applyAlignment="0" applyProtection="0"/>
    <xf numFmtId="0" fontId="16" fillId="0" borderId="6" applyNumberFormat="0" applyFill="0" applyAlignment="0" applyProtection="0"/>
    <xf numFmtId="0" fontId="17" fillId="0" borderId="0"/>
    <xf numFmtId="0" fontId="7" fillId="0" borderId="0" applyNumberFormat="0" applyFill="0" applyBorder="0" applyAlignment="0" applyProtection="0"/>
    <xf numFmtId="0" fontId="3" fillId="4" borderId="0" applyNumberFormat="0" applyBorder="0" applyAlignment="0" applyProtection="0"/>
    <xf numFmtId="0" fontId="31" fillId="24" borderId="0" applyNumberFormat="0" applyBorder="0" applyAlignment="0" applyProtection="0"/>
    <xf numFmtId="0" fontId="31" fillId="30" borderId="0" applyNumberFormat="0" applyBorder="0" applyAlignment="0" applyProtection="0"/>
    <xf numFmtId="0" fontId="32" fillId="36" borderId="0" applyNumberFormat="0" applyBorder="0" applyAlignment="0" applyProtection="0"/>
    <xf numFmtId="0" fontId="31" fillId="25" borderId="0" applyNumberFormat="0" applyBorder="0" applyAlignment="0" applyProtection="0"/>
    <xf numFmtId="0" fontId="31" fillId="31" borderId="0" applyNumberFormat="0" applyBorder="0" applyAlignment="0" applyProtection="0"/>
    <xf numFmtId="0" fontId="32" fillId="37" borderId="0" applyNumberFormat="0" applyBorder="0" applyAlignment="0" applyProtection="0"/>
    <xf numFmtId="0" fontId="31" fillId="26" borderId="0" applyNumberFormat="0" applyBorder="0" applyAlignment="0" applyProtection="0"/>
    <xf numFmtId="0" fontId="31" fillId="32" borderId="0" applyNumberFormat="0" applyBorder="0" applyAlignment="0" applyProtection="0"/>
    <xf numFmtId="0" fontId="32" fillId="38" borderId="0" applyNumberFormat="0" applyBorder="0" applyAlignment="0" applyProtection="0"/>
    <xf numFmtId="0" fontId="31" fillId="27" borderId="0" applyNumberFormat="0" applyBorder="0" applyAlignment="0" applyProtection="0"/>
    <xf numFmtId="0" fontId="31" fillId="33" borderId="0" applyNumberFormat="0" applyBorder="0" applyAlignment="0" applyProtection="0"/>
    <xf numFmtId="0" fontId="32" fillId="39" borderId="0" applyNumberFormat="0" applyBorder="0" applyAlignment="0" applyProtection="0"/>
    <xf numFmtId="0" fontId="31" fillId="28" borderId="0" applyNumberFormat="0" applyBorder="0" applyAlignment="0" applyProtection="0"/>
    <xf numFmtId="0" fontId="31" fillId="34" borderId="0" applyNumberFormat="0" applyBorder="0" applyAlignment="0" applyProtection="0"/>
    <xf numFmtId="0" fontId="32" fillId="40" borderId="0" applyNumberFormat="0" applyBorder="0" applyAlignment="0" applyProtection="0"/>
    <xf numFmtId="0" fontId="31" fillId="29" borderId="0" applyNumberFormat="0" applyBorder="0" applyAlignment="0" applyProtection="0"/>
    <xf numFmtId="0" fontId="31" fillId="35" borderId="0" applyNumberFormat="0" applyBorder="0" applyAlignment="0" applyProtection="0"/>
    <xf numFmtId="0" fontId="32" fillId="41" borderId="0" applyNumberFormat="0" applyBorder="0" applyAlignment="0" applyProtection="0"/>
    <xf numFmtId="0" fontId="1" fillId="0" borderId="0"/>
  </cellStyleXfs>
  <cellXfs count="184">
    <xf numFmtId="0" fontId="0" fillId="0" borderId="0" xfId="0"/>
    <xf numFmtId="49" fontId="22" fillId="0" borderId="0" xfId="0" applyNumberFormat="1" applyFont="1" applyFill="1" applyAlignment="1">
      <alignment horizontal="center"/>
    </xf>
    <xf numFmtId="3" fontId="22" fillId="0" borderId="0" xfId="0" applyNumberFormat="1" applyFont="1" applyFill="1" applyAlignment="1">
      <alignment horizontal="center"/>
    </xf>
    <xf numFmtId="3" fontId="22" fillId="0" borderId="0" xfId="0" applyNumberFormat="1" applyFont="1" applyFill="1" applyAlignment="1">
      <alignment horizontal="left" wrapText="1"/>
    </xf>
    <xf numFmtId="4" fontId="22" fillId="0" borderId="0" xfId="0" applyNumberFormat="1" applyFont="1" applyFill="1" applyAlignment="1">
      <alignment horizontal="center"/>
    </xf>
    <xf numFmtId="4" fontId="40" fillId="0" borderId="0" xfId="0" applyNumberFormat="1" applyFont="1" applyFill="1" applyAlignment="1">
      <alignment horizontal="center"/>
    </xf>
    <xf numFmtId="3" fontId="1" fillId="0" borderId="0" xfId="0" applyNumberFormat="1" applyFont="1" applyFill="1"/>
    <xf numFmtId="4" fontId="38" fillId="0" borderId="0" xfId="0" applyNumberFormat="1" applyFont="1" applyFill="1"/>
    <xf numFmtId="3" fontId="33" fillId="0" borderId="0" xfId="0" applyNumberFormat="1" applyFont="1" applyFill="1"/>
    <xf numFmtId="49" fontId="22" fillId="0" borderId="0" xfId="0" applyNumberFormat="1" applyFont="1" applyFill="1" applyAlignment="1">
      <alignment horizontal="center" wrapText="1"/>
    </xf>
    <xf numFmtId="3" fontId="22" fillId="0" borderId="0" xfId="0" applyNumberFormat="1" applyFont="1" applyFill="1" applyAlignment="1">
      <alignment horizontal="center" wrapText="1"/>
    </xf>
    <xf numFmtId="4" fontId="22" fillId="0" borderId="0" xfId="0" applyNumberFormat="1" applyFont="1" applyFill="1" applyAlignment="1">
      <alignment horizontal="center" wrapText="1"/>
    </xf>
    <xf numFmtId="3" fontId="22" fillId="0" borderId="0" xfId="0" applyNumberFormat="1" applyFont="1" applyFill="1"/>
    <xf numFmtId="3" fontId="23" fillId="0" borderId="0" xfId="0" applyNumberFormat="1" applyFont="1" applyFill="1" applyAlignment="1">
      <alignment horizontal="center" vertical="center" wrapText="1"/>
    </xf>
    <xf numFmtId="49" fontId="27" fillId="0" borderId="7" xfId="0" applyNumberFormat="1" applyFont="1" applyFill="1" applyBorder="1" applyAlignment="1">
      <alignment horizontal="center" vertical="center" wrapText="1"/>
    </xf>
    <xf numFmtId="3" fontId="27" fillId="0" borderId="7" xfId="0" applyNumberFormat="1" applyFont="1" applyFill="1" applyBorder="1" applyAlignment="1">
      <alignment horizontal="left" vertical="center" wrapText="1"/>
    </xf>
    <xf numFmtId="4" fontId="27" fillId="0" borderId="7" xfId="0" applyNumberFormat="1" applyFont="1" applyFill="1" applyBorder="1" applyAlignment="1">
      <alignment horizontal="right" wrapText="1"/>
    </xf>
    <xf numFmtId="3" fontId="23" fillId="0" borderId="0" xfId="0" applyNumberFormat="1" applyFont="1" applyFill="1" applyAlignment="1">
      <alignment vertical="center"/>
    </xf>
    <xf numFmtId="49" fontId="29" fillId="0" borderId="7" xfId="0" applyNumberFormat="1" applyFont="1" applyFill="1" applyBorder="1" applyAlignment="1">
      <alignment horizontal="center" vertical="center" wrapText="1"/>
    </xf>
    <xf numFmtId="3" fontId="29" fillId="0" borderId="7" xfId="0" applyNumberFormat="1" applyFont="1" applyFill="1" applyBorder="1" applyAlignment="1">
      <alignment horizontal="center" vertical="center" wrapText="1"/>
    </xf>
    <xf numFmtId="3" fontId="29" fillId="0" borderId="7" xfId="0" applyNumberFormat="1" applyFont="1" applyFill="1" applyBorder="1" applyAlignment="1">
      <alignment horizontal="left" vertical="center" wrapText="1"/>
    </xf>
    <xf numFmtId="4" fontId="29" fillId="0" borderId="7" xfId="0" applyNumberFormat="1" applyFont="1" applyFill="1" applyBorder="1" applyAlignment="1">
      <alignment horizontal="right" wrapText="1"/>
    </xf>
    <xf numFmtId="3" fontId="25" fillId="0" borderId="0" xfId="0" applyNumberFormat="1" applyFont="1" applyFill="1" applyAlignment="1">
      <alignment vertical="center"/>
    </xf>
    <xf numFmtId="49" fontId="20" fillId="0" borderId="7" xfId="0" applyNumberFormat="1" applyFont="1" applyFill="1" applyBorder="1" applyAlignment="1">
      <alignment horizontal="center" vertical="center" wrapText="1"/>
    </xf>
    <xf numFmtId="1" fontId="20" fillId="0" borderId="7" xfId="0" applyNumberFormat="1" applyFont="1" applyFill="1" applyBorder="1" applyAlignment="1">
      <alignment horizontal="center" vertical="center" wrapText="1"/>
    </xf>
    <xf numFmtId="3" fontId="20" fillId="0" borderId="7" xfId="0" applyNumberFormat="1" applyFont="1" applyFill="1" applyBorder="1" applyAlignment="1">
      <alignment horizontal="left" vertical="center" wrapText="1"/>
    </xf>
    <xf numFmtId="4" fontId="20" fillId="0" borderId="7" xfId="0" applyNumberFormat="1" applyFont="1" applyFill="1" applyBorder="1" applyAlignment="1">
      <alignment horizontal="right" wrapText="1"/>
    </xf>
    <xf numFmtId="3" fontId="22" fillId="0" borderId="0" xfId="0" applyNumberFormat="1" applyFont="1" applyFill="1" applyAlignment="1">
      <alignment vertical="center"/>
    </xf>
    <xf numFmtId="1" fontId="20" fillId="0" borderId="7" xfId="0" applyNumberFormat="1" applyFont="1" applyFill="1" applyBorder="1" applyAlignment="1">
      <alignment horizontal="left" vertical="center" wrapText="1"/>
    </xf>
    <xf numFmtId="1" fontId="27" fillId="0" borderId="7" xfId="0" applyNumberFormat="1" applyFont="1" applyFill="1" applyBorder="1" applyAlignment="1">
      <alignment horizontal="center" vertical="center" wrapText="1"/>
    </xf>
    <xf numFmtId="1" fontId="29" fillId="0" borderId="7" xfId="0" applyNumberFormat="1" applyFont="1" applyFill="1" applyBorder="1" applyAlignment="1">
      <alignment horizontal="center" vertical="center" wrapText="1"/>
    </xf>
    <xf numFmtId="3" fontId="24" fillId="0" borderId="0" xfId="0" applyNumberFormat="1" applyFont="1" applyFill="1" applyAlignment="1">
      <alignment vertical="center"/>
    </xf>
    <xf numFmtId="0" fontId="20" fillId="0" borderId="7" xfId="0" applyFont="1" applyFill="1" applyBorder="1" applyAlignment="1">
      <alignment horizontal="left" vertical="center" wrapText="1"/>
    </xf>
    <xf numFmtId="49" fontId="20" fillId="0" borderId="7" xfId="0" applyNumberFormat="1" applyFont="1" applyFill="1" applyBorder="1" applyAlignment="1">
      <alignment horizontal="left" vertical="center" wrapText="1"/>
    </xf>
    <xf numFmtId="49" fontId="29" fillId="0" borderId="0" xfId="0" applyNumberFormat="1" applyFont="1" applyFill="1" applyBorder="1" applyAlignment="1">
      <alignment horizontal="center" vertical="center" wrapText="1"/>
    </xf>
    <xf numFmtId="1" fontId="29" fillId="0" borderId="0" xfId="0" applyNumberFormat="1" applyFont="1" applyFill="1" applyBorder="1" applyAlignment="1">
      <alignment horizontal="center" vertical="center" wrapText="1"/>
    </xf>
    <xf numFmtId="3" fontId="29" fillId="0" borderId="0" xfId="0" applyNumberFormat="1" applyFont="1" applyFill="1" applyBorder="1" applyAlignment="1">
      <alignment horizontal="left" vertical="center" wrapText="1"/>
    </xf>
    <xf numFmtId="4" fontId="29" fillId="0" borderId="0" xfId="0" applyNumberFormat="1" applyFont="1" applyFill="1" applyBorder="1" applyAlignment="1">
      <alignment horizontal="right" wrapText="1"/>
    </xf>
    <xf numFmtId="3" fontId="40" fillId="0" borderId="0" xfId="0" applyNumberFormat="1" applyFont="1" applyFill="1"/>
    <xf numFmtId="49" fontId="30" fillId="0" borderId="0" xfId="0" applyNumberFormat="1" applyFont="1" applyFill="1" applyAlignment="1">
      <alignment horizontal="center" vertical="center"/>
    </xf>
    <xf numFmtId="0" fontId="30" fillId="0" borderId="0" xfId="0" applyFont="1" applyFill="1" applyAlignment="1">
      <alignment horizontal="center"/>
    </xf>
    <xf numFmtId="0" fontId="30" fillId="0" borderId="0" xfId="0" applyFont="1" applyFill="1" applyAlignment="1">
      <alignment horizontal="center" wrapText="1"/>
    </xf>
    <xf numFmtId="4" fontId="30" fillId="0" borderId="0" xfId="0" applyNumberFormat="1" applyFont="1" applyFill="1"/>
    <xf numFmtId="49" fontId="27" fillId="0" borderId="7" xfId="0" applyNumberFormat="1" applyFont="1" applyFill="1" applyBorder="1" applyAlignment="1">
      <alignment horizontal="center" vertical="center"/>
    </xf>
    <xf numFmtId="4" fontId="27" fillId="0" borderId="7" xfId="0" applyNumberFormat="1" applyFont="1" applyFill="1" applyBorder="1" applyAlignment="1">
      <alignment horizontal="right"/>
    </xf>
    <xf numFmtId="1" fontId="20" fillId="0" borderId="7" xfId="0" applyNumberFormat="1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vertical="center" wrapText="1"/>
    </xf>
    <xf numFmtId="4" fontId="20" fillId="0" borderId="7" xfId="0" applyNumberFormat="1" applyFont="1" applyFill="1" applyBorder="1" applyAlignment="1">
      <alignment horizontal="right"/>
    </xf>
    <xf numFmtId="1" fontId="27" fillId="0" borderId="7" xfId="0" applyNumberFormat="1" applyFont="1" applyFill="1" applyBorder="1" applyAlignment="1">
      <alignment horizontal="center" vertical="center"/>
    </xf>
    <xf numFmtId="49" fontId="20" fillId="0" borderId="7" xfId="0" applyNumberFormat="1" applyFont="1" applyFill="1" applyBorder="1" applyAlignment="1" applyProtection="1">
      <alignment horizontal="center" vertical="center" wrapText="1"/>
    </xf>
    <xf numFmtId="3" fontId="20" fillId="0" borderId="7" xfId="0" applyNumberFormat="1" applyFont="1" applyFill="1" applyBorder="1" applyAlignment="1" applyProtection="1">
      <alignment horizontal="left" vertical="center" wrapText="1"/>
    </xf>
    <xf numFmtId="1" fontId="20" fillId="0" borderId="7" xfId="0" applyNumberFormat="1" applyFont="1" applyFill="1" applyBorder="1" applyAlignment="1" applyProtection="1">
      <alignment horizontal="center" vertical="center" wrapText="1"/>
    </xf>
    <xf numFmtId="1" fontId="27" fillId="0" borderId="7" xfId="0" applyNumberFormat="1" applyFont="1" applyFill="1" applyBorder="1" applyAlignment="1">
      <alignment horizontal="left" vertical="center" wrapText="1"/>
    </xf>
    <xf numFmtId="0" fontId="27" fillId="0" borderId="7" xfId="0" applyFont="1" applyFill="1" applyBorder="1" applyAlignment="1">
      <alignment horizontal="left" vertical="center" wrapText="1"/>
    </xf>
    <xf numFmtId="49" fontId="20" fillId="0" borderId="7" xfId="0" applyNumberFormat="1" applyFont="1" applyFill="1" applyBorder="1" applyAlignment="1">
      <alignment horizontal="center" vertical="center"/>
    </xf>
    <xf numFmtId="49" fontId="27" fillId="0" borderId="7" xfId="0" applyNumberFormat="1" applyFont="1" applyFill="1" applyBorder="1" applyAlignment="1">
      <alignment horizontal="left" vertical="center"/>
    </xf>
    <xf numFmtId="1" fontId="29" fillId="0" borderId="0" xfId="0" applyNumberFormat="1" applyFont="1" applyFill="1" applyAlignment="1">
      <alignment horizontal="center" vertical="center"/>
    </xf>
    <xf numFmtId="3" fontId="29" fillId="0" borderId="0" xfId="0" applyNumberFormat="1" applyFont="1" applyFill="1" applyAlignment="1">
      <alignment horizontal="left" vertical="center" wrapText="1"/>
    </xf>
    <xf numFmtId="4" fontId="29" fillId="0" borderId="0" xfId="0" applyNumberFormat="1" applyFont="1" applyFill="1" applyAlignment="1">
      <alignment horizontal="right"/>
    </xf>
    <xf numFmtId="0" fontId="20" fillId="0" borderId="0" xfId="0" applyFont="1" applyFill="1"/>
    <xf numFmtId="49" fontId="20" fillId="0" borderId="0" xfId="0" applyNumberFormat="1" applyFont="1" applyFill="1" applyAlignment="1">
      <alignment horizontal="center" vertical="center"/>
    </xf>
    <xf numFmtId="0" fontId="20" fillId="0" borderId="0" xfId="0" applyFont="1" applyFill="1" applyAlignment="1">
      <alignment wrapText="1"/>
    </xf>
    <xf numFmtId="4" fontId="20" fillId="0" borderId="0" xfId="0" applyNumberFormat="1" applyFont="1" applyFill="1"/>
    <xf numFmtId="0" fontId="27" fillId="0" borderId="0" xfId="0" applyFont="1" applyFill="1"/>
    <xf numFmtId="0" fontId="28" fillId="0" borderId="0" xfId="0" applyFont="1" applyFill="1"/>
    <xf numFmtId="0" fontId="39" fillId="0" borderId="0" xfId="0" applyFont="1" applyFill="1"/>
    <xf numFmtId="0" fontId="29" fillId="0" borderId="0" xfId="0" applyFont="1" applyFill="1"/>
    <xf numFmtId="4" fontId="40" fillId="0" borderId="0" xfId="0" applyNumberFormat="1" applyFont="1" applyFill="1" applyAlignment="1">
      <alignment horizontal="left" vertical="center"/>
    </xf>
    <xf numFmtId="0" fontId="30" fillId="0" borderId="0" xfId="0" applyFont="1" applyFill="1"/>
    <xf numFmtId="0" fontId="20" fillId="0" borderId="7" xfId="0" applyFont="1" applyFill="1" applyBorder="1" applyAlignment="1">
      <alignment vertical="top" wrapText="1"/>
    </xf>
    <xf numFmtId="1" fontId="20" fillId="0" borderId="7" xfId="0" applyNumberFormat="1" applyFont="1" applyFill="1" applyBorder="1" applyAlignment="1">
      <alignment horizontal="left" vertical="top" wrapText="1"/>
    </xf>
    <xf numFmtId="4" fontId="40" fillId="0" borderId="0" xfId="0" applyNumberFormat="1" applyFont="1" applyFill="1"/>
    <xf numFmtId="0" fontId="41" fillId="0" borderId="0" xfId="0" applyFont="1" applyFill="1"/>
    <xf numFmtId="4" fontId="30" fillId="0" borderId="0" xfId="0" applyNumberFormat="1" applyFont="1" applyFill="1" applyAlignment="1">
      <alignment horizontal="center" wrapText="1"/>
    </xf>
    <xf numFmtId="4" fontId="41" fillId="0" borderId="0" xfId="0" applyNumberFormat="1" applyFont="1" applyFill="1" applyAlignment="1">
      <alignment horizontal="right"/>
    </xf>
    <xf numFmtId="4" fontId="22" fillId="0" borderId="8" xfId="0" applyNumberFormat="1" applyFont="1" applyFill="1" applyBorder="1" applyAlignment="1">
      <alignment horizontal="center"/>
    </xf>
    <xf numFmtId="3" fontId="40" fillId="0" borderId="0" xfId="0" applyNumberFormat="1" applyFont="1" applyFill="1" applyAlignment="1">
      <alignment vertical="center" wrapText="1"/>
    </xf>
    <xf numFmtId="0" fontId="27" fillId="42" borderId="0" xfId="0" applyFont="1" applyFill="1"/>
    <xf numFmtId="0" fontId="28" fillId="42" borderId="0" xfId="0" applyFont="1" applyFill="1"/>
    <xf numFmtId="0" fontId="20" fillId="42" borderId="0" xfId="0" applyFont="1" applyFill="1"/>
    <xf numFmtId="3" fontId="1" fillId="0" borderId="0" xfId="0" applyNumberFormat="1" applyFont="1" applyFill="1" applyAlignment="1">
      <alignment vertical="center" wrapText="1"/>
    </xf>
    <xf numFmtId="4" fontId="38" fillId="0" borderId="0" xfId="0" applyNumberFormat="1" applyFont="1" applyFill="1" applyAlignment="1">
      <alignment horizontal="left" indent="1"/>
    </xf>
    <xf numFmtId="4" fontId="20" fillId="0" borderId="7" xfId="0" applyNumberFormat="1" applyFont="1" applyFill="1" applyBorder="1"/>
    <xf numFmtId="3" fontId="20" fillId="0" borderId="7" xfId="0" applyNumberFormat="1" applyFont="1" applyFill="1" applyBorder="1" applyAlignment="1">
      <alignment horizontal="left" vertical="top" wrapText="1"/>
    </xf>
    <xf numFmtId="0" fontId="27" fillId="0" borderId="7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vertical="center" wrapText="1"/>
    </xf>
    <xf numFmtId="0" fontId="20" fillId="0" borderId="7" xfId="0" applyFont="1" applyFill="1" applyBorder="1" applyAlignment="1">
      <alignment horizontal="left" vertical="top" wrapText="1"/>
    </xf>
    <xf numFmtId="49" fontId="27" fillId="0" borderId="7" xfId="0" applyNumberFormat="1" applyFont="1" applyFill="1" applyBorder="1" applyAlignment="1">
      <alignment horizontal="left" vertical="center" wrapText="1"/>
    </xf>
    <xf numFmtId="4" fontId="27" fillId="0" borderId="7" xfId="0" applyNumberFormat="1" applyFont="1" applyFill="1" applyBorder="1" applyAlignment="1">
      <alignment horizontal="center" vertical="center" wrapText="1"/>
    </xf>
    <xf numFmtId="3" fontId="40" fillId="0" borderId="0" xfId="0" applyNumberFormat="1" applyFont="1" applyFill="1" applyAlignment="1">
      <alignment wrapText="1"/>
    </xf>
    <xf numFmtId="3" fontId="40" fillId="0" borderId="0" xfId="0" applyNumberFormat="1" applyFont="1" applyFill="1" applyAlignment="1">
      <alignment horizontal="center" wrapText="1"/>
    </xf>
    <xf numFmtId="4" fontId="38" fillId="0" borderId="0" xfId="0" applyNumberFormat="1" applyFont="1" applyFill="1" applyAlignment="1">
      <alignment horizontal="left" indent="1"/>
    </xf>
    <xf numFmtId="0" fontId="44" fillId="0" borderId="0" xfId="0" applyFont="1" applyFill="1" applyAlignment="1">
      <alignment vertical="center"/>
    </xf>
    <xf numFmtId="3" fontId="44" fillId="0" borderId="0" xfId="0" applyNumberFormat="1" applyFont="1" applyFill="1" applyAlignment="1"/>
    <xf numFmtId="164" fontId="22" fillId="0" borderId="0" xfId="0" applyNumberFormat="1" applyFont="1" applyFill="1" applyAlignment="1">
      <alignment horizontal="center"/>
    </xf>
    <xf numFmtId="164" fontId="22" fillId="0" borderId="0" xfId="0" applyNumberFormat="1" applyFont="1" applyFill="1" applyAlignment="1">
      <alignment horizontal="center" wrapText="1"/>
    </xf>
    <xf numFmtId="164" fontId="29" fillId="0" borderId="0" xfId="0" applyNumberFormat="1" applyFont="1" applyFill="1" applyBorder="1" applyAlignment="1">
      <alignment horizontal="right" wrapText="1"/>
    </xf>
    <xf numFmtId="164" fontId="40" fillId="0" borderId="0" xfId="0" applyNumberFormat="1" applyFont="1" applyFill="1" applyAlignment="1">
      <alignment vertical="center" wrapText="1"/>
    </xf>
    <xf numFmtId="164" fontId="40" fillId="0" borderId="0" xfId="0" applyNumberFormat="1" applyFont="1" applyFill="1" applyAlignment="1">
      <alignment horizontal="center"/>
    </xf>
    <xf numFmtId="164" fontId="38" fillId="0" borderId="0" xfId="0" applyNumberFormat="1" applyFont="1" applyFill="1" applyAlignment="1">
      <alignment horizontal="left" indent="1"/>
    </xf>
    <xf numFmtId="164" fontId="38" fillId="0" borderId="0" xfId="0" applyNumberFormat="1" applyFont="1" applyFill="1"/>
    <xf numFmtId="164" fontId="27" fillId="0" borderId="7" xfId="0" applyNumberFormat="1" applyFont="1" applyFill="1" applyBorder="1" applyAlignment="1">
      <alignment horizontal="right" wrapText="1"/>
    </xf>
    <xf numFmtId="164" fontId="29" fillId="0" borderId="7" xfId="0" applyNumberFormat="1" applyFont="1" applyFill="1" applyBorder="1" applyAlignment="1">
      <alignment horizontal="right" wrapText="1"/>
    </xf>
    <xf numFmtId="164" fontId="20" fillId="0" borderId="7" xfId="0" applyNumberFormat="1" applyFont="1" applyFill="1" applyBorder="1" applyAlignment="1">
      <alignment horizontal="right" wrapText="1"/>
    </xf>
    <xf numFmtId="0" fontId="45" fillId="0" borderId="0" xfId="0" applyFont="1" applyFill="1" applyAlignment="1">
      <alignment vertical="center"/>
    </xf>
    <xf numFmtId="3" fontId="45" fillId="0" borderId="0" xfId="0" applyNumberFormat="1" applyFont="1" applyFill="1" applyAlignment="1"/>
    <xf numFmtId="164" fontId="20" fillId="0" borderId="0" xfId="0" applyNumberFormat="1" applyFont="1" applyFill="1"/>
    <xf numFmtId="164" fontId="30" fillId="0" borderId="0" xfId="0" applyNumberFormat="1" applyFont="1" applyFill="1"/>
    <xf numFmtId="164" fontId="27" fillId="0" borderId="7" xfId="0" applyNumberFormat="1" applyFont="1" applyFill="1" applyBorder="1" applyAlignment="1">
      <alignment horizontal="right"/>
    </xf>
    <xf numFmtId="164" fontId="20" fillId="0" borderId="7" xfId="0" applyNumberFormat="1" applyFont="1" applyFill="1" applyBorder="1" applyAlignment="1">
      <alignment horizontal="right"/>
    </xf>
    <xf numFmtId="164" fontId="29" fillId="0" borderId="0" xfId="0" applyNumberFormat="1" applyFont="1" applyFill="1" applyAlignment="1">
      <alignment horizontal="right"/>
    </xf>
    <xf numFmtId="164" fontId="40" fillId="0" borderId="0" xfId="0" applyNumberFormat="1" applyFont="1" applyFill="1"/>
    <xf numFmtId="164" fontId="40" fillId="0" borderId="0" xfId="0" applyNumberFormat="1" applyFont="1" applyFill="1" applyAlignment="1">
      <alignment horizontal="left" vertical="center"/>
    </xf>
    <xf numFmtId="164" fontId="40" fillId="0" borderId="0" xfId="0" applyNumberFormat="1" applyFont="1" applyFill="1" applyAlignment="1">
      <alignment horizontal="center" wrapText="1"/>
    </xf>
    <xf numFmtId="4" fontId="20" fillId="43" borderId="0" xfId="0" applyNumberFormat="1" applyFont="1" applyFill="1" applyAlignment="1">
      <alignment horizontal="center"/>
    </xf>
    <xf numFmtId="4" fontId="20" fillId="0" borderId="0" xfId="0" applyNumberFormat="1" applyFont="1" applyFill="1" applyAlignment="1">
      <alignment horizontal="center"/>
    </xf>
    <xf numFmtId="164" fontId="20" fillId="43" borderId="0" xfId="0" applyNumberFormat="1" applyFont="1" applyFill="1" applyAlignment="1">
      <alignment horizontal="center"/>
    </xf>
    <xf numFmtId="164" fontId="27" fillId="43" borderId="0" xfId="0" applyNumberFormat="1" applyFont="1" applyFill="1" applyAlignment="1">
      <alignment horizontal="center"/>
    </xf>
    <xf numFmtId="4" fontId="20" fillId="43" borderId="0" xfId="0" applyNumberFormat="1" applyFont="1" applyFill="1"/>
    <xf numFmtId="3" fontId="40" fillId="0" borderId="0" xfId="0" applyNumberFormat="1" applyFont="1" applyFill="1" applyBorder="1" applyAlignment="1">
      <alignment horizontal="right" vertical="center" wrapText="1"/>
    </xf>
    <xf numFmtId="0" fontId="47" fillId="0" borderId="0" xfId="0" applyFont="1" applyFill="1"/>
    <xf numFmtId="164" fontId="46" fillId="43" borderId="0" xfId="0" applyNumberFormat="1" applyFont="1" applyFill="1" applyBorder="1" applyAlignment="1" applyProtection="1">
      <alignment horizontal="center" vertical="center" wrapText="1"/>
    </xf>
    <xf numFmtId="164" fontId="48" fillId="43" borderId="0" xfId="0" applyNumberFormat="1" applyFont="1" applyFill="1" applyBorder="1" applyAlignment="1" applyProtection="1">
      <alignment horizontal="center" vertical="center" wrapText="1"/>
    </xf>
    <xf numFmtId="49" fontId="48" fillId="43" borderId="0" xfId="0" applyNumberFormat="1" applyFont="1" applyFill="1" applyBorder="1" applyAlignment="1" applyProtection="1">
      <alignment horizontal="center" vertical="center" wrapText="1"/>
    </xf>
    <xf numFmtId="0" fontId="49" fillId="43" borderId="0" xfId="0" applyFont="1" applyFill="1" applyAlignment="1">
      <alignment vertical="top"/>
    </xf>
    <xf numFmtId="3" fontId="22" fillId="43" borderId="0" xfId="0" applyNumberFormat="1" applyFont="1" applyFill="1" applyAlignment="1">
      <alignment horizontal="center"/>
    </xf>
    <xf numFmtId="3" fontId="22" fillId="43" borderId="0" xfId="0" applyNumberFormat="1" applyFont="1" applyFill="1" applyAlignment="1">
      <alignment horizontal="left" wrapText="1"/>
    </xf>
    <xf numFmtId="4" fontId="20" fillId="43" borderId="0" xfId="0" applyNumberFormat="1" applyFont="1" applyFill="1" applyAlignment="1">
      <alignment horizontal="center" vertical="center"/>
    </xf>
    <xf numFmtId="164" fontId="20" fillId="43" borderId="0" xfId="0" applyNumberFormat="1" applyFont="1" applyFill="1"/>
    <xf numFmtId="164" fontId="27" fillId="43" borderId="0" xfId="0" applyNumberFormat="1" applyFont="1" applyFill="1"/>
    <xf numFmtId="3" fontId="27" fillId="43" borderId="0" xfId="0" applyNumberFormat="1" applyFont="1" applyFill="1"/>
    <xf numFmtId="4" fontId="37" fillId="0" borderId="7" xfId="0" applyNumberFormat="1" applyFont="1" applyFill="1" applyBorder="1" applyAlignment="1">
      <alignment horizontal="right"/>
    </xf>
    <xf numFmtId="4" fontId="27" fillId="0" borderId="7" xfId="0" applyNumberFormat="1" applyFont="1" applyFill="1" applyBorder="1" applyAlignment="1">
      <alignment horizontal="center" vertical="center" wrapText="1"/>
    </xf>
    <xf numFmtId="49" fontId="46" fillId="43" borderId="0" xfId="0" applyNumberFormat="1" applyFont="1" applyFill="1" applyBorder="1" applyAlignment="1" applyProtection="1">
      <alignment horizontal="left" vertical="center" wrapText="1"/>
    </xf>
    <xf numFmtId="49" fontId="46" fillId="43" borderId="0" xfId="0" applyNumberFormat="1" applyFont="1" applyFill="1" applyBorder="1" applyAlignment="1" applyProtection="1">
      <alignment horizontal="center" vertical="center" wrapText="1"/>
    </xf>
    <xf numFmtId="4" fontId="50" fillId="0" borderId="0" xfId="0" applyNumberFormat="1" applyFont="1" applyFill="1"/>
    <xf numFmtId="0" fontId="45" fillId="0" borderId="0" xfId="0" applyFont="1" applyFill="1" applyAlignment="1"/>
    <xf numFmtId="49" fontId="46" fillId="43" borderId="0" xfId="0" applyNumberFormat="1" applyFont="1" applyFill="1" applyBorder="1" applyAlignment="1" applyProtection="1">
      <alignment vertical="center" wrapText="1"/>
    </xf>
    <xf numFmtId="4" fontId="51" fillId="43" borderId="0" xfId="0" applyNumberFormat="1" applyFont="1" applyFill="1" applyAlignment="1">
      <alignment horizontal="center"/>
    </xf>
    <xf numFmtId="4" fontId="51" fillId="0" borderId="0" xfId="0" applyNumberFormat="1" applyFont="1" applyFill="1"/>
    <xf numFmtId="4" fontId="51" fillId="43" borderId="0" xfId="0" applyNumberFormat="1" applyFont="1" applyFill="1"/>
    <xf numFmtId="0" fontId="26" fillId="0" borderId="0" xfId="0" applyFont="1" applyFill="1" applyAlignment="1">
      <alignment horizontal="center" vertical="center" textRotation="180"/>
    </xf>
    <xf numFmtId="3" fontId="44" fillId="0" borderId="9" xfId="0" applyNumberFormat="1" applyFont="1" applyFill="1" applyBorder="1" applyAlignment="1">
      <alignment vertical="center" textRotation="180" wrapText="1"/>
    </xf>
    <xf numFmtId="3" fontId="44" fillId="0" borderId="0" xfId="0" applyNumberFormat="1" applyFont="1" applyFill="1" applyAlignment="1">
      <alignment vertical="center" textRotation="180" wrapText="1"/>
    </xf>
    <xf numFmtId="3" fontId="44" fillId="0" borderId="0" xfId="0" applyNumberFormat="1" applyFont="1" applyFill="1" applyAlignment="1">
      <alignment horizontal="center" vertical="center" textRotation="180"/>
    </xf>
    <xf numFmtId="3" fontId="44" fillId="0" borderId="0" xfId="0" applyNumberFormat="1" applyFont="1" applyFill="1" applyBorder="1" applyAlignment="1">
      <alignment vertical="center" textRotation="180" wrapText="1"/>
    </xf>
    <xf numFmtId="0" fontId="26" fillId="0" borderId="0" xfId="0" applyFont="1" applyFill="1" applyBorder="1" applyAlignment="1">
      <alignment vertical="center" textRotation="180"/>
    </xf>
    <xf numFmtId="4" fontId="27" fillId="0" borderId="7" xfId="0" applyNumberFormat="1" applyFont="1" applyFill="1" applyBorder="1" applyAlignment="1">
      <alignment horizontal="center" vertical="center" wrapText="1"/>
    </xf>
    <xf numFmtId="3" fontId="23" fillId="0" borderId="7" xfId="0" applyNumberFormat="1" applyFont="1" applyFill="1" applyBorder="1" applyAlignment="1">
      <alignment horizontal="center" vertical="center" wrapText="1"/>
    </xf>
    <xf numFmtId="3" fontId="27" fillId="0" borderId="7" xfId="0" applyNumberFormat="1" applyFont="1" applyFill="1" applyBorder="1" applyAlignment="1">
      <alignment horizontal="center" vertical="center" wrapText="1"/>
    </xf>
    <xf numFmtId="3" fontId="43" fillId="0" borderId="0" xfId="0" applyNumberFormat="1" applyFont="1" applyFill="1" applyAlignment="1">
      <alignment vertical="center"/>
    </xf>
    <xf numFmtId="3" fontId="42" fillId="0" borderId="0" xfId="0" applyNumberFormat="1" applyFont="1" applyFill="1" applyAlignment="1">
      <alignment vertical="center"/>
    </xf>
    <xf numFmtId="4" fontId="50" fillId="0" borderId="0" xfId="0" applyNumberFormat="1" applyFont="1" applyFill="1" applyAlignment="1">
      <alignment horizontal="center"/>
    </xf>
    <xf numFmtId="3" fontId="40" fillId="0" borderId="0" xfId="0" applyNumberFormat="1" applyFont="1" applyFill="1" applyAlignment="1">
      <alignment horizontal="center" wrapText="1"/>
    </xf>
    <xf numFmtId="4" fontId="27" fillId="0" borderId="7" xfId="0" applyNumberFormat="1" applyFont="1" applyFill="1" applyBorder="1" applyAlignment="1">
      <alignment horizontal="center" vertical="center" wrapText="1"/>
    </xf>
    <xf numFmtId="4" fontId="37" fillId="0" borderId="7" xfId="0" applyNumberFormat="1" applyFont="1" applyFill="1" applyBorder="1" applyAlignment="1">
      <alignment horizontal="center" vertical="center" wrapText="1"/>
    </xf>
    <xf numFmtId="164" fontId="27" fillId="0" borderId="7" xfId="0" applyNumberFormat="1" applyFont="1" applyFill="1" applyBorder="1" applyAlignment="1">
      <alignment horizontal="center" vertical="center" wrapText="1"/>
    </xf>
    <xf numFmtId="4" fontId="36" fillId="0" borderId="7" xfId="0" applyNumberFormat="1" applyFont="1" applyFill="1" applyBorder="1" applyAlignment="1">
      <alignment horizontal="center" vertical="center" wrapText="1"/>
    </xf>
    <xf numFmtId="49" fontId="50" fillId="0" borderId="0" xfId="0" applyNumberFormat="1" applyFont="1" applyFill="1" applyBorder="1" applyAlignment="1" applyProtection="1">
      <alignment horizontal="left" vertical="center" wrapText="1"/>
    </xf>
    <xf numFmtId="49" fontId="50" fillId="0" borderId="0" xfId="0" applyNumberFormat="1" applyFont="1" applyFill="1" applyBorder="1" applyAlignment="1" applyProtection="1">
      <alignment horizontal="center" vertical="center" wrapText="1"/>
    </xf>
    <xf numFmtId="4" fontId="36" fillId="0" borderId="8" xfId="0" applyNumberFormat="1" applyFont="1" applyFill="1" applyBorder="1" applyAlignment="1">
      <alignment horizontal="center" vertical="center" wrapText="1"/>
    </xf>
    <xf numFmtId="4" fontId="36" fillId="0" borderId="10" xfId="0" applyNumberFormat="1" applyFont="1" applyFill="1" applyBorder="1" applyAlignment="1">
      <alignment horizontal="center" vertical="center" wrapText="1"/>
    </xf>
    <xf numFmtId="4" fontId="36" fillId="0" borderId="11" xfId="0" applyNumberFormat="1" applyFont="1" applyFill="1" applyBorder="1" applyAlignment="1">
      <alignment horizontal="center" vertical="center" wrapText="1"/>
    </xf>
    <xf numFmtId="0" fontId="44" fillId="0" borderId="0" xfId="0" applyFont="1" applyFill="1" applyAlignment="1">
      <alignment horizontal="center" vertical="center"/>
    </xf>
    <xf numFmtId="4" fontId="37" fillId="0" borderId="8" xfId="0" applyNumberFormat="1" applyFont="1" applyFill="1" applyBorder="1" applyAlignment="1">
      <alignment horizontal="center" vertical="center" wrapText="1"/>
    </xf>
    <xf numFmtId="4" fontId="37" fillId="0" borderId="10" xfId="0" applyNumberFormat="1" applyFont="1" applyFill="1" applyBorder="1" applyAlignment="1">
      <alignment horizontal="center" vertical="center" wrapText="1"/>
    </xf>
    <xf numFmtId="4" fontId="37" fillId="0" borderId="11" xfId="0" applyNumberFormat="1" applyFont="1" applyFill="1" applyBorder="1" applyAlignment="1">
      <alignment horizontal="center" vertical="center" wrapText="1"/>
    </xf>
    <xf numFmtId="3" fontId="34" fillId="0" borderId="0" xfId="0" applyNumberFormat="1" applyFont="1" applyFill="1" applyAlignment="1">
      <alignment horizontal="center" vertical="top" wrapText="1"/>
    </xf>
    <xf numFmtId="49" fontId="23" fillId="0" borderId="7" xfId="0" applyNumberFormat="1" applyFont="1" applyFill="1" applyBorder="1" applyAlignment="1">
      <alignment horizontal="center" vertical="center" wrapText="1"/>
    </xf>
    <xf numFmtId="3" fontId="23" fillId="0" borderId="7" xfId="0" applyNumberFormat="1" applyFont="1" applyFill="1" applyBorder="1" applyAlignment="1">
      <alignment horizontal="center" vertical="center" wrapText="1"/>
    </xf>
    <xf numFmtId="49" fontId="35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 vertical="top"/>
    </xf>
    <xf numFmtId="3" fontId="44" fillId="0" borderId="9" xfId="0" applyNumberFormat="1" applyFont="1" applyFill="1" applyBorder="1" applyAlignment="1">
      <alignment horizontal="center" vertical="center" textRotation="180" wrapText="1"/>
    </xf>
    <xf numFmtId="3" fontId="44" fillId="0" borderId="0" xfId="0" applyNumberFormat="1" applyFont="1" applyFill="1" applyBorder="1" applyAlignment="1">
      <alignment horizontal="center" textRotation="180" wrapText="1"/>
    </xf>
    <xf numFmtId="3" fontId="44" fillId="0" borderId="0" xfId="0" applyNumberFormat="1" applyFont="1" applyFill="1" applyBorder="1" applyAlignment="1">
      <alignment horizontal="center" vertical="center" textRotation="180"/>
    </xf>
    <xf numFmtId="3" fontId="44" fillId="0" borderId="9" xfId="0" applyNumberFormat="1" applyFont="1" applyFill="1" applyBorder="1" applyAlignment="1">
      <alignment horizontal="center" vertical="center" textRotation="180"/>
    </xf>
    <xf numFmtId="0" fontId="26" fillId="0" borderId="0" xfId="0" applyFont="1" applyFill="1" applyAlignment="1">
      <alignment horizontal="center" vertical="center" textRotation="180"/>
    </xf>
    <xf numFmtId="49" fontId="35" fillId="0" borderId="0" xfId="0" applyNumberFormat="1" applyFont="1" applyFill="1" applyAlignment="1">
      <alignment horizontal="left" vertical="center"/>
    </xf>
    <xf numFmtId="0" fontId="34" fillId="0" borderId="0" xfId="0" applyFont="1" applyFill="1" applyAlignment="1">
      <alignment horizontal="center" vertical="top" wrapText="1"/>
    </xf>
    <xf numFmtId="3" fontId="27" fillId="0" borderId="7" xfId="0" applyNumberFormat="1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textRotation="180"/>
    </xf>
    <xf numFmtId="0" fontId="26" fillId="0" borderId="9" xfId="0" applyFont="1" applyFill="1" applyBorder="1" applyAlignment="1">
      <alignment horizontal="center" vertical="center" textRotation="180"/>
    </xf>
    <xf numFmtId="49" fontId="51" fillId="43" borderId="0" xfId="0" applyNumberFormat="1" applyFont="1" applyFill="1" applyBorder="1" applyAlignment="1" applyProtection="1">
      <alignment horizontal="left" vertical="center" wrapText="1"/>
    </xf>
    <xf numFmtId="49" fontId="51" fillId="43" borderId="0" xfId="0" applyNumberFormat="1" applyFont="1" applyFill="1" applyBorder="1" applyAlignment="1" applyProtection="1">
      <alignment horizontal="center" vertical="center" wrapText="1"/>
    </xf>
  </cellXfs>
  <cellStyles count="80">
    <cellStyle name="20% - Акцент1" xfId="1"/>
    <cellStyle name="20% — акцент1" xfId="61" builtinId="30" hidden="1"/>
    <cellStyle name="20% - Акцент2" xfId="2"/>
    <cellStyle name="20% — акцент2" xfId="64" builtinId="34" hidden="1"/>
    <cellStyle name="20% - Акцент3" xfId="3"/>
    <cellStyle name="20% — акцент3" xfId="67" builtinId="38" hidden="1"/>
    <cellStyle name="20% - Акцент4" xfId="4"/>
    <cellStyle name="20% — акцент4" xfId="70" builtinId="42" hidden="1"/>
    <cellStyle name="20% - Акцент5" xfId="5"/>
    <cellStyle name="20% — акцент5" xfId="73" builtinId="46" hidden="1"/>
    <cellStyle name="20% - Акцент6" xfId="6"/>
    <cellStyle name="20% — акцент6" xfId="76" builtinId="50" hidden="1"/>
    <cellStyle name="40% - Акцент1" xfId="7"/>
    <cellStyle name="40% — акцент1" xfId="62" builtinId="31" hidden="1"/>
    <cellStyle name="40% - Акцент2" xfId="8"/>
    <cellStyle name="40% — акцент2" xfId="65" builtinId="35" hidden="1"/>
    <cellStyle name="40% - Акцент3" xfId="9"/>
    <cellStyle name="40% — акцент3" xfId="68" builtinId="39" hidden="1"/>
    <cellStyle name="40% - Акцент4" xfId="10"/>
    <cellStyle name="40% — акцент4" xfId="71" builtinId="43" hidden="1"/>
    <cellStyle name="40% - Акцент5" xfId="11"/>
    <cellStyle name="40% — акцент5" xfId="74" builtinId="47" hidden="1"/>
    <cellStyle name="40% - Акцент6" xfId="12"/>
    <cellStyle name="40% — акцент6" xfId="77" builtinId="51" hidden="1"/>
    <cellStyle name="60% - Акцент1" xfId="13"/>
    <cellStyle name="60% — акцент1" xfId="63" builtinId="32" hidden="1"/>
    <cellStyle name="60% - Акцент2" xfId="14"/>
    <cellStyle name="60% — акцент2" xfId="66" builtinId="36" hidden="1"/>
    <cellStyle name="60% - Акцент3" xfId="15"/>
    <cellStyle name="60% — акцент3" xfId="69" builtinId="40" hidden="1"/>
    <cellStyle name="60% - Акцент4" xfId="16"/>
    <cellStyle name="60% — акцент4" xfId="72" builtinId="44" hidden="1"/>
    <cellStyle name="60% - Акцент5" xfId="17"/>
    <cellStyle name="60% — акцент5" xfId="75" builtinId="48" hidden="1"/>
    <cellStyle name="60% - Акцент6" xfId="18"/>
    <cellStyle name="60% — акцент6" xfId="78" builtinId="52" hidden="1"/>
    <cellStyle name="Normal_meresha_07" xfId="19"/>
    <cellStyle name="Акцент1" xfId="20"/>
    <cellStyle name="Акцент2" xfId="21"/>
    <cellStyle name="Акцент3" xfId="22"/>
    <cellStyle name="Акцент4" xfId="23"/>
    <cellStyle name="Акцент5" xfId="24"/>
    <cellStyle name="Акцент6" xfId="25"/>
    <cellStyle name="Ввод " xfId="26"/>
    <cellStyle name="Вывод" xfId="27"/>
    <cellStyle name="Вычисление" xfId="28"/>
    <cellStyle name="Звичайний 10" xfId="29"/>
    <cellStyle name="Звичайний 11" xfId="30"/>
    <cellStyle name="Звичайний 12" xfId="31"/>
    <cellStyle name="Звичайний 13" xfId="32"/>
    <cellStyle name="Звичайний 14" xfId="33"/>
    <cellStyle name="Звичайний 15" xfId="34"/>
    <cellStyle name="Звичайний 16" xfId="35"/>
    <cellStyle name="Звичайний 17" xfId="36"/>
    <cellStyle name="Звичайний 18" xfId="37"/>
    <cellStyle name="Звичайний 19" xfId="38"/>
    <cellStyle name="Звичайний 2" xfId="39"/>
    <cellStyle name="Звичайний 20" xfId="40"/>
    <cellStyle name="Звичайний 3" xfId="41"/>
    <cellStyle name="Звичайний 4" xfId="42"/>
    <cellStyle name="Звичайний 5" xfId="43"/>
    <cellStyle name="Звичайний 6" xfId="44"/>
    <cellStyle name="Звичайний 7" xfId="45"/>
    <cellStyle name="Звичайний 8" xfId="46"/>
    <cellStyle name="Звичайний 9" xfId="47"/>
    <cellStyle name="Звичайний_Додаток _ 3 зм_ни 4575" xfId="48"/>
    <cellStyle name="Итог" xfId="49"/>
    <cellStyle name="Контрольная ячейка" xfId="50"/>
    <cellStyle name="Название" xfId="51"/>
    <cellStyle name="Нейтральный" xfId="52"/>
    <cellStyle name="Обычный" xfId="0" builtinId="0"/>
    <cellStyle name="Обычный 2" xfId="53"/>
    <cellStyle name="Обычный 3" xfId="79"/>
    <cellStyle name="Плохой" xfId="54"/>
    <cellStyle name="Пояснение" xfId="55"/>
    <cellStyle name="Примечание" xfId="56"/>
    <cellStyle name="Связанная ячейка" xfId="57"/>
    <cellStyle name="Стиль 1" xfId="58"/>
    <cellStyle name="Текст предупреждения" xfId="59"/>
    <cellStyle name="Хороший" xfId="6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TN1453"/>
  <sheetViews>
    <sheetView showGridLines="0" showZeros="0" view="pageBreakPreview" zoomScale="30" zoomScaleNormal="82" zoomScaleSheetLayoutView="30" workbookViewId="0">
      <pane ySplit="14" topLeftCell="A34" activePane="bottomLeft" state="frozen"/>
      <selection pane="bottomLeft" activeCell="AT34" sqref="AT34"/>
    </sheetView>
  </sheetViews>
  <sheetFormatPr defaultColWidth="9.1640625" defaultRowHeight="15" x14ac:dyDescent="0.25"/>
  <cols>
    <col min="1" max="1" width="16.1640625" style="1" customWidth="1"/>
    <col min="2" max="2" width="15.33203125" style="2" customWidth="1"/>
    <col min="3" max="3" width="14.6640625" style="1" customWidth="1"/>
    <col min="4" max="4" width="62" style="3" customWidth="1"/>
    <col min="5" max="5" width="22.83203125" style="4" customWidth="1"/>
    <col min="6" max="6" width="22.5" style="4" hidden="1" customWidth="1"/>
    <col min="7" max="7" width="22.83203125" style="4" customWidth="1"/>
    <col min="8" max="8" width="22.5" style="4" customWidth="1"/>
    <col min="9" max="13" width="21.5" style="4" customWidth="1"/>
    <col min="14" max="14" width="15.83203125" style="94" customWidth="1"/>
    <col min="15" max="15" width="22.33203125" style="4" customWidth="1"/>
    <col min="16" max="16" width="24.6640625" style="4" customWidth="1"/>
    <col min="17" max="17" width="21.1640625" style="4" customWidth="1"/>
    <col min="18" max="18" width="19.5" style="4" customWidth="1"/>
    <col min="19" max="19" width="17.1640625" style="4" customWidth="1"/>
    <col min="20" max="20" width="23.6640625" style="4" customWidth="1"/>
    <col min="21" max="21" width="21" style="4" customWidth="1"/>
    <col min="22" max="22" width="20.1640625" style="4" customWidth="1"/>
    <col min="23" max="23" width="20.6640625" style="4" customWidth="1"/>
    <col min="24" max="24" width="23.6640625" style="4" customWidth="1"/>
    <col min="25" max="25" width="21.5" style="4" customWidth="1"/>
    <col min="26" max="26" width="20.6640625" style="4" customWidth="1"/>
    <col min="27" max="27" width="14.33203125" style="94" customWidth="1"/>
    <col min="28" max="28" width="22.83203125" style="4" customWidth="1"/>
    <col min="29" max="29" width="27.83203125" style="75" hidden="1" customWidth="1"/>
    <col min="30" max="30" width="8.83203125" style="144" customWidth="1"/>
    <col min="31" max="31" width="6.1640625" style="6" customWidth="1"/>
    <col min="32" max="32" width="17" style="6" customWidth="1"/>
    <col min="33" max="16384" width="9.1640625" style="6"/>
  </cols>
  <sheetData>
    <row r="1" spans="1:534" ht="28.5" customHeight="1" x14ac:dyDescent="0.45">
      <c r="P1" s="71"/>
      <c r="Q1" s="5"/>
      <c r="R1" s="5"/>
      <c r="S1" s="5"/>
      <c r="T1" s="5"/>
      <c r="U1" s="5"/>
      <c r="V1" s="5"/>
      <c r="W1" s="163" t="s">
        <v>523</v>
      </c>
      <c r="X1" s="163"/>
      <c r="Y1" s="163"/>
      <c r="Z1" s="163"/>
      <c r="AA1" s="98"/>
      <c r="AB1" s="5"/>
      <c r="AC1" s="5"/>
      <c r="AD1" s="174">
        <v>11</v>
      </c>
    </row>
    <row r="2" spans="1:534" ht="37.5" customHeight="1" x14ac:dyDescent="0.45">
      <c r="P2" s="71"/>
      <c r="Q2" s="5"/>
      <c r="R2" s="5"/>
      <c r="S2" s="5"/>
      <c r="T2" s="5"/>
      <c r="U2" s="5"/>
      <c r="V2" s="5"/>
      <c r="W2" s="92" t="s">
        <v>524</v>
      </c>
      <c r="X2" s="92"/>
      <c r="Y2" s="92"/>
      <c r="Z2" s="92"/>
      <c r="AA2" s="98"/>
      <c r="AB2" s="5"/>
      <c r="AC2" s="5"/>
      <c r="AD2" s="174"/>
    </row>
    <row r="3" spans="1:534" ht="34.5" customHeight="1" x14ac:dyDescent="0.45">
      <c r="P3" s="71"/>
      <c r="Q3" s="5"/>
      <c r="R3" s="5"/>
      <c r="S3" s="5"/>
      <c r="T3" s="5"/>
      <c r="U3" s="5"/>
      <c r="V3" s="5"/>
      <c r="W3" s="93" t="s">
        <v>528</v>
      </c>
      <c r="X3" s="93"/>
      <c r="Y3" s="93" t="s">
        <v>529</v>
      </c>
      <c r="Z3" s="93"/>
      <c r="AA3" s="98"/>
      <c r="AB3" s="5"/>
      <c r="AC3" s="5"/>
      <c r="AD3" s="174"/>
    </row>
    <row r="4" spans="1:534" ht="39.75" customHeight="1" x14ac:dyDescent="0.45">
      <c r="P4" s="71"/>
      <c r="Q4" s="5"/>
      <c r="R4" s="5"/>
      <c r="S4" s="5"/>
      <c r="T4" s="5"/>
      <c r="U4" s="5"/>
      <c r="V4" s="5"/>
      <c r="W4" s="93"/>
      <c r="X4" s="93"/>
      <c r="Y4" s="93"/>
      <c r="Z4" s="93"/>
      <c r="AA4" s="98"/>
      <c r="AB4" s="5"/>
      <c r="AC4" s="5"/>
      <c r="AD4" s="174"/>
    </row>
    <row r="5" spans="1:534" ht="32.25" customHeight="1" x14ac:dyDescent="0.4"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9"/>
      <c r="AB5" s="91"/>
      <c r="AC5" s="91"/>
      <c r="AD5" s="174"/>
    </row>
    <row r="6" spans="1:534" ht="37.5" customHeight="1" x14ac:dyDescent="0.4"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100"/>
      <c r="AB6" s="7"/>
      <c r="AC6" s="7"/>
      <c r="AD6" s="174"/>
    </row>
    <row r="7" spans="1:534" s="8" customFormat="1" ht="77.25" customHeight="1" x14ac:dyDescent="0.3">
      <c r="A7" s="167" t="s">
        <v>511</v>
      </c>
      <c r="B7" s="167"/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67"/>
      <c r="AA7" s="167"/>
      <c r="AB7" s="167"/>
      <c r="AC7" s="167"/>
      <c r="AD7" s="174"/>
    </row>
    <row r="8" spans="1:534" s="8" customFormat="1" ht="29.25" customHeight="1" x14ac:dyDescent="0.35">
      <c r="A8" s="170" t="s">
        <v>329</v>
      </c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  <c r="AA8" s="170"/>
      <c r="AB8" s="170"/>
      <c r="AC8" s="170"/>
      <c r="AD8" s="174"/>
    </row>
    <row r="9" spans="1:534" s="8" customFormat="1" ht="18.75" customHeight="1" x14ac:dyDescent="0.3">
      <c r="A9" s="171" t="s">
        <v>420</v>
      </c>
      <c r="B9" s="171"/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  <c r="U9" s="171"/>
      <c r="V9" s="171"/>
      <c r="W9" s="171"/>
      <c r="X9" s="171"/>
      <c r="Y9" s="171"/>
      <c r="Z9" s="171"/>
      <c r="AA9" s="171"/>
      <c r="AB9" s="171"/>
      <c r="AC9" s="171"/>
      <c r="AD9" s="174"/>
    </row>
    <row r="10" spans="1:534" s="12" customFormat="1" ht="23.25" customHeight="1" x14ac:dyDescent="0.3">
      <c r="A10" s="9"/>
      <c r="B10" s="10"/>
      <c r="C10" s="9"/>
      <c r="D10" s="3"/>
      <c r="E10" s="11"/>
      <c r="F10" s="11"/>
      <c r="G10" s="11"/>
      <c r="H10" s="11"/>
      <c r="I10" s="11"/>
      <c r="J10" s="11"/>
      <c r="K10" s="11"/>
      <c r="L10" s="11"/>
      <c r="M10" s="11"/>
      <c r="N10" s="95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95"/>
      <c r="AB10" s="73" t="s">
        <v>266</v>
      </c>
      <c r="AC10" s="73" t="s">
        <v>266</v>
      </c>
      <c r="AD10" s="174"/>
    </row>
    <row r="11" spans="1:534" s="148" customFormat="1" ht="20.25" customHeight="1" x14ac:dyDescent="0.2">
      <c r="A11" s="168" t="s">
        <v>249</v>
      </c>
      <c r="B11" s="169" t="s">
        <v>250</v>
      </c>
      <c r="C11" s="168" t="s">
        <v>245</v>
      </c>
      <c r="D11" s="169" t="s">
        <v>251</v>
      </c>
      <c r="E11" s="164" t="s">
        <v>177</v>
      </c>
      <c r="F11" s="165"/>
      <c r="G11" s="165"/>
      <c r="H11" s="165"/>
      <c r="I11" s="165"/>
      <c r="J11" s="165"/>
      <c r="K11" s="165"/>
      <c r="L11" s="165"/>
      <c r="M11" s="166"/>
      <c r="N11" s="156" t="s">
        <v>507</v>
      </c>
      <c r="O11" s="155" t="s">
        <v>178</v>
      </c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6" t="s">
        <v>507</v>
      </c>
      <c r="AB11" s="154" t="s">
        <v>179</v>
      </c>
      <c r="AC11" s="155" t="s">
        <v>510</v>
      </c>
      <c r="AD11" s="174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  <c r="IN11" s="13"/>
      <c r="IO11" s="13"/>
      <c r="IP11" s="13"/>
      <c r="IQ11" s="13"/>
      <c r="IR11" s="13"/>
      <c r="IS11" s="13"/>
      <c r="IT11" s="13"/>
      <c r="IU11" s="13"/>
      <c r="IV11" s="13"/>
      <c r="IW11" s="13"/>
      <c r="IX11" s="13"/>
      <c r="IY11" s="13"/>
      <c r="IZ11" s="13"/>
      <c r="JA11" s="13"/>
      <c r="JB11" s="13"/>
      <c r="JC11" s="13"/>
      <c r="JD11" s="13"/>
      <c r="JE11" s="13"/>
      <c r="JF11" s="13"/>
      <c r="JG11" s="13"/>
      <c r="JH11" s="13"/>
      <c r="JI11" s="13"/>
      <c r="JJ11" s="13"/>
      <c r="JK11" s="13"/>
      <c r="JL11" s="13"/>
      <c r="JM11" s="13"/>
      <c r="JN11" s="13"/>
      <c r="JO11" s="13"/>
      <c r="JP11" s="13"/>
      <c r="JQ11" s="13"/>
      <c r="JR11" s="13"/>
      <c r="JS11" s="13"/>
      <c r="JT11" s="13"/>
      <c r="JU11" s="13"/>
      <c r="JV11" s="13"/>
      <c r="JW11" s="13"/>
      <c r="JX11" s="13"/>
      <c r="JY11" s="13"/>
      <c r="JZ11" s="13"/>
      <c r="KA11" s="13"/>
      <c r="KB11" s="13"/>
      <c r="KC11" s="13"/>
      <c r="KD11" s="13"/>
      <c r="KE11" s="13"/>
      <c r="KF11" s="13"/>
      <c r="KG11" s="13"/>
      <c r="KH11" s="13"/>
      <c r="KI11" s="13"/>
      <c r="KJ11" s="13"/>
      <c r="KK11" s="13"/>
      <c r="KL11" s="13"/>
      <c r="KM11" s="13"/>
      <c r="KN11" s="13"/>
      <c r="KO11" s="13"/>
      <c r="KP11" s="13"/>
      <c r="KQ11" s="13"/>
      <c r="KR11" s="13"/>
      <c r="KS11" s="13"/>
      <c r="KT11" s="13"/>
      <c r="KU11" s="13"/>
      <c r="KV11" s="13"/>
      <c r="KW11" s="13"/>
      <c r="KX11" s="13"/>
      <c r="KY11" s="13"/>
      <c r="KZ11" s="13"/>
      <c r="LA11" s="13"/>
      <c r="LB11" s="13"/>
      <c r="LC11" s="13"/>
      <c r="LD11" s="13"/>
      <c r="LE11" s="13"/>
      <c r="LF11" s="13"/>
      <c r="LG11" s="13"/>
      <c r="LH11" s="13"/>
      <c r="LI11" s="13"/>
      <c r="LJ11" s="13"/>
      <c r="LK11" s="13"/>
      <c r="LL11" s="13"/>
      <c r="LM11" s="13"/>
      <c r="LN11" s="13"/>
      <c r="LO11" s="13"/>
      <c r="LP11" s="13"/>
      <c r="LQ11" s="13"/>
      <c r="LR11" s="13"/>
      <c r="LS11" s="13"/>
      <c r="LT11" s="13"/>
      <c r="LU11" s="13"/>
      <c r="LV11" s="13"/>
      <c r="LW11" s="13"/>
      <c r="LX11" s="13"/>
      <c r="LY11" s="13"/>
      <c r="LZ11" s="13"/>
      <c r="MA11" s="13"/>
      <c r="MB11" s="13"/>
      <c r="MC11" s="13"/>
      <c r="MD11" s="13"/>
      <c r="ME11" s="13"/>
      <c r="MF11" s="13"/>
      <c r="MG11" s="13"/>
      <c r="MH11" s="13"/>
      <c r="MI11" s="13"/>
      <c r="MJ11" s="13"/>
      <c r="MK11" s="13"/>
      <c r="ML11" s="13"/>
      <c r="MM11" s="13"/>
      <c r="MN11" s="13"/>
      <c r="MO11" s="13"/>
      <c r="MP11" s="13"/>
      <c r="MQ11" s="13"/>
      <c r="MR11" s="13"/>
      <c r="MS11" s="13"/>
      <c r="MT11" s="13"/>
      <c r="MU11" s="13"/>
      <c r="MV11" s="13"/>
      <c r="MW11" s="13"/>
      <c r="MX11" s="13"/>
      <c r="MY11" s="13"/>
      <c r="MZ11" s="13"/>
      <c r="NA11" s="13"/>
      <c r="NB11" s="13"/>
      <c r="NC11" s="13"/>
      <c r="ND11" s="13"/>
      <c r="NE11" s="13"/>
      <c r="NF11" s="13"/>
      <c r="NG11" s="13"/>
      <c r="NH11" s="13"/>
      <c r="NI11" s="13"/>
      <c r="NJ11" s="13"/>
      <c r="NK11" s="13"/>
      <c r="NL11" s="13"/>
      <c r="NM11" s="13"/>
      <c r="NN11" s="13"/>
      <c r="NO11" s="13"/>
      <c r="NP11" s="13"/>
      <c r="NQ11" s="13"/>
      <c r="NR11" s="13"/>
      <c r="NS11" s="13"/>
      <c r="NT11" s="13"/>
      <c r="NU11" s="13"/>
      <c r="NV11" s="13"/>
      <c r="NW11" s="13"/>
      <c r="NX11" s="13"/>
      <c r="NY11" s="13"/>
      <c r="NZ11" s="13"/>
      <c r="OA11" s="13"/>
      <c r="OB11" s="13"/>
      <c r="OC11" s="13"/>
      <c r="OD11" s="13"/>
      <c r="OE11" s="13"/>
      <c r="OF11" s="13"/>
      <c r="OG11" s="13"/>
      <c r="OH11" s="13"/>
      <c r="OI11" s="13"/>
      <c r="OJ11" s="13"/>
      <c r="OK11" s="13"/>
      <c r="OL11" s="13"/>
      <c r="OM11" s="13"/>
      <c r="ON11" s="13"/>
      <c r="OO11" s="13"/>
      <c r="OP11" s="13"/>
      <c r="OQ11" s="13"/>
      <c r="OR11" s="13"/>
      <c r="OS11" s="13"/>
      <c r="OT11" s="13"/>
      <c r="OU11" s="13"/>
      <c r="OV11" s="13"/>
      <c r="OW11" s="13"/>
      <c r="OX11" s="13"/>
      <c r="OY11" s="13"/>
      <c r="OZ11" s="13"/>
      <c r="PA11" s="13"/>
      <c r="PB11" s="13"/>
      <c r="PC11" s="13"/>
      <c r="PD11" s="13"/>
      <c r="PE11" s="13"/>
      <c r="PF11" s="13"/>
      <c r="PG11" s="13"/>
      <c r="PH11" s="13"/>
      <c r="PI11" s="13"/>
      <c r="PJ11" s="13"/>
      <c r="PK11" s="13"/>
      <c r="PL11" s="13"/>
      <c r="PM11" s="13"/>
      <c r="PN11" s="13"/>
      <c r="PO11" s="13"/>
      <c r="PP11" s="13"/>
      <c r="PQ11" s="13"/>
      <c r="PR11" s="13"/>
      <c r="PS11" s="13"/>
      <c r="PT11" s="13"/>
      <c r="PU11" s="13"/>
      <c r="PV11" s="13"/>
      <c r="PW11" s="13"/>
      <c r="PX11" s="13"/>
      <c r="PY11" s="13"/>
      <c r="PZ11" s="13"/>
      <c r="QA11" s="13"/>
      <c r="QB11" s="13"/>
      <c r="QC11" s="13"/>
      <c r="QD11" s="13"/>
      <c r="QE11" s="13"/>
      <c r="QF11" s="13"/>
      <c r="QG11" s="13"/>
      <c r="QH11" s="13"/>
      <c r="QI11" s="13"/>
      <c r="QJ11" s="13"/>
      <c r="QK11" s="13"/>
      <c r="QL11" s="13"/>
      <c r="QM11" s="13"/>
      <c r="QN11" s="13"/>
      <c r="QO11" s="13"/>
      <c r="QP11" s="13"/>
      <c r="QQ11" s="13"/>
      <c r="QR11" s="13"/>
      <c r="QS11" s="13"/>
      <c r="QT11" s="13"/>
      <c r="QU11" s="13"/>
      <c r="QV11" s="13"/>
      <c r="QW11" s="13"/>
      <c r="QX11" s="13"/>
      <c r="QY11" s="13"/>
      <c r="QZ11" s="13"/>
      <c r="RA11" s="13"/>
      <c r="RB11" s="13"/>
      <c r="RC11" s="13"/>
      <c r="RD11" s="13"/>
      <c r="RE11" s="13"/>
      <c r="RF11" s="13"/>
      <c r="RG11" s="13"/>
      <c r="RH11" s="13"/>
      <c r="RI11" s="13"/>
      <c r="RJ11" s="13"/>
      <c r="RK11" s="13"/>
      <c r="RL11" s="13"/>
      <c r="RM11" s="13"/>
      <c r="RN11" s="13"/>
      <c r="RO11" s="13"/>
      <c r="RP11" s="13"/>
      <c r="RQ11" s="13"/>
      <c r="RR11" s="13"/>
      <c r="RS11" s="13"/>
      <c r="RT11" s="13"/>
      <c r="RU11" s="13"/>
      <c r="RV11" s="13"/>
      <c r="RW11" s="13"/>
      <c r="RX11" s="13"/>
      <c r="RY11" s="13"/>
      <c r="RZ11" s="13"/>
      <c r="SA11" s="13"/>
      <c r="SB11" s="13"/>
      <c r="SC11" s="13"/>
      <c r="SD11" s="13"/>
      <c r="SE11" s="13"/>
      <c r="SF11" s="13"/>
      <c r="SG11" s="13"/>
      <c r="SH11" s="13"/>
      <c r="SI11" s="13"/>
      <c r="SJ11" s="13"/>
      <c r="SK11" s="13"/>
      <c r="SL11" s="13"/>
      <c r="SM11" s="13"/>
      <c r="SN11" s="13"/>
      <c r="SO11" s="13"/>
      <c r="SP11" s="13"/>
      <c r="SQ11" s="13"/>
      <c r="SR11" s="13"/>
      <c r="SS11" s="13"/>
      <c r="ST11" s="13"/>
      <c r="SU11" s="13"/>
      <c r="SV11" s="13"/>
      <c r="SW11" s="13"/>
      <c r="SX11" s="13"/>
      <c r="SY11" s="13"/>
      <c r="SZ11" s="13"/>
      <c r="TA11" s="13"/>
      <c r="TB11" s="13"/>
      <c r="TC11" s="13"/>
      <c r="TD11" s="13"/>
      <c r="TE11" s="13"/>
      <c r="TF11" s="13"/>
      <c r="TG11" s="13"/>
      <c r="TH11" s="13"/>
      <c r="TI11" s="13"/>
      <c r="TJ11" s="13"/>
      <c r="TK11" s="13"/>
      <c r="TL11" s="13"/>
      <c r="TM11" s="13"/>
      <c r="TN11" s="13"/>
    </row>
    <row r="12" spans="1:534" s="148" customFormat="1" ht="40.5" customHeight="1" x14ac:dyDescent="0.2">
      <c r="A12" s="168"/>
      <c r="B12" s="169"/>
      <c r="C12" s="168"/>
      <c r="D12" s="169"/>
      <c r="E12" s="155" t="s">
        <v>508</v>
      </c>
      <c r="F12" s="155"/>
      <c r="G12" s="155"/>
      <c r="H12" s="155"/>
      <c r="I12" s="155"/>
      <c r="J12" s="164" t="s">
        <v>509</v>
      </c>
      <c r="K12" s="165"/>
      <c r="L12" s="165"/>
      <c r="M12" s="166"/>
      <c r="N12" s="156"/>
      <c r="O12" s="155" t="s">
        <v>508</v>
      </c>
      <c r="P12" s="155"/>
      <c r="Q12" s="155"/>
      <c r="R12" s="155"/>
      <c r="S12" s="155"/>
      <c r="T12" s="155"/>
      <c r="U12" s="155" t="s">
        <v>509</v>
      </c>
      <c r="V12" s="155"/>
      <c r="W12" s="155"/>
      <c r="X12" s="155"/>
      <c r="Y12" s="155"/>
      <c r="Z12" s="155"/>
      <c r="AA12" s="156"/>
      <c r="AB12" s="154"/>
      <c r="AC12" s="155"/>
      <c r="AD12" s="174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  <c r="IW12" s="13"/>
      <c r="IX12" s="13"/>
      <c r="IY12" s="13"/>
      <c r="IZ12" s="13"/>
      <c r="JA12" s="13"/>
      <c r="JB12" s="13"/>
      <c r="JC12" s="13"/>
      <c r="JD12" s="13"/>
      <c r="JE12" s="13"/>
      <c r="JF12" s="13"/>
      <c r="JG12" s="13"/>
      <c r="JH12" s="13"/>
      <c r="JI12" s="13"/>
      <c r="JJ12" s="13"/>
      <c r="JK12" s="13"/>
      <c r="JL12" s="13"/>
      <c r="JM12" s="13"/>
      <c r="JN12" s="13"/>
      <c r="JO12" s="13"/>
      <c r="JP12" s="13"/>
      <c r="JQ12" s="13"/>
      <c r="JR12" s="13"/>
      <c r="JS12" s="13"/>
      <c r="JT12" s="13"/>
      <c r="JU12" s="13"/>
      <c r="JV12" s="13"/>
      <c r="JW12" s="13"/>
      <c r="JX12" s="13"/>
      <c r="JY12" s="13"/>
      <c r="JZ12" s="13"/>
      <c r="KA12" s="13"/>
      <c r="KB12" s="13"/>
      <c r="KC12" s="13"/>
      <c r="KD12" s="13"/>
      <c r="KE12" s="13"/>
      <c r="KF12" s="13"/>
      <c r="KG12" s="13"/>
      <c r="KH12" s="13"/>
      <c r="KI12" s="13"/>
      <c r="KJ12" s="13"/>
      <c r="KK12" s="13"/>
      <c r="KL12" s="13"/>
      <c r="KM12" s="13"/>
      <c r="KN12" s="13"/>
      <c r="KO12" s="13"/>
      <c r="KP12" s="13"/>
      <c r="KQ12" s="13"/>
      <c r="KR12" s="13"/>
      <c r="KS12" s="13"/>
      <c r="KT12" s="13"/>
      <c r="KU12" s="13"/>
      <c r="KV12" s="13"/>
      <c r="KW12" s="13"/>
      <c r="KX12" s="13"/>
      <c r="KY12" s="13"/>
      <c r="KZ12" s="13"/>
      <c r="LA12" s="13"/>
      <c r="LB12" s="13"/>
      <c r="LC12" s="13"/>
      <c r="LD12" s="13"/>
      <c r="LE12" s="13"/>
      <c r="LF12" s="13"/>
      <c r="LG12" s="13"/>
      <c r="LH12" s="13"/>
      <c r="LI12" s="13"/>
      <c r="LJ12" s="13"/>
      <c r="LK12" s="13"/>
      <c r="LL12" s="13"/>
      <c r="LM12" s="13"/>
      <c r="LN12" s="13"/>
      <c r="LO12" s="13"/>
      <c r="LP12" s="13"/>
      <c r="LQ12" s="13"/>
      <c r="LR12" s="13"/>
      <c r="LS12" s="13"/>
      <c r="LT12" s="13"/>
      <c r="LU12" s="13"/>
      <c r="LV12" s="13"/>
      <c r="LW12" s="13"/>
      <c r="LX12" s="13"/>
      <c r="LY12" s="13"/>
      <c r="LZ12" s="13"/>
      <c r="MA12" s="13"/>
      <c r="MB12" s="13"/>
      <c r="MC12" s="13"/>
      <c r="MD12" s="13"/>
      <c r="ME12" s="13"/>
      <c r="MF12" s="13"/>
      <c r="MG12" s="13"/>
      <c r="MH12" s="13"/>
      <c r="MI12" s="13"/>
      <c r="MJ12" s="13"/>
      <c r="MK12" s="13"/>
      <c r="ML12" s="13"/>
      <c r="MM12" s="13"/>
      <c r="MN12" s="13"/>
      <c r="MO12" s="13"/>
      <c r="MP12" s="13"/>
      <c r="MQ12" s="13"/>
      <c r="MR12" s="13"/>
      <c r="MS12" s="13"/>
      <c r="MT12" s="13"/>
      <c r="MU12" s="13"/>
      <c r="MV12" s="13"/>
      <c r="MW12" s="13"/>
      <c r="MX12" s="13"/>
      <c r="MY12" s="13"/>
      <c r="MZ12" s="13"/>
      <c r="NA12" s="13"/>
      <c r="NB12" s="13"/>
      <c r="NC12" s="13"/>
      <c r="ND12" s="13"/>
      <c r="NE12" s="13"/>
      <c r="NF12" s="13"/>
      <c r="NG12" s="13"/>
      <c r="NH12" s="13"/>
      <c r="NI12" s="13"/>
      <c r="NJ12" s="13"/>
      <c r="NK12" s="13"/>
      <c r="NL12" s="13"/>
      <c r="NM12" s="13"/>
      <c r="NN12" s="13"/>
      <c r="NO12" s="13"/>
      <c r="NP12" s="13"/>
      <c r="NQ12" s="13"/>
      <c r="NR12" s="13"/>
      <c r="NS12" s="13"/>
      <c r="NT12" s="13"/>
      <c r="NU12" s="13"/>
      <c r="NV12" s="13"/>
      <c r="NW12" s="13"/>
      <c r="NX12" s="13"/>
      <c r="NY12" s="13"/>
      <c r="NZ12" s="13"/>
      <c r="OA12" s="13"/>
      <c r="OB12" s="13"/>
      <c r="OC12" s="13"/>
      <c r="OD12" s="13"/>
      <c r="OE12" s="13"/>
      <c r="OF12" s="13"/>
      <c r="OG12" s="13"/>
      <c r="OH12" s="13"/>
      <c r="OI12" s="13"/>
      <c r="OJ12" s="13"/>
      <c r="OK12" s="13"/>
      <c r="OL12" s="13"/>
      <c r="OM12" s="13"/>
      <c r="ON12" s="13"/>
      <c r="OO12" s="13"/>
      <c r="OP12" s="13"/>
      <c r="OQ12" s="13"/>
      <c r="OR12" s="13"/>
      <c r="OS12" s="13"/>
      <c r="OT12" s="13"/>
      <c r="OU12" s="13"/>
      <c r="OV12" s="13"/>
      <c r="OW12" s="13"/>
      <c r="OX12" s="13"/>
      <c r="OY12" s="13"/>
      <c r="OZ12" s="13"/>
      <c r="PA12" s="13"/>
      <c r="PB12" s="13"/>
      <c r="PC12" s="13"/>
      <c r="PD12" s="13"/>
      <c r="PE12" s="13"/>
      <c r="PF12" s="13"/>
      <c r="PG12" s="13"/>
      <c r="PH12" s="13"/>
      <c r="PI12" s="13"/>
      <c r="PJ12" s="13"/>
      <c r="PK12" s="13"/>
      <c r="PL12" s="13"/>
      <c r="PM12" s="13"/>
      <c r="PN12" s="13"/>
      <c r="PO12" s="13"/>
      <c r="PP12" s="13"/>
      <c r="PQ12" s="13"/>
      <c r="PR12" s="13"/>
      <c r="PS12" s="13"/>
      <c r="PT12" s="13"/>
      <c r="PU12" s="13"/>
      <c r="PV12" s="13"/>
      <c r="PW12" s="13"/>
      <c r="PX12" s="13"/>
      <c r="PY12" s="13"/>
      <c r="PZ12" s="13"/>
      <c r="QA12" s="13"/>
      <c r="QB12" s="13"/>
      <c r="QC12" s="13"/>
      <c r="QD12" s="13"/>
      <c r="QE12" s="13"/>
      <c r="QF12" s="13"/>
      <c r="QG12" s="13"/>
      <c r="QH12" s="13"/>
      <c r="QI12" s="13"/>
      <c r="QJ12" s="13"/>
      <c r="QK12" s="13"/>
      <c r="QL12" s="13"/>
      <c r="QM12" s="13"/>
      <c r="QN12" s="13"/>
      <c r="QO12" s="13"/>
      <c r="QP12" s="13"/>
      <c r="QQ12" s="13"/>
      <c r="QR12" s="13"/>
      <c r="QS12" s="13"/>
      <c r="QT12" s="13"/>
      <c r="QU12" s="13"/>
      <c r="QV12" s="13"/>
      <c r="QW12" s="13"/>
      <c r="QX12" s="13"/>
      <c r="QY12" s="13"/>
      <c r="QZ12" s="13"/>
      <c r="RA12" s="13"/>
      <c r="RB12" s="13"/>
      <c r="RC12" s="13"/>
      <c r="RD12" s="13"/>
      <c r="RE12" s="13"/>
      <c r="RF12" s="13"/>
      <c r="RG12" s="13"/>
      <c r="RH12" s="13"/>
      <c r="RI12" s="13"/>
      <c r="RJ12" s="13"/>
      <c r="RK12" s="13"/>
      <c r="RL12" s="13"/>
      <c r="RM12" s="13"/>
      <c r="RN12" s="13"/>
      <c r="RO12" s="13"/>
      <c r="RP12" s="13"/>
      <c r="RQ12" s="13"/>
      <c r="RR12" s="13"/>
      <c r="RS12" s="13"/>
      <c r="RT12" s="13"/>
      <c r="RU12" s="13"/>
      <c r="RV12" s="13"/>
      <c r="RW12" s="13"/>
      <c r="RX12" s="13"/>
      <c r="RY12" s="13"/>
      <c r="RZ12" s="13"/>
      <c r="SA12" s="13"/>
      <c r="SB12" s="13"/>
      <c r="SC12" s="13"/>
      <c r="SD12" s="13"/>
      <c r="SE12" s="13"/>
      <c r="SF12" s="13"/>
      <c r="SG12" s="13"/>
      <c r="SH12" s="13"/>
      <c r="SI12" s="13"/>
      <c r="SJ12" s="13"/>
      <c r="SK12" s="13"/>
      <c r="SL12" s="13"/>
      <c r="SM12" s="13"/>
      <c r="SN12" s="13"/>
      <c r="SO12" s="13"/>
      <c r="SP12" s="13"/>
      <c r="SQ12" s="13"/>
      <c r="SR12" s="13"/>
      <c r="SS12" s="13"/>
      <c r="ST12" s="13"/>
      <c r="SU12" s="13"/>
      <c r="SV12" s="13"/>
      <c r="SW12" s="13"/>
      <c r="SX12" s="13"/>
      <c r="SY12" s="13"/>
      <c r="SZ12" s="13"/>
      <c r="TA12" s="13"/>
      <c r="TB12" s="13"/>
      <c r="TC12" s="13"/>
      <c r="TD12" s="13"/>
      <c r="TE12" s="13"/>
      <c r="TF12" s="13"/>
      <c r="TG12" s="13"/>
      <c r="TH12" s="13"/>
      <c r="TI12" s="13"/>
      <c r="TJ12" s="13"/>
      <c r="TK12" s="13"/>
      <c r="TL12" s="13"/>
      <c r="TM12" s="13"/>
      <c r="TN12" s="13"/>
    </row>
    <row r="13" spans="1:534" s="148" customFormat="1" ht="19.5" customHeight="1" x14ac:dyDescent="0.2">
      <c r="A13" s="168"/>
      <c r="B13" s="169"/>
      <c r="C13" s="168"/>
      <c r="D13" s="169"/>
      <c r="E13" s="154" t="s">
        <v>386</v>
      </c>
      <c r="F13" s="154" t="s">
        <v>180</v>
      </c>
      <c r="G13" s="160" t="s">
        <v>181</v>
      </c>
      <c r="H13" s="161"/>
      <c r="I13" s="162"/>
      <c r="J13" s="154" t="s">
        <v>386</v>
      </c>
      <c r="K13" s="160" t="s">
        <v>181</v>
      </c>
      <c r="L13" s="161"/>
      <c r="M13" s="162"/>
      <c r="N13" s="156"/>
      <c r="O13" s="154" t="s">
        <v>386</v>
      </c>
      <c r="P13" s="154" t="s">
        <v>246</v>
      </c>
      <c r="Q13" s="154" t="s">
        <v>180</v>
      </c>
      <c r="R13" s="157" t="s">
        <v>181</v>
      </c>
      <c r="S13" s="157"/>
      <c r="T13" s="154" t="s">
        <v>182</v>
      </c>
      <c r="U13" s="154" t="s">
        <v>386</v>
      </c>
      <c r="V13" s="154" t="s">
        <v>246</v>
      </c>
      <c r="W13" s="154" t="s">
        <v>180</v>
      </c>
      <c r="X13" s="157" t="s">
        <v>181</v>
      </c>
      <c r="Y13" s="157"/>
      <c r="Z13" s="154" t="s">
        <v>182</v>
      </c>
      <c r="AA13" s="156"/>
      <c r="AB13" s="154"/>
      <c r="AC13" s="155"/>
      <c r="AD13" s="174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  <c r="IW13" s="13"/>
      <c r="IX13" s="13"/>
      <c r="IY13" s="13"/>
      <c r="IZ13" s="13"/>
      <c r="JA13" s="13"/>
      <c r="JB13" s="13"/>
      <c r="JC13" s="13"/>
      <c r="JD13" s="13"/>
      <c r="JE13" s="13"/>
      <c r="JF13" s="13"/>
      <c r="JG13" s="13"/>
      <c r="JH13" s="13"/>
      <c r="JI13" s="13"/>
      <c r="JJ13" s="13"/>
      <c r="JK13" s="13"/>
      <c r="JL13" s="13"/>
      <c r="JM13" s="13"/>
      <c r="JN13" s="13"/>
      <c r="JO13" s="13"/>
      <c r="JP13" s="13"/>
      <c r="JQ13" s="13"/>
      <c r="JR13" s="13"/>
      <c r="JS13" s="13"/>
      <c r="JT13" s="13"/>
      <c r="JU13" s="13"/>
      <c r="JV13" s="13"/>
      <c r="JW13" s="13"/>
      <c r="JX13" s="13"/>
      <c r="JY13" s="13"/>
      <c r="JZ13" s="13"/>
      <c r="KA13" s="13"/>
      <c r="KB13" s="13"/>
      <c r="KC13" s="13"/>
      <c r="KD13" s="13"/>
      <c r="KE13" s="13"/>
      <c r="KF13" s="13"/>
      <c r="KG13" s="13"/>
      <c r="KH13" s="13"/>
      <c r="KI13" s="13"/>
      <c r="KJ13" s="13"/>
      <c r="KK13" s="13"/>
      <c r="KL13" s="13"/>
      <c r="KM13" s="13"/>
      <c r="KN13" s="13"/>
      <c r="KO13" s="13"/>
      <c r="KP13" s="13"/>
      <c r="KQ13" s="13"/>
      <c r="KR13" s="13"/>
      <c r="KS13" s="13"/>
      <c r="KT13" s="13"/>
      <c r="KU13" s="13"/>
      <c r="KV13" s="13"/>
      <c r="KW13" s="13"/>
      <c r="KX13" s="13"/>
      <c r="KY13" s="13"/>
      <c r="KZ13" s="13"/>
      <c r="LA13" s="13"/>
      <c r="LB13" s="13"/>
      <c r="LC13" s="13"/>
      <c r="LD13" s="13"/>
      <c r="LE13" s="13"/>
      <c r="LF13" s="13"/>
      <c r="LG13" s="13"/>
      <c r="LH13" s="13"/>
      <c r="LI13" s="13"/>
      <c r="LJ13" s="13"/>
      <c r="LK13" s="13"/>
      <c r="LL13" s="13"/>
      <c r="LM13" s="13"/>
      <c r="LN13" s="13"/>
      <c r="LO13" s="13"/>
      <c r="LP13" s="13"/>
      <c r="LQ13" s="13"/>
      <c r="LR13" s="13"/>
      <c r="LS13" s="13"/>
      <c r="LT13" s="13"/>
      <c r="LU13" s="13"/>
      <c r="LV13" s="13"/>
      <c r="LW13" s="13"/>
      <c r="LX13" s="13"/>
      <c r="LY13" s="13"/>
      <c r="LZ13" s="13"/>
      <c r="MA13" s="13"/>
      <c r="MB13" s="13"/>
      <c r="MC13" s="13"/>
      <c r="MD13" s="13"/>
      <c r="ME13" s="13"/>
      <c r="MF13" s="13"/>
      <c r="MG13" s="13"/>
      <c r="MH13" s="13"/>
      <c r="MI13" s="13"/>
      <c r="MJ13" s="13"/>
      <c r="MK13" s="13"/>
      <c r="ML13" s="13"/>
      <c r="MM13" s="13"/>
      <c r="MN13" s="13"/>
      <c r="MO13" s="13"/>
      <c r="MP13" s="13"/>
      <c r="MQ13" s="13"/>
      <c r="MR13" s="13"/>
      <c r="MS13" s="13"/>
      <c r="MT13" s="13"/>
      <c r="MU13" s="13"/>
      <c r="MV13" s="13"/>
      <c r="MW13" s="13"/>
      <c r="MX13" s="13"/>
      <c r="MY13" s="13"/>
      <c r="MZ13" s="13"/>
      <c r="NA13" s="13"/>
      <c r="NB13" s="13"/>
      <c r="NC13" s="13"/>
      <c r="ND13" s="13"/>
      <c r="NE13" s="13"/>
      <c r="NF13" s="13"/>
      <c r="NG13" s="13"/>
      <c r="NH13" s="13"/>
      <c r="NI13" s="13"/>
      <c r="NJ13" s="13"/>
      <c r="NK13" s="13"/>
      <c r="NL13" s="13"/>
      <c r="NM13" s="13"/>
      <c r="NN13" s="13"/>
      <c r="NO13" s="13"/>
      <c r="NP13" s="13"/>
      <c r="NQ13" s="13"/>
      <c r="NR13" s="13"/>
      <c r="NS13" s="13"/>
      <c r="NT13" s="13"/>
      <c r="NU13" s="13"/>
      <c r="NV13" s="13"/>
      <c r="NW13" s="13"/>
      <c r="NX13" s="13"/>
      <c r="NY13" s="13"/>
      <c r="NZ13" s="13"/>
      <c r="OA13" s="13"/>
      <c r="OB13" s="13"/>
      <c r="OC13" s="13"/>
      <c r="OD13" s="13"/>
      <c r="OE13" s="13"/>
      <c r="OF13" s="13"/>
      <c r="OG13" s="13"/>
      <c r="OH13" s="13"/>
      <c r="OI13" s="13"/>
      <c r="OJ13" s="13"/>
      <c r="OK13" s="13"/>
      <c r="OL13" s="13"/>
      <c r="OM13" s="13"/>
      <c r="ON13" s="13"/>
      <c r="OO13" s="13"/>
      <c r="OP13" s="13"/>
      <c r="OQ13" s="13"/>
      <c r="OR13" s="13"/>
      <c r="OS13" s="13"/>
      <c r="OT13" s="13"/>
      <c r="OU13" s="13"/>
      <c r="OV13" s="13"/>
      <c r="OW13" s="13"/>
      <c r="OX13" s="13"/>
      <c r="OY13" s="13"/>
      <c r="OZ13" s="13"/>
      <c r="PA13" s="13"/>
      <c r="PB13" s="13"/>
      <c r="PC13" s="13"/>
      <c r="PD13" s="13"/>
      <c r="PE13" s="13"/>
      <c r="PF13" s="13"/>
      <c r="PG13" s="13"/>
      <c r="PH13" s="13"/>
      <c r="PI13" s="13"/>
      <c r="PJ13" s="13"/>
      <c r="PK13" s="13"/>
      <c r="PL13" s="13"/>
      <c r="PM13" s="13"/>
      <c r="PN13" s="13"/>
      <c r="PO13" s="13"/>
      <c r="PP13" s="13"/>
      <c r="PQ13" s="13"/>
      <c r="PR13" s="13"/>
      <c r="PS13" s="13"/>
      <c r="PT13" s="13"/>
      <c r="PU13" s="13"/>
      <c r="PV13" s="13"/>
      <c r="PW13" s="13"/>
      <c r="PX13" s="13"/>
      <c r="PY13" s="13"/>
      <c r="PZ13" s="13"/>
      <c r="QA13" s="13"/>
      <c r="QB13" s="13"/>
      <c r="QC13" s="13"/>
      <c r="QD13" s="13"/>
      <c r="QE13" s="13"/>
      <c r="QF13" s="13"/>
      <c r="QG13" s="13"/>
      <c r="QH13" s="13"/>
      <c r="QI13" s="13"/>
      <c r="QJ13" s="13"/>
      <c r="QK13" s="13"/>
      <c r="QL13" s="13"/>
      <c r="QM13" s="13"/>
      <c r="QN13" s="13"/>
      <c r="QO13" s="13"/>
      <c r="QP13" s="13"/>
      <c r="QQ13" s="13"/>
      <c r="QR13" s="13"/>
      <c r="QS13" s="13"/>
      <c r="QT13" s="13"/>
      <c r="QU13" s="13"/>
      <c r="QV13" s="13"/>
      <c r="QW13" s="13"/>
      <c r="QX13" s="13"/>
      <c r="QY13" s="13"/>
      <c r="QZ13" s="13"/>
      <c r="RA13" s="13"/>
      <c r="RB13" s="13"/>
      <c r="RC13" s="13"/>
      <c r="RD13" s="13"/>
      <c r="RE13" s="13"/>
      <c r="RF13" s="13"/>
      <c r="RG13" s="13"/>
      <c r="RH13" s="13"/>
      <c r="RI13" s="13"/>
      <c r="RJ13" s="13"/>
      <c r="RK13" s="13"/>
      <c r="RL13" s="13"/>
      <c r="RM13" s="13"/>
      <c r="RN13" s="13"/>
      <c r="RO13" s="13"/>
      <c r="RP13" s="13"/>
      <c r="RQ13" s="13"/>
      <c r="RR13" s="13"/>
      <c r="RS13" s="13"/>
      <c r="RT13" s="13"/>
      <c r="RU13" s="13"/>
      <c r="RV13" s="13"/>
      <c r="RW13" s="13"/>
      <c r="RX13" s="13"/>
      <c r="RY13" s="13"/>
      <c r="RZ13" s="13"/>
      <c r="SA13" s="13"/>
      <c r="SB13" s="13"/>
      <c r="SC13" s="13"/>
      <c r="SD13" s="13"/>
      <c r="SE13" s="13"/>
      <c r="SF13" s="13"/>
      <c r="SG13" s="13"/>
      <c r="SH13" s="13"/>
      <c r="SI13" s="13"/>
      <c r="SJ13" s="13"/>
      <c r="SK13" s="13"/>
      <c r="SL13" s="13"/>
      <c r="SM13" s="13"/>
      <c r="SN13" s="13"/>
      <c r="SO13" s="13"/>
      <c r="SP13" s="13"/>
      <c r="SQ13" s="13"/>
      <c r="SR13" s="13"/>
      <c r="SS13" s="13"/>
      <c r="ST13" s="13"/>
      <c r="SU13" s="13"/>
      <c r="SV13" s="13"/>
      <c r="SW13" s="13"/>
      <c r="SX13" s="13"/>
      <c r="SY13" s="13"/>
      <c r="SZ13" s="13"/>
      <c r="TA13" s="13"/>
      <c r="TB13" s="13"/>
      <c r="TC13" s="13"/>
      <c r="TD13" s="13"/>
      <c r="TE13" s="13"/>
      <c r="TF13" s="13"/>
      <c r="TG13" s="13"/>
      <c r="TH13" s="13"/>
      <c r="TI13" s="13"/>
      <c r="TJ13" s="13"/>
      <c r="TK13" s="13"/>
      <c r="TL13" s="13"/>
      <c r="TM13" s="13"/>
      <c r="TN13" s="13"/>
    </row>
    <row r="14" spans="1:534" s="148" customFormat="1" ht="87.75" customHeight="1" x14ac:dyDescent="0.2">
      <c r="A14" s="168"/>
      <c r="B14" s="169"/>
      <c r="C14" s="168"/>
      <c r="D14" s="169"/>
      <c r="E14" s="154"/>
      <c r="F14" s="154"/>
      <c r="G14" s="147" t="s">
        <v>183</v>
      </c>
      <c r="H14" s="147" t="s">
        <v>184</v>
      </c>
      <c r="I14" s="147" t="s">
        <v>182</v>
      </c>
      <c r="J14" s="154"/>
      <c r="K14" s="147" t="s">
        <v>183</v>
      </c>
      <c r="L14" s="147" t="s">
        <v>184</v>
      </c>
      <c r="M14" s="147" t="s">
        <v>182</v>
      </c>
      <c r="N14" s="156"/>
      <c r="O14" s="154"/>
      <c r="P14" s="154"/>
      <c r="Q14" s="154"/>
      <c r="R14" s="147" t="s">
        <v>183</v>
      </c>
      <c r="S14" s="147" t="s">
        <v>184</v>
      </c>
      <c r="T14" s="154"/>
      <c r="U14" s="154"/>
      <c r="V14" s="154"/>
      <c r="W14" s="154"/>
      <c r="X14" s="147" t="s">
        <v>183</v>
      </c>
      <c r="Y14" s="147" t="s">
        <v>184</v>
      </c>
      <c r="Z14" s="154"/>
      <c r="AA14" s="156"/>
      <c r="AB14" s="154"/>
      <c r="AC14" s="155"/>
      <c r="AD14" s="174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  <c r="IV14" s="13"/>
      <c r="IW14" s="13"/>
      <c r="IX14" s="13"/>
      <c r="IY14" s="13"/>
      <c r="IZ14" s="13"/>
      <c r="JA14" s="13"/>
      <c r="JB14" s="13"/>
      <c r="JC14" s="13"/>
      <c r="JD14" s="13"/>
      <c r="JE14" s="13"/>
      <c r="JF14" s="13"/>
      <c r="JG14" s="13"/>
      <c r="JH14" s="13"/>
      <c r="JI14" s="13"/>
      <c r="JJ14" s="13"/>
      <c r="JK14" s="13"/>
      <c r="JL14" s="13"/>
      <c r="JM14" s="13"/>
      <c r="JN14" s="13"/>
      <c r="JO14" s="13"/>
      <c r="JP14" s="13"/>
      <c r="JQ14" s="13"/>
      <c r="JR14" s="13"/>
      <c r="JS14" s="13"/>
      <c r="JT14" s="13"/>
      <c r="JU14" s="13"/>
      <c r="JV14" s="13"/>
      <c r="JW14" s="13"/>
      <c r="JX14" s="13"/>
      <c r="JY14" s="13"/>
      <c r="JZ14" s="13"/>
      <c r="KA14" s="13"/>
      <c r="KB14" s="13"/>
      <c r="KC14" s="13"/>
      <c r="KD14" s="13"/>
      <c r="KE14" s="13"/>
      <c r="KF14" s="13"/>
      <c r="KG14" s="13"/>
      <c r="KH14" s="13"/>
      <c r="KI14" s="13"/>
      <c r="KJ14" s="13"/>
      <c r="KK14" s="13"/>
      <c r="KL14" s="13"/>
      <c r="KM14" s="13"/>
      <c r="KN14" s="13"/>
      <c r="KO14" s="13"/>
      <c r="KP14" s="13"/>
      <c r="KQ14" s="13"/>
      <c r="KR14" s="13"/>
      <c r="KS14" s="13"/>
      <c r="KT14" s="13"/>
      <c r="KU14" s="13"/>
      <c r="KV14" s="13"/>
      <c r="KW14" s="13"/>
      <c r="KX14" s="13"/>
      <c r="KY14" s="13"/>
      <c r="KZ14" s="13"/>
      <c r="LA14" s="13"/>
      <c r="LB14" s="13"/>
      <c r="LC14" s="13"/>
      <c r="LD14" s="13"/>
      <c r="LE14" s="13"/>
      <c r="LF14" s="13"/>
      <c r="LG14" s="13"/>
      <c r="LH14" s="13"/>
      <c r="LI14" s="13"/>
      <c r="LJ14" s="13"/>
      <c r="LK14" s="13"/>
      <c r="LL14" s="13"/>
      <c r="LM14" s="13"/>
      <c r="LN14" s="13"/>
      <c r="LO14" s="13"/>
      <c r="LP14" s="13"/>
      <c r="LQ14" s="13"/>
      <c r="LR14" s="13"/>
      <c r="LS14" s="13"/>
      <c r="LT14" s="13"/>
      <c r="LU14" s="13"/>
      <c r="LV14" s="13"/>
      <c r="LW14" s="13"/>
      <c r="LX14" s="13"/>
      <c r="LY14" s="13"/>
      <c r="LZ14" s="13"/>
      <c r="MA14" s="13"/>
      <c r="MB14" s="13"/>
      <c r="MC14" s="13"/>
      <c r="MD14" s="13"/>
      <c r="ME14" s="13"/>
      <c r="MF14" s="13"/>
      <c r="MG14" s="13"/>
      <c r="MH14" s="13"/>
      <c r="MI14" s="13"/>
      <c r="MJ14" s="13"/>
      <c r="MK14" s="13"/>
      <c r="ML14" s="13"/>
      <c r="MM14" s="13"/>
      <c r="MN14" s="13"/>
      <c r="MO14" s="13"/>
      <c r="MP14" s="13"/>
      <c r="MQ14" s="13"/>
      <c r="MR14" s="13"/>
      <c r="MS14" s="13"/>
      <c r="MT14" s="13"/>
      <c r="MU14" s="13"/>
      <c r="MV14" s="13"/>
      <c r="MW14" s="13"/>
      <c r="MX14" s="13"/>
      <c r="MY14" s="13"/>
      <c r="MZ14" s="13"/>
      <c r="NA14" s="13"/>
      <c r="NB14" s="13"/>
      <c r="NC14" s="13"/>
      <c r="ND14" s="13"/>
      <c r="NE14" s="13"/>
      <c r="NF14" s="13"/>
      <c r="NG14" s="13"/>
      <c r="NH14" s="13"/>
      <c r="NI14" s="13"/>
      <c r="NJ14" s="13"/>
      <c r="NK14" s="13"/>
      <c r="NL14" s="13"/>
      <c r="NM14" s="13"/>
      <c r="NN14" s="13"/>
      <c r="NO14" s="13"/>
      <c r="NP14" s="13"/>
      <c r="NQ14" s="13"/>
      <c r="NR14" s="13"/>
      <c r="NS14" s="13"/>
      <c r="NT14" s="13"/>
      <c r="NU14" s="13"/>
      <c r="NV14" s="13"/>
      <c r="NW14" s="13"/>
      <c r="NX14" s="13"/>
      <c r="NY14" s="13"/>
      <c r="NZ14" s="13"/>
      <c r="OA14" s="13"/>
      <c r="OB14" s="13"/>
      <c r="OC14" s="13"/>
      <c r="OD14" s="13"/>
      <c r="OE14" s="13"/>
      <c r="OF14" s="13"/>
      <c r="OG14" s="13"/>
      <c r="OH14" s="13"/>
      <c r="OI14" s="13"/>
      <c r="OJ14" s="13"/>
      <c r="OK14" s="13"/>
      <c r="OL14" s="13"/>
      <c r="OM14" s="13"/>
      <c r="ON14" s="13"/>
      <c r="OO14" s="13"/>
      <c r="OP14" s="13"/>
      <c r="OQ14" s="13"/>
      <c r="OR14" s="13"/>
      <c r="OS14" s="13"/>
      <c r="OT14" s="13"/>
      <c r="OU14" s="13"/>
      <c r="OV14" s="13"/>
      <c r="OW14" s="13"/>
      <c r="OX14" s="13"/>
      <c r="OY14" s="13"/>
      <c r="OZ14" s="13"/>
      <c r="PA14" s="13"/>
      <c r="PB14" s="13"/>
      <c r="PC14" s="13"/>
      <c r="PD14" s="13"/>
      <c r="PE14" s="13"/>
      <c r="PF14" s="13"/>
      <c r="PG14" s="13"/>
      <c r="PH14" s="13"/>
      <c r="PI14" s="13"/>
      <c r="PJ14" s="13"/>
      <c r="PK14" s="13"/>
      <c r="PL14" s="13"/>
      <c r="PM14" s="13"/>
      <c r="PN14" s="13"/>
      <c r="PO14" s="13"/>
      <c r="PP14" s="13"/>
      <c r="PQ14" s="13"/>
      <c r="PR14" s="13"/>
      <c r="PS14" s="13"/>
      <c r="PT14" s="13"/>
      <c r="PU14" s="13"/>
      <c r="PV14" s="13"/>
      <c r="PW14" s="13"/>
      <c r="PX14" s="13"/>
      <c r="PY14" s="13"/>
      <c r="PZ14" s="13"/>
      <c r="QA14" s="13"/>
      <c r="QB14" s="13"/>
      <c r="QC14" s="13"/>
      <c r="QD14" s="13"/>
      <c r="QE14" s="13"/>
      <c r="QF14" s="13"/>
      <c r="QG14" s="13"/>
      <c r="QH14" s="13"/>
      <c r="QI14" s="13"/>
      <c r="QJ14" s="13"/>
      <c r="QK14" s="13"/>
      <c r="QL14" s="13"/>
      <c r="QM14" s="13"/>
      <c r="QN14" s="13"/>
      <c r="QO14" s="13"/>
      <c r="QP14" s="13"/>
      <c r="QQ14" s="13"/>
      <c r="QR14" s="13"/>
      <c r="QS14" s="13"/>
      <c r="QT14" s="13"/>
      <c r="QU14" s="13"/>
      <c r="QV14" s="13"/>
      <c r="QW14" s="13"/>
      <c r="QX14" s="13"/>
      <c r="QY14" s="13"/>
      <c r="QZ14" s="13"/>
      <c r="RA14" s="13"/>
      <c r="RB14" s="13"/>
      <c r="RC14" s="13"/>
      <c r="RD14" s="13"/>
      <c r="RE14" s="13"/>
      <c r="RF14" s="13"/>
      <c r="RG14" s="13"/>
      <c r="RH14" s="13"/>
      <c r="RI14" s="13"/>
      <c r="RJ14" s="13"/>
      <c r="RK14" s="13"/>
      <c r="RL14" s="13"/>
      <c r="RM14" s="13"/>
      <c r="RN14" s="13"/>
      <c r="RO14" s="13"/>
      <c r="RP14" s="13"/>
      <c r="RQ14" s="13"/>
      <c r="RR14" s="13"/>
      <c r="RS14" s="13"/>
      <c r="RT14" s="13"/>
      <c r="RU14" s="13"/>
      <c r="RV14" s="13"/>
      <c r="RW14" s="13"/>
      <c r="RX14" s="13"/>
      <c r="RY14" s="13"/>
      <c r="RZ14" s="13"/>
      <c r="SA14" s="13"/>
      <c r="SB14" s="13"/>
      <c r="SC14" s="13"/>
      <c r="SD14" s="13"/>
      <c r="SE14" s="13"/>
      <c r="SF14" s="13"/>
      <c r="SG14" s="13"/>
      <c r="SH14" s="13"/>
      <c r="SI14" s="13"/>
      <c r="SJ14" s="13"/>
      <c r="SK14" s="13"/>
      <c r="SL14" s="13"/>
      <c r="SM14" s="13"/>
      <c r="SN14" s="13"/>
      <c r="SO14" s="13"/>
      <c r="SP14" s="13"/>
      <c r="SQ14" s="13"/>
      <c r="SR14" s="13"/>
      <c r="SS14" s="13"/>
      <c r="ST14" s="13"/>
      <c r="SU14" s="13"/>
      <c r="SV14" s="13"/>
      <c r="SW14" s="13"/>
      <c r="SX14" s="13"/>
      <c r="SY14" s="13"/>
      <c r="SZ14" s="13"/>
      <c r="TA14" s="13"/>
      <c r="TB14" s="13"/>
      <c r="TC14" s="13"/>
      <c r="TD14" s="13"/>
      <c r="TE14" s="13"/>
      <c r="TF14" s="13"/>
      <c r="TG14" s="13"/>
      <c r="TH14" s="13"/>
      <c r="TI14" s="13"/>
      <c r="TJ14" s="13"/>
      <c r="TK14" s="13"/>
      <c r="TL14" s="13"/>
      <c r="TM14" s="13"/>
      <c r="TN14" s="13"/>
    </row>
    <row r="15" spans="1:534" s="17" customFormat="1" ht="32.25" customHeight="1" x14ac:dyDescent="0.25">
      <c r="A15" s="14" t="s">
        <v>122</v>
      </c>
      <c r="B15" s="149"/>
      <c r="C15" s="14"/>
      <c r="D15" s="15" t="s">
        <v>29</v>
      </c>
      <c r="E15" s="16">
        <f t="shared" ref="E15:AC15" si="0">E16</f>
        <v>534953532</v>
      </c>
      <c r="F15" s="16">
        <f t="shared" si="0"/>
        <v>374429732</v>
      </c>
      <c r="G15" s="16">
        <f t="shared" si="0"/>
        <v>202157150</v>
      </c>
      <c r="H15" s="16">
        <f t="shared" si="0"/>
        <v>16534320</v>
      </c>
      <c r="I15" s="16">
        <f t="shared" si="0"/>
        <v>160523800</v>
      </c>
      <c r="J15" s="16">
        <f t="shared" si="0"/>
        <v>135319813.83999997</v>
      </c>
      <c r="K15" s="16">
        <f t="shared" si="0"/>
        <v>48740428.609999992</v>
      </c>
      <c r="L15" s="16">
        <f t="shared" si="0"/>
        <v>4505515.5200000005</v>
      </c>
      <c r="M15" s="16">
        <f t="shared" si="0"/>
        <v>47759000</v>
      </c>
      <c r="N15" s="101">
        <f>J15/E15*100</f>
        <v>25.295620225945154</v>
      </c>
      <c r="O15" s="16">
        <f t="shared" si="0"/>
        <v>1811776.6</v>
      </c>
      <c r="P15" s="16">
        <f t="shared" si="0"/>
        <v>0</v>
      </c>
      <c r="Q15" s="16">
        <f t="shared" si="0"/>
        <v>1531776.6</v>
      </c>
      <c r="R15" s="16">
        <f t="shared" si="0"/>
        <v>373472</v>
      </c>
      <c r="S15" s="16">
        <f t="shared" si="0"/>
        <v>53748</v>
      </c>
      <c r="T15" s="16">
        <f t="shared" si="0"/>
        <v>280000</v>
      </c>
      <c r="U15" s="16">
        <f t="shared" si="0"/>
        <v>22931386.119999997</v>
      </c>
      <c r="V15" s="16">
        <f t="shared" si="0"/>
        <v>0</v>
      </c>
      <c r="W15" s="16">
        <f t="shared" si="0"/>
        <v>18350165.579999998</v>
      </c>
      <c r="X15" s="16">
        <f t="shared" si="0"/>
        <v>96912.36</v>
      </c>
      <c r="Y15" s="16">
        <f t="shared" si="0"/>
        <v>1171.58</v>
      </c>
      <c r="Z15" s="16">
        <f t="shared" si="0"/>
        <v>4581220.54</v>
      </c>
      <c r="AA15" s="101" t="s">
        <v>520</v>
      </c>
      <c r="AB15" s="16">
        <f>J15+U15</f>
        <v>158251199.95999998</v>
      </c>
      <c r="AC15" s="16">
        <f t="shared" si="0"/>
        <v>536765308.60000002</v>
      </c>
      <c r="AD15" s="174"/>
    </row>
    <row r="16" spans="1:534" s="22" customFormat="1" ht="32.25" customHeight="1" x14ac:dyDescent="0.25">
      <c r="A16" s="18" t="s">
        <v>123</v>
      </c>
      <c r="B16" s="19"/>
      <c r="C16" s="18"/>
      <c r="D16" s="20" t="s">
        <v>29</v>
      </c>
      <c r="E16" s="21">
        <f>E17+E18+E19+E20+E21+E23+E24+E25+E26+E28+E29+E30+E31+E39+E40+E41+E42+E43+E44+E47+E49+E22+E45+E37+E27+E48+E32+E33+E34+E35+E38+E46+E36</f>
        <v>534953532</v>
      </c>
      <c r="F16" s="21">
        <f t="shared" ref="F16:Z16" si="1">F17+F18+F19+F20+F21+F23+F24+F25+F26+F28+F29+F30+F31+F39+F40+F41+F42+F43+F44+F47+F49+F22+F45+F37+F27+F48+F32+F33+F34+F35+F38+F46+F36</f>
        <v>374429732</v>
      </c>
      <c r="G16" s="21">
        <f t="shared" si="1"/>
        <v>202157150</v>
      </c>
      <c r="H16" s="21">
        <f t="shared" si="1"/>
        <v>16534320</v>
      </c>
      <c r="I16" s="21">
        <f t="shared" si="1"/>
        <v>160523800</v>
      </c>
      <c r="J16" s="21">
        <f t="shared" si="1"/>
        <v>135319813.83999997</v>
      </c>
      <c r="K16" s="21">
        <f t="shared" si="1"/>
        <v>48740428.609999992</v>
      </c>
      <c r="L16" s="21">
        <f t="shared" si="1"/>
        <v>4505515.5200000005</v>
      </c>
      <c r="M16" s="21">
        <f t="shared" ref="M16" si="2">M17+M18+M19+M20+M21+M23+M24+M25+M26+M28+M29+M30+M31+M39+M40+M41+M42+M43+M44+M47+M49+M22+M45+M37+M27+M48+M32+M33+M34+M35+M38+M46+M36</f>
        <v>47759000</v>
      </c>
      <c r="N16" s="102">
        <f t="shared" ref="N16:N79" si="3">J16/E16*100</f>
        <v>25.295620225945154</v>
      </c>
      <c r="O16" s="21">
        <f t="shared" si="1"/>
        <v>1811776.6</v>
      </c>
      <c r="P16" s="21">
        <f t="shared" si="1"/>
        <v>0</v>
      </c>
      <c r="Q16" s="21">
        <f t="shared" si="1"/>
        <v>1531776.6</v>
      </c>
      <c r="R16" s="21">
        <f t="shared" si="1"/>
        <v>373472</v>
      </c>
      <c r="S16" s="21">
        <f t="shared" si="1"/>
        <v>53748</v>
      </c>
      <c r="T16" s="21">
        <f t="shared" si="1"/>
        <v>280000</v>
      </c>
      <c r="U16" s="21">
        <f t="shared" si="1"/>
        <v>22931386.119999997</v>
      </c>
      <c r="V16" s="21">
        <f t="shared" si="1"/>
        <v>0</v>
      </c>
      <c r="W16" s="21">
        <f t="shared" si="1"/>
        <v>18350165.579999998</v>
      </c>
      <c r="X16" s="21">
        <f t="shared" si="1"/>
        <v>96912.36</v>
      </c>
      <c r="Y16" s="21">
        <f t="shared" si="1"/>
        <v>1171.58</v>
      </c>
      <c r="Z16" s="21">
        <f t="shared" si="1"/>
        <v>4581220.54</v>
      </c>
      <c r="AA16" s="102" t="s">
        <v>520</v>
      </c>
      <c r="AB16" s="21">
        <f t="shared" ref="AB16:AB79" si="4">J16+U16</f>
        <v>158251199.95999998</v>
      </c>
      <c r="AC16" s="21">
        <f t="shared" ref="AC16" si="5">AC17+AC18+AC19+AC20+AC21+AC23+AC24+AC25+AC26+AC28+AC29+AC30+AC31+AC39+AC40+AC41+AC42+AC43+AC44+AC47+AC49+AC22+AC45+AC37+AC27+AC48+AC32+AC33+AC34+AC35+AC38+AC46+AC36</f>
        <v>536765308.60000002</v>
      </c>
      <c r="AD16" s="174"/>
      <c r="AE16" s="17"/>
    </row>
    <row r="17" spans="1:31" s="27" customFormat="1" ht="51.75" customHeight="1" x14ac:dyDescent="0.25">
      <c r="A17" s="23" t="s">
        <v>124</v>
      </c>
      <c r="B17" s="24" t="str">
        <f>'дод 5'!A15</f>
        <v>0160</v>
      </c>
      <c r="C17" s="23" t="str">
        <f>'дод 5'!B15</f>
        <v>0111</v>
      </c>
      <c r="D17" s="25" t="str">
        <f>'дод 5'!C15</f>
        <v>Керівництво і управління у відповідній сфері у містах (місті Києві), селищах, селах, територіальних громадах</v>
      </c>
      <c r="E17" s="26">
        <f>F17+I17</f>
        <v>228352031</v>
      </c>
      <c r="F17" s="26">
        <f>215799100+460513+379408+286840+383760+173310+580800+335500</f>
        <v>218399231</v>
      </c>
      <c r="G17" s="26">
        <f>164387200+310990+314560+275000</f>
        <v>165287750</v>
      </c>
      <c r="H17" s="26">
        <f>6223700+173310</f>
        <v>6397010</v>
      </c>
      <c r="I17" s="26">
        <v>9952800</v>
      </c>
      <c r="J17" s="26">
        <v>62411798.600000001</v>
      </c>
      <c r="K17" s="26">
        <v>40351142.909999996</v>
      </c>
      <c r="L17" s="26">
        <v>2187521.59</v>
      </c>
      <c r="M17" s="26">
        <v>9810000</v>
      </c>
      <c r="N17" s="103">
        <f>J17/E17*100</f>
        <v>27.331396321147679</v>
      </c>
      <c r="O17" s="26">
        <f>Q17+T17</f>
        <v>0</v>
      </c>
      <c r="P17" s="26"/>
      <c r="Q17" s="26"/>
      <c r="R17" s="26"/>
      <c r="S17" s="26"/>
      <c r="T17" s="26"/>
      <c r="U17" s="26">
        <f t="shared" ref="U17:U79" si="6">W17+Z17</f>
        <v>22380771.919999998</v>
      </c>
      <c r="V17" s="26"/>
      <c r="W17" s="26">
        <v>17975039.379999999</v>
      </c>
      <c r="X17" s="26"/>
      <c r="Y17" s="26"/>
      <c r="Z17" s="26">
        <v>4405732.54</v>
      </c>
      <c r="AA17" s="103"/>
      <c r="AB17" s="26">
        <f t="shared" si="4"/>
        <v>84792570.519999996</v>
      </c>
      <c r="AC17" s="26">
        <f>E17+O17</f>
        <v>228352031</v>
      </c>
      <c r="AD17" s="174"/>
      <c r="AE17" s="17"/>
    </row>
    <row r="18" spans="1:31" s="27" customFormat="1" ht="27.75" customHeight="1" x14ac:dyDescent="0.25">
      <c r="A18" s="23" t="s">
        <v>193</v>
      </c>
      <c r="B18" s="24" t="str">
        <f>'дод 5'!A16</f>
        <v>0180</v>
      </c>
      <c r="C18" s="23" t="str">
        <f>'дод 5'!B16</f>
        <v>0133</v>
      </c>
      <c r="D18" s="25" t="str">
        <f>'дод 5'!C16</f>
        <v>Інша діяльність у сфері державного управління</v>
      </c>
      <c r="E18" s="26">
        <f t="shared" ref="E18:E47" si="7">F18+I18</f>
        <v>2929000</v>
      </c>
      <c r="F18" s="26">
        <v>2929000</v>
      </c>
      <c r="G18" s="26"/>
      <c r="H18" s="26"/>
      <c r="I18" s="26"/>
      <c r="J18" s="26">
        <v>55920</v>
      </c>
      <c r="K18" s="26"/>
      <c r="L18" s="26"/>
      <c r="M18" s="26"/>
      <c r="N18" s="103">
        <f t="shared" si="3"/>
        <v>1.909184021850461</v>
      </c>
      <c r="O18" s="26">
        <f t="shared" ref="O18" si="8">Q18+T18</f>
        <v>0</v>
      </c>
      <c r="P18" s="26"/>
      <c r="Q18" s="26"/>
      <c r="R18" s="26"/>
      <c r="S18" s="26"/>
      <c r="T18" s="26"/>
      <c r="U18" s="26">
        <f t="shared" si="6"/>
        <v>0</v>
      </c>
      <c r="V18" s="26"/>
      <c r="W18" s="26"/>
      <c r="X18" s="26"/>
      <c r="Y18" s="26"/>
      <c r="Z18" s="26"/>
      <c r="AA18" s="103"/>
      <c r="AB18" s="26">
        <f t="shared" si="4"/>
        <v>55920</v>
      </c>
      <c r="AC18" s="26">
        <f t="shared" ref="AC18:AC49" si="9">E18+O18</f>
        <v>2929000</v>
      </c>
      <c r="AD18" s="174"/>
      <c r="AE18" s="17"/>
    </row>
    <row r="19" spans="1:31" s="27" customFormat="1" ht="53.25" customHeight="1" x14ac:dyDescent="0.25">
      <c r="A19" s="23" t="s">
        <v>205</v>
      </c>
      <c r="B19" s="24" t="str">
        <f>'дод 5'!A58</f>
        <v>3033</v>
      </c>
      <c r="C19" s="23" t="str">
        <f>'дод 5'!B58</f>
        <v>1070</v>
      </c>
      <c r="D19" s="25" t="s">
        <v>272</v>
      </c>
      <c r="E19" s="26">
        <f t="shared" si="7"/>
        <v>555700</v>
      </c>
      <c r="F19" s="26">
        <v>555700</v>
      </c>
      <c r="G19" s="26"/>
      <c r="H19" s="26"/>
      <c r="I19" s="26"/>
      <c r="J19" s="26"/>
      <c r="K19" s="26"/>
      <c r="L19" s="26"/>
      <c r="M19" s="26"/>
      <c r="N19" s="103">
        <f t="shared" si="3"/>
        <v>0</v>
      </c>
      <c r="O19" s="26">
        <f t="shared" ref="O19:O49" si="10">Q19+T19</f>
        <v>0</v>
      </c>
      <c r="P19" s="26"/>
      <c r="Q19" s="26"/>
      <c r="R19" s="26"/>
      <c r="S19" s="26"/>
      <c r="T19" s="26"/>
      <c r="U19" s="26">
        <f t="shared" si="6"/>
        <v>0</v>
      </c>
      <c r="V19" s="26"/>
      <c r="W19" s="26"/>
      <c r="X19" s="26"/>
      <c r="Y19" s="26"/>
      <c r="Z19" s="26"/>
      <c r="AA19" s="103"/>
      <c r="AB19" s="26">
        <f t="shared" si="4"/>
        <v>0</v>
      </c>
      <c r="AC19" s="26">
        <f t="shared" si="9"/>
        <v>555700</v>
      </c>
      <c r="AD19" s="174"/>
      <c r="AE19" s="17"/>
    </row>
    <row r="20" spans="1:31" s="27" customFormat="1" ht="41.25" customHeight="1" x14ac:dyDescent="0.25">
      <c r="A20" s="23" t="s">
        <v>125</v>
      </c>
      <c r="B20" s="24" t="str">
        <f>'дод 5'!A60</f>
        <v>3036</v>
      </c>
      <c r="C20" s="23" t="str">
        <f>'дод 5'!B60</f>
        <v>1070</v>
      </c>
      <c r="D20" s="25" t="str">
        <f>'дод 5'!C60</f>
        <v>Компенсаційні виплати на пільговий проїзд електротранспортом окремим категоріям громадян</v>
      </c>
      <c r="E20" s="26">
        <f t="shared" si="7"/>
        <v>966300</v>
      </c>
      <c r="F20" s="26">
        <v>966300</v>
      </c>
      <c r="G20" s="26"/>
      <c r="H20" s="26"/>
      <c r="I20" s="26"/>
      <c r="J20" s="26"/>
      <c r="K20" s="26"/>
      <c r="L20" s="26"/>
      <c r="M20" s="26"/>
      <c r="N20" s="103">
        <f t="shared" si="3"/>
        <v>0</v>
      </c>
      <c r="O20" s="26">
        <f t="shared" si="10"/>
        <v>0</v>
      </c>
      <c r="P20" s="26"/>
      <c r="Q20" s="26"/>
      <c r="R20" s="26"/>
      <c r="S20" s="26"/>
      <c r="T20" s="26"/>
      <c r="U20" s="26">
        <f t="shared" si="6"/>
        <v>0</v>
      </c>
      <c r="V20" s="26"/>
      <c r="W20" s="26"/>
      <c r="X20" s="26"/>
      <c r="Y20" s="26"/>
      <c r="Z20" s="26"/>
      <c r="AA20" s="103"/>
      <c r="AB20" s="26">
        <f t="shared" si="4"/>
        <v>0</v>
      </c>
      <c r="AC20" s="26">
        <f t="shared" si="9"/>
        <v>966300</v>
      </c>
      <c r="AD20" s="174"/>
      <c r="AE20" s="17"/>
    </row>
    <row r="21" spans="1:31" s="27" customFormat="1" ht="54" customHeight="1" x14ac:dyDescent="0.25">
      <c r="A21" s="23" t="s">
        <v>126</v>
      </c>
      <c r="B21" s="24" t="str">
        <f>'дод 5'!A67</f>
        <v>3131</v>
      </c>
      <c r="C21" s="23" t="str">
        <f>'дод 5'!B67</f>
        <v>1040</v>
      </c>
      <c r="D21" s="25" t="str">
        <f>'дод 5'!C67</f>
        <v>Здійснення заходів та реалізація проектів на виконання Державної цільової соціальної програми "Молодь України"</v>
      </c>
      <c r="E21" s="26">
        <f t="shared" si="7"/>
        <v>410000</v>
      </c>
      <c r="F21" s="26">
        <v>410000</v>
      </c>
      <c r="G21" s="26"/>
      <c r="H21" s="26"/>
      <c r="I21" s="26"/>
      <c r="J21" s="26">
        <v>4500</v>
      </c>
      <c r="K21" s="26"/>
      <c r="L21" s="26"/>
      <c r="M21" s="26"/>
      <c r="N21" s="103">
        <f t="shared" si="3"/>
        <v>1.097560975609756</v>
      </c>
      <c r="O21" s="26">
        <f t="shared" si="10"/>
        <v>0</v>
      </c>
      <c r="P21" s="26"/>
      <c r="Q21" s="26"/>
      <c r="R21" s="26"/>
      <c r="S21" s="26"/>
      <c r="T21" s="26"/>
      <c r="U21" s="26">
        <f t="shared" si="6"/>
        <v>0</v>
      </c>
      <c r="V21" s="26"/>
      <c r="W21" s="26"/>
      <c r="X21" s="26"/>
      <c r="Y21" s="26"/>
      <c r="Z21" s="26"/>
      <c r="AA21" s="103"/>
      <c r="AB21" s="26">
        <f t="shared" si="4"/>
        <v>4500</v>
      </c>
      <c r="AC21" s="26">
        <f t="shared" si="9"/>
        <v>410000</v>
      </c>
      <c r="AD21" s="174"/>
      <c r="AE21" s="17"/>
    </row>
    <row r="22" spans="1:31" s="27" customFormat="1" ht="51.75" customHeight="1" x14ac:dyDescent="0.25">
      <c r="A22" s="23" t="s">
        <v>303</v>
      </c>
      <c r="B22" s="24">
        <f>'дод 5'!A68</f>
        <v>3133</v>
      </c>
      <c r="C22" s="23">
        <f>'дод 5'!B68</f>
        <v>1040</v>
      </c>
      <c r="D22" s="28" t="str">
        <f>'дод 5'!C68</f>
        <v>Забезпечення молодіжними центрами соціального
становлення та розвитку молоді та інші заходи у
сфері молодіжної політики</v>
      </c>
      <c r="E22" s="26">
        <f t="shared" si="7"/>
        <v>6033800</v>
      </c>
      <c r="F22" s="26">
        <v>6033800</v>
      </c>
      <c r="G22" s="26">
        <v>3646600</v>
      </c>
      <c r="H22" s="26">
        <v>780600</v>
      </c>
      <c r="I22" s="26"/>
      <c r="J22" s="26">
        <v>1326254.19</v>
      </c>
      <c r="K22" s="26">
        <v>781687.22</v>
      </c>
      <c r="L22" s="26">
        <v>224444.49</v>
      </c>
      <c r="M22" s="26"/>
      <c r="N22" s="103">
        <f t="shared" si="3"/>
        <v>21.980413503927874</v>
      </c>
      <c r="O22" s="26">
        <f t="shared" si="10"/>
        <v>10000</v>
      </c>
      <c r="P22" s="26"/>
      <c r="Q22" s="26">
        <v>10000</v>
      </c>
      <c r="R22" s="26">
        <v>2000</v>
      </c>
      <c r="S22" s="26">
        <f>800+2880+130</f>
        <v>3810</v>
      </c>
      <c r="T22" s="26"/>
      <c r="U22" s="26">
        <f t="shared" si="6"/>
        <v>0</v>
      </c>
      <c r="V22" s="26"/>
      <c r="W22" s="26"/>
      <c r="X22" s="26"/>
      <c r="Y22" s="26"/>
      <c r="Z22" s="26"/>
      <c r="AA22" s="103">
        <f t="shared" ref="AA22:AA76" si="11">U22/O22*100</f>
        <v>0</v>
      </c>
      <c r="AB22" s="26">
        <f t="shared" si="4"/>
        <v>1326254.19</v>
      </c>
      <c r="AC22" s="26">
        <f t="shared" si="9"/>
        <v>6043800</v>
      </c>
      <c r="AD22" s="174"/>
      <c r="AE22" s="17"/>
    </row>
    <row r="23" spans="1:31" s="27" customFormat="1" ht="39.75" customHeight="1" x14ac:dyDescent="0.25">
      <c r="A23" s="23" t="s">
        <v>230</v>
      </c>
      <c r="B23" s="24" t="str">
        <f>'дод 5'!A78</f>
        <v>3242</v>
      </c>
      <c r="C23" s="23" t="str">
        <f>'дод 5'!B78</f>
        <v>1090</v>
      </c>
      <c r="D23" s="25" t="s">
        <v>273</v>
      </c>
      <c r="E23" s="26">
        <f t="shared" si="7"/>
        <v>399360</v>
      </c>
      <c r="F23" s="26">
        <f>239650+159710</f>
        <v>399360</v>
      </c>
      <c r="G23" s="26"/>
      <c r="H23" s="26"/>
      <c r="I23" s="26"/>
      <c r="J23" s="26">
        <v>99840</v>
      </c>
      <c r="K23" s="26"/>
      <c r="L23" s="26"/>
      <c r="M23" s="26"/>
      <c r="N23" s="103">
        <f t="shared" si="3"/>
        <v>25</v>
      </c>
      <c r="O23" s="26">
        <f t="shared" si="10"/>
        <v>0</v>
      </c>
      <c r="P23" s="26"/>
      <c r="Q23" s="26"/>
      <c r="R23" s="26"/>
      <c r="S23" s="26"/>
      <c r="T23" s="26"/>
      <c r="U23" s="26">
        <f t="shared" si="6"/>
        <v>0</v>
      </c>
      <c r="V23" s="26"/>
      <c r="W23" s="26"/>
      <c r="X23" s="26"/>
      <c r="Y23" s="26"/>
      <c r="Z23" s="26"/>
      <c r="AA23" s="103"/>
      <c r="AB23" s="26">
        <f t="shared" si="4"/>
        <v>99840</v>
      </c>
      <c r="AC23" s="26">
        <f t="shared" si="9"/>
        <v>399360</v>
      </c>
      <c r="AD23" s="174"/>
      <c r="AE23" s="17"/>
    </row>
    <row r="24" spans="1:31" s="27" customFormat="1" ht="35.25" customHeight="1" x14ac:dyDescent="0.25">
      <c r="A24" s="23" t="s">
        <v>229</v>
      </c>
      <c r="B24" s="24" t="str">
        <f>'дод 5'!A82</f>
        <v>4081</v>
      </c>
      <c r="C24" s="23" t="str">
        <f>'дод 5'!B82</f>
        <v>0829</v>
      </c>
      <c r="D24" s="28" t="str">
        <f>'дод 5'!C82</f>
        <v>Забезпечення діяльності інших закладів в галузі культури і мистецтва</v>
      </c>
      <c r="E24" s="26">
        <f t="shared" si="7"/>
        <v>3258000</v>
      </c>
      <c r="F24" s="26">
        <v>3258000</v>
      </c>
      <c r="G24" s="26">
        <v>2176300</v>
      </c>
      <c r="H24" s="26">
        <f>261700+140</f>
        <v>261840</v>
      </c>
      <c r="I24" s="26"/>
      <c r="J24" s="26">
        <v>727256.18</v>
      </c>
      <c r="K24" s="26">
        <v>511578.93</v>
      </c>
      <c r="L24" s="26">
        <v>92834.27</v>
      </c>
      <c r="M24" s="26"/>
      <c r="N24" s="103">
        <f t="shared" si="3"/>
        <v>22.322166359729898</v>
      </c>
      <c r="O24" s="26">
        <f t="shared" si="10"/>
        <v>0</v>
      </c>
      <c r="P24" s="26"/>
      <c r="Q24" s="26"/>
      <c r="R24" s="26"/>
      <c r="S24" s="26"/>
      <c r="T24" s="26"/>
      <c r="U24" s="26">
        <f t="shared" si="6"/>
        <v>0</v>
      </c>
      <c r="V24" s="26"/>
      <c r="W24" s="26"/>
      <c r="X24" s="26"/>
      <c r="Y24" s="26"/>
      <c r="Z24" s="26"/>
      <c r="AA24" s="103"/>
      <c r="AB24" s="26">
        <f t="shared" si="4"/>
        <v>727256.18</v>
      </c>
      <c r="AC24" s="26">
        <f t="shared" si="9"/>
        <v>3258000</v>
      </c>
      <c r="AD24" s="174"/>
      <c r="AE24" s="17"/>
    </row>
    <row r="25" spans="1:31" s="27" customFormat="1" ht="36.75" customHeight="1" x14ac:dyDescent="0.25">
      <c r="A25" s="23" t="s">
        <v>127</v>
      </c>
      <c r="B25" s="24" t="str">
        <f>'дод 5'!A85</f>
        <v>5011</v>
      </c>
      <c r="C25" s="23" t="str">
        <f>'дод 5'!B85</f>
        <v>0810</v>
      </c>
      <c r="D25" s="25" t="str">
        <f>'дод 5'!C85</f>
        <v>Проведення навчально-тренувальних зборів і змагань з олімпійських видів спорту</v>
      </c>
      <c r="E25" s="26">
        <f t="shared" si="7"/>
        <v>1264000</v>
      </c>
      <c r="F25" s="26">
        <v>1264000</v>
      </c>
      <c r="G25" s="26"/>
      <c r="H25" s="26"/>
      <c r="I25" s="26"/>
      <c r="J25" s="26">
        <v>115528.8</v>
      </c>
      <c r="K25" s="26"/>
      <c r="L25" s="26"/>
      <c r="M25" s="26"/>
      <c r="N25" s="103">
        <f t="shared" si="3"/>
        <v>9.1399367088607608</v>
      </c>
      <c r="O25" s="26">
        <f>Q25+T25</f>
        <v>0</v>
      </c>
      <c r="P25" s="26"/>
      <c r="Q25" s="26"/>
      <c r="R25" s="26"/>
      <c r="S25" s="26"/>
      <c r="T25" s="26"/>
      <c r="U25" s="26">
        <f t="shared" si="6"/>
        <v>0</v>
      </c>
      <c r="V25" s="26"/>
      <c r="W25" s="26"/>
      <c r="X25" s="26"/>
      <c r="Y25" s="26"/>
      <c r="Z25" s="26"/>
      <c r="AA25" s="103"/>
      <c r="AB25" s="26">
        <f t="shared" si="4"/>
        <v>115528.8</v>
      </c>
      <c r="AC25" s="26">
        <f t="shared" si="9"/>
        <v>1264000</v>
      </c>
      <c r="AD25" s="174"/>
      <c r="AE25" s="17"/>
    </row>
    <row r="26" spans="1:31" s="27" customFormat="1" ht="34.5" customHeight="1" x14ac:dyDescent="0.25">
      <c r="A26" s="23" t="s">
        <v>128</v>
      </c>
      <c r="B26" s="24" t="str">
        <f>'дод 5'!A86</f>
        <v>5012</v>
      </c>
      <c r="C26" s="23" t="str">
        <f>'дод 5'!B86</f>
        <v>0810</v>
      </c>
      <c r="D26" s="25" t="str">
        <f>'дод 5'!C86</f>
        <v>Проведення навчально-тренувальних зборів і змагань з неолімпійських видів спорту</v>
      </c>
      <c r="E26" s="26">
        <f t="shared" si="7"/>
        <v>1264000</v>
      </c>
      <c r="F26" s="26">
        <v>1264000</v>
      </c>
      <c r="G26" s="26"/>
      <c r="H26" s="26"/>
      <c r="I26" s="26"/>
      <c r="J26" s="26">
        <v>122255.13</v>
      </c>
      <c r="K26" s="26"/>
      <c r="L26" s="26"/>
      <c r="M26" s="26"/>
      <c r="N26" s="103">
        <f t="shared" si="3"/>
        <v>9.6720830696202533</v>
      </c>
      <c r="O26" s="26">
        <f t="shared" si="10"/>
        <v>0</v>
      </c>
      <c r="P26" s="26"/>
      <c r="Q26" s="26"/>
      <c r="R26" s="26"/>
      <c r="S26" s="26"/>
      <c r="T26" s="26"/>
      <c r="U26" s="26">
        <f t="shared" si="6"/>
        <v>0</v>
      </c>
      <c r="V26" s="26"/>
      <c r="W26" s="26"/>
      <c r="X26" s="26"/>
      <c r="Y26" s="26"/>
      <c r="Z26" s="26"/>
      <c r="AA26" s="103"/>
      <c r="AB26" s="26">
        <f t="shared" si="4"/>
        <v>122255.13</v>
      </c>
      <c r="AC26" s="26">
        <f t="shared" si="9"/>
        <v>1264000</v>
      </c>
      <c r="AD26" s="174"/>
      <c r="AE26" s="17"/>
    </row>
    <row r="27" spans="1:31" s="27" customFormat="1" ht="34.5" customHeight="1" x14ac:dyDescent="0.25">
      <c r="A27" s="23" t="s">
        <v>394</v>
      </c>
      <c r="B27" s="24">
        <f>'дод 5'!A87</f>
        <v>5022</v>
      </c>
      <c r="C27" s="23" t="str">
        <f>'дод 5'!B87</f>
        <v>0810</v>
      </c>
      <c r="D27" s="28" t="str">
        <f>'дод 5'!C87</f>
        <v>Проведення навчально-тренувальних зборів і змагань та заходів зі спорту осіб з інвалідністю</v>
      </c>
      <c r="E27" s="26">
        <f t="shared" ref="E27" si="12">F27+I27</f>
        <v>300000</v>
      </c>
      <c r="F27" s="26">
        <v>300000</v>
      </c>
      <c r="G27" s="26"/>
      <c r="H27" s="26"/>
      <c r="I27" s="26"/>
      <c r="J27" s="26"/>
      <c r="K27" s="26"/>
      <c r="L27" s="26"/>
      <c r="M27" s="26"/>
      <c r="N27" s="103">
        <f t="shared" si="3"/>
        <v>0</v>
      </c>
      <c r="O27" s="26">
        <f t="shared" ref="O27" si="13">Q27+T27</f>
        <v>0</v>
      </c>
      <c r="P27" s="26"/>
      <c r="Q27" s="26"/>
      <c r="R27" s="26"/>
      <c r="S27" s="26"/>
      <c r="T27" s="26"/>
      <c r="U27" s="26">
        <f t="shared" si="6"/>
        <v>0</v>
      </c>
      <c r="V27" s="26"/>
      <c r="W27" s="26"/>
      <c r="X27" s="26"/>
      <c r="Y27" s="26"/>
      <c r="Z27" s="26"/>
      <c r="AA27" s="103"/>
      <c r="AB27" s="26">
        <f t="shared" si="4"/>
        <v>0</v>
      </c>
      <c r="AC27" s="26">
        <f t="shared" ref="AC27" si="14">E27+O27</f>
        <v>300000</v>
      </c>
      <c r="AD27" s="174"/>
      <c r="AE27" s="17"/>
    </row>
    <row r="28" spans="1:31" s="27" customFormat="1" ht="52.5" customHeight="1" x14ac:dyDescent="0.25">
      <c r="A28" s="23" t="s">
        <v>129</v>
      </c>
      <c r="B28" s="24" t="str">
        <f>'дод 5'!A88</f>
        <v>5031</v>
      </c>
      <c r="C28" s="23" t="str">
        <f>'дод 5'!B88</f>
        <v>0810</v>
      </c>
      <c r="D28" s="25" t="str">
        <f>'дод 5'!C88</f>
        <v>Розвиток здібностей у дітей та молоді з фізичної
культури та спорту комунальними дитячо-юнацькими спортивними школами</v>
      </c>
      <c r="E28" s="26">
        <f t="shared" si="7"/>
        <v>29742100</v>
      </c>
      <c r="F28" s="26">
        <v>29742100</v>
      </c>
      <c r="G28" s="26">
        <v>21108000</v>
      </c>
      <c r="H28" s="26">
        <f>1899300+310</f>
        <v>1899610</v>
      </c>
      <c r="I28" s="26"/>
      <c r="J28" s="26">
        <v>6794713.5599999996</v>
      </c>
      <c r="K28" s="26">
        <v>4809664.4400000004</v>
      </c>
      <c r="L28" s="26">
        <v>628900.17000000004</v>
      </c>
      <c r="M28" s="26"/>
      <c r="N28" s="103">
        <f t="shared" si="3"/>
        <v>22.845439831081194</v>
      </c>
      <c r="O28" s="26">
        <f t="shared" si="10"/>
        <v>0</v>
      </c>
      <c r="P28" s="26"/>
      <c r="Q28" s="26"/>
      <c r="R28" s="26"/>
      <c r="S28" s="26"/>
      <c r="T28" s="26"/>
      <c r="U28" s="26">
        <f t="shared" si="6"/>
        <v>0</v>
      </c>
      <c r="V28" s="26"/>
      <c r="W28" s="26"/>
      <c r="X28" s="26"/>
      <c r="Y28" s="26"/>
      <c r="Z28" s="26"/>
      <c r="AA28" s="103"/>
      <c r="AB28" s="26">
        <f t="shared" si="4"/>
        <v>6794713.5599999996</v>
      </c>
      <c r="AC28" s="26">
        <f t="shared" si="9"/>
        <v>29742100</v>
      </c>
      <c r="AD28" s="174"/>
      <c r="AE28" s="17"/>
    </row>
    <row r="29" spans="1:31" s="27" customFormat="1" ht="38.25" customHeight="1" x14ac:dyDescent="0.25">
      <c r="A29" s="23" t="s">
        <v>265</v>
      </c>
      <c r="B29" s="24" t="str">
        <f>'дод 5'!A89</f>
        <v>5032</v>
      </c>
      <c r="C29" s="23" t="str">
        <f>'дод 5'!B89</f>
        <v>0810</v>
      </c>
      <c r="D29" s="25" t="str">
        <f>'дод 5'!C89</f>
        <v>Фінансова підтримка дитячо-юнацьких спортивних шкіл фізкультурно-спортивних товариств</v>
      </c>
      <c r="E29" s="26">
        <f t="shared" si="7"/>
        <v>22028100</v>
      </c>
      <c r="F29" s="26">
        <v>22028100</v>
      </c>
      <c r="G29" s="26"/>
      <c r="H29" s="26"/>
      <c r="I29" s="26"/>
      <c r="J29" s="26">
        <v>5046731.88</v>
      </c>
      <c r="K29" s="26"/>
      <c r="L29" s="26"/>
      <c r="M29" s="26"/>
      <c r="N29" s="103">
        <f t="shared" si="3"/>
        <v>22.910427499421193</v>
      </c>
      <c r="O29" s="26">
        <f t="shared" si="10"/>
        <v>0</v>
      </c>
      <c r="P29" s="26"/>
      <c r="Q29" s="26"/>
      <c r="R29" s="26"/>
      <c r="S29" s="26"/>
      <c r="T29" s="26"/>
      <c r="U29" s="26">
        <f t="shared" si="6"/>
        <v>0</v>
      </c>
      <c r="V29" s="26"/>
      <c r="W29" s="26"/>
      <c r="X29" s="26"/>
      <c r="Y29" s="26"/>
      <c r="Z29" s="26"/>
      <c r="AA29" s="103"/>
      <c r="AB29" s="26">
        <f t="shared" si="4"/>
        <v>5046731.88</v>
      </c>
      <c r="AC29" s="26">
        <f t="shared" si="9"/>
        <v>22028100</v>
      </c>
      <c r="AD29" s="174"/>
      <c r="AE29" s="17"/>
    </row>
    <row r="30" spans="1:31" s="27" customFormat="1" ht="64.5" customHeight="1" x14ac:dyDescent="0.25">
      <c r="A30" s="23" t="s">
        <v>130</v>
      </c>
      <c r="B30" s="24" t="str">
        <f>'дод 5'!A90</f>
        <v>5061</v>
      </c>
      <c r="C30" s="23" t="str">
        <f>'дод 5'!B90</f>
        <v>0810</v>
      </c>
      <c r="D30" s="25" t="str">
        <f>'дод 5'!C90</f>
        <v xml:space="preserve"> Забезпечення діяльності місцевих центрів фізичного здоров'я населення та проведення фізкультурно-масових заходів серед населення регіону</v>
      </c>
      <c r="E30" s="26">
        <f t="shared" si="7"/>
        <v>10594726</v>
      </c>
      <c r="F30" s="26">
        <f>10089800+504926</f>
        <v>10594726</v>
      </c>
      <c r="G30" s="26">
        <v>5614000</v>
      </c>
      <c r="H30" s="26">
        <v>967800</v>
      </c>
      <c r="I30" s="26"/>
      <c r="J30" s="26">
        <v>2199758.2400000002</v>
      </c>
      <c r="K30" s="26">
        <v>1316015.73</v>
      </c>
      <c r="L30" s="26">
        <v>294883.08</v>
      </c>
      <c r="M30" s="26"/>
      <c r="N30" s="103">
        <f t="shared" si="3"/>
        <v>20.762766682215286</v>
      </c>
      <c r="O30" s="26">
        <f t="shared" si="10"/>
        <v>615600</v>
      </c>
      <c r="P30" s="26"/>
      <c r="Q30" s="26">
        <v>615600</v>
      </c>
      <c r="R30" s="26">
        <v>371472</v>
      </c>
      <c r="S30" s="26">
        <v>48438</v>
      </c>
      <c r="T30" s="26"/>
      <c r="U30" s="26">
        <f t="shared" si="6"/>
        <v>155126.20000000001</v>
      </c>
      <c r="V30" s="26"/>
      <c r="W30" s="26">
        <v>155126.20000000001</v>
      </c>
      <c r="X30" s="26">
        <v>96912.36</v>
      </c>
      <c r="Y30" s="26">
        <v>1171.58</v>
      </c>
      <c r="Z30" s="26"/>
      <c r="AA30" s="103">
        <f t="shared" si="11"/>
        <v>25.199187784275505</v>
      </c>
      <c r="AB30" s="26">
        <f t="shared" si="4"/>
        <v>2354884.4400000004</v>
      </c>
      <c r="AC30" s="26">
        <f t="shared" si="9"/>
        <v>11210326</v>
      </c>
      <c r="AD30" s="174"/>
      <c r="AE30" s="17"/>
    </row>
    <row r="31" spans="1:31" s="27" customFormat="1" ht="51" customHeight="1" x14ac:dyDescent="0.25">
      <c r="A31" s="23" t="s">
        <v>261</v>
      </c>
      <c r="B31" s="24" t="str">
        <f>'дод 5'!A91</f>
        <v>5062</v>
      </c>
      <c r="C31" s="23" t="str">
        <f>'дод 5'!B91</f>
        <v>0810</v>
      </c>
      <c r="D31" s="25" t="str">
        <f>'дод 5'!C91</f>
        <v>Підтримка спорту вищих досягнень та організацій, які здійснюють фізкультурно-спортивну діяльність в регіоні</v>
      </c>
      <c r="E31" s="26">
        <f t="shared" si="7"/>
        <v>16198400</v>
      </c>
      <c r="F31" s="26">
        <v>16198400</v>
      </c>
      <c r="G31" s="26"/>
      <c r="H31" s="26"/>
      <c r="I31" s="26"/>
      <c r="J31" s="26">
        <v>3661502.57</v>
      </c>
      <c r="K31" s="26"/>
      <c r="L31" s="26"/>
      <c r="M31" s="26"/>
      <c r="N31" s="103">
        <f t="shared" si="3"/>
        <v>22.604100219774793</v>
      </c>
      <c r="O31" s="26">
        <f t="shared" si="10"/>
        <v>0</v>
      </c>
      <c r="P31" s="26"/>
      <c r="Q31" s="26"/>
      <c r="R31" s="26"/>
      <c r="S31" s="26"/>
      <c r="T31" s="26"/>
      <c r="U31" s="26">
        <f t="shared" si="6"/>
        <v>0</v>
      </c>
      <c r="V31" s="26"/>
      <c r="W31" s="26"/>
      <c r="X31" s="26"/>
      <c r="Y31" s="26"/>
      <c r="Z31" s="26"/>
      <c r="AA31" s="103"/>
      <c r="AB31" s="26">
        <f t="shared" si="4"/>
        <v>3661502.57</v>
      </c>
      <c r="AC31" s="26">
        <f t="shared" si="9"/>
        <v>16198400</v>
      </c>
      <c r="AD31" s="174"/>
      <c r="AE31" s="17"/>
    </row>
    <row r="32" spans="1:31" s="27" customFormat="1" ht="31.5" x14ac:dyDescent="0.25">
      <c r="A32" s="23" t="s">
        <v>405</v>
      </c>
      <c r="B32" s="24" t="str">
        <f>'дод 5'!A112</f>
        <v>7412</v>
      </c>
      <c r="C32" s="24" t="str">
        <f>'дод 5'!B112</f>
        <v>0451</v>
      </c>
      <c r="D32" s="28" t="str">
        <f>'дод 5'!C112</f>
        <v>Регулювання цін на послуги місцевого автотранспорту</v>
      </c>
      <c r="E32" s="26">
        <f t="shared" ref="E32:E33" si="15">F32+I32</f>
        <v>45672000</v>
      </c>
      <c r="F32" s="26"/>
      <c r="G32" s="26"/>
      <c r="H32" s="26"/>
      <c r="I32" s="26">
        <v>45672000</v>
      </c>
      <c r="J32" s="26">
        <v>9204000</v>
      </c>
      <c r="K32" s="26"/>
      <c r="L32" s="26"/>
      <c r="M32" s="26">
        <v>9204000</v>
      </c>
      <c r="N32" s="103">
        <f t="shared" si="3"/>
        <v>20.152390961639515</v>
      </c>
      <c r="O32" s="26">
        <f t="shared" ref="O32:O33" si="16">Q32+T32</f>
        <v>0</v>
      </c>
      <c r="P32" s="26"/>
      <c r="Q32" s="26"/>
      <c r="R32" s="26"/>
      <c r="S32" s="26"/>
      <c r="T32" s="26"/>
      <c r="U32" s="26">
        <f t="shared" si="6"/>
        <v>0</v>
      </c>
      <c r="V32" s="26"/>
      <c r="W32" s="26"/>
      <c r="X32" s="26"/>
      <c r="Y32" s="26"/>
      <c r="Z32" s="26"/>
      <c r="AA32" s="103"/>
      <c r="AB32" s="26">
        <f t="shared" si="4"/>
        <v>9204000</v>
      </c>
      <c r="AC32" s="26">
        <f t="shared" ref="AC32:AC33" si="17">E32+O32</f>
        <v>45672000</v>
      </c>
      <c r="AD32" s="174"/>
      <c r="AE32" s="17"/>
    </row>
    <row r="33" spans="1:31" s="27" customFormat="1" ht="3.75" hidden="1" customHeight="1" x14ac:dyDescent="0.25">
      <c r="A33" s="23" t="s">
        <v>406</v>
      </c>
      <c r="B33" s="24">
        <f>'дод 5'!A113</f>
        <v>7413</v>
      </c>
      <c r="C33" s="24" t="str">
        <f>'дод 5'!B113</f>
        <v>0451</v>
      </c>
      <c r="D33" s="28" t="str">
        <f>'дод 5'!C113</f>
        <v>Інші заходи у сфері автотранспорту</v>
      </c>
      <c r="E33" s="26">
        <f t="shared" si="15"/>
        <v>0</v>
      </c>
      <c r="F33" s="26"/>
      <c r="G33" s="26"/>
      <c r="H33" s="26"/>
      <c r="I33" s="26"/>
      <c r="J33" s="26"/>
      <c r="K33" s="26"/>
      <c r="L33" s="26"/>
      <c r="M33" s="26"/>
      <c r="N33" s="103" t="e">
        <f t="shared" si="3"/>
        <v>#DIV/0!</v>
      </c>
      <c r="O33" s="26">
        <f t="shared" si="16"/>
        <v>0</v>
      </c>
      <c r="P33" s="26"/>
      <c r="Q33" s="26"/>
      <c r="R33" s="26"/>
      <c r="S33" s="26"/>
      <c r="T33" s="26"/>
      <c r="U33" s="26">
        <f t="shared" si="6"/>
        <v>0</v>
      </c>
      <c r="V33" s="26"/>
      <c r="W33" s="26"/>
      <c r="X33" s="26"/>
      <c r="Y33" s="26"/>
      <c r="Z33" s="26"/>
      <c r="AA33" s="103" t="e">
        <f t="shared" si="11"/>
        <v>#DIV/0!</v>
      </c>
      <c r="AB33" s="26">
        <f t="shared" si="4"/>
        <v>0</v>
      </c>
      <c r="AC33" s="26">
        <f t="shared" si="17"/>
        <v>0</v>
      </c>
      <c r="AD33" s="174"/>
      <c r="AE33" s="17"/>
    </row>
    <row r="34" spans="1:31" s="27" customFormat="1" ht="34.5" customHeight="1" x14ac:dyDescent="0.25">
      <c r="A34" s="23" t="s">
        <v>407</v>
      </c>
      <c r="B34" s="24">
        <f>'дод 5'!A114</f>
        <v>7422</v>
      </c>
      <c r="C34" s="24" t="str">
        <f>'дод 5'!B114</f>
        <v>0453</v>
      </c>
      <c r="D34" s="28" t="str">
        <f>'дод 5'!C114</f>
        <v>Регулювання цін на послуги місцевого наземного електротранспорту</v>
      </c>
      <c r="E34" s="26">
        <f t="shared" ref="E34:E35" si="18">F34+I34</f>
        <v>92728000</v>
      </c>
      <c r="F34" s="26"/>
      <c r="G34" s="26"/>
      <c r="H34" s="26"/>
      <c r="I34" s="26">
        <v>92728000</v>
      </c>
      <c r="J34" s="26">
        <v>18577000</v>
      </c>
      <c r="K34" s="26"/>
      <c r="L34" s="26"/>
      <c r="M34" s="26">
        <v>18577000</v>
      </c>
      <c r="N34" s="103">
        <f t="shared" si="3"/>
        <v>20.033862479509963</v>
      </c>
      <c r="O34" s="26">
        <f t="shared" ref="O34:O35" si="19">Q34+T34</f>
        <v>0</v>
      </c>
      <c r="P34" s="26"/>
      <c r="Q34" s="26"/>
      <c r="R34" s="26"/>
      <c r="S34" s="26"/>
      <c r="T34" s="26"/>
      <c r="U34" s="26">
        <f t="shared" si="6"/>
        <v>0</v>
      </c>
      <c r="V34" s="26"/>
      <c r="W34" s="26"/>
      <c r="X34" s="26"/>
      <c r="Y34" s="26"/>
      <c r="Z34" s="26"/>
      <c r="AA34" s="103"/>
      <c r="AB34" s="26">
        <f t="shared" si="4"/>
        <v>18577000</v>
      </c>
      <c r="AC34" s="26">
        <f t="shared" ref="AC34:AC35" si="20">E34+O34</f>
        <v>92728000</v>
      </c>
      <c r="AD34" s="174"/>
      <c r="AE34" s="17"/>
    </row>
    <row r="35" spans="1:31" s="27" customFormat="1" ht="15.75" hidden="1" customHeight="1" x14ac:dyDescent="0.25">
      <c r="A35" s="23" t="s">
        <v>408</v>
      </c>
      <c r="B35" s="24">
        <f>'дод 5'!A115</f>
        <v>7426</v>
      </c>
      <c r="C35" s="24" t="str">
        <f>'дод 5'!B115</f>
        <v>0455</v>
      </c>
      <c r="D35" s="28" t="str">
        <f>'дод 5'!C115</f>
        <v>Інші заходи у сфері електротранспорту</v>
      </c>
      <c r="E35" s="26">
        <f t="shared" si="18"/>
        <v>0</v>
      </c>
      <c r="F35" s="26"/>
      <c r="G35" s="26"/>
      <c r="H35" s="26"/>
      <c r="I35" s="26"/>
      <c r="J35" s="26"/>
      <c r="K35" s="26"/>
      <c r="L35" s="26"/>
      <c r="M35" s="26"/>
      <c r="N35" s="103" t="e">
        <f t="shared" si="3"/>
        <v>#DIV/0!</v>
      </c>
      <c r="O35" s="26">
        <f t="shared" si="19"/>
        <v>0</v>
      </c>
      <c r="P35" s="26"/>
      <c r="Q35" s="26"/>
      <c r="R35" s="26"/>
      <c r="S35" s="26"/>
      <c r="T35" s="26"/>
      <c r="U35" s="26">
        <f t="shared" si="6"/>
        <v>0</v>
      </c>
      <c r="V35" s="26"/>
      <c r="W35" s="26"/>
      <c r="X35" s="26"/>
      <c r="Y35" s="26"/>
      <c r="Z35" s="26"/>
      <c r="AA35" s="103" t="e">
        <f t="shared" si="11"/>
        <v>#DIV/0!</v>
      </c>
      <c r="AB35" s="26">
        <f t="shared" si="4"/>
        <v>0</v>
      </c>
      <c r="AC35" s="26">
        <f t="shared" si="20"/>
        <v>0</v>
      </c>
      <c r="AD35" s="174"/>
      <c r="AE35" s="17"/>
    </row>
    <row r="36" spans="1:31" s="27" customFormat="1" ht="26.25" customHeight="1" x14ac:dyDescent="0.25">
      <c r="A36" s="23" t="s">
        <v>409</v>
      </c>
      <c r="B36" s="24">
        <f>'дод 5'!A116</f>
        <v>7450</v>
      </c>
      <c r="C36" s="24" t="str">
        <f>'дод 5'!B116</f>
        <v>0456</v>
      </c>
      <c r="D36" s="28" t="str">
        <f>'дод 5'!C116</f>
        <v>Інша діяльність у сфері транспорту</v>
      </c>
      <c r="E36" s="26">
        <f t="shared" ref="E36" si="21">F36+I36</f>
        <v>198600</v>
      </c>
      <c r="F36" s="26">
        <v>198600</v>
      </c>
      <c r="G36" s="26"/>
      <c r="H36" s="26"/>
      <c r="I36" s="26"/>
      <c r="J36" s="26"/>
      <c r="K36" s="26"/>
      <c r="L36" s="26"/>
      <c r="M36" s="26"/>
      <c r="N36" s="103">
        <f t="shared" si="3"/>
        <v>0</v>
      </c>
      <c r="O36" s="26">
        <f t="shared" ref="O36" si="22">Q36+T36</f>
        <v>0</v>
      </c>
      <c r="P36" s="26"/>
      <c r="Q36" s="26"/>
      <c r="R36" s="26"/>
      <c r="S36" s="26"/>
      <c r="T36" s="26"/>
      <c r="U36" s="26">
        <f t="shared" si="6"/>
        <v>0</v>
      </c>
      <c r="V36" s="26"/>
      <c r="W36" s="26"/>
      <c r="X36" s="26"/>
      <c r="Y36" s="26"/>
      <c r="Z36" s="26"/>
      <c r="AA36" s="103"/>
      <c r="AB36" s="26">
        <f t="shared" si="4"/>
        <v>0</v>
      </c>
      <c r="AC36" s="26">
        <f t="shared" ref="AC36" si="23">E36+O36</f>
        <v>198600</v>
      </c>
      <c r="AD36" s="174"/>
      <c r="AE36" s="17"/>
    </row>
    <row r="37" spans="1:31" s="27" customFormat="1" ht="39" customHeight="1" x14ac:dyDescent="0.25">
      <c r="A37" s="23" t="s">
        <v>185</v>
      </c>
      <c r="B37" s="24" t="str">
        <f>'дод 5'!A118</f>
        <v>7530</v>
      </c>
      <c r="C37" s="23" t="str">
        <f>'дод 5'!B118</f>
        <v>0460</v>
      </c>
      <c r="D37" s="25" t="str">
        <f>'дод 5'!C118</f>
        <v>Інші заходи у сфері зв'язку, телекомунікації та інформатики</v>
      </c>
      <c r="E37" s="26">
        <f t="shared" si="7"/>
        <v>4840290</v>
      </c>
      <c r="F37" s="26">
        <f>4100000-159710</f>
        <v>3940290</v>
      </c>
      <c r="G37" s="26"/>
      <c r="H37" s="26">
        <v>65500</v>
      </c>
      <c r="I37" s="26">
        <f>900000</f>
        <v>900000</v>
      </c>
      <c r="J37" s="26">
        <v>105859.75</v>
      </c>
      <c r="K37" s="26"/>
      <c r="L37" s="26">
        <v>9127.7999999999993</v>
      </c>
      <c r="M37" s="26"/>
      <c r="N37" s="103">
        <f t="shared" si="3"/>
        <v>2.1870538748711339</v>
      </c>
      <c r="O37" s="26">
        <f>Q37+T37</f>
        <v>0</v>
      </c>
      <c r="P37" s="26"/>
      <c r="Q37" s="26"/>
      <c r="R37" s="26"/>
      <c r="S37" s="26"/>
      <c r="T37" s="26"/>
      <c r="U37" s="26">
        <f t="shared" si="6"/>
        <v>0</v>
      </c>
      <c r="V37" s="26"/>
      <c r="W37" s="26"/>
      <c r="X37" s="26"/>
      <c r="Y37" s="26"/>
      <c r="Z37" s="26"/>
      <c r="AA37" s="103"/>
      <c r="AB37" s="26">
        <f t="shared" si="4"/>
        <v>105859.75</v>
      </c>
      <c r="AC37" s="26">
        <f t="shared" si="9"/>
        <v>4840290</v>
      </c>
      <c r="AD37" s="174"/>
      <c r="AE37" s="17"/>
    </row>
    <row r="38" spans="1:31" s="27" customFormat="1" ht="30.75" customHeight="1" x14ac:dyDescent="0.25">
      <c r="A38" s="23" t="s">
        <v>410</v>
      </c>
      <c r="B38" s="24" t="str">
        <f>'дод 5'!A121</f>
        <v>7640</v>
      </c>
      <c r="C38" s="24" t="str">
        <f>'дод 5'!B121</f>
        <v>0470</v>
      </c>
      <c r="D38" s="28" t="s">
        <v>274</v>
      </c>
      <c r="E38" s="26">
        <f t="shared" si="7"/>
        <v>515000</v>
      </c>
      <c r="F38" s="26">
        <v>515000</v>
      </c>
      <c r="G38" s="26"/>
      <c r="H38" s="26"/>
      <c r="I38" s="26"/>
      <c r="J38" s="26">
        <v>90940</v>
      </c>
      <c r="K38" s="26"/>
      <c r="L38" s="26"/>
      <c r="M38" s="26"/>
      <c r="N38" s="103">
        <f t="shared" si="3"/>
        <v>17.658252427184465</v>
      </c>
      <c r="O38" s="26">
        <f t="shared" ref="O38" si="24">Q38+T38</f>
        <v>0</v>
      </c>
      <c r="P38" s="26"/>
      <c r="Q38" s="26"/>
      <c r="R38" s="26"/>
      <c r="S38" s="26"/>
      <c r="T38" s="26"/>
      <c r="U38" s="26">
        <f t="shared" si="6"/>
        <v>0</v>
      </c>
      <c r="V38" s="26"/>
      <c r="W38" s="26"/>
      <c r="X38" s="26"/>
      <c r="Y38" s="26"/>
      <c r="Z38" s="26"/>
      <c r="AA38" s="103"/>
      <c r="AB38" s="26">
        <f t="shared" si="4"/>
        <v>90940</v>
      </c>
      <c r="AC38" s="26">
        <f t="shared" si="9"/>
        <v>515000</v>
      </c>
      <c r="AD38" s="174"/>
      <c r="AE38" s="17"/>
    </row>
    <row r="39" spans="1:31" s="27" customFormat="1" ht="34.5" customHeight="1" x14ac:dyDescent="0.25">
      <c r="A39" s="23" t="s">
        <v>199</v>
      </c>
      <c r="B39" s="24" t="str">
        <f>'дод 5'!A125</f>
        <v>7680</v>
      </c>
      <c r="C39" s="23" t="str">
        <f>'дод 5'!B125</f>
        <v>0490</v>
      </c>
      <c r="D39" s="25" t="str">
        <f>'дод 5'!C125</f>
        <v>Членські внески до асоціацій органів місцевого самоврядування</v>
      </c>
      <c r="E39" s="26">
        <f t="shared" si="7"/>
        <v>469382</v>
      </c>
      <c r="F39" s="26">
        <v>469382</v>
      </c>
      <c r="G39" s="26"/>
      <c r="H39" s="26"/>
      <c r="I39" s="26"/>
      <c r="J39" s="26"/>
      <c r="K39" s="26"/>
      <c r="L39" s="26"/>
      <c r="M39" s="26"/>
      <c r="N39" s="103">
        <f t="shared" si="3"/>
        <v>0</v>
      </c>
      <c r="O39" s="26">
        <f t="shared" si="10"/>
        <v>0</v>
      </c>
      <c r="P39" s="26"/>
      <c r="Q39" s="26"/>
      <c r="R39" s="26"/>
      <c r="S39" s="26"/>
      <c r="T39" s="26"/>
      <c r="U39" s="26">
        <f t="shared" si="6"/>
        <v>0</v>
      </c>
      <c r="V39" s="26"/>
      <c r="W39" s="26"/>
      <c r="X39" s="26"/>
      <c r="Y39" s="26"/>
      <c r="Z39" s="26"/>
      <c r="AA39" s="103"/>
      <c r="AB39" s="26">
        <f t="shared" si="4"/>
        <v>0</v>
      </c>
      <c r="AC39" s="26">
        <f t="shared" si="9"/>
        <v>469382</v>
      </c>
      <c r="AD39" s="174"/>
      <c r="AE39" s="17"/>
    </row>
    <row r="40" spans="1:31" s="27" customFormat="1" ht="126" x14ac:dyDescent="0.25">
      <c r="A40" s="23" t="s">
        <v>227</v>
      </c>
      <c r="B40" s="24" t="str">
        <f>'дод 5'!A126</f>
        <v>7691</v>
      </c>
      <c r="C40" s="23" t="str">
        <f>'дод 5'!B126</f>
        <v>0490</v>
      </c>
      <c r="D40" s="25" t="s">
        <v>236</v>
      </c>
      <c r="E40" s="26">
        <f t="shared" si="7"/>
        <v>0</v>
      </c>
      <c r="F40" s="26"/>
      <c r="G40" s="26"/>
      <c r="H40" s="26"/>
      <c r="I40" s="26"/>
      <c r="J40" s="26"/>
      <c r="K40" s="26"/>
      <c r="L40" s="26"/>
      <c r="M40" s="26"/>
      <c r="N40" s="103"/>
      <c r="O40" s="26">
        <f t="shared" si="10"/>
        <v>458176.6</v>
      </c>
      <c r="P40" s="26"/>
      <c r="Q40" s="26">
        <v>428176.6</v>
      </c>
      <c r="R40" s="26"/>
      <c r="S40" s="26"/>
      <c r="T40" s="26">
        <v>30000</v>
      </c>
      <c r="U40" s="26">
        <f t="shared" si="6"/>
        <v>200000</v>
      </c>
      <c r="V40" s="26"/>
      <c r="W40" s="26">
        <v>200000</v>
      </c>
      <c r="X40" s="26"/>
      <c r="Y40" s="26"/>
      <c r="Z40" s="26"/>
      <c r="AA40" s="103">
        <f t="shared" si="11"/>
        <v>43.651290790494322</v>
      </c>
      <c r="AB40" s="26">
        <f t="shared" si="4"/>
        <v>200000</v>
      </c>
      <c r="AC40" s="26">
        <f t="shared" si="9"/>
        <v>458176.6</v>
      </c>
      <c r="AD40" s="174"/>
      <c r="AE40" s="17"/>
    </row>
    <row r="41" spans="1:31" s="27" customFormat="1" ht="27" customHeight="1" x14ac:dyDescent="0.25">
      <c r="A41" s="23" t="s">
        <v>192</v>
      </c>
      <c r="B41" s="24" t="str">
        <f>'дод 5'!A127</f>
        <v>7693</v>
      </c>
      <c r="C41" s="23" t="str">
        <f>'дод 5'!B127</f>
        <v>0490</v>
      </c>
      <c r="D41" s="25" t="str">
        <f>'дод 5'!C127</f>
        <v>Інші заходи, пов'язані з економічною діяльністю</v>
      </c>
      <c r="E41" s="26">
        <f t="shared" si="7"/>
        <v>3021700</v>
      </c>
      <c r="F41" s="26">
        <f>3000000+21700</f>
        <v>3021700</v>
      </c>
      <c r="G41" s="26"/>
      <c r="H41" s="26"/>
      <c r="I41" s="26"/>
      <c r="J41" s="26">
        <v>203393.5</v>
      </c>
      <c r="K41" s="26"/>
      <c r="L41" s="26"/>
      <c r="M41" s="26"/>
      <c r="N41" s="103">
        <f t="shared" si="3"/>
        <v>6.7310950789290791</v>
      </c>
      <c r="O41" s="26">
        <f t="shared" si="10"/>
        <v>0</v>
      </c>
      <c r="P41" s="26"/>
      <c r="Q41" s="26"/>
      <c r="R41" s="26"/>
      <c r="S41" s="26"/>
      <c r="T41" s="26"/>
      <c r="U41" s="26">
        <f t="shared" si="6"/>
        <v>0</v>
      </c>
      <c r="V41" s="26"/>
      <c r="W41" s="26"/>
      <c r="X41" s="26"/>
      <c r="Y41" s="26"/>
      <c r="Z41" s="26"/>
      <c r="AA41" s="103"/>
      <c r="AB41" s="26">
        <f t="shared" si="4"/>
        <v>203393.5</v>
      </c>
      <c r="AC41" s="26">
        <f t="shared" si="9"/>
        <v>3021700</v>
      </c>
      <c r="AD41" s="174"/>
      <c r="AE41" s="17"/>
    </row>
    <row r="42" spans="1:31" s="27" customFormat="1" ht="36.75" customHeight="1" x14ac:dyDescent="0.25">
      <c r="A42" s="23" t="s">
        <v>131</v>
      </c>
      <c r="B42" s="24" t="str">
        <f>'дод 5'!A130</f>
        <v>8110</v>
      </c>
      <c r="C42" s="23" t="str">
        <f>'дод 5'!B130</f>
        <v>0320</v>
      </c>
      <c r="D42" s="25" t="str">
        <f>'дод 5'!C130</f>
        <v>Заходи із запобігання та ліквідації надзвичайних ситуацій та наслідків стихійного лиха</v>
      </c>
      <c r="E42" s="26">
        <f t="shared" si="7"/>
        <v>10653743</v>
      </c>
      <c r="F42" s="26">
        <f>4618200+400000+1800000+3498000+61000-286840+234897+80000+13486</f>
        <v>10418743</v>
      </c>
      <c r="G42" s="26"/>
      <c r="H42" s="26">
        <f>104660+1800000+106000</f>
        <v>2010660</v>
      </c>
      <c r="I42" s="26">
        <f>235000</f>
        <v>235000</v>
      </c>
      <c r="J42" s="26">
        <v>4287196.59</v>
      </c>
      <c r="K42" s="26"/>
      <c r="L42" s="26">
        <v>75476</v>
      </c>
      <c r="M42" s="26"/>
      <c r="N42" s="103">
        <f t="shared" si="3"/>
        <v>40.241224046797448</v>
      </c>
      <c r="O42" s="26">
        <f t="shared" si="10"/>
        <v>0</v>
      </c>
      <c r="P42" s="26"/>
      <c r="Q42" s="26"/>
      <c r="R42" s="26"/>
      <c r="S42" s="26"/>
      <c r="T42" s="26"/>
      <c r="U42" s="26">
        <f t="shared" si="6"/>
        <v>0</v>
      </c>
      <c r="V42" s="26"/>
      <c r="W42" s="26"/>
      <c r="X42" s="26"/>
      <c r="Y42" s="26"/>
      <c r="Z42" s="26"/>
      <c r="AA42" s="103"/>
      <c r="AB42" s="26">
        <f t="shared" si="4"/>
        <v>4287196.59</v>
      </c>
      <c r="AC42" s="26">
        <f t="shared" si="9"/>
        <v>10653743</v>
      </c>
      <c r="AD42" s="174"/>
      <c r="AE42" s="17"/>
    </row>
    <row r="43" spans="1:31" s="27" customFormat="1" ht="21.75" customHeight="1" x14ac:dyDescent="0.25">
      <c r="A43" s="23" t="s">
        <v>176</v>
      </c>
      <c r="B43" s="24" t="str">
        <f>'дод 5'!A131</f>
        <v>8120</v>
      </c>
      <c r="C43" s="23" t="str">
        <f>'дод 5'!B131</f>
        <v>0320</v>
      </c>
      <c r="D43" s="25" t="str">
        <f>'дод 5'!C131</f>
        <v>Заходи з організації рятування на водах</v>
      </c>
      <c r="E43" s="26">
        <f t="shared" si="7"/>
        <v>6265000</v>
      </c>
      <c r="F43" s="26">
        <f>5886000+65000+392923-348923</f>
        <v>5995000</v>
      </c>
      <c r="G43" s="26">
        <f>4324500</f>
        <v>4324500</v>
      </c>
      <c r="H43" s="26">
        <v>122500</v>
      </c>
      <c r="I43" s="26">
        <v>270000</v>
      </c>
      <c r="J43" s="26">
        <v>1274482.19</v>
      </c>
      <c r="K43" s="26">
        <v>970339.38</v>
      </c>
      <c r="L43" s="26">
        <v>10788.31</v>
      </c>
      <c r="M43" s="26"/>
      <c r="N43" s="103">
        <f t="shared" si="3"/>
        <v>20.342892098962491</v>
      </c>
      <c r="O43" s="26">
        <f t="shared" si="10"/>
        <v>7500</v>
      </c>
      <c r="P43" s="26"/>
      <c r="Q43" s="26">
        <v>7500</v>
      </c>
      <c r="R43" s="26"/>
      <c r="S43" s="26">
        <v>1500</v>
      </c>
      <c r="T43" s="26"/>
      <c r="U43" s="26">
        <f t="shared" si="6"/>
        <v>175488</v>
      </c>
      <c r="V43" s="26"/>
      <c r="W43" s="26"/>
      <c r="X43" s="26"/>
      <c r="Y43" s="26"/>
      <c r="Z43" s="26">
        <v>175488</v>
      </c>
      <c r="AA43" s="103" t="s">
        <v>519</v>
      </c>
      <c r="AB43" s="26">
        <f t="shared" si="4"/>
        <v>1449970.19</v>
      </c>
      <c r="AC43" s="26">
        <f t="shared" si="9"/>
        <v>6272500</v>
      </c>
      <c r="AD43" s="174"/>
      <c r="AE43" s="17"/>
    </row>
    <row r="44" spans="1:31" s="27" customFormat="1" ht="20.25" customHeight="1" x14ac:dyDescent="0.25">
      <c r="A44" s="23" t="s">
        <v>195</v>
      </c>
      <c r="B44" s="24" t="str">
        <f>'дод 5'!A133</f>
        <v>8230</v>
      </c>
      <c r="C44" s="23" t="str">
        <f>'дод 5'!B133</f>
        <v>0380</v>
      </c>
      <c r="D44" s="25" t="str">
        <f>'дод 5'!C133</f>
        <v>Інші заходи громадського порядку та безпеки</v>
      </c>
      <c r="E44" s="26">
        <f t="shared" si="7"/>
        <v>899000</v>
      </c>
      <c r="F44" s="26">
        <v>899000</v>
      </c>
      <c r="G44" s="26"/>
      <c r="H44" s="26">
        <v>762800</v>
      </c>
      <c r="I44" s="26"/>
      <c r="J44" s="26">
        <v>317058.27</v>
      </c>
      <c r="K44" s="26"/>
      <c r="L44" s="26">
        <v>303512.87</v>
      </c>
      <c r="M44" s="26"/>
      <c r="N44" s="103">
        <f t="shared" si="3"/>
        <v>35.267883203559514</v>
      </c>
      <c r="O44" s="26">
        <f t="shared" si="10"/>
        <v>0</v>
      </c>
      <c r="P44" s="26"/>
      <c r="Q44" s="26"/>
      <c r="R44" s="26"/>
      <c r="S44" s="26"/>
      <c r="T44" s="26"/>
      <c r="U44" s="26">
        <f t="shared" si="6"/>
        <v>0</v>
      </c>
      <c r="V44" s="26"/>
      <c r="W44" s="26"/>
      <c r="X44" s="26"/>
      <c r="Y44" s="26"/>
      <c r="Z44" s="26"/>
      <c r="AA44" s="103"/>
      <c r="AB44" s="26">
        <f t="shared" si="4"/>
        <v>317058.27</v>
      </c>
      <c r="AC44" s="26">
        <f t="shared" si="9"/>
        <v>899000</v>
      </c>
      <c r="AD44" s="174"/>
      <c r="AE44" s="17"/>
    </row>
    <row r="45" spans="1:31" s="27" customFormat="1" ht="23.25" customHeight="1" x14ac:dyDescent="0.25">
      <c r="A45" s="23" t="s">
        <v>312</v>
      </c>
      <c r="B45" s="24">
        <f>'дод 5'!A134</f>
        <v>8240</v>
      </c>
      <c r="C45" s="23" t="str">
        <f>'дод 5'!B134</f>
        <v>0380</v>
      </c>
      <c r="D45" s="28" t="str">
        <f>'дод 5'!C134</f>
        <v>Заходи та роботи з територіальної оборони</v>
      </c>
      <c r="E45" s="26">
        <f t="shared" ref="E45:E46" si="25">F45+I45</f>
        <v>13487000</v>
      </c>
      <c r="F45" s="26">
        <f>6500000+14248300-7261300</f>
        <v>13487000</v>
      </c>
      <c r="G45" s="26"/>
      <c r="H45" s="26">
        <f>1700000+1587000-21000</f>
        <v>3266000</v>
      </c>
      <c r="I45" s="26"/>
      <c r="J45" s="26">
        <v>5043824.3899999997</v>
      </c>
      <c r="K45" s="26"/>
      <c r="L45" s="26">
        <v>678026.94</v>
      </c>
      <c r="M45" s="26"/>
      <c r="N45" s="103">
        <f t="shared" si="3"/>
        <v>37.397674723808109</v>
      </c>
      <c r="O45" s="26">
        <f t="shared" ref="O45:O46" si="26">Q45+T45</f>
        <v>0</v>
      </c>
      <c r="P45" s="26"/>
      <c r="Q45" s="26"/>
      <c r="R45" s="26"/>
      <c r="S45" s="26"/>
      <c r="T45" s="26"/>
      <c r="U45" s="26">
        <f t="shared" si="6"/>
        <v>0</v>
      </c>
      <c r="V45" s="26"/>
      <c r="W45" s="26"/>
      <c r="X45" s="26"/>
      <c r="Y45" s="26"/>
      <c r="Z45" s="26"/>
      <c r="AA45" s="103"/>
      <c r="AB45" s="26">
        <f t="shared" si="4"/>
        <v>5043824.3899999997</v>
      </c>
      <c r="AC45" s="26">
        <f t="shared" ref="AC45:AC46" si="27">E45+O45</f>
        <v>13487000</v>
      </c>
      <c r="AD45" s="174"/>
      <c r="AE45" s="17"/>
    </row>
    <row r="46" spans="1:31" s="27" customFormat="1" ht="39.75" customHeight="1" x14ac:dyDescent="0.25">
      <c r="A46" s="23" t="s">
        <v>411</v>
      </c>
      <c r="B46" s="24">
        <f>'дод 5'!A136</f>
        <v>8330</v>
      </c>
      <c r="C46" s="24" t="str">
        <f>'дод 5'!B136</f>
        <v>0540</v>
      </c>
      <c r="D46" s="28" t="str">
        <f>'дод 5'!C136</f>
        <v xml:space="preserve">Інша діяльність у сфері екології та охорони природних ресурсів </v>
      </c>
      <c r="E46" s="26">
        <f t="shared" si="25"/>
        <v>68300</v>
      </c>
      <c r="F46" s="26">
        <f>90000-21700</f>
        <v>68300</v>
      </c>
      <c r="G46" s="26"/>
      <c r="H46" s="26"/>
      <c r="I46" s="26"/>
      <c r="J46" s="26"/>
      <c r="K46" s="26"/>
      <c r="L46" s="26"/>
      <c r="M46" s="26"/>
      <c r="N46" s="103">
        <f t="shared" si="3"/>
        <v>0</v>
      </c>
      <c r="O46" s="26">
        <f t="shared" si="26"/>
        <v>0</v>
      </c>
      <c r="P46" s="26"/>
      <c r="Q46" s="26"/>
      <c r="R46" s="26"/>
      <c r="S46" s="26"/>
      <c r="T46" s="26"/>
      <c r="U46" s="26">
        <f t="shared" si="6"/>
        <v>0</v>
      </c>
      <c r="V46" s="26"/>
      <c r="W46" s="26"/>
      <c r="X46" s="26"/>
      <c r="Y46" s="26"/>
      <c r="Z46" s="26"/>
      <c r="AA46" s="103"/>
      <c r="AB46" s="26">
        <f t="shared" si="4"/>
        <v>0</v>
      </c>
      <c r="AC46" s="26">
        <f t="shared" si="27"/>
        <v>68300</v>
      </c>
      <c r="AD46" s="174"/>
      <c r="AE46" s="17"/>
    </row>
    <row r="47" spans="1:31" s="27" customFormat="1" ht="31.5" x14ac:dyDescent="0.25">
      <c r="A47" s="23" t="s">
        <v>132</v>
      </c>
      <c r="B47" s="24" t="str">
        <f>'дод 5'!A137</f>
        <v>8340</v>
      </c>
      <c r="C47" s="23" t="str">
        <f>'дод 5'!B137</f>
        <v>0540</v>
      </c>
      <c r="D47" s="25" t="str">
        <f>'дод 5'!C137</f>
        <v>Природоохоронні заходи за рахунок цільових фондів</v>
      </c>
      <c r="E47" s="26">
        <f t="shared" si="7"/>
        <v>0</v>
      </c>
      <c r="F47" s="26"/>
      <c r="G47" s="26"/>
      <c r="H47" s="26"/>
      <c r="I47" s="26"/>
      <c r="J47" s="26"/>
      <c r="K47" s="26"/>
      <c r="L47" s="26"/>
      <c r="M47" s="26"/>
      <c r="N47" s="103"/>
      <c r="O47" s="26">
        <f t="shared" si="10"/>
        <v>720500</v>
      </c>
      <c r="P47" s="26"/>
      <c r="Q47" s="26">
        <f>720500-250000</f>
        <v>470500</v>
      </c>
      <c r="R47" s="26"/>
      <c r="S47" s="26"/>
      <c r="T47" s="26">
        <v>250000</v>
      </c>
      <c r="U47" s="26">
        <f t="shared" si="6"/>
        <v>20000</v>
      </c>
      <c r="V47" s="26"/>
      <c r="W47" s="26">
        <v>20000</v>
      </c>
      <c r="X47" s="26"/>
      <c r="Y47" s="26"/>
      <c r="Z47" s="26"/>
      <c r="AA47" s="103">
        <f t="shared" si="11"/>
        <v>2.7758501040943786</v>
      </c>
      <c r="AB47" s="26">
        <f t="shared" si="4"/>
        <v>20000</v>
      </c>
      <c r="AC47" s="26">
        <f t="shared" si="9"/>
        <v>720500</v>
      </c>
      <c r="AD47" s="174"/>
      <c r="AE47" s="17"/>
    </row>
    <row r="48" spans="1:31" s="27" customFormat="1" ht="43.9" customHeight="1" x14ac:dyDescent="0.25">
      <c r="A48" s="23" t="s">
        <v>401</v>
      </c>
      <c r="B48" s="24" t="str">
        <f>'дод 5'!A145</f>
        <v>9770</v>
      </c>
      <c r="C48" s="24" t="str">
        <f>'дод 5'!B145</f>
        <v>0180</v>
      </c>
      <c r="D48" s="28" t="str">
        <f>'дод 5'!C145</f>
        <v>Інші субвенції з місцевого бюджету</v>
      </c>
      <c r="E48" s="26">
        <f>F48+I48</f>
        <v>10000000</v>
      </c>
      <c r="F48" s="26">
        <v>10000000</v>
      </c>
      <c r="G48" s="26"/>
      <c r="H48" s="26"/>
      <c r="I48" s="26"/>
      <c r="J48" s="26"/>
      <c r="K48" s="26"/>
      <c r="L48" s="26"/>
      <c r="M48" s="26"/>
      <c r="N48" s="103">
        <f t="shared" si="3"/>
        <v>0</v>
      </c>
      <c r="O48" s="26">
        <f t="shared" ref="O48" si="28">Q48+T48</f>
        <v>0</v>
      </c>
      <c r="P48" s="26"/>
      <c r="Q48" s="26"/>
      <c r="R48" s="26"/>
      <c r="S48" s="26"/>
      <c r="T48" s="26"/>
      <c r="U48" s="26">
        <f t="shared" si="6"/>
        <v>0</v>
      </c>
      <c r="V48" s="26"/>
      <c r="W48" s="26"/>
      <c r="X48" s="26"/>
      <c r="Y48" s="26"/>
      <c r="Z48" s="26"/>
      <c r="AA48" s="103"/>
      <c r="AB48" s="26">
        <f t="shared" si="4"/>
        <v>0</v>
      </c>
      <c r="AC48" s="26">
        <f t="shared" ref="AC48" si="29">E48+O48</f>
        <v>10000000</v>
      </c>
      <c r="AD48" s="174"/>
      <c r="AE48" s="17"/>
    </row>
    <row r="49" spans="1:31" s="151" customFormat="1" ht="50.25" customHeight="1" x14ac:dyDescent="0.25">
      <c r="A49" s="23" t="s">
        <v>271</v>
      </c>
      <c r="B49" s="24">
        <f>'дод 5'!A146</f>
        <v>9800</v>
      </c>
      <c r="C49" s="23" t="str">
        <f>'дод 5'!B146</f>
        <v>0180</v>
      </c>
      <c r="D49" s="28" t="str">
        <f>'дод 5'!C146</f>
        <v>Субвенція з місцевого бюджету державному бюджету на виконання програм соціально-економічного розвитку регіонів</v>
      </c>
      <c r="E49" s="26">
        <f>F49+I49</f>
        <v>21840000</v>
      </c>
      <c r="F49" s="26">
        <f>1000000+1000000+1600000+432000-1600000+1000000+1000000+50000+3000000+180000+102000+1810000+1500000</f>
        <v>11074000</v>
      </c>
      <c r="G49" s="26"/>
      <c r="H49" s="26"/>
      <c r="I49" s="26">
        <f>68000+1600000+3700000+2000000+2400000+400000+98000+500000</f>
        <v>10766000</v>
      </c>
      <c r="J49" s="26">
        <v>13650000</v>
      </c>
      <c r="K49" s="26"/>
      <c r="L49" s="26"/>
      <c r="M49" s="26">
        <v>10168000</v>
      </c>
      <c r="N49" s="103">
        <f t="shared" si="3"/>
        <v>62.5</v>
      </c>
      <c r="O49" s="26">
        <f t="shared" si="10"/>
        <v>0</v>
      </c>
      <c r="P49" s="26"/>
      <c r="Q49" s="26"/>
      <c r="R49" s="26"/>
      <c r="S49" s="26"/>
      <c r="T49" s="26"/>
      <c r="U49" s="26">
        <f t="shared" si="6"/>
        <v>0</v>
      </c>
      <c r="V49" s="26"/>
      <c r="W49" s="26"/>
      <c r="X49" s="26"/>
      <c r="Y49" s="26"/>
      <c r="Z49" s="26"/>
      <c r="AA49" s="103"/>
      <c r="AB49" s="26">
        <f t="shared" si="4"/>
        <v>13650000</v>
      </c>
      <c r="AC49" s="26">
        <f t="shared" si="9"/>
        <v>21840000</v>
      </c>
      <c r="AD49" s="174"/>
      <c r="AE49" s="150"/>
    </row>
    <row r="50" spans="1:31" s="17" customFormat="1" ht="31.5" customHeight="1" x14ac:dyDescent="0.25">
      <c r="A50" s="14" t="s">
        <v>133</v>
      </c>
      <c r="B50" s="29"/>
      <c r="C50" s="14"/>
      <c r="D50" s="15" t="s">
        <v>21</v>
      </c>
      <c r="E50" s="16">
        <f>E51</f>
        <v>1673616113.2</v>
      </c>
      <c r="F50" s="16">
        <f t="shared" ref="F50:Z50" si="30">F51</f>
        <v>1664305217</v>
      </c>
      <c r="G50" s="16">
        <f t="shared" si="30"/>
        <v>1095200023</v>
      </c>
      <c r="H50" s="16">
        <f t="shared" si="30"/>
        <v>168336700</v>
      </c>
      <c r="I50" s="16">
        <f t="shared" si="30"/>
        <v>9310896.1999999993</v>
      </c>
      <c r="J50" s="16">
        <f t="shared" si="30"/>
        <v>488520838.35999995</v>
      </c>
      <c r="K50" s="16">
        <f t="shared" si="30"/>
        <v>326566436.23999995</v>
      </c>
      <c r="L50" s="16">
        <f t="shared" si="30"/>
        <v>62001663.900000006</v>
      </c>
      <c r="M50" s="16">
        <f t="shared" si="30"/>
        <v>0</v>
      </c>
      <c r="N50" s="101">
        <f t="shared" si="3"/>
        <v>29.18953961466914</v>
      </c>
      <c r="O50" s="16">
        <f t="shared" si="30"/>
        <v>71509581.399999991</v>
      </c>
      <c r="P50" s="16">
        <f t="shared" si="30"/>
        <v>20024000</v>
      </c>
      <c r="Q50" s="16">
        <f t="shared" si="30"/>
        <v>51158581.399999999</v>
      </c>
      <c r="R50" s="16">
        <f t="shared" si="30"/>
        <v>10052740</v>
      </c>
      <c r="S50" s="16">
        <f t="shared" si="30"/>
        <v>7612440</v>
      </c>
      <c r="T50" s="16">
        <f t="shared" si="30"/>
        <v>20351000</v>
      </c>
      <c r="U50" s="16">
        <f t="shared" si="30"/>
        <v>58163703.229999997</v>
      </c>
      <c r="V50" s="16">
        <f t="shared" si="30"/>
        <v>0</v>
      </c>
      <c r="W50" s="16">
        <f t="shared" si="30"/>
        <v>55404253.600000001</v>
      </c>
      <c r="X50" s="16">
        <f t="shared" si="30"/>
        <v>2572203.9299999997</v>
      </c>
      <c r="Y50" s="16">
        <f t="shared" si="30"/>
        <v>1506137.28</v>
      </c>
      <c r="Z50" s="16">
        <f t="shared" si="30"/>
        <v>2759449.63</v>
      </c>
      <c r="AA50" s="101">
        <f t="shared" si="11"/>
        <v>81.336937080714051</v>
      </c>
      <c r="AB50" s="16">
        <f t="shared" si="4"/>
        <v>546684541.58999991</v>
      </c>
      <c r="AC50" s="16">
        <f t="shared" ref="AC50" si="31">AC51</f>
        <v>1745125694.5999999</v>
      </c>
      <c r="AD50" s="175">
        <v>12</v>
      </c>
    </row>
    <row r="51" spans="1:31" s="22" customFormat="1" ht="31.5" customHeight="1" x14ac:dyDescent="0.25">
      <c r="A51" s="18" t="s">
        <v>134</v>
      </c>
      <c r="B51" s="30"/>
      <c r="C51" s="18"/>
      <c r="D51" s="20" t="s">
        <v>21</v>
      </c>
      <c r="E51" s="21">
        <f>E52+E53+E54+E55+E56+E60+E63+E64+E65+E67+E78+E79+E83+E61+E82+E57+E66+E58+E59+E62+E68+E71+E72+E77+E75+E73+E76+E81+E80+E74+E70+E69</f>
        <v>1673616113.2</v>
      </c>
      <c r="F51" s="21">
        <f t="shared" ref="F51:Z51" si="32">F52+F53+F54+F55+F56+F60+F63+F64+F65+F67+F78+F79+F83+F61+F82+F57+F66+F58+F59+F62+F68+F71+F72+F77+F75+F73+F76+F81+F80+F74+F70+F69</f>
        <v>1664305217</v>
      </c>
      <c r="G51" s="21">
        <f t="shared" si="32"/>
        <v>1095200023</v>
      </c>
      <c r="H51" s="21">
        <f t="shared" si="32"/>
        <v>168336700</v>
      </c>
      <c r="I51" s="21">
        <f t="shared" si="32"/>
        <v>9310896.1999999993</v>
      </c>
      <c r="J51" s="21">
        <f t="shared" si="32"/>
        <v>488520838.35999995</v>
      </c>
      <c r="K51" s="21">
        <f t="shared" si="32"/>
        <v>326566436.23999995</v>
      </c>
      <c r="L51" s="21">
        <f t="shared" si="32"/>
        <v>62001663.900000006</v>
      </c>
      <c r="M51" s="21">
        <f t="shared" ref="M51" si="33">M52+M53+M54+M55+M56+M60+M63+M64+M65+M67+M78+M79+M83+M61+M82+M57+M66+M58+M59+M62+M68+M71+M72+M77+M75+M73+M76+M81+M80+M74+M70+M69</f>
        <v>0</v>
      </c>
      <c r="N51" s="102">
        <f t="shared" si="3"/>
        <v>29.18953961466914</v>
      </c>
      <c r="O51" s="21">
        <f t="shared" si="32"/>
        <v>71509581.399999991</v>
      </c>
      <c r="P51" s="21">
        <f t="shared" si="32"/>
        <v>20024000</v>
      </c>
      <c r="Q51" s="21">
        <f t="shared" si="32"/>
        <v>51158581.399999999</v>
      </c>
      <c r="R51" s="21">
        <f t="shared" si="32"/>
        <v>10052740</v>
      </c>
      <c r="S51" s="21">
        <f t="shared" si="32"/>
        <v>7612440</v>
      </c>
      <c r="T51" s="21">
        <f t="shared" si="32"/>
        <v>20351000</v>
      </c>
      <c r="U51" s="21">
        <f t="shared" si="32"/>
        <v>58163703.229999997</v>
      </c>
      <c r="V51" s="21">
        <f t="shared" si="32"/>
        <v>0</v>
      </c>
      <c r="W51" s="21">
        <f t="shared" si="32"/>
        <v>55404253.600000001</v>
      </c>
      <c r="X51" s="21">
        <f t="shared" si="32"/>
        <v>2572203.9299999997</v>
      </c>
      <c r="Y51" s="21">
        <f t="shared" si="32"/>
        <v>1506137.28</v>
      </c>
      <c r="Z51" s="21">
        <f t="shared" si="32"/>
        <v>2759449.63</v>
      </c>
      <c r="AA51" s="102">
        <f t="shared" si="11"/>
        <v>81.336937080714051</v>
      </c>
      <c r="AB51" s="21">
        <f t="shared" si="4"/>
        <v>546684541.58999991</v>
      </c>
      <c r="AC51" s="21">
        <f t="shared" ref="AC51" si="34">AC52+AC53+AC54+AC55+AC56+AC60+AC63+AC64+AC65+AC67+AC78+AC79+AC83+AC61+AC82+AC57+AC66+AC58+AC59+AC62+AC68+AC71+AC72+AC77+AC75+AC73+AC76+AC81+AC80+AC74+AC70+AC69</f>
        <v>1745125694.5999999</v>
      </c>
      <c r="AD51" s="175"/>
      <c r="AE51" s="17"/>
    </row>
    <row r="52" spans="1:31" s="27" customFormat="1" ht="51" customHeight="1" x14ac:dyDescent="0.25">
      <c r="A52" s="23" t="s">
        <v>135</v>
      </c>
      <c r="B52" s="24" t="str">
        <f>'дод 5'!A15</f>
        <v>0160</v>
      </c>
      <c r="C52" s="23" t="str">
        <f>'дод 5'!B15</f>
        <v>0111</v>
      </c>
      <c r="D52" s="25" t="str">
        <f>'дод 5'!C15</f>
        <v>Керівництво і управління у відповідній сфері у містах (місті Києві), селищах, селах, територіальних громадах</v>
      </c>
      <c r="E52" s="26">
        <f t="shared" ref="E52:E83" si="35">F52+I52</f>
        <v>6427040</v>
      </c>
      <c r="F52" s="26">
        <f>6509800-383760+301000</f>
        <v>6427040</v>
      </c>
      <c r="G52" s="26">
        <f>4965000-314560</f>
        <v>4650440</v>
      </c>
      <c r="H52" s="26">
        <v>117900</v>
      </c>
      <c r="I52" s="26"/>
      <c r="J52" s="26">
        <v>1392376.45</v>
      </c>
      <c r="K52" s="26">
        <v>1074104.97</v>
      </c>
      <c r="L52" s="26">
        <v>31556.39</v>
      </c>
      <c r="M52" s="26"/>
      <c r="N52" s="103">
        <f t="shared" si="3"/>
        <v>21.664350151858397</v>
      </c>
      <c r="O52" s="26">
        <f>Q52+T52</f>
        <v>0</v>
      </c>
      <c r="P52" s="26">
        <v>0</v>
      </c>
      <c r="Q52" s="26"/>
      <c r="R52" s="26"/>
      <c r="S52" s="26"/>
      <c r="T52" s="26"/>
      <c r="U52" s="26">
        <f t="shared" si="6"/>
        <v>0</v>
      </c>
      <c r="V52" s="26"/>
      <c r="W52" s="26"/>
      <c r="X52" s="26"/>
      <c r="Y52" s="26"/>
      <c r="Z52" s="26"/>
      <c r="AA52" s="103"/>
      <c r="AB52" s="26">
        <f t="shared" si="4"/>
        <v>1392376.45</v>
      </c>
      <c r="AC52" s="26">
        <f t="shared" ref="AC52:AC83" si="36">E52+O52</f>
        <v>6427040</v>
      </c>
      <c r="AD52" s="175"/>
      <c r="AE52" s="17"/>
    </row>
    <row r="53" spans="1:31" s="27" customFormat="1" ht="27" customHeight="1" x14ac:dyDescent="0.25">
      <c r="A53" s="23" t="s">
        <v>136</v>
      </c>
      <c r="B53" s="24" t="str">
        <f>'дод 5'!A18</f>
        <v>1010</v>
      </c>
      <c r="C53" s="23" t="str">
        <f>'дод 5'!B18</f>
        <v>0910</v>
      </c>
      <c r="D53" s="25" t="str">
        <f>'дод 5'!C18</f>
        <v>Надання дошкільної освіти</v>
      </c>
      <c r="E53" s="26">
        <f t="shared" si="35"/>
        <v>439209730</v>
      </c>
      <c r="F53" s="26">
        <f>428702700+800000+6580200+20000+3091520+15310</f>
        <v>439209730</v>
      </c>
      <c r="G53" s="26">
        <f>280000000+5398000+2536400</f>
        <v>287934400</v>
      </c>
      <c r="H53" s="26">
        <f>52280100+250000</f>
        <v>52530100</v>
      </c>
      <c r="I53" s="26"/>
      <c r="J53" s="26">
        <v>116882349.54000001</v>
      </c>
      <c r="K53" s="26">
        <v>73872166.519999996</v>
      </c>
      <c r="L53" s="26">
        <v>19372749.960000001</v>
      </c>
      <c r="M53" s="26"/>
      <c r="N53" s="103">
        <f t="shared" si="3"/>
        <v>26.611967257647052</v>
      </c>
      <c r="O53" s="26">
        <f>Q53+T53</f>
        <v>12135825</v>
      </c>
      <c r="P53" s="26"/>
      <c r="Q53" s="26">
        <v>12135825</v>
      </c>
      <c r="R53" s="26"/>
      <c r="S53" s="26"/>
      <c r="T53" s="26"/>
      <c r="U53" s="26">
        <f t="shared" si="6"/>
        <v>44580159.780000001</v>
      </c>
      <c r="V53" s="26"/>
      <c r="W53" s="26">
        <v>43939301.93</v>
      </c>
      <c r="X53" s="26">
        <v>433944.41</v>
      </c>
      <c r="Y53" s="26"/>
      <c r="Z53" s="26">
        <v>640857.85</v>
      </c>
      <c r="AA53" s="103" t="s">
        <v>518</v>
      </c>
      <c r="AB53" s="26">
        <f t="shared" si="4"/>
        <v>161462509.31999999</v>
      </c>
      <c r="AC53" s="26">
        <f t="shared" si="36"/>
        <v>451345555</v>
      </c>
      <c r="AD53" s="175"/>
      <c r="AE53" s="17"/>
    </row>
    <row r="54" spans="1:31" s="27" customFormat="1" ht="53.65" customHeight="1" x14ac:dyDescent="0.25">
      <c r="A54" s="23" t="s">
        <v>279</v>
      </c>
      <c r="B54" s="23">
        <f>'дод 5'!A19</f>
        <v>1021</v>
      </c>
      <c r="C54" s="23" t="str">
        <f>'дод 5'!B19</f>
        <v>0921</v>
      </c>
      <c r="D54" s="25" t="str">
        <f>'дод 5'!C19</f>
        <v>Надання загальної середньої освіти закладами загальної середньої освіти за рахунок коштів місцевого бюджету</v>
      </c>
      <c r="E54" s="26">
        <f t="shared" si="35"/>
        <v>289711920</v>
      </c>
      <c r="F54" s="26">
        <f>289051900-860000+150000+481000+69660+240500+119037+195000+204823+10000</f>
        <v>289661920</v>
      </c>
      <c r="G54" s="26">
        <f>154795000+394600+197300</f>
        <v>155386900</v>
      </c>
      <c r="H54" s="26">
        <f>73550800+426000</f>
        <v>73976800</v>
      </c>
      <c r="I54" s="26">
        <v>50000</v>
      </c>
      <c r="J54" s="26">
        <v>80725934.150000006</v>
      </c>
      <c r="K54" s="26">
        <v>39042176.390000001</v>
      </c>
      <c r="L54" s="26">
        <v>28270980.82</v>
      </c>
      <c r="M54" s="26"/>
      <c r="N54" s="103">
        <f t="shared" si="3"/>
        <v>27.864208745708495</v>
      </c>
      <c r="O54" s="26">
        <f t="shared" ref="O54:O83" si="37">Q54+T54</f>
        <v>8769225</v>
      </c>
      <c r="P54" s="26"/>
      <c r="Q54" s="26">
        <v>8769225</v>
      </c>
      <c r="R54" s="26">
        <v>2105600</v>
      </c>
      <c r="S54" s="26"/>
      <c r="T54" s="26"/>
      <c r="U54" s="26">
        <f t="shared" si="6"/>
        <v>3873620.96</v>
      </c>
      <c r="V54" s="26"/>
      <c r="W54" s="26">
        <v>2869951.04</v>
      </c>
      <c r="X54" s="26">
        <v>1176570.1299999999</v>
      </c>
      <c r="Y54" s="26"/>
      <c r="Z54" s="26">
        <v>1003669.92</v>
      </c>
      <c r="AA54" s="103">
        <f t="shared" si="11"/>
        <v>44.17289965760942</v>
      </c>
      <c r="AB54" s="26">
        <f t="shared" si="4"/>
        <v>84599555.109999999</v>
      </c>
      <c r="AC54" s="26">
        <f t="shared" si="36"/>
        <v>298481145</v>
      </c>
      <c r="AD54" s="175"/>
      <c r="AE54" s="17"/>
    </row>
    <row r="55" spans="1:31" s="27" customFormat="1" ht="103.5" customHeight="1" x14ac:dyDescent="0.25">
      <c r="A55" s="23" t="s">
        <v>280</v>
      </c>
      <c r="B55" s="24">
        <f>'дод 5'!A20</f>
        <v>1022</v>
      </c>
      <c r="C55" s="23" t="str">
        <f>'дод 5'!B20</f>
        <v>0922</v>
      </c>
      <c r="D55" s="28" t="str">
        <f>'дод 5'!C20</f>
        <v>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порушеннями інтелектуального розвитку, фізичними та/або сенсорними порушеннями, за рахунок коштів місцевого бюджету</v>
      </c>
      <c r="E55" s="26">
        <f t="shared" si="35"/>
        <v>20970200</v>
      </c>
      <c r="F55" s="26">
        <f>20626800+160400+183000</f>
        <v>20970200</v>
      </c>
      <c r="G55" s="26">
        <f>12448000+131600+150000</f>
        <v>12729600</v>
      </c>
      <c r="H55" s="26">
        <f>3347900+24000</f>
        <v>3371900</v>
      </c>
      <c r="I55" s="26"/>
      <c r="J55" s="26">
        <v>5763520.8600000003</v>
      </c>
      <c r="K55" s="26">
        <v>3283606.5</v>
      </c>
      <c r="L55" s="26">
        <v>1442626.89</v>
      </c>
      <c r="M55" s="26"/>
      <c r="N55" s="103">
        <f t="shared" si="3"/>
        <v>27.484339014410931</v>
      </c>
      <c r="O55" s="26">
        <f t="shared" si="37"/>
        <v>0</v>
      </c>
      <c r="P55" s="26"/>
      <c r="Q55" s="26"/>
      <c r="R55" s="26"/>
      <c r="S55" s="26"/>
      <c r="T55" s="26"/>
      <c r="U55" s="26">
        <f t="shared" si="6"/>
        <v>155250.12</v>
      </c>
      <c r="V55" s="26"/>
      <c r="W55" s="26">
        <v>116458.32</v>
      </c>
      <c r="X55" s="26">
        <v>74529.919999999998</v>
      </c>
      <c r="Y55" s="26"/>
      <c r="Z55" s="26">
        <v>38791.800000000003</v>
      </c>
      <c r="AA55" s="103"/>
      <c r="AB55" s="26">
        <f t="shared" si="4"/>
        <v>5918770.9800000004</v>
      </c>
      <c r="AC55" s="26">
        <f t="shared" si="36"/>
        <v>20970200</v>
      </c>
      <c r="AD55" s="175"/>
      <c r="AE55" s="17"/>
    </row>
    <row r="56" spans="1:31" s="27" customFormat="1" ht="83.25" customHeight="1" x14ac:dyDescent="0.25">
      <c r="A56" s="23" t="s">
        <v>301</v>
      </c>
      <c r="B56" s="24">
        <f>'дод 5'!A21</f>
        <v>1025</v>
      </c>
      <c r="C56" s="23" t="str">
        <f>'дод 5'!B21</f>
        <v>0922</v>
      </c>
      <c r="D56" s="28" t="str">
        <f>'дод 5'!C21</f>
        <v>Надання загальної середньої освіти навчально-реабілітаційними центрами для осіб з особливими освітніми потребами, зумовленими складними порушеннями розвитку, за рахунок коштів місцевого бюджету</v>
      </c>
      <c r="E56" s="26">
        <f t="shared" si="35"/>
        <v>15592680</v>
      </c>
      <c r="F56" s="26">
        <f>15062400+233000+212280</f>
        <v>15507680</v>
      </c>
      <c r="G56" s="26">
        <f>10513000+191200+174000</f>
        <v>10878200</v>
      </c>
      <c r="H56" s="26">
        <v>1310900</v>
      </c>
      <c r="I56" s="26">
        <v>85000</v>
      </c>
      <c r="J56" s="26">
        <v>4002617.22</v>
      </c>
      <c r="K56" s="26">
        <v>2843992.65</v>
      </c>
      <c r="L56" s="26">
        <v>388831.92</v>
      </c>
      <c r="M56" s="26"/>
      <c r="N56" s="103">
        <f t="shared" si="3"/>
        <v>25.669847774725064</v>
      </c>
      <c r="O56" s="26">
        <f t="shared" si="37"/>
        <v>0</v>
      </c>
      <c r="P56" s="26"/>
      <c r="Q56" s="26"/>
      <c r="R56" s="26"/>
      <c r="S56" s="26"/>
      <c r="T56" s="26"/>
      <c r="U56" s="26">
        <f t="shared" si="6"/>
        <v>86504.959999999992</v>
      </c>
      <c r="V56" s="26"/>
      <c r="W56" s="26">
        <v>64504.959999999999</v>
      </c>
      <c r="X56" s="26"/>
      <c r="Y56" s="26"/>
      <c r="Z56" s="26">
        <v>22000</v>
      </c>
      <c r="AA56" s="103"/>
      <c r="AB56" s="26">
        <f t="shared" si="4"/>
        <v>4089122.18</v>
      </c>
      <c r="AC56" s="26">
        <f t="shared" si="36"/>
        <v>15592680</v>
      </c>
      <c r="AD56" s="175"/>
      <c r="AE56" s="17"/>
    </row>
    <row r="57" spans="1:31" s="27" customFormat="1" ht="52.15" customHeight="1" x14ac:dyDescent="0.25">
      <c r="A57" s="23" t="s">
        <v>355</v>
      </c>
      <c r="B57" s="24">
        <f>'дод 5'!A22</f>
        <v>1031</v>
      </c>
      <c r="C57" s="23" t="str">
        <f>'дод 5'!B22</f>
        <v>0921</v>
      </c>
      <c r="D57" s="28" t="str">
        <f>'дод 5'!C22</f>
        <v>Надання загальної середньої освіти закладами загальної середньої освіти за рахунок освітньої субвенції</v>
      </c>
      <c r="E57" s="26">
        <f t="shared" ref="E57" si="38">F57+I57</f>
        <v>440774200</v>
      </c>
      <c r="F57" s="26">
        <f>438717200+2057039-39</f>
        <v>440774200</v>
      </c>
      <c r="G57" s="26">
        <v>359604300</v>
      </c>
      <c r="H57" s="26"/>
      <c r="I57" s="26"/>
      <c r="J57" s="26">
        <v>147079605.56999999</v>
      </c>
      <c r="K57" s="26">
        <v>120488504.06</v>
      </c>
      <c r="L57" s="26"/>
      <c r="M57" s="26"/>
      <c r="N57" s="103">
        <f t="shared" si="3"/>
        <v>33.368469744826264</v>
      </c>
      <c r="O57" s="26">
        <f t="shared" ref="O57" si="39">Q57+T57</f>
        <v>0</v>
      </c>
      <c r="P57" s="26"/>
      <c r="Q57" s="26"/>
      <c r="R57" s="26"/>
      <c r="S57" s="26"/>
      <c r="T57" s="26"/>
      <c r="U57" s="26">
        <f t="shared" si="6"/>
        <v>0</v>
      </c>
      <c r="V57" s="26"/>
      <c r="W57" s="26"/>
      <c r="X57" s="26"/>
      <c r="Y57" s="26"/>
      <c r="Z57" s="26"/>
      <c r="AA57" s="103"/>
      <c r="AB57" s="26">
        <f t="shared" si="4"/>
        <v>147079605.56999999</v>
      </c>
      <c r="AC57" s="26">
        <f t="shared" ref="AC57" si="40">E57+O57</f>
        <v>440774200</v>
      </c>
      <c r="AD57" s="175"/>
      <c r="AE57" s="17"/>
    </row>
    <row r="58" spans="1:31" s="27" customFormat="1" ht="100.5" customHeight="1" x14ac:dyDescent="0.25">
      <c r="A58" s="23" t="s">
        <v>358</v>
      </c>
      <c r="B58" s="24" t="str">
        <f>'дод 5'!A23</f>
        <v>1032</v>
      </c>
      <c r="C58" s="23" t="str">
        <f>'дод 5'!B23</f>
        <v>0922</v>
      </c>
      <c r="D58" s="28" t="str">
        <f>'дод 5'!C23</f>
        <v>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 інтелектуального розвитку, фізичного та/або сенсорними порушеннями, за рахунок освітньої субвенції</v>
      </c>
      <c r="E58" s="26">
        <f t="shared" ref="E58" si="41">F58+I58</f>
        <v>16673800</v>
      </c>
      <c r="F58" s="26">
        <v>16673800</v>
      </c>
      <c r="G58" s="26">
        <v>13667100</v>
      </c>
      <c r="H58" s="26"/>
      <c r="I58" s="26"/>
      <c r="J58" s="26">
        <v>5698350.3600000003</v>
      </c>
      <c r="K58" s="26">
        <v>4695947.7699999996</v>
      </c>
      <c r="L58" s="26"/>
      <c r="M58" s="26"/>
      <c r="N58" s="103">
        <f t="shared" si="3"/>
        <v>34.175475056675744</v>
      </c>
      <c r="O58" s="26">
        <f t="shared" ref="O58" si="42">Q58+T58</f>
        <v>0</v>
      </c>
      <c r="P58" s="26"/>
      <c r="Q58" s="26"/>
      <c r="R58" s="26"/>
      <c r="S58" s="26"/>
      <c r="T58" s="26"/>
      <c r="U58" s="26">
        <f t="shared" si="6"/>
        <v>0</v>
      </c>
      <c r="V58" s="26"/>
      <c r="W58" s="26"/>
      <c r="X58" s="26"/>
      <c r="Y58" s="26"/>
      <c r="Z58" s="26"/>
      <c r="AA58" s="103"/>
      <c r="AB58" s="26">
        <f t="shared" si="4"/>
        <v>5698350.3600000003</v>
      </c>
      <c r="AC58" s="26">
        <f t="shared" ref="AC58" si="43">E58+O58</f>
        <v>16673800</v>
      </c>
      <c r="AD58" s="175"/>
      <c r="AE58" s="17"/>
    </row>
    <row r="59" spans="1:31" s="27" customFormat="1" ht="78.75" x14ac:dyDescent="0.25">
      <c r="A59" s="23" t="s">
        <v>360</v>
      </c>
      <c r="B59" s="24">
        <f>'дод 5'!A24</f>
        <v>1035</v>
      </c>
      <c r="C59" s="23" t="str">
        <f>'дод 5'!B24</f>
        <v>0922</v>
      </c>
      <c r="D59" s="28" t="str">
        <f>'дод 5'!C24</f>
        <v>Надання загальної середньої освіти навчально-реабілітаційними центрами для осіб з особливими освітніми потребами, зумовленими складними порушеннями розвитку, за рахунок освітньої субвенції</v>
      </c>
      <c r="E59" s="26">
        <f>F59+I59</f>
        <v>1743200</v>
      </c>
      <c r="F59" s="26">
        <v>1743200</v>
      </c>
      <c r="G59" s="26">
        <v>1428900</v>
      </c>
      <c r="H59" s="26"/>
      <c r="I59" s="26"/>
      <c r="J59" s="26">
        <v>653213.44999999995</v>
      </c>
      <c r="K59" s="26">
        <v>534232.18999999994</v>
      </c>
      <c r="L59" s="26"/>
      <c r="M59" s="26"/>
      <c r="N59" s="103">
        <f t="shared" si="3"/>
        <v>37.472088687471313</v>
      </c>
      <c r="O59" s="26">
        <f>Q59+T59</f>
        <v>0</v>
      </c>
      <c r="P59" s="26"/>
      <c r="Q59" s="26"/>
      <c r="R59" s="26"/>
      <c r="S59" s="26"/>
      <c r="T59" s="26"/>
      <c r="U59" s="26">
        <f t="shared" si="6"/>
        <v>0</v>
      </c>
      <c r="V59" s="26"/>
      <c r="W59" s="26"/>
      <c r="X59" s="26"/>
      <c r="Y59" s="26"/>
      <c r="Z59" s="26"/>
      <c r="AA59" s="103"/>
      <c r="AB59" s="26">
        <f t="shared" si="4"/>
        <v>653213.44999999995</v>
      </c>
      <c r="AC59" s="26">
        <f t="shared" si="36"/>
        <v>1743200</v>
      </c>
      <c r="AD59" s="175"/>
      <c r="AE59" s="17"/>
    </row>
    <row r="60" spans="1:31" s="27" customFormat="1" ht="47.25" x14ac:dyDescent="0.25">
      <c r="A60" s="23" t="s">
        <v>281</v>
      </c>
      <c r="B60" s="24" t="str">
        <f>'дод 5'!A25</f>
        <v>1070</v>
      </c>
      <c r="C60" s="23" t="str">
        <f>'дод 5'!B25</f>
        <v>0960</v>
      </c>
      <c r="D60" s="28" t="str">
        <f>'дод 5'!C25</f>
        <v>Надання позашкільної освіти закладами позашкільної освіти, заходи із позашкільної роботи з дітьми</v>
      </c>
      <c r="E60" s="26">
        <f t="shared" si="35"/>
        <v>52411300</v>
      </c>
      <c r="F60" s="26">
        <f>50559100+50000+1132600+566300+103300</f>
        <v>52411300</v>
      </c>
      <c r="G60" s="26">
        <f>35000000+929200+464600</f>
        <v>36393800</v>
      </c>
      <c r="H60" s="26">
        <f>7206900+50000</f>
        <v>7256900</v>
      </c>
      <c r="I60" s="26">
        <f>75000-75000</f>
        <v>0</v>
      </c>
      <c r="J60" s="26">
        <v>14139889.25</v>
      </c>
      <c r="K60" s="26">
        <v>9354947.9700000007</v>
      </c>
      <c r="L60" s="26">
        <v>2675903.0099999998</v>
      </c>
      <c r="M60" s="26"/>
      <c r="N60" s="103">
        <f t="shared" si="3"/>
        <v>26.978703542938259</v>
      </c>
      <c r="O60" s="26">
        <f t="shared" si="37"/>
        <v>0</v>
      </c>
      <c r="P60" s="26"/>
      <c r="Q60" s="26"/>
      <c r="R60" s="26"/>
      <c r="S60" s="26"/>
      <c r="T60" s="26"/>
      <c r="U60" s="26">
        <f t="shared" si="6"/>
        <v>93946.49</v>
      </c>
      <c r="V60" s="26"/>
      <c r="W60" s="26">
        <v>93946.49</v>
      </c>
      <c r="X60" s="26">
        <v>74564.320000000007</v>
      </c>
      <c r="Y60" s="26"/>
      <c r="Z60" s="26"/>
      <c r="AA60" s="103"/>
      <c r="AB60" s="26">
        <f t="shared" si="4"/>
        <v>14233835.74</v>
      </c>
      <c r="AC60" s="26">
        <f t="shared" si="36"/>
        <v>52411300</v>
      </c>
      <c r="AD60" s="175"/>
      <c r="AE60" s="17"/>
    </row>
    <row r="61" spans="1:31" s="27" customFormat="1" ht="62.25" customHeight="1" x14ac:dyDescent="0.25">
      <c r="A61" s="23" t="s">
        <v>309</v>
      </c>
      <c r="B61" s="24">
        <f>'дод 5'!A27</f>
        <v>1091</v>
      </c>
      <c r="C61" s="23" t="str">
        <f>'дод 5'!B27</f>
        <v>0930</v>
      </c>
      <c r="D61" s="28" t="str">
        <f>'дод 5'!C27</f>
        <v>Підготовка кадрів закладами професійної освіти та іншими закладами освіти за рахунок коштів місцевого бюджету</v>
      </c>
      <c r="E61" s="26">
        <f t="shared" si="35"/>
        <v>169116096.19999999</v>
      </c>
      <c r="F61" s="26">
        <f>159705800+1589600+794800</f>
        <v>162090200</v>
      </c>
      <c r="G61" s="26">
        <f>83900000+1304200+652100</f>
        <v>85856300</v>
      </c>
      <c r="H61" s="26">
        <v>26437600</v>
      </c>
      <c r="I61" s="26">
        <f>342701.99+76177.36+6607016.85</f>
        <v>7025896.1999999993</v>
      </c>
      <c r="J61" s="26">
        <v>43080821.75</v>
      </c>
      <c r="K61" s="26">
        <v>22577707.23</v>
      </c>
      <c r="L61" s="26">
        <v>8715124.6500000004</v>
      </c>
      <c r="M61" s="26"/>
      <c r="N61" s="103">
        <f t="shared" si="3"/>
        <v>25.474110813823291</v>
      </c>
      <c r="O61" s="26">
        <f>Q61+T61</f>
        <v>23699590</v>
      </c>
      <c r="P61" s="26"/>
      <c r="Q61" s="26">
        <f>23699590-327000</f>
        <v>23372590</v>
      </c>
      <c r="R61" s="26">
        <v>7947140</v>
      </c>
      <c r="S61" s="26">
        <v>7612440</v>
      </c>
      <c r="T61" s="26">
        <v>327000</v>
      </c>
      <c r="U61" s="26">
        <f t="shared" si="6"/>
        <v>7890786.0500000007</v>
      </c>
      <c r="V61" s="26"/>
      <c r="W61" s="26">
        <v>6836655.9900000002</v>
      </c>
      <c r="X61" s="26">
        <v>812595.15</v>
      </c>
      <c r="Y61" s="26">
        <v>1506137.28</v>
      </c>
      <c r="Z61" s="26">
        <v>1054130.06</v>
      </c>
      <c r="AA61" s="103">
        <f t="shared" si="11"/>
        <v>33.295031897176287</v>
      </c>
      <c r="AB61" s="26">
        <f t="shared" si="4"/>
        <v>50971607.799999997</v>
      </c>
      <c r="AC61" s="26">
        <f t="shared" si="36"/>
        <v>192815686.19999999</v>
      </c>
      <c r="AD61" s="175"/>
      <c r="AE61" s="17"/>
    </row>
    <row r="62" spans="1:31" s="27" customFormat="1" ht="47.25" customHeight="1" x14ac:dyDescent="0.25">
      <c r="A62" s="23" t="s">
        <v>361</v>
      </c>
      <c r="B62" s="24">
        <f>'дод 5'!A28</f>
        <v>1092</v>
      </c>
      <c r="C62" s="23" t="str">
        <f>'дод 5'!B28</f>
        <v>0930</v>
      </c>
      <c r="D62" s="28" t="str">
        <f>'дод 5'!C28</f>
        <v>Підготовка кадрів закладами професійної освіти та іншими закладами освіти за рахунок освітньої субвенції</v>
      </c>
      <c r="E62" s="26">
        <f>F62+I62</f>
        <v>17191488</v>
      </c>
      <c r="F62" s="26">
        <f>16971500+219988</f>
        <v>17191488</v>
      </c>
      <c r="G62" s="26">
        <f>13911100+180317</f>
        <v>14091417</v>
      </c>
      <c r="H62" s="26"/>
      <c r="I62" s="26"/>
      <c r="J62" s="26">
        <v>5835494.9800000004</v>
      </c>
      <c r="K62" s="26">
        <v>4812057.62</v>
      </c>
      <c r="L62" s="26"/>
      <c r="M62" s="26"/>
      <c r="N62" s="103">
        <f t="shared" si="3"/>
        <v>33.944094775274834</v>
      </c>
      <c r="O62" s="26">
        <f>Q62+T62</f>
        <v>0</v>
      </c>
      <c r="P62" s="26"/>
      <c r="Q62" s="26"/>
      <c r="R62" s="26"/>
      <c r="S62" s="26"/>
      <c r="T62" s="26"/>
      <c r="U62" s="26">
        <f t="shared" si="6"/>
        <v>0</v>
      </c>
      <c r="V62" s="26"/>
      <c r="W62" s="26"/>
      <c r="X62" s="26"/>
      <c r="Y62" s="26"/>
      <c r="Z62" s="26"/>
      <c r="AA62" s="103"/>
      <c r="AB62" s="26">
        <f t="shared" si="4"/>
        <v>5835494.9800000004</v>
      </c>
      <c r="AC62" s="26">
        <f t="shared" ref="AC62" si="44">E62+O62</f>
        <v>17191488</v>
      </c>
      <c r="AD62" s="175"/>
      <c r="AE62" s="17"/>
    </row>
    <row r="63" spans="1:31" s="27" customFormat="1" ht="34.5" customHeight="1" x14ac:dyDescent="0.25">
      <c r="A63" s="23" t="s">
        <v>282</v>
      </c>
      <c r="B63" s="24" t="str">
        <f>'дод 5'!A29</f>
        <v>1141</v>
      </c>
      <c r="C63" s="23" t="str">
        <f>'дод 5'!B29</f>
        <v>0990</v>
      </c>
      <c r="D63" s="28" t="str">
        <f>'дод 5'!C29</f>
        <v>Забезпечення діяльності інших закладів у сфері освіти</v>
      </c>
      <c r="E63" s="26">
        <f t="shared" si="35"/>
        <v>14702100</v>
      </c>
      <c r="F63" s="26">
        <f>13924800+635100+94800+47400</f>
        <v>14702100</v>
      </c>
      <c r="G63" s="26">
        <f>9720000+520600+77800+38900</f>
        <v>10357300</v>
      </c>
      <c r="H63" s="26">
        <v>1386400</v>
      </c>
      <c r="I63" s="26"/>
      <c r="J63" s="26">
        <v>3554627.31</v>
      </c>
      <c r="K63" s="26">
        <v>2532619.59</v>
      </c>
      <c r="L63" s="26">
        <v>400083.31</v>
      </c>
      <c r="M63" s="26"/>
      <c r="N63" s="103">
        <f t="shared" si="3"/>
        <v>24.177684208378395</v>
      </c>
      <c r="O63" s="26">
        <f t="shared" si="37"/>
        <v>0</v>
      </c>
      <c r="P63" s="26"/>
      <c r="Q63" s="26"/>
      <c r="R63" s="26"/>
      <c r="S63" s="26"/>
      <c r="T63" s="26"/>
      <c r="U63" s="26">
        <f t="shared" si="6"/>
        <v>0</v>
      </c>
      <c r="V63" s="26"/>
      <c r="W63" s="26"/>
      <c r="X63" s="26"/>
      <c r="Y63" s="26"/>
      <c r="Z63" s="26"/>
      <c r="AA63" s="103"/>
      <c r="AB63" s="26">
        <f t="shared" si="4"/>
        <v>3554627.31</v>
      </c>
      <c r="AC63" s="26">
        <f t="shared" si="36"/>
        <v>14702100</v>
      </c>
      <c r="AD63" s="175"/>
      <c r="AE63" s="17"/>
    </row>
    <row r="64" spans="1:31" s="27" customFormat="1" ht="30.4" customHeight="1" x14ac:dyDescent="0.25">
      <c r="A64" s="23" t="s">
        <v>284</v>
      </c>
      <c r="B64" s="24" t="str">
        <f>'дод 5'!A30</f>
        <v>1142</v>
      </c>
      <c r="C64" s="23" t="str">
        <f>'дод 5'!B30</f>
        <v>0990</v>
      </c>
      <c r="D64" s="28" t="str">
        <f>'дод 5'!C30</f>
        <v>Інші програми та заходи у сфері освіти</v>
      </c>
      <c r="E64" s="26">
        <f t="shared" si="35"/>
        <v>146000</v>
      </c>
      <c r="F64" s="26">
        <f>136000+10000</f>
        <v>146000</v>
      </c>
      <c r="G64" s="26"/>
      <c r="H64" s="26"/>
      <c r="I64" s="26"/>
      <c r="J64" s="26">
        <v>29700</v>
      </c>
      <c r="K64" s="26"/>
      <c r="L64" s="26"/>
      <c r="M64" s="26"/>
      <c r="N64" s="103">
        <f t="shared" si="3"/>
        <v>20.342465753424658</v>
      </c>
      <c r="O64" s="26">
        <f t="shared" ref="O64" si="45">Q64+T64</f>
        <v>0</v>
      </c>
      <c r="P64" s="26"/>
      <c r="Q64" s="26"/>
      <c r="R64" s="26"/>
      <c r="S64" s="26"/>
      <c r="T64" s="26"/>
      <c r="U64" s="26">
        <f t="shared" si="6"/>
        <v>0</v>
      </c>
      <c r="V64" s="26"/>
      <c r="W64" s="26"/>
      <c r="X64" s="26"/>
      <c r="Y64" s="26"/>
      <c r="Z64" s="26"/>
      <c r="AA64" s="103"/>
      <c r="AB64" s="26">
        <f t="shared" si="4"/>
        <v>29700</v>
      </c>
      <c r="AC64" s="26">
        <f t="shared" ref="AC64" si="46">E64+O64</f>
        <v>146000</v>
      </c>
      <c r="AD64" s="175"/>
      <c r="AE64" s="17"/>
    </row>
    <row r="65" spans="1:31" s="27" customFormat="1" ht="35.25" customHeight="1" x14ac:dyDescent="0.25">
      <c r="A65" s="23" t="s">
        <v>286</v>
      </c>
      <c r="B65" s="24" t="str">
        <f>'дод 5'!A31</f>
        <v>1151</v>
      </c>
      <c r="C65" s="23" t="str">
        <f>'дод 5'!B31</f>
        <v>0990</v>
      </c>
      <c r="D65" s="28" t="str">
        <f>'дод 5'!C31</f>
        <v>Забезпечення діяльності інклюзивно-ресурсних центрів за рахунок коштів місцевого бюджету</v>
      </c>
      <c r="E65" s="26">
        <f t="shared" si="35"/>
        <v>184800</v>
      </c>
      <c r="F65" s="26">
        <v>184800</v>
      </c>
      <c r="G65" s="26"/>
      <c r="H65" s="26">
        <v>135800</v>
      </c>
      <c r="I65" s="26"/>
      <c r="J65" s="26">
        <v>75629.73</v>
      </c>
      <c r="K65" s="26"/>
      <c r="L65" s="26">
        <v>73508.13</v>
      </c>
      <c r="M65" s="26"/>
      <c r="N65" s="103">
        <f t="shared" si="3"/>
        <v>40.925178571428567</v>
      </c>
      <c r="O65" s="26">
        <f t="shared" si="37"/>
        <v>0</v>
      </c>
      <c r="P65" s="26"/>
      <c r="Q65" s="26"/>
      <c r="R65" s="26"/>
      <c r="S65" s="26"/>
      <c r="T65" s="26"/>
      <c r="U65" s="26">
        <f t="shared" si="6"/>
        <v>0</v>
      </c>
      <c r="V65" s="26"/>
      <c r="W65" s="26"/>
      <c r="X65" s="26"/>
      <c r="Y65" s="26"/>
      <c r="Z65" s="26"/>
      <c r="AA65" s="103"/>
      <c r="AB65" s="26">
        <f t="shared" si="4"/>
        <v>75629.73</v>
      </c>
      <c r="AC65" s="26">
        <f t="shared" si="36"/>
        <v>184800</v>
      </c>
      <c r="AD65" s="175"/>
      <c r="AE65" s="17"/>
    </row>
    <row r="66" spans="1:31" s="27" customFormat="1" ht="37.5" customHeight="1" x14ac:dyDescent="0.25">
      <c r="A66" s="23" t="s">
        <v>357</v>
      </c>
      <c r="B66" s="24" t="str">
        <f>'дод 5'!A32</f>
        <v>1152</v>
      </c>
      <c r="C66" s="23" t="str">
        <f>'дод 5'!B32</f>
        <v>0990</v>
      </c>
      <c r="D66" s="28" t="str">
        <f>'дод 5'!C32</f>
        <v>Забезпечення діяльності інклюзивно-ресурсних центрів за рахунок освітньої субвенції</v>
      </c>
      <c r="E66" s="26">
        <f t="shared" ref="E66" si="47">F66+I66</f>
        <v>1625959</v>
      </c>
      <c r="F66" s="26">
        <f>1342698+283261</f>
        <v>1625959</v>
      </c>
      <c r="G66" s="26">
        <f>1100572+232181</f>
        <v>1332753</v>
      </c>
      <c r="H66" s="26"/>
      <c r="I66" s="26"/>
      <c r="J66" s="26">
        <v>454863.28</v>
      </c>
      <c r="K66" s="26">
        <v>371771.06</v>
      </c>
      <c r="L66" s="26"/>
      <c r="M66" s="26"/>
      <c r="N66" s="103">
        <f t="shared" si="3"/>
        <v>27.975076862331711</v>
      </c>
      <c r="O66" s="26">
        <f t="shared" ref="O66" si="48">Q66+T66</f>
        <v>0</v>
      </c>
      <c r="P66" s="26"/>
      <c r="Q66" s="26"/>
      <c r="R66" s="26"/>
      <c r="S66" s="26"/>
      <c r="T66" s="26"/>
      <c r="U66" s="26">
        <f t="shared" si="6"/>
        <v>0</v>
      </c>
      <c r="V66" s="26"/>
      <c r="W66" s="26"/>
      <c r="X66" s="26"/>
      <c r="Y66" s="26"/>
      <c r="Z66" s="26"/>
      <c r="AA66" s="103"/>
      <c r="AB66" s="26">
        <f t="shared" si="4"/>
        <v>454863.28</v>
      </c>
      <c r="AC66" s="26">
        <f t="shared" ref="AC66" si="49">E66+O66</f>
        <v>1625959</v>
      </c>
      <c r="AD66" s="175"/>
      <c r="AE66" s="17"/>
    </row>
    <row r="67" spans="1:31" s="27" customFormat="1" ht="36" customHeight="1" x14ac:dyDescent="0.25">
      <c r="A67" s="23" t="s">
        <v>289</v>
      </c>
      <c r="B67" s="24" t="str">
        <f>'дод 5'!A33</f>
        <v>1160</v>
      </c>
      <c r="C67" s="23" t="str">
        <f>'дод 5'!B33</f>
        <v>0990</v>
      </c>
      <c r="D67" s="28" t="str">
        <f>'дод 5'!C33</f>
        <v>Забезпечення діяльності центрів професійного розвитку педагогічних працівників</v>
      </c>
      <c r="E67" s="26">
        <f t="shared" si="35"/>
        <v>4260200</v>
      </c>
      <c r="F67" s="26">
        <f>4127000+88800+44400</f>
        <v>4260200</v>
      </c>
      <c r="G67" s="26">
        <f>2957000+72800+36400</f>
        <v>3066200</v>
      </c>
      <c r="H67" s="26">
        <v>340600</v>
      </c>
      <c r="I67" s="26"/>
      <c r="J67" s="26">
        <v>840510.52</v>
      </c>
      <c r="K67" s="26">
        <v>608032.02</v>
      </c>
      <c r="L67" s="26">
        <v>94199.86</v>
      </c>
      <c r="M67" s="26"/>
      <c r="N67" s="103">
        <f t="shared" si="3"/>
        <v>19.729367635322287</v>
      </c>
      <c r="O67" s="26">
        <f t="shared" si="37"/>
        <v>0</v>
      </c>
      <c r="P67" s="26"/>
      <c r="Q67" s="26"/>
      <c r="R67" s="26"/>
      <c r="S67" s="26"/>
      <c r="T67" s="26"/>
      <c r="U67" s="26">
        <f t="shared" si="6"/>
        <v>0</v>
      </c>
      <c r="V67" s="26"/>
      <c r="W67" s="26"/>
      <c r="X67" s="26"/>
      <c r="Y67" s="26"/>
      <c r="Z67" s="26"/>
      <c r="AA67" s="103"/>
      <c r="AB67" s="26">
        <f t="shared" si="4"/>
        <v>840510.52</v>
      </c>
      <c r="AC67" s="26">
        <f t="shared" si="36"/>
        <v>4260200</v>
      </c>
      <c r="AD67" s="175"/>
      <c r="AE67" s="17"/>
    </row>
    <row r="68" spans="1:31" s="27" customFormat="1" ht="99" customHeight="1" x14ac:dyDescent="0.25">
      <c r="A68" s="23" t="s">
        <v>370</v>
      </c>
      <c r="B68" s="24" t="str">
        <f>'дод 5'!A34</f>
        <v>1183</v>
      </c>
      <c r="C68" s="23" t="str">
        <f>'дод 5'!B34</f>
        <v>0990</v>
      </c>
      <c r="D68" s="28" t="str">
        <f>'дод 5'!C34</f>
        <v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v>
      </c>
      <c r="E68" s="26">
        <f t="shared" si="35"/>
        <v>0</v>
      </c>
      <c r="F68" s="26"/>
      <c r="G68" s="26"/>
      <c r="H68" s="26"/>
      <c r="I68" s="26"/>
      <c r="J68" s="26"/>
      <c r="K68" s="26"/>
      <c r="L68" s="26"/>
      <c r="M68" s="26"/>
      <c r="N68" s="103"/>
      <c r="O68" s="26">
        <f t="shared" si="37"/>
        <v>4380000</v>
      </c>
      <c r="P68" s="26">
        <v>4380000</v>
      </c>
      <c r="Q68" s="26"/>
      <c r="R68" s="26"/>
      <c r="S68" s="26"/>
      <c r="T68" s="26">
        <v>4380000</v>
      </c>
      <c r="U68" s="26">
        <f t="shared" si="6"/>
        <v>0</v>
      </c>
      <c r="V68" s="26"/>
      <c r="W68" s="26"/>
      <c r="X68" s="26"/>
      <c r="Y68" s="26"/>
      <c r="Z68" s="26"/>
      <c r="AA68" s="103">
        <f t="shared" si="11"/>
        <v>0</v>
      </c>
      <c r="AB68" s="26">
        <f t="shared" si="4"/>
        <v>0</v>
      </c>
      <c r="AC68" s="26">
        <f t="shared" si="36"/>
        <v>4380000</v>
      </c>
      <c r="AD68" s="175"/>
      <c r="AE68" s="17"/>
    </row>
    <row r="69" spans="1:31" s="27" customFormat="1" ht="111" customHeight="1" x14ac:dyDescent="0.25">
      <c r="A69" s="23" t="s">
        <v>503</v>
      </c>
      <c r="B69" s="24" t="str">
        <f>'дод 5'!A35</f>
        <v>1184</v>
      </c>
      <c r="C69" s="24" t="str">
        <f>'дод 5'!B35</f>
        <v>0990</v>
      </c>
      <c r="D69" s="28" t="str">
        <f>'дод 5'!C35</f>
        <v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v>
      </c>
      <c r="E69" s="26">
        <f t="shared" ref="E69" si="50">F69+I69</f>
        <v>0</v>
      </c>
      <c r="F69" s="26"/>
      <c r="G69" s="26"/>
      <c r="H69" s="26"/>
      <c r="I69" s="26"/>
      <c r="J69" s="26"/>
      <c r="K69" s="26"/>
      <c r="L69" s="26"/>
      <c r="M69" s="26"/>
      <c r="N69" s="103"/>
      <c r="O69" s="26">
        <f t="shared" ref="O69" si="51">Q69+T69</f>
        <v>3459100</v>
      </c>
      <c r="P69" s="26">
        <v>3459100</v>
      </c>
      <c r="Q69" s="26"/>
      <c r="R69" s="26"/>
      <c r="S69" s="26"/>
      <c r="T69" s="26">
        <v>3459100</v>
      </c>
      <c r="U69" s="26">
        <f t="shared" si="6"/>
        <v>0</v>
      </c>
      <c r="V69" s="26"/>
      <c r="W69" s="26"/>
      <c r="X69" s="26"/>
      <c r="Y69" s="26"/>
      <c r="Z69" s="26"/>
      <c r="AA69" s="103">
        <f t="shared" si="11"/>
        <v>0</v>
      </c>
      <c r="AB69" s="26">
        <f t="shared" si="4"/>
        <v>0</v>
      </c>
      <c r="AC69" s="26">
        <f t="shared" ref="AC69" si="52">E69+O69</f>
        <v>3459100</v>
      </c>
      <c r="AD69" s="175"/>
      <c r="AE69" s="17"/>
    </row>
    <row r="70" spans="1:31" s="27" customFormat="1" ht="109.5" customHeight="1" x14ac:dyDescent="0.25">
      <c r="A70" s="23" t="s">
        <v>499</v>
      </c>
      <c r="B70" s="24" t="str">
        <f>'дод 5'!A36</f>
        <v>1200</v>
      </c>
      <c r="C70" s="24" t="str">
        <f>'дод 5'!B36</f>
        <v>0990</v>
      </c>
      <c r="D70" s="28" t="str">
        <f>'дод 5'!C36</f>
        <v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v>
      </c>
      <c r="E70" s="26">
        <f t="shared" ref="E70" si="53">F70+I70</f>
        <v>1448400</v>
      </c>
      <c r="F70" s="26">
        <v>1448400</v>
      </c>
      <c r="G70" s="26">
        <v>1187213</v>
      </c>
      <c r="H70" s="26"/>
      <c r="I70" s="26"/>
      <c r="J70" s="26">
        <v>716473.59</v>
      </c>
      <c r="K70" s="26">
        <v>587273.54</v>
      </c>
      <c r="L70" s="26"/>
      <c r="M70" s="26"/>
      <c r="N70" s="103">
        <f t="shared" si="3"/>
        <v>49.466555509527751</v>
      </c>
      <c r="O70" s="26">
        <f t="shared" ref="O70" si="54">Q70+T70</f>
        <v>0</v>
      </c>
      <c r="P70" s="26"/>
      <c r="Q70" s="26"/>
      <c r="R70" s="26"/>
      <c r="S70" s="26"/>
      <c r="T70" s="26"/>
      <c r="U70" s="26">
        <f t="shared" si="6"/>
        <v>0</v>
      </c>
      <c r="V70" s="26"/>
      <c r="W70" s="26"/>
      <c r="X70" s="26"/>
      <c r="Y70" s="26"/>
      <c r="Z70" s="26"/>
      <c r="AA70" s="103"/>
      <c r="AB70" s="26">
        <f t="shared" si="4"/>
        <v>716473.59</v>
      </c>
      <c r="AC70" s="26">
        <f t="shared" ref="AC70" si="55">E70+O70</f>
        <v>1448400</v>
      </c>
      <c r="AD70" s="175"/>
      <c r="AE70" s="17"/>
    </row>
    <row r="71" spans="1:31" s="27" customFormat="1" ht="156.75" customHeight="1" x14ac:dyDescent="0.25">
      <c r="A71" s="23" t="s">
        <v>396</v>
      </c>
      <c r="B71" s="24">
        <v>1231</v>
      </c>
      <c r="C71" s="23" t="s">
        <v>48</v>
      </c>
      <c r="D71" s="28" t="s">
        <v>398</v>
      </c>
      <c r="E71" s="26">
        <f t="shared" ref="E71" si="56">F71+I71</f>
        <v>0</v>
      </c>
      <c r="F71" s="26"/>
      <c r="G71" s="26"/>
      <c r="H71" s="26"/>
      <c r="I71" s="26"/>
      <c r="J71" s="26"/>
      <c r="K71" s="26"/>
      <c r="L71" s="26"/>
      <c r="M71" s="26"/>
      <c r="N71" s="103"/>
      <c r="O71" s="26">
        <f t="shared" ref="O71" si="57">Q71+T71</f>
        <v>1051200</v>
      </c>
      <c r="P71" s="26">
        <v>1051200</v>
      </c>
      <c r="Q71" s="26"/>
      <c r="R71" s="26"/>
      <c r="S71" s="26"/>
      <c r="T71" s="26">
        <v>1051200</v>
      </c>
      <c r="U71" s="26">
        <f t="shared" si="6"/>
        <v>0</v>
      </c>
      <c r="V71" s="26"/>
      <c r="W71" s="26"/>
      <c r="X71" s="26"/>
      <c r="Y71" s="26"/>
      <c r="Z71" s="26"/>
      <c r="AA71" s="103">
        <f t="shared" si="11"/>
        <v>0</v>
      </c>
      <c r="AB71" s="26">
        <f t="shared" si="4"/>
        <v>0</v>
      </c>
      <c r="AC71" s="26">
        <f t="shared" ref="AC71" si="58">E71+O71</f>
        <v>1051200</v>
      </c>
      <c r="AD71" s="175"/>
      <c r="AE71" s="17"/>
    </row>
    <row r="72" spans="1:31" s="27" customFormat="1" ht="165" customHeight="1" x14ac:dyDescent="0.25">
      <c r="A72" s="23" t="s">
        <v>441</v>
      </c>
      <c r="B72" s="24">
        <v>1241</v>
      </c>
      <c r="C72" s="23" t="s">
        <v>48</v>
      </c>
      <c r="D72" s="28" t="s">
        <v>442</v>
      </c>
      <c r="E72" s="26">
        <f t="shared" ref="E72" si="59">F72+I72</f>
        <v>0</v>
      </c>
      <c r="F72" s="26"/>
      <c r="G72" s="26"/>
      <c r="H72" s="26"/>
      <c r="I72" s="26"/>
      <c r="J72" s="26"/>
      <c r="K72" s="26"/>
      <c r="L72" s="26"/>
      <c r="M72" s="26"/>
      <c r="N72" s="103"/>
      <c r="O72" s="26">
        <f t="shared" ref="O72" si="60">Q72+T72</f>
        <v>11133700</v>
      </c>
      <c r="P72" s="26">
        <v>11133700</v>
      </c>
      <c r="Q72" s="26"/>
      <c r="R72" s="26"/>
      <c r="S72" s="26"/>
      <c r="T72" s="26">
        <v>11133700</v>
      </c>
      <c r="U72" s="26">
        <f t="shared" si="6"/>
        <v>0</v>
      </c>
      <c r="V72" s="26"/>
      <c r="W72" s="26"/>
      <c r="X72" s="26"/>
      <c r="Y72" s="26"/>
      <c r="Z72" s="26"/>
      <c r="AA72" s="103">
        <f t="shared" si="11"/>
        <v>0</v>
      </c>
      <c r="AB72" s="26">
        <f t="shared" si="4"/>
        <v>0</v>
      </c>
      <c r="AC72" s="26">
        <f t="shared" ref="AC72" si="61">E72+O72</f>
        <v>11133700</v>
      </c>
      <c r="AD72" s="175"/>
      <c r="AE72" s="17"/>
    </row>
    <row r="73" spans="1:31" s="27" customFormat="1" ht="93.75" customHeight="1" x14ac:dyDescent="0.25">
      <c r="A73" s="23" t="s">
        <v>483</v>
      </c>
      <c r="B73" s="24" t="str">
        <f>'дод 5'!A41</f>
        <v>1279</v>
      </c>
      <c r="C73" s="24" t="str">
        <f>'дод 5'!B41</f>
        <v>0990</v>
      </c>
      <c r="D73" s="28" t="str">
        <f>'дод 5'!C41</f>
        <v>Реалізація заходів за рахунок освітньої субвенції з державного бюджету місцевим бюджетам (за спеціальним фондом державного бюджету) з урахуванням залишків на забезпечення харчуванням учнів закладів загальної середньої освіти</v>
      </c>
      <c r="E73" s="26">
        <f t="shared" ref="E73" si="62">F73+I73</f>
        <v>0</v>
      </c>
      <c r="F73" s="26"/>
      <c r="G73" s="26"/>
      <c r="H73" s="26"/>
      <c r="I73" s="26"/>
      <c r="J73" s="26"/>
      <c r="K73" s="26"/>
      <c r="L73" s="26"/>
      <c r="M73" s="26"/>
      <c r="N73" s="103"/>
      <c r="O73" s="26">
        <f t="shared" ref="O73" si="63">Q73+T73</f>
        <v>1328051.8</v>
      </c>
      <c r="P73" s="26"/>
      <c r="Q73" s="26">
        <v>1328051.8</v>
      </c>
      <c r="R73" s="26"/>
      <c r="S73" s="26"/>
      <c r="T73" s="26"/>
      <c r="U73" s="26">
        <f t="shared" si="6"/>
        <v>151193.04999999999</v>
      </c>
      <c r="V73" s="26"/>
      <c r="W73" s="26">
        <v>151193.04999999999</v>
      </c>
      <c r="X73" s="26"/>
      <c r="Y73" s="26"/>
      <c r="Z73" s="26"/>
      <c r="AA73" s="103">
        <f t="shared" si="11"/>
        <v>11.384574758303854</v>
      </c>
      <c r="AB73" s="26">
        <f t="shared" si="4"/>
        <v>151193.04999999999</v>
      </c>
      <c r="AC73" s="26">
        <f t="shared" ref="AC73" si="64">E73+O73</f>
        <v>1328051.8</v>
      </c>
      <c r="AD73" s="175"/>
      <c r="AE73" s="17"/>
    </row>
    <row r="74" spans="1:31" s="27" customFormat="1" ht="75.75" customHeight="1" x14ac:dyDescent="0.25">
      <c r="A74" s="23" t="s">
        <v>493</v>
      </c>
      <c r="B74" s="24" t="str">
        <f>'дод 5'!A43</f>
        <v>1310</v>
      </c>
      <c r="C74" s="24" t="str">
        <f>'дод 5'!B43</f>
        <v>0990</v>
      </c>
      <c r="D74" s="28" t="str">
        <f>'дод 5'!C43</f>
        <v>Реалізація проектів (заходів) з відновлення освітніх установ та закладів, пошкоджених/знищених внаслідок збройної агресії, за рахунок коштів місцевих бюджетів</v>
      </c>
      <c r="E74" s="26">
        <f>F74+I74</f>
        <v>540000</v>
      </c>
      <c r="F74" s="26"/>
      <c r="G74" s="26"/>
      <c r="H74" s="26"/>
      <c r="I74" s="26">
        <v>540000</v>
      </c>
      <c r="J74" s="26"/>
      <c r="K74" s="26"/>
      <c r="L74" s="26"/>
      <c r="M74" s="26"/>
      <c r="N74" s="103">
        <f t="shared" si="3"/>
        <v>0</v>
      </c>
      <c r="O74" s="26">
        <f>Q74+T74</f>
        <v>0</v>
      </c>
      <c r="P74" s="26"/>
      <c r="Q74" s="26"/>
      <c r="R74" s="26"/>
      <c r="S74" s="26"/>
      <c r="T74" s="26"/>
      <c r="U74" s="26">
        <f t="shared" si="6"/>
        <v>0</v>
      </c>
      <c r="V74" s="26"/>
      <c r="W74" s="26"/>
      <c r="X74" s="26"/>
      <c r="Y74" s="26"/>
      <c r="Z74" s="26"/>
      <c r="AA74" s="103"/>
      <c r="AB74" s="26">
        <f t="shared" si="4"/>
        <v>0</v>
      </c>
      <c r="AC74" s="26">
        <f>E74+O74</f>
        <v>540000</v>
      </c>
      <c r="AD74" s="175"/>
      <c r="AE74" s="17"/>
    </row>
    <row r="75" spans="1:31" s="27" customFormat="1" ht="63" x14ac:dyDescent="0.25">
      <c r="A75" s="23" t="s">
        <v>468</v>
      </c>
      <c r="B75" s="24" t="str">
        <f>'дод 5'!A44</f>
        <v>1600</v>
      </c>
      <c r="C75" s="24" t="str">
        <f>'дод 5'!B44</f>
        <v>0990</v>
      </c>
      <c r="D75" s="28" t="str">
        <f>'дод 5'!C44</f>
        <v>Здійснення доплат педагогічним працівникам закладів загальної середньої освіти за рахунок субвенції з державного бюджету місцевим бюджетам</v>
      </c>
      <c r="E75" s="26">
        <f>F75+I75</f>
        <v>105127200</v>
      </c>
      <c r="F75" s="26">
        <v>105127200</v>
      </c>
      <c r="G75" s="26">
        <v>86170200</v>
      </c>
      <c r="H75" s="26"/>
      <c r="I75" s="26"/>
      <c r="J75" s="26">
        <v>45349605.18</v>
      </c>
      <c r="K75" s="26">
        <v>37335910.409999996</v>
      </c>
      <c r="L75" s="26"/>
      <c r="M75" s="26"/>
      <c r="N75" s="103">
        <f t="shared" si="3"/>
        <v>43.137841757413874</v>
      </c>
      <c r="O75" s="26">
        <f>Q75+T75</f>
        <v>0</v>
      </c>
      <c r="P75" s="26"/>
      <c r="Q75" s="26"/>
      <c r="R75" s="26"/>
      <c r="S75" s="26"/>
      <c r="T75" s="26"/>
      <c r="U75" s="26">
        <f t="shared" si="6"/>
        <v>0</v>
      </c>
      <c r="V75" s="26"/>
      <c r="W75" s="26"/>
      <c r="X75" s="26"/>
      <c r="Y75" s="26"/>
      <c r="Z75" s="26"/>
      <c r="AA75" s="103"/>
      <c r="AB75" s="26">
        <f t="shared" si="4"/>
        <v>45349605.18</v>
      </c>
      <c r="AC75" s="26">
        <f>E75+O75</f>
        <v>105127200</v>
      </c>
      <c r="AD75" s="175">
        <v>13</v>
      </c>
      <c r="AE75" s="17"/>
    </row>
    <row r="76" spans="1:31" s="27" customFormat="1" ht="78.75" x14ac:dyDescent="0.25">
      <c r="A76" s="23" t="s">
        <v>482</v>
      </c>
      <c r="B76" s="24" t="str">
        <f>'дод 5'!A45</f>
        <v>1700</v>
      </c>
      <c r="C76" s="24" t="str">
        <f>'дод 5'!B45</f>
        <v>0990</v>
      </c>
      <c r="D76" s="28" t="str">
        <f>'дод 5'!C45</f>
        <v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v>
      </c>
      <c r="E76" s="26">
        <f>F76+I76</f>
        <v>0</v>
      </c>
      <c r="F76" s="26"/>
      <c r="G76" s="26"/>
      <c r="H76" s="26"/>
      <c r="I76" s="26"/>
      <c r="J76" s="26"/>
      <c r="K76" s="26"/>
      <c r="L76" s="26"/>
      <c r="M76" s="26"/>
      <c r="N76" s="103"/>
      <c r="O76" s="26">
        <f>Q76+T76</f>
        <v>5037889.5999999996</v>
      </c>
      <c r="P76" s="26"/>
      <c r="Q76" s="26">
        <v>5037889.5999999996</v>
      </c>
      <c r="R76" s="26"/>
      <c r="S76" s="26"/>
      <c r="T76" s="26"/>
      <c r="U76" s="26">
        <f t="shared" si="6"/>
        <v>1265443.01</v>
      </c>
      <c r="V76" s="26"/>
      <c r="W76" s="26">
        <v>1265443.01</v>
      </c>
      <c r="X76" s="26"/>
      <c r="Y76" s="26"/>
      <c r="Z76" s="26"/>
      <c r="AA76" s="103">
        <f t="shared" si="11"/>
        <v>25.118514109558891</v>
      </c>
      <c r="AB76" s="26">
        <f t="shared" si="4"/>
        <v>1265443.01</v>
      </c>
      <c r="AC76" s="26">
        <f>E76+O76</f>
        <v>5037889.5999999996</v>
      </c>
      <c r="AD76" s="175"/>
      <c r="AE76" s="17"/>
    </row>
    <row r="77" spans="1:31" s="27" customFormat="1" ht="55.5" customHeight="1" x14ac:dyDescent="0.25">
      <c r="A77" s="23" t="s">
        <v>460</v>
      </c>
      <c r="B77" s="24" t="str">
        <f>'дод 5'!A46</f>
        <v>1702</v>
      </c>
      <c r="C77" s="24" t="str">
        <f>'дод 5'!B46</f>
        <v>0990</v>
      </c>
      <c r="D77" s="28" t="str">
        <f>'дод 5'!C46</f>
        <v>Забезпечення харчуванням учнів закладів загальної середньої освіти за рахунок субвенції з державного бюджету місцевим бюджетам</v>
      </c>
      <c r="E77" s="26">
        <f>F77+I77</f>
        <v>51785700</v>
      </c>
      <c r="F77" s="26">
        <v>51785700</v>
      </c>
      <c r="G77" s="26"/>
      <c r="H77" s="26"/>
      <c r="I77" s="26"/>
      <c r="J77" s="26">
        <v>5999186.4400000004</v>
      </c>
      <c r="K77" s="26"/>
      <c r="L77" s="26"/>
      <c r="M77" s="26"/>
      <c r="N77" s="103">
        <f t="shared" si="3"/>
        <v>11.584639079900438</v>
      </c>
      <c r="O77" s="26">
        <f>Q77+T77</f>
        <v>0</v>
      </c>
      <c r="P77" s="26"/>
      <c r="Q77" s="26"/>
      <c r="R77" s="26"/>
      <c r="S77" s="26"/>
      <c r="T77" s="26"/>
      <c r="U77" s="26">
        <f t="shared" si="6"/>
        <v>0</v>
      </c>
      <c r="V77" s="26"/>
      <c r="W77" s="26"/>
      <c r="X77" s="26"/>
      <c r="Y77" s="26"/>
      <c r="Z77" s="26"/>
      <c r="AA77" s="103"/>
      <c r="AB77" s="26">
        <f t="shared" si="4"/>
        <v>5999186.4400000004</v>
      </c>
      <c r="AC77" s="26">
        <f>E77+O77</f>
        <v>51785700</v>
      </c>
      <c r="AD77" s="175"/>
      <c r="AE77" s="17"/>
    </row>
    <row r="78" spans="1:31" s="31" customFormat="1" ht="39.75" customHeight="1" x14ac:dyDescent="0.25">
      <c r="A78" s="23" t="s">
        <v>292</v>
      </c>
      <c r="B78" s="24" t="str">
        <f>'дод 5'!A78</f>
        <v>3242</v>
      </c>
      <c r="C78" s="24" t="str">
        <f>'дод 5'!B78</f>
        <v>1090</v>
      </c>
      <c r="D78" s="28" t="str">
        <f>'дод 5'!C78</f>
        <v>Інші заходи та заклади у сфері соціального захисту і соціального забезпечення</v>
      </c>
      <c r="E78" s="26">
        <f t="shared" si="35"/>
        <v>50700</v>
      </c>
      <c r="F78" s="26">
        <v>50700</v>
      </c>
      <c r="G78" s="26"/>
      <c r="H78" s="26"/>
      <c r="I78" s="26"/>
      <c r="J78" s="26">
        <v>7240</v>
      </c>
      <c r="K78" s="26"/>
      <c r="L78" s="26"/>
      <c r="M78" s="26"/>
      <c r="N78" s="103">
        <f t="shared" si="3"/>
        <v>14.280078895463511</v>
      </c>
      <c r="O78" s="26">
        <f t="shared" si="37"/>
        <v>0</v>
      </c>
      <c r="P78" s="26"/>
      <c r="Q78" s="26"/>
      <c r="R78" s="26"/>
      <c r="S78" s="26"/>
      <c r="T78" s="26"/>
      <c r="U78" s="26">
        <f t="shared" si="6"/>
        <v>0</v>
      </c>
      <c r="V78" s="26"/>
      <c r="W78" s="26"/>
      <c r="X78" s="26"/>
      <c r="Y78" s="26"/>
      <c r="Z78" s="26"/>
      <c r="AA78" s="103"/>
      <c r="AB78" s="26">
        <f t="shared" si="4"/>
        <v>7240</v>
      </c>
      <c r="AC78" s="26">
        <f t="shared" si="36"/>
        <v>50700</v>
      </c>
      <c r="AD78" s="175"/>
      <c r="AE78" s="17"/>
    </row>
    <row r="79" spans="1:31" s="31" customFormat="1" ht="49.5" customHeight="1" x14ac:dyDescent="0.25">
      <c r="A79" s="23" t="s">
        <v>293</v>
      </c>
      <c r="B79" s="24" t="str">
        <f>'дод 5'!A88</f>
        <v>5031</v>
      </c>
      <c r="C79" s="23" t="str">
        <f>'дод 5'!B88</f>
        <v>0810</v>
      </c>
      <c r="D79" s="28" t="str">
        <f>'дод 5'!C88</f>
        <v>Розвиток здібностей у дітей та молоді з фізичної
культури та спорту комунальними дитячо-юнацькими спортивними школами</v>
      </c>
      <c r="E79" s="26">
        <f t="shared" si="35"/>
        <v>13971200</v>
      </c>
      <c r="F79" s="26">
        <v>13971200</v>
      </c>
      <c r="G79" s="26">
        <v>10465000</v>
      </c>
      <c r="H79" s="26">
        <v>541800</v>
      </c>
      <c r="I79" s="26"/>
      <c r="J79" s="26">
        <v>3329414.23</v>
      </c>
      <c r="K79" s="26">
        <v>2551385.75</v>
      </c>
      <c r="L79" s="26">
        <v>188098.13</v>
      </c>
      <c r="M79" s="26"/>
      <c r="N79" s="103">
        <f t="shared" si="3"/>
        <v>23.830553066307832</v>
      </c>
      <c r="O79" s="26">
        <f t="shared" si="37"/>
        <v>0</v>
      </c>
      <c r="P79" s="26"/>
      <c r="Q79" s="26"/>
      <c r="R79" s="26"/>
      <c r="S79" s="26"/>
      <c r="T79" s="26"/>
      <c r="U79" s="26">
        <f t="shared" si="6"/>
        <v>0</v>
      </c>
      <c r="V79" s="26"/>
      <c r="W79" s="26"/>
      <c r="X79" s="26"/>
      <c r="Y79" s="26"/>
      <c r="Z79" s="26"/>
      <c r="AA79" s="103"/>
      <c r="AB79" s="26">
        <f t="shared" si="4"/>
        <v>3329414.23</v>
      </c>
      <c r="AC79" s="26">
        <f t="shared" si="36"/>
        <v>13971200</v>
      </c>
      <c r="AD79" s="175"/>
      <c r="AE79" s="17"/>
    </row>
    <row r="80" spans="1:31" s="31" customFormat="1" ht="32.25" customHeight="1" x14ac:dyDescent="0.25">
      <c r="A80" s="23" t="s">
        <v>490</v>
      </c>
      <c r="B80" s="24" t="str">
        <f>'дод 5'!A121</f>
        <v>7640</v>
      </c>
      <c r="C80" s="24" t="str">
        <f>'дод 5'!B121</f>
        <v>0470</v>
      </c>
      <c r="D80" s="28" t="str">
        <f>'дод 5'!C121</f>
        <v>Заходи з енергозбереження</v>
      </c>
      <c r="E80" s="26">
        <f t="shared" si="35"/>
        <v>897000</v>
      </c>
      <c r="F80" s="26">
        <v>897000</v>
      </c>
      <c r="G80" s="26"/>
      <c r="H80" s="26"/>
      <c r="I80" s="26"/>
      <c r="J80" s="26"/>
      <c r="K80" s="26"/>
      <c r="L80" s="26"/>
      <c r="M80" s="26"/>
      <c r="N80" s="103">
        <f t="shared" ref="N80:N143" si="65">J80/E80*100</f>
        <v>0</v>
      </c>
      <c r="O80" s="26">
        <f t="shared" si="37"/>
        <v>0</v>
      </c>
      <c r="P80" s="26"/>
      <c r="Q80" s="26"/>
      <c r="R80" s="26"/>
      <c r="S80" s="26"/>
      <c r="T80" s="26"/>
      <c r="U80" s="26">
        <f t="shared" ref="U80:U143" si="66">W80+Z80</f>
        <v>0</v>
      </c>
      <c r="V80" s="26"/>
      <c r="W80" s="26"/>
      <c r="X80" s="26"/>
      <c r="Y80" s="26"/>
      <c r="Z80" s="26"/>
      <c r="AA80" s="103"/>
      <c r="AB80" s="26">
        <f t="shared" ref="AB80:AB143" si="67">J80+U80</f>
        <v>0</v>
      </c>
      <c r="AC80" s="26">
        <f t="shared" si="36"/>
        <v>897000</v>
      </c>
      <c r="AD80" s="175"/>
      <c r="AE80" s="17"/>
    </row>
    <row r="81" spans="1:31" s="31" customFormat="1" ht="31.5" x14ac:dyDescent="0.25">
      <c r="A81" s="23" t="s">
        <v>487</v>
      </c>
      <c r="B81" s="24" t="str">
        <f>'дод 5'!A130</f>
        <v>8110</v>
      </c>
      <c r="C81" s="24" t="str">
        <f>'дод 5'!B130</f>
        <v>0320</v>
      </c>
      <c r="D81" s="28" t="str">
        <f>'дод 5'!C130</f>
        <v>Заходи із запобігання та ліквідації надзвичайних ситуацій та наслідків стихійного лиха</v>
      </c>
      <c r="E81" s="26">
        <f t="shared" ref="E81" si="68">F81+I81</f>
        <v>1791600</v>
      </c>
      <c r="F81" s="26">
        <v>181600</v>
      </c>
      <c r="G81" s="26"/>
      <c r="H81" s="26"/>
      <c r="I81" s="26">
        <v>1610000</v>
      </c>
      <c r="J81" s="26">
        <v>87002.23</v>
      </c>
      <c r="K81" s="26"/>
      <c r="L81" s="26"/>
      <c r="M81" s="26"/>
      <c r="N81" s="103">
        <f t="shared" si="65"/>
        <v>4.8561191114087965</v>
      </c>
      <c r="O81" s="26">
        <f t="shared" ref="O81" si="69">Q81+T81</f>
        <v>0</v>
      </c>
      <c r="P81" s="26"/>
      <c r="Q81" s="26"/>
      <c r="R81" s="26"/>
      <c r="S81" s="26"/>
      <c r="T81" s="26"/>
      <c r="U81" s="26">
        <f t="shared" si="66"/>
        <v>0</v>
      </c>
      <c r="V81" s="26"/>
      <c r="W81" s="26"/>
      <c r="X81" s="26"/>
      <c r="Y81" s="26"/>
      <c r="Z81" s="26"/>
      <c r="AA81" s="103"/>
      <c r="AB81" s="26">
        <f t="shared" si="67"/>
        <v>87002.23</v>
      </c>
      <c r="AC81" s="26">
        <f t="shared" ref="AC81" si="70">E81+O81</f>
        <v>1791600</v>
      </c>
      <c r="AD81" s="175"/>
      <c r="AE81" s="17"/>
    </row>
    <row r="82" spans="1:31" s="31" customFormat="1" ht="28.5" customHeight="1" x14ac:dyDescent="0.25">
      <c r="A82" s="23" t="s">
        <v>328</v>
      </c>
      <c r="B82" s="24">
        <f>'дод 5'!A134</f>
        <v>8240</v>
      </c>
      <c r="C82" s="23" t="str">
        <f>'дод 5'!B134</f>
        <v>0380</v>
      </c>
      <c r="D82" s="28" t="str">
        <f>'дод 5'!C134</f>
        <v>Заходи та роботи з територіальної оборони</v>
      </c>
      <c r="E82" s="26">
        <f t="shared" si="35"/>
        <v>7263600</v>
      </c>
      <c r="F82" s="82">
        <f>3741000+3522600</f>
        <v>7263600</v>
      </c>
      <c r="G82" s="26"/>
      <c r="H82" s="26">
        <f>465000+465000</f>
        <v>930000</v>
      </c>
      <c r="I82" s="26"/>
      <c r="J82" s="26">
        <v>2822412.27</v>
      </c>
      <c r="K82" s="26"/>
      <c r="L82" s="26">
        <v>348000.83</v>
      </c>
      <c r="M82" s="26"/>
      <c r="N82" s="103">
        <f t="shared" si="65"/>
        <v>38.856934164876918</v>
      </c>
      <c r="O82" s="26">
        <f t="shared" si="37"/>
        <v>0</v>
      </c>
      <c r="P82" s="26"/>
      <c r="Q82" s="26"/>
      <c r="R82" s="26"/>
      <c r="S82" s="26"/>
      <c r="T82" s="26"/>
      <c r="U82" s="26">
        <f t="shared" si="66"/>
        <v>35698.81</v>
      </c>
      <c r="V82" s="26"/>
      <c r="W82" s="26">
        <v>35698.81</v>
      </c>
      <c r="X82" s="26"/>
      <c r="Y82" s="26"/>
      <c r="Z82" s="26"/>
      <c r="AA82" s="103"/>
      <c r="AB82" s="26">
        <f t="shared" si="67"/>
        <v>2858111.08</v>
      </c>
      <c r="AC82" s="26">
        <f t="shared" si="36"/>
        <v>7263600</v>
      </c>
      <c r="AD82" s="175"/>
      <c r="AE82" s="17"/>
    </row>
    <row r="83" spans="1:31" s="31" customFormat="1" ht="31.5" x14ac:dyDescent="0.25">
      <c r="A83" s="23" t="s">
        <v>294</v>
      </c>
      <c r="B83" s="24" t="str">
        <f>'дод 5'!A137</f>
        <v>8340</v>
      </c>
      <c r="C83" s="23" t="str">
        <f>'дод 5'!B137</f>
        <v>0540</v>
      </c>
      <c r="D83" s="28" t="str">
        <f>'дод 5'!C137</f>
        <v>Природоохоронні заходи за рахунок цільових фондів</v>
      </c>
      <c r="E83" s="26">
        <f t="shared" si="35"/>
        <v>0</v>
      </c>
      <c r="F83" s="26"/>
      <c r="G83" s="26"/>
      <c r="H83" s="26"/>
      <c r="I83" s="26"/>
      <c r="J83" s="26"/>
      <c r="K83" s="26"/>
      <c r="L83" s="26"/>
      <c r="M83" s="26"/>
      <c r="N83" s="103"/>
      <c r="O83" s="26">
        <f t="shared" si="37"/>
        <v>515000</v>
      </c>
      <c r="P83" s="26"/>
      <c r="Q83" s="26">
        <v>515000</v>
      </c>
      <c r="R83" s="26"/>
      <c r="S83" s="26"/>
      <c r="T83" s="26"/>
      <c r="U83" s="26">
        <f t="shared" si="66"/>
        <v>31100</v>
      </c>
      <c r="V83" s="26"/>
      <c r="W83" s="26">
        <v>31100</v>
      </c>
      <c r="X83" s="26"/>
      <c r="Y83" s="26"/>
      <c r="Z83" s="26"/>
      <c r="AA83" s="103">
        <f t="shared" ref="AA83:AA136" si="71">U83/O83*100</f>
        <v>6.0388349514563107</v>
      </c>
      <c r="AB83" s="26">
        <f t="shared" si="67"/>
        <v>31100</v>
      </c>
      <c r="AC83" s="26">
        <f t="shared" si="36"/>
        <v>515000</v>
      </c>
      <c r="AD83" s="175"/>
      <c r="AE83" s="17"/>
    </row>
    <row r="84" spans="1:31" s="17" customFormat="1" ht="35.25" customHeight="1" x14ac:dyDescent="0.25">
      <c r="A84" s="14" t="s">
        <v>137</v>
      </c>
      <c r="B84" s="29"/>
      <c r="C84" s="14"/>
      <c r="D84" s="15" t="s">
        <v>275</v>
      </c>
      <c r="E84" s="16">
        <f>E85</f>
        <v>162281264</v>
      </c>
      <c r="F84" s="16">
        <f t="shared" ref="F84:Z84" si="72">F85</f>
        <v>144994460</v>
      </c>
      <c r="G84" s="16">
        <f t="shared" si="72"/>
        <v>7256900</v>
      </c>
      <c r="H84" s="16">
        <f t="shared" si="72"/>
        <v>261500</v>
      </c>
      <c r="I84" s="16">
        <f t="shared" si="72"/>
        <v>17286804</v>
      </c>
      <c r="J84" s="16">
        <f t="shared" si="72"/>
        <v>39269682.280000001</v>
      </c>
      <c r="K84" s="16">
        <f t="shared" si="72"/>
        <v>1646810.88</v>
      </c>
      <c r="L84" s="16">
        <f t="shared" si="72"/>
        <v>94167.38</v>
      </c>
      <c r="M84" s="16">
        <f t="shared" si="72"/>
        <v>4500</v>
      </c>
      <c r="N84" s="101">
        <f t="shared" si="65"/>
        <v>24.198531187186216</v>
      </c>
      <c r="O84" s="16">
        <f t="shared" si="72"/>
        <v>11031300</v>
      </c>
      <c r="P84" s="16">
        <f t="shared" si="72"/>
        <v>11031300</v>
      </c>
      <c r="Q84" s="16">
        <f t="shared" si="72"/>
        <v>0</v>
      </c>
      <c r="R84" s="16">
        <f t="shared" si="72"/>
        <v>0</v>
      </c>
      <c r="S84" s="16">
        <f t="shared" si="72"/>
        <v>0</v>
      </c>
      <c r="T84" s="16">
        <f t="shared" si="72"/>
        <v>11031300</v>
      </c>
      <c r="U84" s="16">
        <f t="shared" si="72"/>
        <v>186040.8</v>
      </c>
      <c r="V84" s="16">
        <f t="shared" si="72"/>
        <v>0</v>
      </c>
      <c r="W84" s="16">
        <f t="shared" si="72"/>
        <v>186040.8</v>
      </c>
      <c r="X84" s="16">
        <f t="shared" si="72"/>
        <v>0</v>
      </c>
      <c r="Y84" s="16">
        <f t="shared" si="72"/>
        <v>0</v>
      </c>
      <c r="Z84" s="16">
        <f t="shared" si="72"/>
        <v>0</v>
      </c>
      <c r="AA84" s="101">
        <f t="shared" si="71"/>
        <v>1.6864811944195153</v>
      </c>
      <c r="AB84" s="16">
        <f t="shared" si="67"/>
        <v>39455723.079999998</v>
      </c>
      <c r="AC84" s="16">
        <f t="shared" ref="AC84" si="73">AC85</f>
        <v>173312564</v>
      </c>
      <c r="AD84" s="175"/>
    </row>
    <row r="85" spans="1:31" s="22" customFormat="1" ht="35.25" customHeight="1" x14ac:dyDescent="0.25">
      <c r="A85" s="18" t="s">
        <v>138</v>
      </c>
      <c r="B85" s="30"/>
      <c r="C85" s="18"/>
      <c r="D85" s="20" t="s">
        <v>437</v>
      </c>
      <c r="E85" s="21">
        <f t="shared" ref="E85:AC85" si="74">E86+E87+E88+E89+E90+E91+E92+E93+E94+E96+E95+E97</f>
        <v>162281264</v>
      </c>
      <c r="F85" s="21">
        <f t="shared" ref="F85:Z85" si="75">F86+F87+F88+F89+F90+F91+F92+F93+F94+F96+F95+F97</f>
        <v>144994460</v>
      </c>
      <c r="G85" s="21">
        <f t="shared" si="75"/>
        <v>7256900</v>
      </c>
      <c r="H85" s="21">
        <f t="shared" si="75"/>
        <v>261500</v>
      </c>
      <c r="I85" s="21">
        <f t="shared" si="75"/>
        <v>17286804</v>
      </c>
      <c r="J85" s="21">
        <f t="shared" si="75"/>
        <v>39269682.280000001</v>
      </c>
      <c r="K85" s="21">
        <f t="shared" si="75"/>
        <v>1646810.88</v>
      </c>
      <c r="L85" s="21">
        <f t="shared" si="75"/>
        <v>94167.38</v>
      </c>
      <c r="M85" s="21">
        <f t="shared" ref="M85" si="76">M86+M87+M88+M89+M90+M91+M92+M93+M94+M96+M95+M97</f>
        <v>4500</v>
      </c>
      <c r="N85" s="102">
        <f t="shared" si="65"/>
        <v>24.198531187186216</v>
      </c>
      <c r="O85" s="21">
        <f t="shared" si="75"/>
        <v>11031300</v>
      </c>
      <c r="P85" s="21">
        <f t="shared" si="75"/>
        <v>11031300</v>
      </c>
      <c r="Q85" s="21">
        <f t="shared" si="75"/>
        <v>0</v>
      </c>
      <c r="R85" s="21">
        <f t="shared" si="75"/>
        <v>0</v>
      </c>
      <c r="S85" s="21">
        <f t="shared" si="75"/>
        <v>0</v>
      </c>
      <c r="T85" s="21">
        <f t="shared" si="75"/>
        <v>11031300</v>
      </c>
      <c r="U85" s="21">
        <f t="shared" si="75"/>
        <v>186040.8</v>
      </c>
      <c r="V85" s="21">
        <f t="shared" si="75"/>
        <v>0</v>
      </c>
      <c r="W85" s="21">
        <f t="shared" si="75"/>
        <v>186040.8</v>
      </c>
      <c r="X85" s="21">
        <f t="shared" si="75"/>
        <v>0</v>
      </c>
      <c r="Y85" s="21">
        <f t="shared" si="75"/>
        <v>0</v>
      </c>
      <c r="Z85" s="21">
        <f t="shared" si="75"/>
        <v>0</v>
      </c>
      <c r="AA85" s="102">
        <f t="shared" si="71"/>
        <v>1.6864811944195153</v>
      </c>
      <c r="AB85" s="21">
        <f t="shared" si="67"/>
        <v>39455723.079999998</v>
      </c>
      <c r="AC85" s="21">
        <f t="shared" si="74"/>
        <v>173312564</v>
      </c>
      <c r="AD85" s="175"/>
      <c r="AE85" s="17"/>
    </row>
    <row r="86" spans="1:31" s="27" customFormat="1" ht="57" customHeight="1" x14ac:dyDescent="0.25">
      <c r="A86" s="23" t="s">
        <v>139</v>
      </c>
      <c r="B86" s="24" t="str">
        <f>'дод 5'!A15</f>
        <v>0160</v>
      </c>
      <c r="C86" s="23" t="str">
        <f>'дод 5'!B15</f>
        <v>0111</v>
      </c>
      <c r="D86" s="25" t="str">
        <f>'дод 5'!C15</f>
        <v>Керівництво і управління у відповідній сфері у містах (місті Києві), селищах, селах, територіальних громадах</v>
      </c>
      <c r="E86" s="26">
        <f t="shared" ref="E86:E91" si="77">F86+I86</f>
        <v>4491700</v>
      </c>
      <c r="F86" s="26">
        <f>4172700+18000+301000</f>
        <v>4491700</v>
      </c>
      <c r="G86" s="26">
        <v>3177500</v>
      </c>
      <c r="H86" s="26">
        <v>83000</v>
      </c>
      <c r="I86" s="26"/>
      <c r="J86" s="26">
        <v>1072445.8400000001</v>
      </c>
      <c r="K86" s="26">
        <v>755005.82</v>
      </c>
      <c r="L86" s="26">
        <v>31735.73</v>
      </c>
      <c r="M86" s="26"/>
      <c r="N86" s="103">
        <f t="shared" si="65"/>
        <v>23.876168043279829</v>
      </c>
      <c r="O86" s="26">
        <f>Q86+T86</f>
        <v>0</v>
      </c>
      <c r="P86" s="26"/>
      <c r="Q86" s="26"/>
      <c r="R86" s="26"/>
      <c r="S86" s="26"/>
      <c r="T86" s="26"/>
      <c r="U86" s="26">
        <f t="shared" si="66"/>
        <v>0</v>
      </c>
      <c r="V86" s="26"/>
      <c r="W86" s="26"/>
      <c r="X86" s="26"/>
      <c r="Y86" s="26"/>
      <c r="Z86" s="26"/>
      <c r="AA86" s="103"/>
      <c r="AB86" s="26">
        <f t="shared" si="67"/>
        <v>1072445.8400000001</v>
      </c>
      <c r="AC86" s="26">
        <f t="shared" ref="AC86:AC93" si="78">E86+O86</f>
        <v>4491700</v>
      </c>
      <c r="AD86" s="175"/>
      <c r="AE86" s="17"/>
    </row>
    <row r="87" spans="1:31" s="27" customFormat="1" ht="31.5" x14ac:dyDescent="0.25">
      <c r="A87" s="23" t="s">
        <v>140</v>
      </c>
      <c r="B87" s="24" t="str">
        <f>'дод 5'!A48</f>
        <v>2010</v>
      </c>
      <c r="C87" s="23" t="str">
        <f>'дод 5'!B48</f>
        <v>0731</v>
      </c>
      <c r="D87" s="32" t="str">
        <f>'дод 5'!C48</f>
        <v>Багатопрофільна стаціонарна медична допомога населенню</v>
      </c>
      <c r="E87" s="26">
        <f>F87+I87</f>
        <v>88444004</v>
      </c>
      <c r="F87" s="26">
        <f>77680200-315000</f>
        <v>77365200</v>
      </c>
      <c r="G87" s="26"/>
      <c r="H87" s="26"/>
      <c r="I87" s="26">
        <f>2578804+8000000+500000</f>
        <v>11078804</v>
      </c>
      <c r="J87" s="26">
        <v>24073540.68</v>
      </c>
      <c r="K87" s="26"/>
      <c r="L87" s="26"/>
      <c r="M87" s="26"/>
      <c r="N87" s="103">
        <f t="shared" si="65"/>
        <v>27.218962949709962</v>
      </c>
      <c r="O87" s="26">
        <f t="shared" ref="O87:O93" si="79">Q87+T87</f>
        <v>0</v>
      </c>
      <c r="P87" s="26"/>
      <c r="Q87" s="26"/>
      <c r="R87" s="26"/>
      <c r="S87" s="26"/>
      <c r="T87" s="26"/>
      <c r="U87" s="26">
        <f t="shared" si="66"/>
        <v>0</v>
      </c>
      <c r="V87" s="26"/>
      <c r="W87" s="26"/>
      <c r="X87" s="26"/>
      <c r="Y87" s="26"/>
      <c r="Z87" s="26"/>
      <c r="AA87" s="103"/>
      <c r="AB87" s="26">
        <f t="shared" si="67"/>
        <v>24073540.68</v>
      </c>
      <c r="AC87" s="26">
        <f t="shared" si="78"/>
        <v>88444004</v>
      </c>
      <c r="AD87" s="175"/>
      <c r="AE87" s="17"/>
    </row>
    <row r="88" spans="1:31" s="27" customFormat="1" ht="39" customHeight="1" x14ac:dyDescent="0.25">
      <c r="A88" s="23" t="s">
        <v>143</v>
      </c>
      <c r="B88" s="24" t="str">
        <f>'дод 5'!A49</f>
        <v>2030</v>
      </c>
      <c r="C88" s="23" t="str">
        <f>'дод 5'!B49</f>
        <v>0733</v>
      </c>
      <c r="D88" s="25" t="str">
        <f>'дод 5'!C49</f>
        <v>Лікарсько-акушерська допомога вагітним, породіллям та новонародженим</v>
      </c>
      <c r="E88" s="26">
        <f t="shared" si="77"/>
        <v>6979200</v>
      </c>
      <c r="F88" s="26">
        <v>6979200</v>
      </c>
      <c r="G88" s="26"/>
      <c r="H88" s="26"/>
      <c r="I88" s="26"/>
      <c r="J88" s="26">
        <v>1940906.58</v>
      </c>
      <c r="K88" s="26"/>
      <c r="L88" s="26"/>
      <c r="M88" s="26"/>
      <c r="N88" s="103">
        <f t="shared" si="65"/>
        <v>27.809871905089413</v>
      </c>
      <c r="O88" s="26">
        <f t="shared" si="79"/>
        <v>0</v>
      </c>
      <c r="P88" s="26"/>
      <c r="Q88" s="26"/>
      <c r="R88" s="26"/>
      <c r="S88" s="26"/>
      <c r="T88" s="26"/>
      <c r="U88" s="26">
        <f t="shared" si="66"/>
        <v>0</v>
      </c>
      <c r="V88" s="26"/>
      <c r="W88" s="26"/>
      <c r="X88" s="26"/>
      <c r="Y88" s="26"/>
      <c r="Z88" s="26"/>
      <c r="AA88" s="103"/>
      <c r="AB88" s="26">
        <f t="shared" si="67"/>
        <v>1940906.58</v>
      </c>
      <c r="AC88" s="26">
        <f t="shared" si="78"/>
        <v>6979200</v>
      </c>
      <c r="AD88" s="175"/>
      <c r="AE88" s="17"/>
    </row>
    <row r="89" spans="1:31" s="27" customFormat="1" ht="30.75" customHeight="1" x14ac:dyDescent="0.25">
      <c r="A89" s="23" t="s">
        <v>142</v>
      </c>
      <c r="B89" s="24" t="str">
        <f>'дод 5'!A50</f>
        <v>2100</v>
      </c>
      <c r="C89" s="23" t="str">
        <f>'дод 5'!B50</f>
        <v>0722</v>
      </c>
      <c r="D89" s="25" t="str">
        <f>'дод 5'!C50</f>
        <v>Стоматологічна допомога населенню</v>
      </c>
      <c r="E89" s="26">
        <f t="shared" si="77"/>
        <v>1362400</v>
      </c>
      <c r="F89" s="26">
        <v>1362400</v>
      </c>
      <c r="G89" s="26"/>
      <c r="H89" s="26"/>
      <c r="I89" s="26"/>
      <c r="J89" s="26">
        <v>486946.86</v>
      </c>
      <c r="K89" s="26"/>
      <c r="L89" s="26"/>
      <c r="M89" s="26"/>
      <c r="N89" s="103">
        <f t="shared" si="65"/>
        <v>35.741842337052262</v>
      </c>
      <c r="O89" s="26">
        <f t="shared" si="79"/>
        <v>0</v>
      </c>
      <c r="P89" s="26"/>
      <c r="Q89" s="26"/>
      <c r="R89" s="26"/>
      <c r="S89" s="26"/>
      <c r="T89" s="26"/>
      <c r="U89" s="26">
        <f t="shared" si="66"/>
        <v>0</v>
      </c>
      <c r="V89" s="26"/>
      <c r="W89" s="26"/>
      <c r="X89" s="26"/>
      <c r="Y89" s="26"/>
      <c r="Z89" s="26"/>
      <c r="AA89" s="103"/>
      <c r="AB89" s="26">
        <f t="shared" si="67"/>
        <v>486946.86</v>
      </c>
      <c r="AC89" s="26">
        <f t="shared" si="78"/>
        <v>1362400</v>
      </c>
      <c r="AD89" s="175"/>
      <c r="AE89" s="17"/>
    </row>
    <row r="90" spans="1:31" s="27" customFormat="1" ht="55.5" customHeight="1" x14ac:dyDescent="0.25">
      <c r="A90" s="23" t="s">
        <v>141</v>
      </c>
      <c r="B90" s="24" t="str">
        <f>'дод 5'!A51</f>
        <v>2111</v>
      </c>
      <c r="C90" s="23" t="str">
        <f>'дод 5'!B51</f>
        <v>0726</v>
      </c>
      <c r="D90" s="25" t="str">
        <f>'дод 5'!C51</f>
        <v>Первинна медична допомога населенню, що надається центрами первинної медичної (медико-санітарної) допомоги</v>
      </c>
      <c r="E90" s="26">
        <f t="shared" si="77"/>
        <v>6455600</v>
      </c>
      <c r="F90" s="26">
        <v>6455600</v>
      </c>
      <c r="G90" s="26"/>
      <c r="H90" s="26"/>
      <c r="I90" s="26"/>
      <c r="J90" s="26">
        <v>2155340.54</v>
      </c>
      <c r="K90" s="26"/>
      <c r="L90" s="26"/>
      <c r="M90" s="26"/>
      <c r="N90" s="103">
        <f t="shared" si="65"/>
        <v>33.387145114319353</v>
      </c>
      <c r="O90" s="26">
        <f t="shared" si="79"/>
        <v>0</v>
      </c>
      <c r="P90" s="26"/>
      <c r="Q90" s="26"/>
      <c r="R90" s="26"/>
      <c r="S90" s="26"/>
      <c r="T90" s="26"/>
      <c r="U90" s="26">
        <f t="shared" si="66"/>
        <v>0</v>
      </c>
      <c r="V90" s="26"/>
      <c r="W90" s="26"/>
      <c r="X90" s="26"/>
      <c r="Y90" s="26"/>
      <c r="Z90" s="26"/>
      <c r="AA90" s="103"/>
      <c r="AB90" s="26">
        <f t="shared" si="67"/>
        <v>2155340.54</v>
      </c>
      <c r="AC90" s="26">
        <f t="shared" si="78"/>
        <v>6455600</v>
      </c>
      <c r="AD90" s="175"/>
      <c r="AE90" s="17"/>
    </row>
    <row r="91" spans="1:31" s="27" customFormat="1" ht="31.5" x14ac:dyDescent="0.25">
      <c r="A91" s="23" t="s">
        <v>243</v>
      </c>
      <c r="B91" s="24" t="str">
        <f>'дод 5'!A52</f>
        <v>2151</v>
      </c>
      <c r="C91" s="23" t="str">
        <f>'дод 5'!B52</f>
        <v>0763</v>
      </c>
      <c r="D91" s="25" t="str">
        <f>'дод 5'!C52</f>
        <v>Забезпечення діяльності інших закладів у сфері охорони здоров'я</v>
      </c>
      <c r="E91" s="26">
        <f t="shared" si="77"/>
        <v>5446700</v>
      </c>
      <c r="F91" s="26">
        <f>4994300+452400</f>
        <v>5446700</v>
      </c>
      <c r="G91" s="26">
        <f>3708600+370800</f>
        <v>4079400</v>
      </c>
      <c r="H91" s="26">
        <v>178500</v>
      </c>
      <c r="I91" s="26"/>
      <c r="J91" s="26">
        <v>1204222.78</v>
      </c>
      <c r="K91" s="26">
        <v>891805.06</v>
      </c>
      <c r="L91" s="26">
        <v>62431.65</v>
      </c>
      <c r="M91" s="26"/>
      <c r="N91" s="103">
        <f t="shared" si="65"/>
        <v>22.109218058641012</v>
      </c>
      <c r="O91" s="26">
        <f t="shared" si="79"/>
        <v>0</v>
      </c>
      <c r="P91" s="26"/>
      <c r="Q91" s="26"/>
      <c r="R91" s="26"/>
      <c r="S91" s="26"/>
      <c r="T91" s="26"/>
      <c r="U91" s="26">
        <f t="shared" si="66"/>
        <v>0</v>
      </c>
      <c r="V91" s="26"/>
      <c r="W91" s="26"/>
      <c r="X91" s="26"/>
      <c r="Y91" s="26"/>
      <c r="Z91" s="26"/>
      <c r="AA91" s="103"/>
      <c r="AB91" s="26">
        <f t="shared" si="67"/>
        <v>1204222.78</v>
      </c>
      <c r="AC91" s="26">
        <f t="shared" si="78"/>
        <v>5446700</v>
      </c>
      <c r="AD91" s="175"/>
      <c r="AE91" s="17"/>
    </row>
    <row r="92" spans="1:31" s="27" customFormat="1" ht="32.25" customHeight="1" x14ac:dyDescent="0.25">
      <c r="A92" s="23" t="s">
        <v>244</v>
      </c>
      <c r="B92" s="24" t="str">
        <f>'дод 5'!A53</f>
        <v>2152</v>
      </c>
      <c r="C92" s="23" t="str">
        <f>'дод 5'!B53</f>
        <v>0763</v>
      </c>
      <c r="D92" s="25" t="str">
        <f>'дод 5'!C53</f>
        <v>Інші програми та заходи у сфері охорони здоров'я</v>
      </c>
      <c r="E92" s="26">
        <f>F92+I92</f>
        <v>41651700</v>
      </c>
      <c r="F92" s="26">
        <f>41336700+315000</f>
        <v>41651700</v>
      </c>
      <c r="G92" s="26"/>
      <c r="H92" s="26"/>
      <c r="I92" s="26"/>
      <c r="J92" s="26">
        <v>8235497.9199999999</v>
      </c>
      <c r="K92" s="26"/>
      <c r="L92" s="26"/>
      <c r="M92" s="26"/>
      <c r="N92" s="103">
        <f t="shared" si="65"/>
        <v>19.772297217160403</v>
      </c>
      <c r="O92" s="26">
        <f t="shared" si="79"/>
        <v>0</v>
      </c>
      <c r="P92" s="26"/>
      <c r="Q92" s="26"/>
      <c r="R92" s="26"/>
      <c r="S92" s="26"/>
      <c r="T92" s="26"/>
      <c r="U92" s="26">
        <f t="shared" si="66"/>
        <v>186040.8</v>
      </c>
      <c r="V92" s="26"/>
      <c r="W92" s="26">
        <v>186040.8</v>
      </c>
      <c r="X92" s="26"/>
      <c r="Y92" s="26"/>
      <c r="Z92" s="26"/>
      <c r="AA92" s="103"/>
      <c r="AB92" s="26">
        <f t="shared" si="67"/>
        <v>8421538.7200000007</v>
      </c>
      <c r="AC92" s="26">
        <f t="shared" si="78"/>
        <v>41651700</v>
      </c>
      <c r="AD92" s="175"/>
      <c r="AE92" s="17"/>
    </row>
    <row r="93" spans="1:31" s="27" customFormat="1" ht="63" x14ac:dyDescent="0.25">
      <c r="A93" s="23" t="s">
        <v>383</v>
      </c>
      <c r="B93" s="24">
        <f>'дод 5'!A54</f>
        <v>2170</v>
      </c>
      <c r="C93" s="23" t="str">
        <f>'дод 5'!B54</f>
        <v>0763</v>
      </c>
      <c r="D93" s="28" t="str">
        <f>'дод 5'!C54</f>
        <v>Підготовка та реалізація публічних інвестиційних проектів / програм публічних інвестицій за рахунок коштів місцевого бюджету в галузі охорони здоров’я</v>
      </c>
      <c r="E93" s="26">
        <f t="shared" ref="E93" si="80">F93+I93</f>
        <v>0</v>
      </c>
      <c r="F93" s="26"/>
      <c r="G93" s="26"/>
      <c r="H93" s="26"/>
      <c r="I93" s="26"/>
      <c r="J93" s="26"/>
      <c r="K93" s="26"/>
      <c r="L93" s="26"/>
      <c r="M93" s="26"/>
      <c r="N93" s="103"/>
      <c r="O93" s="26">
        <f t="shared" si="79"/>
        <v>11031300</v>
      </c>
      <c r="P93" s="26">
        <f>10116300+915000</f>
        <v>11031300</v>
      </c>
      <c r="Q93" s="26"/>
      <c r="R93" s="26"/>
      <c r="S93" s="26"/>
      <c r="T93" s="26">
        <f>10116300+915000</f>
        <v>11031300</v>
      </c>
      <c r="U93" s="26">
        <f t="shared" si="66"/>
        <v>0</v>
      </c>
      <c r="V93" s="26"/>
      <c r="W93" s="26"/>
      <c r="X93" s="26"/>
      <c r="Y93" s="26"/>
      <c r="Z93" s="26"/>
      <c r="AA93" s="103">
        <f t="shared" si="71"/>
        <v>0</v>
      </c>
      <c r="AB93" s="26">
        <f t="shared" si="67"/>
        <v>0</v>
      </c>
      <c r="AC93" s="26">
        <f t="shared" si="78"/>
        <v>11031300</v>
      </c>
      <c r="AD93" s="175"/>
      <c r="AE93" s="17"/>
    </row>
    <row r="94" spans="1:31" s="27" customFormat="1" ht="78.75" x14ac:dyDescent="0.25">
      <c r="A94" s="23" t="s">
        <v>477</v>
      </c>
      <c r="B94" s="24">
        <f>'дод 5'!A74</f>
        <v>3193</v>
      </c>
      <c r="C94" s="24">
        <f>'дод 5'!B74</f>
        <v>1030</v>
      </c>
      <c r="D94" s="28" t="str">
        <f>'дод 5'!C74</f>
        <v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v>
      </c>
      <c r="E94" s="26">
        <f t="shared" ref="E94:E95" si="81">F94+I94</f>
        <v>1200960</v>
      </c>
      <c r="F94" s="26">
        <v>1200960</v>
      </c>
      <c r="G94" s="26"/>
      <c r="H94" s="26"/>
      <c r="I94" s="26"/>
      <c r="J94" s="26">
        <v>88897.1</v>
      </c>
      <c r="K94" s="26"/>
      <c r="L94" s="26"/>
      <c r="M94" s="26"/>
      <c r="N94" s="103">
        <f t="shared" si="65"/>
        <v>7.4021699307220894</v>
      </c>
      <c r="O94" s="26">
        <f t="shared" ref="O94:O95" si="82">Q94+T94</f>
        <v>0</v>
      </c>
      <c r="P94" s="26"/>
      <c r="Q94" s="26"/>
      <c r="R94" s="26"/>
      <c r="S94" s="26"/>
      <c r="T94" s="26"/>
      <c r="U94" s="26">
        <f t="shared" si="66"/>
        <v>0</v>
      </c>
      <c r="V94" s="26"/>
      <c r="W94" s="26"/>
      <c r="X94" s="26"/>
      <c r="Y94" s="26"/>
      <c r="Z94" s="26"/>
      <c r="AA94" s="103"/>
      <c r="AB94" s="26">
        <f t="shared" si="67"/>
        <v>88897.1</v>
      </c>
      <c r="AC94" s="26">
        <f t="shared" ref="AC94:AC95" si="83">E94+O94</f>
        <v>1200960</v>
      </c>
      <c r="AD94" s="175"/>
      <c r="AE94" s="17"/>
    </row>
    <row r="95" spans="1:31" s="27" customFormat="1" ht="29.25" customHeight="1" x14ac:dyDescent="0.25">
      <c r="A95" s="23" t="s">
        <v>491</v>
      </c>
      <c r="B95" s="24" t="str">
        <f>'дод 5'!A121</f>
        <v>7640</v>
      </c>
      <c r="C95" s="24" t="str">
        <f>'дод 5'!B121</f>
        <v>0470</v>
      </c>
      <c r="D95" s="28" t="str">
        <f>'дод 5'!C121</f>
        <v>Заходи з енергозбереження</v>
      </c>
      <c r="E95" s="26">
        <f t="shared" si="81"/>
        <v>208000</v>
      </c>
      <c r="F95" s="26"/>
      <c r="G95" s="26"/>
      <c r="H95" s="26"/>
      <c r="I95" s="26">
        <v>208000</v>
      </c>
      <c r="J95" s="26">
        <v>4500</v>
      </c>
      <c r="K95" s="26"/>
      <c r="L95" s="26"/>
      <c r="M95" s="26">
        <v>4500</v>
      </c>
      <c r="N95" s="103">
        <f t="shared" si="65"/>
        <v>2.1634615384615383</v>
      </c>
      <c r="O95" s="26">
        <f t="shared" si="82"/>
        <v>0</v>
      </c>
      <c r="P95" s="26"/>
      <c r="Q95" s="26"/>
      <c r="R95" s="26"/>
      <c r="S95" s="26"/>
      <c r="T95" s="26"/>
      <c r="U95" s="26">
        <f t="shared" si="66"/>
        <v>0</v>
      </c>
      <c r="V95" s="26"/>
      <c r="W95" s="26"/>
      <c r="X95" s="26"/>
      <c r="Y95" s="26"/>
      <c r="Z95" s="26"/>
      <c r="AA95" s="103"/>
      <c r="AB95" s="26">
        <f t="shared" si="67"/>
        <v>4500</v>
      </c>
      <c r="AC95" s="26">
        <f t="shared" si="83"/>
        <v>208000</v>
      </c>
      <c r="AD95" s="175"/>
      <c r="AE95" s="17"/>
    </row>
    <row r="96" spans="1:31" s="27" customFormat="1" ht="31.5" x14ac:dyDescent="0.25">
      <c r="A96" s="23" t="s">
        <v>489</v>
      </c>
      <c r="B96" s="24" t="str">
        <f>'дод 5'!A130</f>
        <v>8110</v>
      </c>
      <c r="C96" s="24" t="str">
        <f>'дод 5'!B130</f>
        <v>0320</v>
      </c>
      <c r="D96" s="28" t="str">
        <f>'дод 5'!C130</f>
        <v>Заходи із запобігання та ліквідації надзвичайних ситуацій та наслідків стихійного лиха</v>
      </c>
      <c r="E96" s="26">
        <f t="shared" ref="E96" si="84">F96+I96</f>
        <v>41000</v>
      </c>
      <c r="F96" s="26">
        <v>41000</v>
      </c>
      <c r="G96" s="26"/>
      <c r="H96" s="26"/>
      <c r="I96" s="26"/>
      <c r="J96" s="26">
        <v>7383.98</v>
      </c>
      <c r="K96" s="26"/>
      <c r="L96" s="26"/>
      <c r="M96" s="26"/>
      <c r="N96" s="103">
        <f t="shared" si="65"/>
        <v>18.009707317073172</v>
      </c>
      <c r="O96" s="26">
        <f t="shared" ref="O96" si="85">Q96+T96</f>
        <v>0</v>
      </c>
      <c r="P96" s="26"/>
      <c r="Q96" s="26"/>
      <c r="R96" s="26"/>
      <c r="S96" s="26"/>
      <c r="T96" s="26"/>
      <c r="U96" s="26">
        <f t="shared" si="66"/>
        <v>0</v>
      </c>
      <c r="V96" s="26"/>
      <c r="W96" s="26"/>
      <c r="X96" s="26"/>
      <c r="Y96" s="26"/>
      <c r="Z96" s="26"/>
      <c r="AA96" s="103"/>
      <c r="AB96" s="26">
        <f t="shared" si="67"/>
        <v>7383.98</v>
      </c>
      <c r="AC96" s="26">
        <f t="shared" ref="AC96" si="86">E96+O96</f>
        <v>41000</v>
      </c>
      <c r="AD96" s="175"/>
      <c r="AE96" s="17"/>
    </row>
    <row r="97" spans="1:31" s="27" customFormat="1" ht="35.25" customHeight="1" x14ac:dyDescent="0.25">
      <c r="A97" s="23" t="s">
        <v>492</v>
      </c>
      <c r="B97" s="24" t="str">
        <f>'дод 5'!A145</f>
        <v>9770</v>
      </c>
      <c r="C97" s="24" t="str">
        <f>'дод 5'!B145</f>
        <v>0180</v>
      </c>
      <c r="D97" s="28" t="str">
        <f>'дод 5'!C145</f>
        <v>Інші субвенції з місцевого бюджету</v>
      </c>
      <c r="E97" s="26">
        <f t="shared" ref="E97" si="87">F97+I97</f>
        <v>6000000</v>
      </c>
      <c r="F97" s="26">
        <v>0</v>
      </c>
      <c r="G97" s="26"/>
      <c r="H97" s="26"/>
      <c r="I97" s="26">
        <v>6000000</v>
      </c>
      <c r="J97" s="26"/>
      <c r="K97" s="26"/>
      <c r="L97" s="26"/>
      <c r="M97" s="26"/>
      <c r="N97" s="103">
        <f t="shared" si="65"/>
        <v>0</v>
      </c>
      <c r="O97" s="26">
        <f t="shared" ref="O97" si="88">Q97+T97</f>
        <v>0</v>
      </c>
      <c r="P97" s="26"/>
      <c r="Q97" s="26"/>
      <c r="R97" s="26"/>
      <c r="S97" s="26"/>
      <c r="T97" s="26"/>
      <c r="U97" s="26">
        <f t="shared" si="66"/>
        <v>0</v>
      </c>
      <c r="V97" s="26"/>
      <c r="W97" s="26"/>
      <c r="X97" s="26"/>
      <c r="Y97" s="26"/>
      <c r="Z97" s="26"/>
      <c r="AA97" s="103"/>
      <c r="AB97" s="26">
        <f t="shared" si="67"/>
        <v>0</v>
      </c>
      <c r="AC97" s="26">
        <f t="shared" ref="AC97" si="89">E97+O97</f>
        <v>6000000</v>
      </c>
      <c r="AD97" s="175"/>
      <c r="AE97" s="17"/>
    </row>
    <row r="98" spans="1:31" s="17" customFormat="1" ht="31.5" x14ac:dyDescent="0.25">
      <c r="A98" s="14" t="s">
        <v>144</v>
      </c>
      <c r="B98" s="29"/>
      <c r="C98" s="14"/>
      <c r="D98" s="15" t="s">
        <v>32</v>
      </c>
      <c r="E98" s="16">
        <f>E99</f>
        <v>427332917.94</v>
      </c>
      <c r="F98" s="16">
        <f t="shared" ref="F98:Z98" si="90">F99</f>
        <v>426081811.94</v>
      </c>
      <c r="G98" s="16">
        <f t="shared" si="90"/>
        <v>106726695</v>
      </c>
      <c r="H98" s="16">
        <f t="shared" si="90"/>
        <v>4286700</v>
      </c>
      <c r="I98" s="16">
        <f t="shared" si="90"/>
        <v>1251106</v>
      </c>
      <c r="J98" s="16">
        <f t="shared" si="90"/>
        <v>104820840.57000001</v>
      </c>
      <c r="K98" s="16">
        <f t="shared" si="90"/>
        <v>24076021.910000004</v>
      </c>
      <c r="L98" s="16">
        <f t="shared" si="90"/>
        <v>1280426.1600000001</v>
      </c>
      <c r="M98" s="16">
        <f t="shared" si="90"/>
        <v>0</v>
      </c>
      <c r="N98" s="101">
        <f t="shared" si="65"/>
        <v>24.529081699415784</v>
      </c>
      <c r="O98" s="16">
        <f t="shared" si="90"/>
        <v>58600</v>
      </c>
      <c r="P98" s="16">
        <f t="shared" si="90"/>
        <v>0</v>
      </c>
      <c r="Q98" s="16">
        <f t="shared" si="90"/>
        <v>58600</v>
      </c>
      <c r="R98" s="16">
        <f t="shared" si="90"/>
        <v>48000</v>
      </c>
      <c r="S98" s="16">
        <f t="shared" si="90"/>
        <v>0</v>
      </c>
      <c r="T98" s="16">
        <f t="shared" si="90"/>
        <v>0</v>
      </c>
      <c r="U98" s="16">
        <f t="shared" si="90"/>
        <v>7111791.0099999998</v>
      </c>
      <c r="V98" s="16">
        <f t="shared" si="90"/>
        <v>0</v>
      </c>
      <c r="W98" s="16">
        <f t="shared" si="90"/>
        <v>6862250.9800000004</v>
      </c>
      <c r="X98" s="16">
        <f t="shared" si="90"/>
        <v>3543.26</v>
      </c>
      <c r="Y98" s="16">
        <f t="shared" si="90"/>
        <v>0</v>
      </c>
      <c r="Z98" s="16">
        <f t="shared" si="90"/>
        <v>249540.03</v>
      </c>
      <c r="AA98" s="101" t="s">
        <v>517</v>
      </c>
      <c r="AB98" s="16">
        <f t="shared" si="67"/>
        <v>111932631.58000001</v>
      </c>
      <c r="AC98" s="16">
        <f t="shared" ref="AC98" si="91">AC99</f>
        <v>427391517.94</v>
      </c>
      <c r="AD98" s="175"/>
    </row>
    <row r="99" spans="1:31" s="22" customFormat="1" ht="31.5" x14ac:dyDescent="0.25">
      <c r="A99" s="18" t="s">
        <v>145</v>
      </c>
      <c r="B99" s="30"/>
      <c r="C99" s="18"/>
      <c r="D99" s="20" t="s">
        <v>449</v>
      </c>
      <c r="E99" s="21">
        <f>E100+E101+E102+E103+E104+E105+E108+E111+E113+E114+E116+E117+E118+E119+E110+E109+E106+E107+E112+E115</f>
        <v>427332917.94</v>
      </c>
      <c r="F99" s="21">
        <f t="shared" ref="F99:Z99" si="92">F100+F101+F102+F103+F104+F105+F108+F111+F113+F114+F116+F117+F118+F119+F110+F109+F106+F107+F112+F115</f>
        <v>426081811.94</v>
      </c>
      <c r="G99" s="21">
        <f t="shared" si="92"/>
        <v>106726695</v>
      </c>
      <c r="H99" s="21">
        <f t="shared" si="92"/>
        <v>4286700</v>
      </c>
      <c r="I99" s="21">
        <f t="shared" si="92"/>
        <v>1251106</v>
      </c>
      <c r="J99" s="21">
        <f t="shared" si="92"/>
        <v>104820840.57000001</v>
      </c>
      <c r="K99" s="21">
        <f t="shared" si="92"/>
        <v>24076021.910000004</v>
      </c>
      <c r="L99" s="21">
        <f t="shared" si="92"/>
        <v>1280426.1600000001</v>
      </c>
      <c r="M99" s="21">
        <f t="shared" ref="M99" si="93">M100+M101+M102+M103+M104+M105+M108+M111+M113+M114+M116+M117+M118+M119+M110+M109+M106+M107+M112+M115</f>
        <v>0</v>
      </c>
      <c r="N99" s="102">
        <f t="shared" si="65"/>
        <v>24.529081699415784</v>
      </c>
      <c r="O99" s="21">
        <f t="shared" si="92"/>
        <v>58600</v>
      </c>
      <c r="P99" s="21">
        <f t="shared" si="92"/>
        <v>0</v>
      </c>
      <c r="Q99" s="21">
        <f t="shared" si="92"/>
        <v>58600</v>
      </c>
      <c r="R99" s="21">
        <f t="shared" si="92"/>
        <v>48000</v>
      </c>
      <c r="S99" s="21">
        <f t="shared" si="92"/>
        <v>0</v>
      </c>
      <c r="T99" s="21">
        <f t="shared" si="92"/>
        <v>0</v>
      </c>
      <c r="U99" s="21">
        <f t="shared" si="92"/>
        <v>7111791.0099999998</v>
      </c>
      <c r="V99" s="21">
        <f t="shared" si="92"/>
        <v>0</v>
      </c>
      <c r="W99" s="21">
        <f t="shared" si="92"/>
        <v>6862250.9800000004</v>
      </c>
      <c r="X99" s="21">
        <f t="shared" si="92"/>
        <v>3543.26</v>
      </c>
      <c r="Y99" s="21">
        <f t="shared" si="92"/>
        <v>0</v>
      </c>
      <c r="Z99" s="21">
        <f t="shared" si="92"/>
        <v>249540.03</v>
      </c>
      <c r="AA99" s="102" t="s">
        <v>517</v>
      </c>
      <c r="AB99" s="21">
        <f t="shared" si="67"/>
        <v>111932631.58000001</v>
      </c>
      <c r="AC99" s="21">
        <f t="shared" ref="AC99" si="94">AC100+AC101+AC102+AC103+AC104+AC105+AC108+AC111+AC113+AC114+AC116+AC117+AC118+AC119+AC110+AC109+AC106+AC107+AC112+AC115</f>
        <v>427391517.94</v>
      </c>
      <c r="AD99" s="175"/>
      <c r="AE99" s="17"/>
    </row>
    <row r="100" spans="1:31" s="27" customFormat="1" ht="47.25" x14ac:dyDescent="0.25">
      <c r="A100" s="23" t="s">
        <v>146</v>
      </c>
      <c r="B100" s="24" t="str">
        <f>'дод 5'!A15</f>
        <v>0160</v>
      </c>
      <c r="C100" s="23" t="str">
        <f>'дод 5'!B15</f>
        <v>0111</v>
      </c>
      <c r="D100" s="83" t="str">
        <f>'дод 5'!C15</f>
        <v>Керівництво і управління у відповідній сфері у містах (місті Києві), селищах, селах, територіальних громадах</v>
      </c>
      <c r="E100" s="26">
        <f t="shared" ref="E100:E119" si="95">F100+I100</f>
        <v>87052292</v>
      </c>
      <c r="F100" s="26">
        <f>87466200-379408+301000-335500</f>
        <v>87052292</v>
      </c>
      <c r="G100" s="26">
        <f>67923900-310990-275000</f>
        <v>67337910</v>
      </c>
      <c r="H100" s="26">
        <v>2060100</v>
      </c>
      <c r="I100" s="26"/>
      <c r="J100" s="26">
        <v>18645935.469999999</v>
      </c>
      <c r="K100" s="26">
        <v>14656867.4</v>
      </c>
      <c r="L100" s="26">
        <v>478196.05</v>
      </c>
      <c r="M100" s="26"/>
      <c r="N100" s="103">
        <f t="shared" si="65"/>
        <v>21.419235544079644</v>
      </c>
      <c r="O100" s="26">
        <f>Q100+T100</f>
        <v>0</v>
      </c>
      <c r="P100" s="26"/>
      <c r="Q100" s="26"/>
      <c r="R100" s="26"/>
      <c r="S100" s="26"/>
      <c r="T100" s="26"/>
      <c r="U100" s="26">
        <f t="shared" si="66"/>
        <v>2943819.4</v>
      </c>
      <c r="V100" s="26"/>
      <c r="W100" s="26">
        <v>2943819.4</v>
      </c>
      <c r="X100" s="26"/>
      <c r="Y100" s="26"/>
      <c r="Z100" s="26"/>
      <c r="AA100" s="103"/>
      <c r="AB100" s="26">
        <f t="shared" si="67"/>
        <v>21589754.869999997</v>
      </c>
      <c r="AC100" s="26">
        <f t="shared" ref="AC100:AC119" si="96">E100+O100</f>
        <v>87052292</v>
      </c>
      <c r="AD100" s="175"/>
      <c r="AE100" s="17"/>
    </row>
    <row r="101" spans="1:31" s="27" customFormat="1" ht="42.75" customHeight="1" x14ac:dyDescent="0.25">
      <c r="A101" s="23" t="s">
        <v>147</v>
      </c>
      <c r="B101" s="24" t="str">
        <f>'дод 5'!A56</f>
        <v>3031</v>
      </c>
      <c r="C101" s="23" t="str">
        <f>'дод 5'!B56</f>
        <v>1030</v>
      </c>
      <c r="D101" s="25" t="str">
        <f>'дод 5'!C56</f>
        <v>Надання інших пільг окремим категоріям громадян відповідно до законодавства</v>
      </c>
      <c r="E101" s="26">
        <f t="shared" si="95"/>
        <v>528188</v>
      </c>
      <c r="F101" s="26">
        <f>400000+46000+82188</f>
        <v>528188</v>
      </c>
      <c r="G101" s="26"/>
      <c r="H101" s="26"/>
      <c r="I101" s="26"/>
      <c r="J101" s="26">
        <v>4300</v>
      </c>
      <c r="K101" s="26"/>
      <c r="L101" s="26"/>
      <c r="M101" s="26"/>
      <c r="N101" s="103">
        <f t="shared" si="65"/>
        <v>0.81410406900573273</v>
      </c>
      <c r="O101" s="26">
        <f t="shared" ref="O101:O116" si="97">Q101+T101</f>
        <v>0</v>
      </c>
      <c r="P101" s="26"/>
      <c r="Q101" s="26"/>
      <c r="R101" s="26"/>
      <c r="S101" s="26"/>
      <c r="T101" s="26"/>
      <c r="U101" s="26">
        <f t="shared" si="66"/>
        <v>0</v>
      </c>
      <c r="V101" s="26"/>
      <c r="W101" s="26"/>
      <c r="X101" s="26"/>
      <c r="Y101" s="26"/>
      <c r="Z101" s="26"/>
      <c r="AA101" s="103"/>
      <c r="AB101" s="26">
        <f t="shared" si="67"/>
        <v>4300</v>
      </c>
      <c r="AC101" s="26">
        <f t="shared" si="96"/>
        <v>528188</v>
      </c>
      <c r="AD101" s="175"/>
      <c r="AE101" s="17"/>
    </row>
    <row r="102" spans="1:31" s="27" customFormat="1" ht="39.75" customHeight="1" x14ac:dyDescent="0.25">
      <c r="A102" s="23" t="s">
        <v>148</v>
      </c>
      <c r="B102" s="24" t="str">
        <f>'дод 5'!A57</f>
        <v>3032</v>
      </c>
      <c r="C102" s="23" t="str">
        <f>'дод 5'!B57</f>
        <v>1070</v>
      </c>
      <c r="D102" s="25" t="str">
        <f>'дод 5'!C57</f>
        <v>Надання пільг окремим категоріям громадян з оплати послуг зв'язку</v>
      </c>
      <c r="E102" s="26">
        <f t="shared" si="95"/>
        <v>400000</v>
      </c>
      <c r="F102" s="26">
        <v>400000</v>
      </c>
      <c r="G102" s="26"/>
      <c r="H102" s="26"/>
      <c r="I102" s="26"/>
      <c r="J102" s="26">
        <v>60430.43</v>
      </c>
      <c r="K102" s="26"/>
      <c r="L102" s="26"/>
      <c r="M102" s="26"/>
      <c r="N102" s="103">
        <f t="shared" si="65"/>
        <v>15.1076075</v>
      </c>
      <c r="O102" s="26">
        <f t="shared" si="97"/>
        <v>0</v>
      </c>
      <c r="P102" s="26"/>
      <c r="Q102" s="26"/>
      <c r="R102" s="26"/>
      <c r="S102" s="26"/>
      <c r="T102" s="26"/>
      <c r="U102" s="26">
        <f t="shared" si="66"/>
        <v>0</v>
      </c>
      <c r="V102" s="26"/>
      <c r="W102" s="26"/>
      <c r="X102" s="26"/>
      <c r="Y102" s="26"/>
      <c r="Z102" s="26"/>
      <c r="AA102" s="103"/>
      <c r="AB102" s="26">
        <f t="shared" si="67"/>
        <v>60430.43</v>
      </c>
      <c r="AC102" s="26">
        <f t="shared" si="96"/>
        <v>400000</v>
      </c>
      <c r="AD102" s="175"/>
      <c r="AE102" s="17"/>
    </row>
    <row r="103" spans="1:31" s="27" customFormat="1" ht="47.25" x14ac:dyDescent="0.25">
      <c r="A103" s="23" t="s">
        <v>262</v>
      </c>
      <c r="B103" s="24" t="str">
        <f>'дод 5'!A58</f>
        <v>3033</v>
      </c>
      <c r="C103" s="23" t="str">
        <f>'дод 5'!B58</f>
        <v>1070</v>
      </c>
      <c r="D103" s="25" t="str">
        <f>'дод 5'!C58</f>
        <v>Компенсаційні виплати на пільговий проїзд автомобільним транспортом окремим категоріям громадян</v>
      </c>
      <c r="E103" s="26">
        <f t="shared" si="95"/>
        <v>28867123.940000001</v>
      </c>
      <c r="F103" s="26">
        <f>28572000+295123.94</f>
        <v>28867123.940000001</v>
      </c>
      <c r="G103" s="26"/>
      <c r="H103" s="26"/>
      <c r="I103" s="26"/>
      <c r="J103" s="26">
        <v>5942487.5499999998</v>
      </c>
      <c r="K103" s="26"/>
      <c r="L103" s="26"/>
      <c r="M103" s="26"/>
      <c r="N103" s="103">
        <f t="shared" si="65"/>
        <v>20.585658489399204</v>
      </c>
      <c r="O103" s="26">
        <f t="shared" si="97"/>
        <v>0</v>
      </c>
      <c r="P103" s="26"/>
      <c r="Q103" s="26"/>
      <c r="R103" s="26"/>
      <c r="S103" s="26"/>
      <c r="T103" s="26"/>
      <c r="U103" s="26">
        <f t="shared" si="66"/>
        <v>0</v>
      </c>
      <c r="V103" s="26"/>
      <c r="W103" s="26"/>
      <c r="X103" s="26"/>
      <c r="Y103" s="26"/>
      <c r="Z103" s="26"/>
      <c r="AA103" s="103"/>
      <c r="AB103" s="26">
        <f t="shared" si="67"/>
        <v>5942487.5499999998</v>
      </c>
      <c r="AC103" s="26">
        <f t="shared" si="96"/>
        <v>28867123.940000001</v>
      </c>
      <c r="AD103" s="175"/>
      <c r="AE103" s="17"/>
    </row>
    <row r="104" spans="1:31" s="27" customFormat="1" ht="47.25" x14ac:dyDescent="0.25">
      <c r="A104" s="23" t="s">
        <v>242</v>
      </c>
      <c r="B104" s="24" t="str">
        <f>'дод 5'!A59</f>
        <v>3035</v>
      </c>
      <c r="C104" s="23" t="str">
        <f>'дод 5'!B59</f>
        <v>1070</v>
      </c>
      <c r="D104" s="25" t="str">
        <f>'дод 5'!C59</f>
        <v>Компенсаційні виплати за пільговий проїзд окремих категорій громадян на залізничному транспорті</v>
      </c>
      <c r="E104" s="26">
        <f t="shared" si="95"/>
        <v>1000000</v>
      </c>
      <c r="F104" s="26">
        <v>1000000</v>
      </c>
      <c r="G104" s="26"/>
      <c r="H104" s="26"/>
      <c r="I104" s="26"/>
      <c r="J104" s="26">
        <v>166666</v>
      </c>
      <c r="K104" s="26"/>
      <c r="L104" s="26"/>
      <c r="M104" s="26"/>
      <c r="N104" s="103">
        <f t="shared" si="65"/>
        <v>16.666600000000003</v>
      </c>
      <c r="O104" s="26">
        <f t="shared" si="97"/>
        <v>0</v>
      </c>
      <c r="P104" s="26"/>
      <c r="Q104" s="26"/>
      <c r="R104" s="26"/>
      <c r="S104" s="26"/>
      <c r="T104" s="26"/>
      <c r="U104" s="26">
        <f t="shared" si="66"/>
        <v>0</v>
      </c>
      <c r="V104" s="26"/>
      <c r="W104" s="26"/>
      <c r="X104" s="26"/>
      <c r="Y104" s="26"/>
      <c r="Z104" s="26"/>
      <c r="AA104" s="103"/>
      <c r="AB104" s="26">
        <f t="shared" si="67"/>
        <v>166666</v>
      </c>
      <c r="AC104" s="26">
        <f t="shared" si="96"/>
        <v>1000000</v>
      </c>
      <c r="AD104" s="175"/>
      <c r="AE104" s="17"/>
    </row>
    <row r="105" spans="1:31" s="27" customFormat="1" ht="47.25" x14ac:dyDescent="0.25">
      <c r="A105" s="23" t="s">
        <v>149</v>
      </c>
      <c r="B105" s="24" t="str">
        <f>'дод 5'!A60</f>
        <v>3036</v>
      </c>
      <c r="C105" s="23" t="str">
        <f>'дод 5'!B60</f>
        <v>1070</v>
      </c>
      <c r="D105" s="25" t="str">
        <f>'дод 5'!C60</f>
        <v>Компенсаційні виплати на пільговий проїзд електротранспортом окремим категоріям громадян</v>
      </c>
      <c r="E105" s="26">
        <f t="shared" si="95"/>
        <v>51711000</v>
      </c>
      <c r="F105" s="26">
        <v>51711000</v>
      </c>
      <c r="G105" s="26"/>
      <c r="H105" s="26"/>
      <c r="I105" s="26"/>
      <c r="J105" s="26">
        <v>5782324.7000000002</v>
      </c>
      <c r="K105" s="26"/>
      <c r="L105" s="26"/>
      <c r="M105" s="26"/>
      <c r="N105" s="103">
        <f t="shared" si="65"/>
        <v>11.182001315000676</v>
      </c>
      <c r="O105" s="26">
        <f t="shared" si="97"/>
        <v>0</v>
      </c>
      <c r="P105" s="26"/>
      <c r="Q105" s="26"/>
      <c r="R105" s="26"/>
      <c r="S105" s="26"/>
      <c r="T105" s="26"/>
      <c r="U105" s="26">
        <f t="shared" si="66"/>
        <v>0</v>
      </c>
      <c r="V105" s="26"/>
      <c r="W105" s="26"/>
      <c r="X105" s="26"/>
      <c r="Y105" s="26"/>
      <c r="Z105" s="26"/>
      <c r="AA105" s="103"/>
      <c r="AB105" s="26">
        <f t="shared" si="67"/>
        <v>5782324.7000000002</v>
      </c>
      <c r="AC105" s="26">
        <f t="shared" si="96"/>
        <v>51711000</v>
      </c>
      <c r="AD105" s="175"/>
      <c r="AE105" s="17"/>
    </row>
    <row r="106" spans="1:31" s="27" customFormat="1" ht="47.25" x14ac:dyDescent="0.25">
      <c r="A106" s="23" t="s">
        <v>362</v>
      </c>
      <c r="B106" s="24" t="str">
        <f>'дод 5'!A61</f>
        <v>3050</v>
      </c>
      <c r="C106" s="23" t="str">
        <f>'дод 5'!B61</f>
        <v>1070</v>
      </c>
      <c r="D106" s="28" t="str">
        <f>'дод 5'!C61</f>
        <v>Пільгове медичне обслуговування осіб, які постраждали внаслідок Чорнобильської катастрофи</v>
      </c>
      <c r="E106" s="26">
        <f t="shared" si="95"/>
        <v>939700</v>
      </c>
      <c r="F106" s="26">
        <v>939700</v>
      </c>
      <c r="G106" s="26"/>
      <c r="H106" s="26"/>
      <c r="I106" s="26"/>
      <c r="J106" s="26">
        <v>30315</v>
      </c>
      <c r="K106" s="26"/>
      <c r="L106" s="26"/>
      <c r="M106" s="26"/>
      <c r="N106" s="103">
        <f t="shared" si="65"/>
        <v>3.2260295839097584</v>
      </c>
      <c r="O106" s="26"/>
      <c r="P106" s="26"/>
      <c r="Q106" s="26"/>
      <c r="R106" s="26"/>
      <c r="S106" s="26"/>
      <c r="T106" s="26"/>
      <c r="U106" s="26">
        <f t="shared" si="66"/>
        <v>0</v>
      </c>
      <c r="V106" s="26"/>
      <c r="W106" s="26"/>
      <c r="X106" s="26"/>
      <c r="Y106" s="26"/>
      <c r="Z106" s="26"/>
      <c r="AA106" s="103"/>
      <c r="AB106" s="26">
        <f t="shared" si="67"/>
        <v>30315</v>
      </c>
      <c r="AC106" s="26">
        <f t="shared" si="96"/>
        <v>939700</v>
      </c>
      <c r="AD106" s="175"/>
      <c r="AE106" s="17"/>
    </row>
    <row r="107" spans="1:31" s="27" customFormat="1" ht="31.5" x14ac:dyDescent="0.25">
      <c r="A107" s="23" t="s">
        <v>363</v>
      </c>
      <c r="B107" s="24" t="str">
        <f>'дод 5'!A62</f>
        <v>3090</v>
      </c>
      <c r="C107" s="23" t="str">
        <f>'дод 5'!B62</f>
        <v>1030</v>
      </c>
      <c r="D107" s="28" t="str">
        <f>'дод 5'!C62</f>
        <v>Видатки на поховання учасників бойових дій та осіб з інвалідністю внаслідок війни</v>
      </c>
      <c r="E107" s="26">
        <f t="shared" si="95"/>
        <v>136000</v>
      </c>
      <c r="F107" s="26">
        <v>136000</v>
      </c>
      <c r="G107" s="26"/>
      <c r="H107" s="26"/>
      <c r="I107" s="26"/>
      <c r="J107" s="26">
        <v>46722.98</v>
      </c>
      <c r="K107" s="26"/>
      <c r="L107" s="26"/>
      <c r="M107" s="26"/>
      <c r="N107" s="103">
        <f t="shared" si="65"/>
        <v>34.355132352941183</v>
      </c>
      <c r="O107" s="26"/>
      <c r="P107" s="26"/>
      <c r="Q107" s="26"/>
      <c r="R107" s="26"/>
      <c r="S107" s="26"/>
      <c r="T107" s="26"/>
      <c r="U107" s="26">
        <f t="shared" si="66"/>
        <v>0</v>
      </c>
      <c r="V107" s="26"/>
      <c r="W107" s="26"/>
      <c r="X107" s="26"/>
      <c r="Y107" s="26"/>
      <c r="Z107" s="26"/>
      <c r="AA107" s="103"/>
      <c r="AB107" s="26">
        <f t="shared" si="67"/>
        <v>46722.98</v>
      </c>
      <c r="AC107" s="26">
        <f t="shared" si="96"/>
        <v>136000</v>
      </c>
      <c r="AD107" s="175"/>
      <c r="AE107" s="17"/>
    </row>
    <row r="108" spans="1:31" s="27" customFormat="1" ht="63" x14ac:dyDescent="0.25">
      <c r="A108" s="23" t="s">
        <v>150</v>
      </c>
      <c r="B108" s="24" t="str">
        <f>'дод 5'!A63</f>
        <v>3104</v>
      </c>
      <c r="C108" s="23" t="str">
        <f>'дод 5'!B63</f>
        <v>1020</v>
      </c>
      <c r="D108" s="25" t="str">
        <f>'дод 5'!C63</f>
        <v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v>
      </c>
      <c r="E108" s="26">
        <f>F108+I108</f>
        <v>31160300</v>
      </c>
      <c r="F108" s="26">
        <f>29358900+38400+19200+1743800</f>
        <v>31160300</v>
      </c>
      <c r="G108" s="26">
        <f>21692000+31400+15700+1435300</f>
        <v>23174400</v>
      </c>
      <c r="H108" s="26">
        <v>1287500</v>
      </c>
      <c r="I108" s="26"/>
      <c r="J108" s="26">
        <v>8616235.5299999993</v>
      </c>
      <c r="K108" s="26">
        <v>6485324.4800000004</v>
      </c>
      <c r="L108" s="26">
        <v>525892.37</v>
      </c>
      <c r="M108" s="26"/>
      <c r="N108" s="103">
        <f t="shared" si="65"/>
        <v>27.65132405657198</v>
      </c>
      <c r="O108" s="26">
        <f t="shared" si="97"/>
        <v>58600</v>
      </c>
      <c r="P108" s="26"/>
      <c r="Q108" s="26">
        <v>58600</v>
      </c>
      <c r="R108" s="26">
        <v>48000</v>
      </c>
      <c r="S108" s="26"/>
      <c r="T108" s="26"/>
      <c r="U108" s="26">
        <f t="shared" si="66"/>
        <v>2972260.61</v>
      </c>
      <c r="V108" s="26"/>
      <c r="W108" s="26">
        <v>2870920.58</v>
      </c>
      <c r="X108" s="26">
        <v>3543.26</v>
      </c>
      <c r="Y108" s="26"/>
      <c r="Z108" s="26">
        <v>101340.03</v>
      </c>
      <c r="AA108" s="103" t="s">
        <v>516</v>
      </c>
      <c r="AB108" s="26">
        <f t="shared" si="67"/>
        <v>11588496.139999999</v>
      </c>
      <c r="AC108" s="26">
        <f t="shared" si="96"/>
        <v>31218900</v>
      </c>
      <c r="AD108" s="175"/>
      <c r="AE108" s="17"/>
    </row>
    <row r="109" spans="1:31" s="27" customFormat="1" ht="94.5" x14ac:dyDescent="0.25">
      <c r="A109" s="23" t="s">
        <v>354</v>
      </c>
      <c r="B109" s="24" t="str">
        <f>'дод 5'!A66</f>
        <v>3121</v>
      </c>
      <c r="C109" s="23" t="str">
        <f>'дод 5'!B66</f>
        <v>1040</v>
      </c>
      <c r="D109" s="70" t="str">
        <f>'дод 5'!C66</f>
        <v>Здійснення соціальної роботи та надання соціальних послуг центрами соціальних служб та центрами надання соціальних послуг особам/сім’ям, які належать до вразливих груп населення та/або перебувають у складних життєвих обставинах</v>
      </c>
      <c r="E109" s="26">
        <f t="shared" ref="E109" si="98">F109+I109</f>
        <v>7202790</v>
      </c>
      <c r="F109" s="26">
        <f>6903190+274600</f>
        <v>7177790</v>
      </c>
      <c r="G109" s="26">
        <f>4771000+225100</f>
        <v>4996100</v>
      </c>
      <c r="H109" s="26">
        <v>417300</v>
      </c>
      <c r="I109" s="26">
        <v>25000</v>
      </c>
      <c r="J109" s="26">
        <v>1791869.07</v>
      </c>
      <c r="K109" s="26">
        <v>1325338.1000000001</v>
      </c>
      <c r="L109" s="26">
        <v>116636.6</v>
      </c>
      <c r="M109" s="26"/>
      <c r="N109" s="103">
        <f t="shared" si="65"/>
        <v>24.877430412381869</v>
      </c>
      <c r="O109" s="26">
        <f t="shared" si="97"/>
        <v>0</v>
      </c>
      <c r="P109" s="26"/>
      <c r="Q109" s="26"/>
      <c r="R109" s="26"/>
      <c r="S109" s="26"/>
      <c r="T109" s="26"/>
      <c r="U109" s="26">
        <f t="shared" si="66"/>
        <v>1195711</v>
      </c>
      <c r="V109" s="26"/>
      <c r="W109" s="26">
        <v>1047511</v>
      </c>
      <c r="X109" s="26"/>
      <c r="Y109" s="26"/>
      <c r="Z109" s="26">
        <v>148200</v>
      </c>
      <c r="AA109" s="103"/>
      <c r="AB109" s="26">
        <f t="shared" si="67"/>
        <v>2987580.0700000003</v>
      </c>
      <c r="AC109" s="26">
        <f t="shared" si="96"/>
        <v>7202790</v>
      </c>
      <c r="AD109" s="175"/>
      <c r="AE109" s="17"/>
    </row>
    <row r="110" spans="1:31" s="27" customFormat="1" ht="63" customHeight="1" x14ac:dyDescent="0.25">
      <c r="A110" s="23" t="s">
        <v>341</v>
      </c>
      <c r="B110" s="24">
        <f>'дод 5'!A69</f>
        <v>3140</v>
      </c>
      <c r="C110" s="23">
        <f>'дод 5'!B69</f>
        <v>1040</v>
      </c>
      <c r="D110" s="70" t="str">
        <f>'дод 5'!C69</f>
        <v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v>
      </c>
      <c r="E110" s="26">
        <f t="shared" ref="E110" si="99">F110+I110</f>
        <v>2198000</v>
      </c>
      <c r="F110" s="26">
        <v>2198000</v>
      </c>
      <c r="G110" s="26"/>
      <c r="H110" s="26"/>
      <c r="I110" s="26"/>
      <c r="J110" s="26"/>
      <c r="K110" s="26"/>
      <c r="L110" s="26"/>
      <c r="M110" s="26"/>
      <c r="N110" s="103">
        <f t="shared" si="65"/>
        <v>0</v>
      </c>
      <c r="O110" s="26"/>
      <c r="P110" s="26"/>
      <c r="Q110" s="26"/>
      <c r="R110" s="26"/>
      <c r="S110" s="26"/>
      <c r="T110" s="26"/>
      <c r="U110" s="26">
        <f t="shared" si="66"/>
        <v>0</v>
      </c>
      <c r="V110" s="26"/>
      <c r="W110" s="26"/>
      <c r="X110" s="26"/>
      <c r="Y110" s="26"/>
      <c r="Z110" s="26"/>
      <c r="AA110" s="103"/>
      <c r="AB110" s="26">
        <f t="shared" si="67"/>
        <v>0</v>
      </c>
      <c r="AC110" s="26">
        <f t="shared" ref="AC110" si="100">E110+O110</f>
        <v>2198000</v>
      </c>
      <c r="AD110" s="175"/>
      <c r="AE110" s="17"/>
    </row>
    <row r="111" spans="1:31" s="27" customFormat="1" ht="81.75" customHeight="1" x14ac:dyDescent="0.25">
      <c r="A111" s="23" t="s">
        <v>151</v>
      </c>
      <c r="B111" s="24" t="str">
        <f>'дод 5'!A70</f>
        <v>3160</v>
      </c>
      <c r="C111" s="23">
        <f>'дод 5'!B70</f>
        <v>1010</v>
      </c>
      <c r="D111" s="25" t="str">
        <f>'дод 5'!C70</f>
        <v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v>
      </c>
      <c r="E111" s="26">
        <f>F111+I111</f>
        <v>21632200</v>
      </c>
      <c r="F111" s="26">
        <v>21632200</v>
      </c>
      <c r="G111" s="26"/>
      <c r="H111" s="26"/>
      <c r="I111" s="26"/>
      <c r="J111" s="26">
        <v>3692258.33</v>
      </c>
      <c r="K111" s="26"/>
      <c r="L111" s="26"/>
      <c r="M111" s="26"/>
      <c r="N111" s="103">
        <f t="shared" si="65"/>
        <v>17.068344088904507</v>
      </c>
      <c r="O111" s="26">
        <f t="shared" si="97"/>
        <v>0</v>
      </c>
      <c r="P111" s="26"/>
      <c r="Q111" s="26"/>
      <c r="R111" s="26"/>
      <c r="S111" s="26"/>
      <c r="T111" s="26"/>
      <c r="U111" s="26">
        <f t="shared" si="66"/>
        <v>0</v>
      </c>
      <c r="V111" s="26"/>
      <c r="W111" s="26"/>
      <c r="X111" s="26"/>
      <c r="Y111" s="26"/>
      <c r="Z111" s="26"/>
      <c r="AA111" s="103"/>
      <c r="AB111" s="26">
        <f t="shared" si="67"/>
        <v>3692258.33</v>
      </c>
      <c r="AC111" s="26">
        <f t="shared" si="96"/>
        <v>21632200</v>
      </c>
      <c r="AD111" s="175"/>
      <c r="AE111" s="17"/>
    </row>
    <row r="112" spans="1:31" s="27" customFormat="1" ht="57.75" customHeight="1" x14ac:dyDescent="0.25">
      <c r="A112" s="23" t="s">
        <v>364</v>
      </c>
      <c r="B112" s="24" t="str">
        <f>'дод 5'!A71</f>
        <v>3171</v>
      </c>
      <c r="C112" s="23">
        <f>'дод 5'!B71</f>
        <v>1010</v>
      </c>
      <c r="D112" s="28" t="str">
        <f>'дод 5'!C71</f>
        <v>Компенсаційні виплати особам з інвалідністю на бензин, ремонт, технічне обслуговування автомобілів, мотоколясок і на транспортне обслуговування</v>
      </c>
      <c r="E112" s="26">
        <f t="shared" ref="E112" si="101">F112+I112</f>
        <v>217535</v>
      </c>
      <c r="F112" s="26">
        <v>217535</v>
      </c>
      <c r="G112" s="26"/>
      <c r="H112" s="26"/>
      <c r="I112" s="26"/>
      <c r="J112" s="26">
        <v>80846.47</v>
      </c>
      <c r="K112" s="26"/>
      <c r="L112" s="26"/>
      <c r="M112" s="26"/>
      <c r="N112" s="103">
        <f t="shared" si="65"/>
        <v>37.164810260417866</v>
      </c>
      <c r="O112" s="26"/>
      <c r="P112" s="26"/>
      <c r="Q112" s="26"/>
      <c r="R112" s="26"/>
      <c r="S112" s="26"/>
      <c r="T112" s="26"/>
      <c r="U112" s="26">
        <f t="shared" si="66"/>
        <v>0</v>
      </c>
      <c r="V112" s="26"/>
      <c r="W112" s="26"/>
      <c r="X112" s="26"/>
      <c r="Y112" s="26"/>
      <c r="Z112" s="26"/>
      <c r="AA112" s="103"/>
      <c r="AB112" s="26">
        <f t="shared" si="67"/>
        <v>80846.47</v>
      </c>
      <c r="AC112" s="26">
        <f t="shared" si="96"/>
        <v>217535</v>
      </c>
      <c r="AD112" s="175"/>
      <c r="AE112" s="17"/>
    </row>
    <row r="113" spans="1:31" s="27" customFormat="1" ht="32.25" customHeight="1" x14ac:dyDescent="0.25">
      <c r="A113" s="23" t="s">
        <v>232</v>
      </c>
      <c r="B113" s="24" t="str">
        <f>'дод 5'!A72</f>
        <v>3191</v>
      </c>
      <c r="C113" s="23" t="str">
        <f>'дод 5'!B72</f>
        <v>1030</v>
      </c>
      <c r="D113" s="25" t="str">
        <f>'дод 5'!C72</f>
        <v>Інші видатки на соціальний захист ветеранів війни та праці</v>
      </c>
      <c r="E113" s="26">
        <f t="shared" si="95"/>
        <v>42409750</v>
      </c>
      <c r="F113" s="26">
        <v>42409750</v>
      </c>
      <c r="G113" s="26"/>
      <c r="H113" s="26"/>
      <c r="I113" s="26"/>
      <c r="J113" s="26">
        <v>8395634.9900000002</v>
      </c>
      <c r="K113" s="26"/>
      <c r="L113" s="26"/>
      <c r="M113" s="26"/>
      <c r="N113" s="103">
        <f t="shared" si="65"/>
        <v>19.796473664664376</v>
      </c>
      <c r="O113" s="26">
        <f t="shared" si="97"/>
        <v>0</v>
      </c>
      <c r="P113" s="26"/>
      <c r="Q113" s="26"/>
      <c r="R113" s="26"/>
      <c r="S113" s="26"/>
      <c r="T113" s="26"/>
      <c r="U113" s="26">
        <f t="shared" si="66"/>
        <v>0</v>
      </c>
      <c r="V113" s="26"/>
      <c r="W113" s="26"/>
      <c r="X113" s="26"/>
      <c r="Y113" s="26"/>
      <c r="Z113" s="26"/>
      <c r="AA113" s="103"/>
      <c r="AB113" s="26">
        <f t="shared" si="67"/>
        <v>8395634.9900000002</v>
      </c>
      <c r="AC113" s="26">
        <f t="shared" si="96"/>
        <v>42409750</v>
      </c>
      <c r="AD113" s="175"/>
      <c r="AE113" s="17"/>
    </row>
    <row r="114" spans="1:31" s="27" customFormat="1" ht="56.65" customHeight="1" x14ac:dyDescent="0.25">
      <c r="A114" s="23" t="s">
        <v>233</v>
      </c>
      <c r="B114" s="24" t="str">
        <f>'дод 5'!A73</f>
        <v>3192</v>
      </c>
      <c r="C114" s="23" t="str">
        <f>'дод 5'!B73</f>
        <v>1030</v>
      </c>
      <c r="D114" s="25" t="str">
        <f>'дод 5'!C73</f>
        <v>Надання фінансової підтримки громадським об'єднанням ветеранів і осіб з інвалідністю, діяльність яких має соціальну спрямованість</v>
      </c>
      <c r="E114" s="26">
        <f t="shared" si="95"/>
        <v>2212100</v>
      </c>
      <c r="F114" s="26">
        <v>2212100</v>
      </c>
      <c r="G114" s="26"/>
      <c r="H114" s="26"/>
      <c r="I114" s="26"/>
      <c r="J114" s="26">
        <v>164716.47</v>
      </c>
      <c r="K114" s="26"/>
      <c r="L114" s="26"/>
      <c r="M114" s="26"/>
      <c r="N114" s="103">
        <f t="shared" si="65"/>
        <v>7.4461584015189182</v>
      </c>
      <c r="O114" s="26">
        <f t="shared" si="97"/>
        <v>0</v>
      </c>
      <c r="P114" s="26"/>
      <c r="Q114" s="26"/>
      <c r="R114" s="26"/>
      <c r="S114" s="26"/>
      <c r="T114" s="26"/>
      <c r="U114" s="26">
        <f t="shared" si="66"/>
        <v>0</v>
      </c>
      <c r="V114" s="26"/>
      <c r="W114" s="26"/>
      <c r="X114" s="26"/>
      <c r="Y114" s="26"/>
      <c r="Z114" s="26"/>
      <c r="AA114" s="103"/>
      <c r="AB114" s="26">
        <f t="shared" si="67"/>
        <v>164716.47</v>
      </c>
      <c r="AC114" s="26">
        <f t="shared" si="96"/>
        <v>2212100</v>
      </c>
      <c r="AD114" s="172">
        <v>14</v>
      </c>
      <c r="AE114" s="17"/>
    </row>
    <row r="115" spans="1:31" s="27" customFormat="1" ht="78.75" x14ac:dyDescent="0.25">
      <c r="A115" s="23" t="s">
        <v>479</v>
      </c>
      <c r="B115" s="24">
        <f>'дод 5'!A74</f>
        <v>3193</v>
      </c>
      <c r="C115" s="24">
        <f>'дод 5'!B74</f>
        <v>1030</v>
      </c>
      <c r="D115" s="28" t="str">
        <f>'дод 5'!C74</f>
        <v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v>
      </c>
      <c r="E115" s="26">
        <f t="shared" ref="E115" si="102">F115+I115</f>
        <v>4499147</v>
      </c>
      <c r="F115" s="26">
        <v>4499147</v>
      </c>
      <c r="G115" s="26">
        <v>3687825</v>
      </c>
      <c r="H115" s="26"/>
      <c r="I115" s="26"/>
      <c r="J115" s="26">
        <v>500767.43</v>
      </c>
      <c r="K115" s="26">
        <v>410465.11</v>
      </c>
      <c r="L115" s="26"/>
      <c r="M115" s="26"/>
      <c r="N115" s="103">
        <f t="shared" si="65"/>
        <v>11.130274916556406</v>
      </c>
      <c r="O115" s="26">
        <f t="shared" ref="O115" si="103">Q115+T115</f>
        <v>0</v>
      </c>
      <c r="P115" s="26"/>
      <c r="Q115" s="26"/>
      <c r="R115" s="26"/>
      <c r="S115" s="26"/>
      <c r="T115" s="26"/>
      <c r="U115" s="26">
        <f t="shared" si="66"/>
        <v>0</v>
      </c>
      <c r="V115" s="26"/>
      <c r="W115" s="26"/>
      <c r="X115" s="26"/>
      <c r="Y115" s="26"/>
      <c r="Z115" s="26"/>
      <c r="AA115" s="103"/>
      <c r="AB115" s="26">
        <f t="shared" si="67"/>
        <v>500767.43</v>
      </c>
      <c r="AC115" s="26">
        <f t="shared" ref="AC115" si="104">E115+O115</f>
        <v>4499147</v>
      </c>
      <c r="AD115" s="172"/>
      <c r="AE115" s="17"/>
    </row>
    <row r="116" spans="1:31" s="27" customFormat="1" ht="38.25" customHeight="1" x14ac:dyDescent="0.25">
      <c r="A116" s="23" t="s">
        <v>152</v>
      </c>
      <c r="B116" s="24" t="str">
        <f>'дод 5'!A75</f>
        <v>3200</v>
      </c>
      <c r="C116" s="23" t="str">
        <f>'дод 5'!B75</f>
        <v>1090</v>
      </c>
      <c r="D116" s="25" t="str">
        <f>'дод 5'!C75</f>
        <v>Забезпечення обробки інформації з нарахування та виплати допомог і компенсацій</v>
      </c>
      <c r="E116" s="26">
        <f t="shared" si="95"/>
        <v>117600</v>
      </c>
      <c r="F116" s="26">
        <v>117600</v>
      </c>
      <c r="G116" s="26"/>
      <c r="H116" s="26"/>
      <c r="I116" s="26"/>
      <c r="J116" s="26">
        <v>19805</v>
      </c>
      <c r="K116" s="26"/>
      <c r="L116" s="26"/>
      <c r="M116" s="26"/>
      <c r="N116" s="103">
        <f t="shared" si="65"/>
        <v>16.840986394557824</v>
      </c>
      <c r="O116" s="26">
        <f t="shared" si="97"/>
        <v>0</v>
      </c>
      <c r="P116" s="26"/>
      <c r="Q116" s="26"/>
      <c r="R116" s="26"/>
      <c r="S116" s="26"/>
      <c r="T116" s="26"/>
      <c r="U116" s="26">
        <f t="shared" si="66"/>
        <v>0</v>
      </c>
      <c r="V116" s="26"/>
      <c r="W116" s="26"/>
      <c r="X116" s="26"/>
      <c r="Y116" s="26"/>
      <c r="Z116" s="26"/>
      <c r="AA116" s="103"/>
      <c r="AB116" s="26">
        <f t="shared" si="67"/>
        <v>19805</v>
      </c>
      <c r="AC116" s="26">
        <f>E116+O116</f>
        <v>117600</v>
      </c>
      <c r="AD116" s="172"/>
      <c r="AE116" s="17"/>
    </row>
    <row r="117" spans="1:31" s="27" customFormat="1" ht="63" x14ac:dyDescent="0.25">
      <c r="A117" s="23" t="s">
        <v>231</v>
      </c>
      <c r="B117" s="24" t="str">
        <f>'дод 5'!A77</f>
        <v>3241</v>
      </c>
      <c r="C117" s="23" t="str">
        <f>'дод 5'!B77</f>
        <v>1090</v>
      </c>
      <c r="D117" s="25" t="str">
        <f>'дод 5'!C77</f>
        <v>Надання комплексу послуг особам/сім’ям у сфері соціального захисту та соціального забезпечення іншими надавачами соціальних послуг</v>
      </c>
      <c r="E117" s="26">
        <f t="shared" si="95"/>
        <v>12863312</v>
      </c>
      <c r="F117" s="26">
        <f>7743800+3802161+91245</f>
        <v>11637206</v>
      </c>
      <c r="G117" s="26">
        <f>4413900+3116560</f>
        <v>7530460</v>
      </c>
      <c r="H117" s="26">
        <v>521800</v>
      </c>
      <c r="I117" s="26">
        <v>1226106</v>
      </c>
      <c r="J117" s="26">
        <v>1801026.5600000001</v>
      </c>
      <c r="K117" s="26">
        <v>1198026.82</v>
      </c>
      <c r="L117" s="26">
        <v>159701.14000000001</v>
      </c>
      <c r="M117" s="26"/>
      <c r="N117" s="103">
        <f t="shared" si="65"/>
        <v>14.001266236875853</v>
      </c>
      <c r="O117" s="26">
        <f t="shared" ref="O117:O119" si="105">Q117+T117</f>
        <v>0</v>
      </c>
      <c r="P117" s="26"/>
      <c r="Q117" s="26"/>
      <c r="R117" s="26"/>
      <c r="S117" s="26"/>
      <c r="T117" s="26"/>
      <c r="U117" s="26">
        <f t="shared" si="66"/>
        <v>0</v>
      </c>
      <c r="V117" s="26"/>
      <c r="W117" s="26"/>
      <c r="X117" s="26"/>
      <c r="Y117" s="26"/>
      <c r="Z117" s="26"/>
      <c r="AA117" s="103"/>
      <c r="AB117" s="26">
        <f t="shared" si="67"/>
        <v>1801026.5600000001</v>
      </c>
      <c r="AC117" s="26">
        <f t="shared" si="96"/>
        <v>12863312</v>
      </c>
      <c r="AD117" s="172"/>
      <c r="AE117" s="17"/>
    </row>
    <row r="118" spans="1:31" s="27" customFormat="1" ht="39.75" customHeight="1" x14ac:dyDescent="0.25">
      <c r="A118" s="23" t="s">
        <v>263</v>
      </c>
      <c r="B118" s="24" t="str">
        <f>'дод 5'!A78</f>
        <v>3242</v>
      </c>
      <c r="C118" s="23" t="str">
        <f>'дод 5'!B78</f>
        <v>1090</v>
      </c>
      <c r="D118" s="25" t="str">
        <f>'дод 5'!C78</f>
        <v>Інші заходи та заклади у сфері соціального захисту і соціального забезпечення</v>
      </c>
      <c r="E118" s="26">
        <f t="shared" si="95"/>
        <v>130711480</v>
      </c>
      <c r="F118" s="26">
        <f>96341400-234720+252800+32477000+300000+1575000</f>
        <v>130711480</v>
      </c>
      <c r="G118" s="26"/>
      <c r="H118" s="26"/>
      <c r="I118" s="26"/>
      <c r="J118" s="26">
        <v>48856498.590000004</v>
      </c>
      <c r="K118" s="26"/>
      <c r="L118" s="26"/>
      <c r="M118" s="26"/>
      <c r="N118" s="103">
        <f t="shared" si="65"/>
        <v>37.377358583959115</v>
      </c>
      <c r="O118" s="26">
        <f t="shared" si="105"/>
        <v>0</v>
      </c>
      <c r="P118" s="26"/>
      <c r="Q118" s="26"/>
      <c r="R118" s="26"/>
      <c r="S118" s="26"/>
      <c r="T118" s="26"/>
      <c r="U118" s="26">
        <f t="shared" si="66"/>
        <v>0</v>
      </c>
      <c r="V118" s="26"/>
      <c r="W118" s="26"/>
      <c r="X118" s="26"/>
      <c r="Y118" s="26"/>
      <c r="Z118" s="26"/>
      <c r="AA118" s="103"/>
      <c r="AB118" s="26">
        <f t="shared" si="67"/>
        <v>48856498.590000004</v>
      </c>
      <c r="AC118" s="26">
        <f t="shared" si="96"/>
        <v>130711480</v>
      </c>
      <c r="AD118" s="172"/>
      <c r="AE118" s="17"/>
    </row>
    <row r="119" spans="1:31" s="27" customFormat="1" ht="27" customHeight="1" x14ac:dyDescent="0.25">
      <c r="A119" s="23" t="s">
        <v>208</v>
      </c>
      <c r="B119" s="24" t="str">
        <f>'дод 5'!A145</f>
        <v>9770</v>
      </c>
      <c r="C119" s="23" t="str">
        <f>'дод 5'!B145</f>
        <v>0180</v>
      </c>
      <c r="D119" s="28" t="str">
        <f>'дод 5'!C145</f>
        <v>Інші субвенції з місцевого бюджету</v>
      </c>
      <c r="E119" s="26">
        <f t="shared" si="95"/>
        <v>1474400</v>
      </c>
      <c r="F119" s="26">
        <v>1474400</v>
      </c>
      <c r="G119" s="26"/>
      <c r="H119" s="26"/>
      <c r="I119" s="26"/>
      <c r="J119" s="26">
        <v>222000</v>
      </c>
      <c r="K119" s="26"/>
      <c r="L119" s="26"/>
      <c r="M119" s="26"/>
      <c r="N119" s="103">
        <f t="shared" si="65"/>
        <v>15.056972327726534</v>
      </c>
      <c r="O119" s="26">
        <f t="shared" si="105"/>
        <v>0</v>
      </c>
      <c r="P119" s="26"/>
      <c r="Q119" s="26"/>
      <c r="R119" s="26"/>
      <c r="S119" s="26"/>
      <c r="T119" s="26"/>
      <c r="U119" s="26">
        <f t="shared" si="66"/>
        <v>0</v>
      </c>
      <c r="V119" s="26"/>
      <c r="W119" s="26"/>
      <c r="X119" s="26"/>
      <c r="Y119" s="26"/>
      <c r="Z119" s="26"/>
      <c r="AA119" s="103"/>
      <c r="AB119" s="26">
        <f t="shared" si="67"/>
        <v>222000</v>
      </c>
      <c r="AC119" s="26">
        <f t="shared" si="96"/>
        <v>1474400</v>
      </c>
      <c r="AD119" s="172"/>
      <c r="AE119" s="17"/>
    </row>
    <row r="120" spans="1:31" s="17" customFormat="1" ht="36" customHeight="1" x14ac:dyDescent="0.25">
      <c r="A120" s="14" t="s">
        <v>153</v>
      </c>
      <c r="B120" s="29"/>
      <c r="C120" s="14"/>
      <c r="D120" s="15" t="s">
        <v>268</v>
      </c>
      <c r="E120" s="16">
        <f>E121</f>
        <v>12331200</v>
      </c>
      <c r="F120" s="16">
        <f t="shared" ref="F120:Z120" si="106">F121</f>
        <v>12331200</v>
      </c>
      <c r="G120" s="16">
        <f t="shared" si="106"/>
        <v>8760100</v>
      </c>
      <c r="H120" s="16">
        <f t="shared" si="106"/>
        <v>236411</v>
      </c>
      <c r="I120" s="16">
        <f t="shared" si="106"/>
        <v>0</v>
      </c>
      <c r="J120" s="16">
        <f t="shared" si="106"/>
        <v>2545286.36</v>
      </c>
      <c r="K120" s="16">
        <f t="shared" si="106"/>
        <v>1963342.09</v>
      </c>
      <c r="L120" s="16">
        <f t="shared" si="106"/>
        <v>61257.520000000004</v>
      </c>
      <c r="M120" s="16">
        <f t="shared" si="106"/>
        <v>0</v>
      </c>
      <c r="N120" s="101">
        <f t="shared" si="65"/>
        <v>20.641027312832488</v>
      </c>
      <c r="O120" s="16">
        <f t="shared" si="106"/>
        <v>0</v>
      </c>
      <c r="P120" s="16">
        <f t="shared" si="106"/>
        <v>0</v>
      </c>
      <c r="Q120" s="16">
        <f t="shared" si="106"/>
        <v>0</v>
      </c>
      <c r="R120" s="16">
        <f t="shared" si="106"/>
        <v>0</v>
      </c>
      <c r="S120" s="16">
        <f t="shared" si="106"/>
        <v>0</v>
      </c>
      <c r="T120" s="16">
        <f t="shared" si="106"/>
        <v>0</v>
      </c>
      <c r="U120" s="16">
        <f t="shared" si="106"/>
        <v>0</v>
      </c>
      <c r="V120" s="16">
        <f t="shared" si="106"/>
        <v>0</v>
      </c>
      <c r="W120" s="16">
        <f t="shared" si="106"/>
        <v>0</v>
      </c>
      <c r="X120" s="16">
        <f t="shared" si="106"/>
        <v>0</v>
      </c>
      <c r="Y120" s="16">
        <f t="shared" si="106"/>
        <v>0</v>
      </c>
      <c r="Z120" s="16">
        <f t="shared" si="106"/>
        <v>0</v>
      </c>
      <c r="AA120" s="101"/>
      <c r="AB120" s="16">
        <f t="shared" si="67"/>
        <v>2545286.36</v>
      </c>
      <c r="AC120" s="16">
        <f t="shared" ref="AC120" si="107">AC121</f>
        <v>12331200</v>
      </c>
      <c r="AD120" s="172"/>
    </row>
    <row r="121" spans="1:31" s="22" customFormat="1" ht="34.5" customHeight="1" x14ac:dyDescent="0.25">
      <c r="A121" s="18" t="s">
        <v>154</v>
      </c>
      <c r="B121" s="30"/>
      <c r="C121" s="18"/>
      <c r="D121" s="20" t="s">
        <v>268</v>
      </c>
      <c r="E121" s="21">
        <f>E122+E123+E124</f>
        <v>12331200</v>
      </c>
      <c r="F121" s="21">
        <f t="shared" ref="F121:Z121" si="108">F122+F123+F124</f>
        <v>12331200</v>
      </c>
      <c r="G121" s="21">
        <f t="shared" si="108"/>
        <v>8760100</v>
      </c>
      <c r="H121" s="21">
        <f t="shared" si="108"/>
        <v>236411</v>
      </c>
      <c r="I121" s="21">
        <f t="shared" si="108"/>
        <v>0</v>
      </c>
      <c r="J121" s="21">
        <f t="shared" si="108"/>
        <v>2545286.36</v>
      </c>
      <c r="K121" s="21">
        <f t="shared" si="108"/>
        <v>1963342.09</v>
      </c>
      <c r="L121" s="21">
        <f t="shared" si="108"/>
        <v>61257.520000000004</v>
      </c>
      <c r="M121" s="21">
        <f t="shared" ref="M121" si="109">M122+M123+M124</f>
        <v>0</v>
      </c>
      <c r="N121" s="102">
        <f t="shared" si="65"/>
        <v>20.641027312832488</v>
      </c>
      <c r="O121" s="21">
        <f t="shared" si="108"/>
        <v>0</v>
      </c>
      <c r="P121" s="21">
        <f t="shared" si="108"/>
        <v>0</v>
      </c>
      <c r="Q121" s="21">
        <f t="shared" si="108"/>
        <v>0</v>
      </c>
      <c r="R121" s="21">
        <f t="shared" si="108"/>
        <v>0</v>
      </c>
      <c r="S121" s="21">
        <f t="shared" si="108"/>
        <v>0</v>
      </c>
      <c r="T121" s="21">
        <f t="shared" si="108"/>
        <v>0</v>
      </c>
      <c r="U121" s="21">
        <f t="shared" si="108"/>
        <v>0</v>
      </c>
      <c r="V121" s="21">
        <f t="shared" si="108"/>
        <v>0</v>
      </c>
      <c r="W121" s="21">
        <f t="shared" si="108"/>
        <v>0</v>
      </c>
      <c r="X121" s="21">
        <f t="shared" si="108"/>
        <v>0</v>
      </c>
      <c r="Y121" s="21">
        <f t="shared" si="108"/>
        <v>0</v>
      </c>
      <c r="Z121" s="21">
        <f t="shared" si="108"/>
        <v>0</v>
      </c>
      <c r="AA121" s="102"/>
      <c r="AB121" s="21">
        <f t="shared" si="67"/>
        <v>2545286.36</v>
      </c>
      <c r="AC121" s="21">
        <f t="shared" ref="AC121" si="110">AC122+AC123+AC124</f>
        <v>12331200</v>
      </c>
      <c r="AD121" s="172"/>
      <c r="AE121" s="17"/>
    </row>
    <row r="122" spans="1:31" s="27" customFormat="1" ht="47.25" x14ac:dyDescent="0.25">
      <c r="A122" s="23" t="s">
        <v>155</v>
      </c>
      <c r="B122" s="24" t="str">
        <f>'дод 5'!A15</f>
        <v>0160</v>
      </c>
      <c r="C122" s="23" t="str">
        <f>'дод 5'!B15</f>
        <v>0111</v>
      </c>
      <c r="D122" s="25" t="str">
        <f>'дод 5'!C15</f>
        <v>Керівництво і управління у відповідній сфері у містах (місті Києві), селищах, селах, територіальних громадах</v>
      </c>
      <c r="E122" s="26">
        <f t="shared" ref="E122:E124" si="111">F122+I122</f>
        <v>11227000</v>
      </c>
      <c r="F122" s="26">
        <v>11227000</v>
      </c>
      <c r="G122" s="26">
        <v>8760100</v>
      </c>
      <c r="H122" s="26">
        <v>168800</v>
      </c>
      <c r="I122" s="26"/>
      <c r="J122" s="26">
        <v>2473925.73</v>
      </c>
      <c r="K122" s="26">
        <v>1963342.09</v>
      </c>
      <c r="L122" s="26">
        <v>43624.05</v>
      </c>
      <c r="M122" s="26"/>
      <c r="N122" s="103">
        <f t="shared" si="65"/>
        <v>22.03550129152935</v>
      </c>
      <c r="O122" s="26">
        <f>Q122+T122</f>
        <v>0</v>
      </c>
      <c r="P122" s="26">
        <f>12000-12000</f>
        <v>0</v>
      </c>
      <c r="Q122" s="26"/>
      <c r="R122" s="26"/>
      <c r="S122" s="26"/>
      <c r="T122" s="26">
        <f>12000-12000</f>
        <v>0</v>
      </c>
      <c r="U122" s="26">
        <f t="shared" si="66"/>
        <v>0</v>
      </c>
      <c r="V122" s="26"/>
      <c r="W122" s="26"/>
      <c r="X122" s="26"/>
      <c r="Y122" s="26"/>
      <c r="Z122" s="26"/>
      <c r="AA122" s="103"/>
      <c r="AB122" s="26">
        <f t="shared" si="67"/>
        <v>2473925.73</v>
      </c>
      <c r="AC122" s="26">
        <f t="shared" ref="AC122:AC124" si="112">E122+O122</f>
        <v>11227000</v>
      </c>
      <c r="AD122" s="172"/>
      <c r="AE122" s="17"/>
    </row>
    <row r="123" spans="1:31" s="27" customFormat="1" ht="31.5" x14ac:dyDescent="0.25">
      <c r="A123" s="23" t="s">
        <v>156</v>
      </c>
      <c r="B123" s="24" t="str">
        <f>'дод 5'!A64</f>
        <v>3112</v>
      </c>
      <c r="C123" s="23" t="str">
        <f>'дод 5'!B64</f>
        <v>1040</v>
      </c>
      <c r="D123" s="28" t="str">
        <f>'дод 5'!C64</f>
        <v>Заходи державної політики з питань дітей та їх соціального захисту</v>
      </c>
      <c r="E123" s="26">
        <f t="shared" si="111"/>
        <v>613900</v>
      </c>
      <c r="F123" s="26">
        <f>155200+458700</f>
        <v>613900</v>
      </c>
      <c r="G123" s="26"/>
      <c r="H123" s="26"/>
      <c r="I123" s="26"/>
      <c r="J123" s="26"/>
      <c r="K123" s="26"/>
      <c r="L123" s="26"/>
      <c r="M123" s="26"/>
      <c r="N123" s="103">
        <f t="shared" si="65"/>
        <v>0</v>
      </c>
      <c r="O123" s="26">
        <f t="shared" ref="O123" si="113">Q123+T123</f>
        <v>0</v>
      </c>
      <c r="P123" s="26"/>
      <c r="Q123" s="26"/>
      <c r="R123" s="26"/>
      <c r="S123" s="26"/>
      <c r="T123" s="26"/>
      <c r="U123" s="26">
        <f t="shared" si="66"/>
        <v>0</v>
      </c>
      <c r="V123" s="26"/>
      <c r="W123" s="26"/>
      <c r="X123" s="26"/>
      <c r="Y123" s="26"/>
      <c r="Z123" s="26"/>
      <c r="AA123" s="103"/>
      <c r="AB123" s="26">
        <f t="shared" si="67"/>
        <v>0</v>
      </c>
      <c r="AC123" s="26">
        <f t="shared" si="112"/>
        <v>613900</v>
      </c>
      <c r="AD123" s="172"/>
      <c r="AE123" s="17"/>
    </row>
    <row r="124" spans="1:31" s="27" customFormat="1" ht="63" x14ac:dyDescent="0.25">
      <c r="A124" s="23" t="s">
        <v>373</v>
      </c>
      <c r="B124" s="24">
        <f>'дод 5'!A65</f>
        <v>3114</v>
      </c>
      <c r="C124" s="23">
        <f>'дод 5'!B65</f>
        <v>1040</v>
      </c>
      <c r="D124" s="28" t="str">
        <f>'дод 5'!C65</f>
        <v>Забезпечення умов для догляду та виховання дітей і молоді в дитячих будинках сімейного типу, прийомних сім’ях та сім’ях патронатних вихователів</v>
      </c>
      <c r="E124" s="26">
        <f t="shared" si="111"/>
        <v>490300</v>
      </c>
      <c r="F124" s="26">
        <f>149000+341300</f>
        <v>490300</v>
      </c>
      <c r="G124" s="26"/>
      <c r="H124" s="26">
        <f>60000+7611</f>
        <v>67611</v>
      </c>
      <c r="I124" s="26"/>
      <c r="J124" s="26">
        <v>71360.63</v>
      </c>
      <c r="K124" s="26"/>
      <c r="L124" s="26">
        <v>17633.47</v>
      </c>
      <c r="M124" s="26"/>
      <c r="N124" s="103">
        <f t="shared" si="65"/>
        <v>14.554482969610444</v>
      </c>
      <c r="O124" s="26"/>
      <c r="P124" s="26"/>
      <c r="Q124" s="26"/>
      <c r="R124" s="26"/>
      <c r="S124" s="26"/>
      <c r="T124" s="26"/>
      <c r="U124" s="26">
        <f t="shared" si="66"/>
        <v>0</v>
      </c>
      <c r="V124" s="26"/>
      <c r="W124" s="26"/>
      <c r="X124" s="26"/>
      <c r="Y124" s="26"/>
      <c r="Z124" s="26"/>
      <c r="AA124" s="103"/>
      <c r="AB124" s="26">
        <f t="shared" si="67"/>
        <v>71360.63</v>
      </c>
      <c r="AC124" s="26">
        <f t="shared" si="112"/>
        <v>490300</v>
      </c>
      <c r="AD124" s="172"/>
      <c r="AE124" s="17"/>
    </row>
    <row r="125" spans="1:31" s="17" customFormat="1" ht="30.75" customHeight="1" x14ac:dyDescent="0.25">
      <c r="A125" s="14" t="s">
        <v>22</v>
      </c>
      <c r="B125" s="29"/>
      <c r="C125" s="14"/>
      <c r="D125" s="15" t="s">
        <v>248</v>
      </c>
      <c r="E125" s="16">
        <f>E126</f>
        <v>110407160</v>
      </c>
      <c r="F125" s="16">
        <f t="shared" ref="F125:Z125" si="114">F126</f>
        <v>110111560</v>
      </c>
      <c r="G125" s="16">
        <f t="shared" si="114"/>
        <v>82863500</v>
      </c>
      <c r="H125" s="16">
        <f t="shared" si="114"/>
        <v>5421860</v>
      </c>
      <c r="I125" s="16">
        <f t="shared" si="114"/>
        <v>295600</v>
      </c>
      <c r="J125" s="16">
        <f t="shared" si="114"/>
        <v>27491436.57</v>
      </c>
      <c r="K125" s="16">
        <f t="shared" si="114"/>
        <v>20398698.940000001</v>
      </c>
      <c r="L125" s="16">
        <f t="shared" si="114"/>
        <v>2296383.15</v>
      </c>
      <c r="M125" s="16">
        <f t="shared" si="114"/>
        <v>58100</v>
      </c>
      <c r="N125" s="101">
        <f t="shared" si="65"/>
        <v>24.900048665322068</v>
      </c>
      <c r="O125" s="16">
        <f t="shared" si="114"/>
        <v>3730100</v>
      </c>
      <c r="P125" s="16">
        <f t="shared" si="114"/>
        <v>0</v>
      </c>
      <c r="Q125" s="16">
        <f t="shared" si="114"/>
        <v>3730100</v>
      </c>
      <c r="R125" s="16">
        <f t="shared" si="114"/>
        <v>3029160</v>
      </c>
      <c r="S125" s="16">
        <f t="shared" si="114"/>
        <v>0</v>
      </c>
      <c r="T125" s="16">
        <f t="shared" si="114"/>
        <v>0</v>
      </c>
      <c r="U125" s="16">
        <f t="shared" si="114"/>
        <v>902133.86</v>
      </c>
      <c r="V125" s="16">
        <f t="shared" si="114"/>
        <v>0</v>
      </c>
      <c r="W125" s="16">
        <f t="shared" si="114"/>
        <v>803734.29</v>
      </c>
      <c r="X125" s="16">
        <f t="shared" si="114"/>
        <v>660045.72</v>
      </c>
      <c r="Y125" s="16">
        <f t="shared" si="114"/>
        <v>0</v>
      </c>
      <c r="Z125" s="16">
        <f t="shared" si="114"/>
        <v>98399.57</v>
      </c>
      <c r="AA125" s="101">
        <f t="shared" si="71"/>
        <v>24.185245971957855</v>
      </c>
      <c r="AB125" s="16">
        <f t="shared" si="67"/>
        <v>28393570.43</v>
      </c>
      <c r="AC125" s="16">
        <f t="shared" ref="AC125" si="115">AC126</f>
        <v>114137260</v>
      </c>
      <c r="AD125" s="172"/>
    </row>
    <row r="126" spans="1:31" s="22" customFormat="1" ht="29.45" customHeight="1" x14ac:dyDescent="0.25">
      <c r="A126" s="18" t="s">
        <v>157</v>
      </c>
      <c r="B126" s="30"/>
      <c r="C126" s="18"/>
      <c r="D126" s="20" t="s">
        <v>248</v>
      </c>
      <c r="E126" s="21">
        <f>E127+E128+E129+E130+E131+E132+E134+E133</f>
        <v>110407160</v>
      </c>
      <c r="F126" s="21">
        <f t="shared" ref="F126:Z126" si="116">F127+F128+F129+F130+F131+F132+F134+F133</f>
        <v>110111560</v>
      </c>
      <c r="G126" s="21">
        <f t="shared" si="116"/>
        <v>82863500</v>
      </c>
      <c r="H126" s="21">
        <f t="shared" si="116"/>
        <v>5421860</v>
      </c>
      <c r="I126" s="21">
        <f t="shared" si="116"/>
        <v>295600</v>
      </c>
      <c r="J126" s="21">
        <f t="shared" si="116"/>
        <v>27491436.57</v>
      </c>
      <c r="K126" s="21">
        <f t="shared" si="116"/>
        <v>20398698.940000001</v>
      </c>
      <c r="L126" s="21">
        <f t="shared" si="116"/>
        <v>2296383.15</v>
      </c>
      <c r="M126" s="21">
        <f t="shared" ref="M126" si="117">M127+M128+M129+M130+M131+M132+M134+M133</f>
        <v>58100</v>
      </c>
      <c r="N126" s="102">
        <f t="shared" si="65"/>
        <v>24.900048665322068</v>
      </c>
      <c r="O126" s="21">
        <f t="shared" si="116"/>
        <v>3730100</v>
      </c>
      <c r="P126" s="21">
        <f t="shared" si="116"/>
        <v>0</v>
      </c>
      <c r="Q126" s="21">
        <f t="shared" si="116"/>
        <v>3730100</v>
      </c>
      <c r="R126" s="21">
        <f t="shared" si="116"/>
        <v>3029160</v>
      </c>
      <c r="S126" s="21">
        <f t="shared" si="116"/>
        <v>0</v>
      </c>
      <c r="T126" s="21">
        <f t="shared" si="116"/>
        <v>0</v>
      </c>
      <c r="U126" s="21">
        <f t="shared" si="116"/>
        <v>902133.86</v>
      </c>
      <c r="V126" s="21">
        <f t="shared" si="116"/>
        <v>0</v>
      </c>
      <c r="W126" s="21">
        <f t="shared" si="116"/>
        <v>803734.29</v>
      </c>
      <c r="X126" s="21">
        <f t="shared" si="116"/>
        <v>660045.72</v>
      </c>
      <c r="Y126" s="21">
        <f t="shared" si="116"/>
        <v>0</v>
      </c>
      <c r="Z126" s="21">
        <f t="shared" si="116"/>
        <v>98399.57</v>
      </c>
      <c r="AA126" s="102">
        <f t="shared" si="71"/>
        <v>24.185245971957855</v>
      </c>
      <c r="AB126" s="21">
        <f t="shared" si="67"/>
        <v>28393570.43</v>
      </c>
      <c r="AC126" s="21">
        <f t="shared" ref="AC126" si="118">AC127+AC128+AC129+AC130+AC131+AC132+AC134+AC133</f>
        <v>114137260</v>
      </c>
      <c r="AD126" s="172"/>
      <c r="AE126" s="17"/>
    </row>
    <row r="127" spans="1:31" s="27" customFormat="1" ht="47.25" x14ac:dyDescent="0.25">
      <c r="A127" s="23" t="s">
        <v>113</v>
      </c>
      <c r="B127" s="24" t="str">
        <f>'дод 5'!A15</f>
        <v>0160</v>
      </c>
      <c r="C127" s="23" t="str">
        <f>'дод 5'!B15</f>
        <v>0111</v>
      </c>
      <c r="D127" s="25" t="str">
        <f>'дод 5'!C15</f>
        <v>Керівництво і управління у відповідній сфері у містах (місті Києві), селищах, селах, територіальних громадах</v>
      </c>
      <c r="E127" s="26">
        <f t="shared" ref="E127:E134" si="119">F127+I127</f>
        <v>3897790</v>
      </c>
      <c r="F127" s="26">
        <f>3757100+140600+90</f>
        <v>3897790</v>
      </c>
      <c r="G127" s="26">
        <v>2916400</v>
      </c>
      <c r="H127" s="26">
        <f>97900+90</f>
        <v>97990</v>
      </c>
      <c r="I127" s="26"/>
      <c r="J127" s="26">
        <v>815127.44</v>
      </c>
      <c r="K127" s="26">
        <v>632564.07999999996</v>
      </c>
      <c r="L127" s="26">
        <v>37995.35</v>
      </c>
      <c r="M127" s="26"/>
      <c r="N127" s="103">
        <f t="shared" si="65"/>
        <v>20.912554037031239</v>
      </c>
      <c r="O127" s="26">
        <f>Q127+T127</f>
        <v>0</v>
      </c>
      <c r="P127" s="26"/>
      <c r="Q127" s="26"/>
      <c r="R127" s="26"/>
      <c r="S127" s="26"/>
      <c r="T127" s="26"/>
      <c r="U127" s="26">
        <f t="shared" si="66"/>
        <v>0</v>
      </c>
      <c r="V127" s="26"/>
      <c r="W127" s="26"/>
      <c r="X127" s="26"/>
      <c r="Y127" s="26"/>
      <c r="Z127" s="26"/>
      <c r="AA127" s="103"/>
      <c r="AB127" s="26">
        <f t="shared" si="67"/>
        <v>815127.44</v>
      </c>
      <c r="AC127" s="26">
        <f t="shared" ref="AC127:AC134" si="120">E127+O127</f>
        <v>3897790</v>
      </c>
      <c r="AD127" s="172"/>
      <c r="AE127" s="17"/>
    </row>
    <row r="128" spans="1:31" s="27" customFormat="1" ht="34.9" customHeight="1" x14ac:dyDescent="0.25">
      <c r="A128" s="23" t="s">
        <v>296</v>
      </c>
      <c r="B128" s="24">
        <f>'дод 5'!A26</f>
        <v>1080</v>
      </c>
      <c r="C128" s="23" t="str">
        <f>'дод 5'!B26</f>
        <v>0960</v>
      </c>
      <c r="D128" s="28" t="str">
        <f>'дод 5'!C26</f>
        <v>Надання спеціалізованої освіти мистецькими школами</v>
      </c>
      <c r="E128" s="26">
        <f t="shared" si="119"/>
        <v>67530050</v>
      </c>
      <c r="F128" s="26">
        <f>63803500+80300+2235200+66000+1117600+1850</f>
        <v>67304450</v>
      </c>
      <c r="G128" s="26">
        <f>50312800+1832200+916100</f>
        <v>53061100</v>
      </c>
      <c r="H128" s="26">
        <f>1721400+1850</f>
        <v>1723250</v>
      </c>
      <c r="I128" s="26">
        <f>150000+75600</f>
        <v>225600</v>
      </c>
      <c r="J128" s="26">
        <v>18077164.280000001</v>
      </c>
      <c r="K128" s="26">
        <v>14015467.130000001</v>
      </c>
      <c r="L128" s="26">
        <v>932552.65</v>
      </c>
      <c r="M128" s="26"/>
      <c r="N128" s="103">
        <f t="shared" si="65"/>
        <v>26.769066926501612</v>
      </c>
      <c r="O128" s="26">
        <f>Q128+T128</f>
        <v>3701400</v>
      </c>
      <c r="P128" s="26"/>
      <c r="Q128" s="26">
        <v>3701400</v>
      </c>
      <c r="R128" s="26">
        <v>3029160</v>
      </c>
      <c r="S128" s="26"/>
      <c r="T128" s="26"/>
      <c r="U128" s="26">
        <f t="shared" si="66"/>
        <v>803634.15</v>
      </c>
      <c r="V128" s="26"/>
      <c r="W128" s="26">
        <v>803634.15</v>
      </c>
      <c r="X128" s="26">
        <v>660045.72</v>
      </c>
      <c r="Y128" s="26"/>
      <c r="Z128" s="26"/>
      <c r="AA128" s="103">
        <f t="shared" si="71"/>
        <v>21.71162668179608</v>
      </c>
      <c r="AB128" s="26">
        <f t="shared" si="67"/>
        <v>18880798.43</v>
      </c>
      <c r="AC128" s="26">
        <f t="shared" si="120"/>
        <v>71231450</v>
      </c>
      <c r="AD128" s="172"/>
      <c r="AE128" s="17"/>
    </row>
    <row r="129" spans="1:31" s="27" customFormat="1" ht="21" customHeight="1" x14ac:dyDescent="0.25">
      <c r="A129" s="23" t="s">
        <v>158</v>
      </c>
      <c r="B129" s="24" t="str">
        <f>'дод 5'!A80</f>
        <v>4030</v>
      </c>
      <c r="C129" s="23" t="str">
        <f>'дод 5'!B80</f>
        <v>0824</v>
      </c>
      <c r="D129" s="25" t="str">
        <f>'дод 5'!C80</f>
        <v>Забезпечення діяльності бібліотек</v>
      </c>
      <c r="E129" s="26">
        <f t="shared" si="119"/>
        <v>28771850</v>
      </c>
      <c r="F129" s="26">
        <f>28769800+2050</f>
        <v>28771850</v>
      </c>
      <c r="G129" s="26">
        <v>20115000</v>
      </c>
      <c r="H129" s="26">
        <f>3136300+2050</f>
        <v>3138350</v>
      </c>
      <c r="I129" s="26"/>
      <c r="J129" s="26">
        <v>6654804.2199999997</v>
      </c>
      <c r="K129" s="26">
        <v>4370296.9000000004</v>
      </c>
      <c r="L129" s="26">
        <v>1229541.8799999999</v>
      </c>
      <c r="M129" s="26"/>
      <c r="N129" s="103">
        <f t="shared" si="65"/>
        <v>23.129566642395258</v>
      </c>
      <c r="O129" s="26">
        <f t="shared" ref="O129:O134" si="121">Q129+T129</f>
        <v>7700</v>
      </c>
      <c r="P129" s="26"/>
      <c r="Q129" s="26">
        <v>7700</v>
      </c>
      <c r="R129" s="26"/>
      <c r="S129" s="26"/>
      <c r="T129" s="26"/>
      <c r="U129" s="26">
        <f t="shared" si="66"/>
        <v>98499.71</v>
      </c>
      <c r="V129" s="26"/>
      <c r="W129" s="26">
        <v>100.14</v>
      </c>
      <c r="X129" s="26"/>
      <c r="Y129" s="26"/>
      <c r="Z129" s="26">
        <v>98399.57</v>
      </c>
      <c r="AA129" s="103" t="s">
        <v>515</v>
      </c>
      <c r="AB129" s="26">
        <f t="shared" si="67"/>
        <v>6753303.9299999997</v>
      </c>
      <c r="AC129" s="26">
        <f t="shared" si="120"/>
        <v>28779550</v>
      </c>
      <c r="AD129" s="172"/>
      <c r="AE129" s="17"/>
    </row>
    <row r="130" spans="1:31" s="27" customFormat="1" ht="47.25" x14ac:dyDescent="0.25">
      <c r="A130" s="23">
        <v>1014060</v>
      </c>
      <c r="B130" s="24" t="str">
        <f>'дод 5'!A81</f>
        <v>4060</v>
      </c>
      <c r="C130" s="23" t="str">
        <f>'дод 5'!B81</f>
        <v>0828</v>
      </c>
      <c r="D130" s="25" t="str">
        <f>'дод 5'!C81</f>
        <v>Забезпечення діяльності палаців i будинків культури, клубів, центрів дозвілля та iнших клубних закладів</v>
      </c>
      <c r="E130" s="26">
        <f t="shared" si="119"/>
        <v>5542210</v>
      </c>
      <c r="F130" s="26">
        <f>5542000+210</f>
        <v>5542210</v>
      </c>
      <c r="G130" s="26">
        <v>3804000</v>
      </c>
      <c r="H130" s="26">
        <f>323300+210</f>
        <v>323510</v>
      </c>
      <c r="I130" s="26"/>
      <c r="J130" s="26">
        <v>953551.98</v>
      </c>
      <c r="K130" s="26">
        <v>735407.87</v>
      </c>
      <c r="L130" s="26">
        <v>44095.1</v>
      </c>
      <c r="M130" s="26"/>
      <c r="N130" s="103">
        <f t="shared" si="65"/>
        <v>17.205266130298202</v>
      </c>
      <c r="O130" s="26">
        <f t="shared" si="121"/>
        <v>0</v>
      </c>
      <c r="P130" s="26"/>
      <c r="Q130" s="26"/>
      <c r="R130" s="26"/>
      <c r="S130" s="26"/>
      <c r="T130" s="26"/>
      <c r="U130" s="26">
        <f t="shared" si="66"/>
        <v>0</v>
      </c>
      <c r="V130" s="26"/>
      <c r="W130" s="26"/>
      <c r="X130" s="26"/>
      <c r="Y130" s="26"/>
      <c r="Z130" s="26"/>
      <c r="AA130" s="103"/>
      <c r="AB130" s="26">
        <f t="shared" si="67"/>
        <v>953551.98</v>
      </c>
      <c r="AC130" s="26">
        <f t="shared" si="120"/>
        <v>5542210</v>
      </c>
      <c r="AD130" s="172"/>
      <c r="AE130" s="17"/>
    </row>
    <row r="131" spans="1:31" s="31" customFormat="1" ht="36.75" customHeight="1" x14ac:dyDescent="0.25">
      <c r="A131" s="23">
        <v>1014081</v>
      </c>
      <c r="B131" s="24" t="str">
        <f>'дод 5'!A82</f>
        <v>4081</v>
      </c>
      <c r="C131" s="23" t="str">
        <f>'дод 5'!B82</f>
        <v>0829</v>
      </c>
      <c r="D131" s="25" t="str">
        <f>'дод 5'!C82</f>
        <v>Забезпечення діяльності інших закладів в галузі культури і мистецтва</v>
      </c>
      <c r="E131" s="26">
        <f t="shared" si="119"/>
        <v>4184060</v>
      </c>
      <c r="F131" s="26">
        <f>3704600+329500+79800+160</f>
        <v>4114060</v>
      </c>
      <c r="G131" s="26">
        <f>2697000+270000</f>
        <v>2967000</v>
      </c>
      <c r="H131" s="26">
        <f>138600+160</f>
        <v>138760</v>
      </c>
      <c r="I131" s="26">
        <v>70000</v>
      </c>
      <c r="J131" s="26">
        <v>915410.65</v>
      </c>
      <c r="K131" s="26">
        <v>644962.96</v>
      </c>
      <c r="L131" s="26">
        <v>52198.17</v>
      </c>
      <c r="M131" s="26">
        <v>58100</v>
      </c>
      <c r="N131" s="103">
        <f t="shared" si="65"/>
        <v>21.878525881560016</v>
      </c>
      <c r="O131" s="26">
        <f t="shared" si="121"/>
        <v>0</v>
      </c>
      <c r="P131" s="26"/>
      <c r="Q131" s="26"/>
      <c r="R131" s="26"/>
      <c r="S131" s="26"/>
      <c r="T131" s="26"/>
      <c r="U131" s="26">
        <f t="shared" si="66"/>
        <v>0</v>
      </c>
      <c r="V131" s="26"/>
      <c r="W131" s="26"/>
      <c r="X131" s="26"/>
      <c r="Y131" s="26"/>
      <c r="Z131" s="26"/>
      <c r="AA131" s="103"/>
      <c r="AB131" s="26">
        <f t="shared" si="67"/>
        <v>915410.65</v>
      </c>
      <c r="AC131" s="26">
        <f t="shared" si="120"/>
        <v>4184060</v>
      </c>
      <c r="AD131" s="172"/>
      <c r="AE131" s="17"/>
    </row>
    <row r="132" spans="1:31" s="31" customFormat="1" ht="27" customHeight="1" x14ac:dyDescent="0.25">
      <c r="A132" s="23">
        <v>1014082</v>
      </c>
      <c r="B132" s="24" t="str">
        <f>'дод 5'!A83</f>
        <v>4082</v>
      </c>
      <c r="C132" s="23" t="str">
        <f>'дод 5'!B83</f>
        <v>0829</v>
      </c>
      <c r="D132" s="25" t="str">
        <f>'дод 5'!C83</f>
        <v>Інші заходи в галузі культури і мистецтва</v>
      </c>
      <c r="E132" s="26">
        <f t="shared" si="119"/>
        <v>400000</v>
      </c>
      <c r="F132" s="26">
        <v>400000</v>
      </c>
      <c r="G132" s="26"/>
      <c r="H132" s="26"/>
      <c r="I132" s="26"/>
      <c r="J132" s="26">
        <v>43978</v>
      </c>
      <c r="K132" s="26"/>
      <c r="L132" s="26"/>
      <c r="M132" s="26"/>
      <c r="N132" s="103">
        <f t="shared" si="65"/>
        <v>10.9945</v>
      </c>
      <c r="O132" s="26">
        <f t="shared" si="121"/>
        <v>0</v>
      </c>
      <c r="P132" s="26"/>
      <c r="Q132" s="26"/>
      <c r="R132" s="26"/>
      <c r="S132" s="26"/>
      <c r="T132" s="26"/>
      <c r="U132" s="26">
        <f t="shared" si="66"/>
        <v>0</v>
      </c>
      <c r="V132" s="26"/>
      <c r="W132" s="26"/>
      <c r="X132" s="26"/>
      <c r="Y132" s="26"/>
      <c r="Z132" s="26"/>
      <c r="AA132" s="103"/>
      <c r="AB132" s="26">
        <f t="shared" si="67"/>
        <v>43978</v>
      </c>
      <c r="AC132" s="26">
        <f t="shared" si="120"/>
        <v>400000</v>
      </c>
      <c r="AD132" s="172"/>
      <c r="AE132" s="17"/>
    </row>
    <row r="133" spans="1:31" s="31" customFormat="1" ht="40.5" customHeight="1" x14ac:dyDescent="0.25">
      <c r="A133" s="23" t="s">
        <v>488</v>
      </c>
      <c r="B133" s="24" t="str">
        <f>'дод 5'!A130</f>
        <v>8110</v>
      </c>
      <c r="C133" s="24" t="str">
        <f>'дод 5'!B130</f>
        <v>0320</v>
      </c>
      <c r="D133" s="28" t="str">
        <f>'дод 5'!C130</f>
        <v>Заходи із запобігання та ліквідації надзвичайних ситуацій та наслідків стихійного лиха</v>
      </c>
      <c r="E133" s="26">
        <f t="shared" si="119"/>
        <v>81200</v>
      </c>
      <c r="F133" s="26">
        <v>81200</v>
      </c>
      <c r="G133" s="26"/>
      <c r="H133" s="26"/>
      <c r="I133" s="26"/>
      <c r="J133" s="26">
        <v>31400</v>
      </c>
      <c r="K133" s="26"/>
      <c r="L133" s="26"/>
      <c r="M133" s="26"/>
      <c r="N133" s="103">
        <f t="shared" si="65"/>
        <v>38.669950738916256</v>
      </c>
      <c r="O133" s="26"/>
      <c r="P133" s="26"/>
      <c r="Q133" s="26"/>
      <c r="R133" s="26"/>
      <c r="S133" s="26"/>
      <c r="T133" s="26"/>
      <c r="U133" s="26">
        <f t="shared" si="66"/>
        <v>0</v>
      </c>
      <c r="V133" s="26"/>
      <c r="W133" s="26"/>
      <c r="X133" s="26"/>
      <c r="Y133" s="26"/>
      <c r="Z133" s="26"/>
      <c r="AA133" s="103"/>
      <c r="AB133" s="26">
        <f t="shared" si="67"/>
        <v>31400</v>
      </c>
      <c r="AC133" s="26">
        <f t="shared" ref="AC133" si="122">E133+O133</f>
        <v>81200</v>
      </c>
      <c r="AD133" s="172"/>
      <c r="AE133" s="17"/>
    </row>
    <row r="134" spans="1:31" s="27" customFormat="1" ht="33.75" customHeight="1" x14ac:dyDescent="0.25">
      <c r="A134" s="23">
        <v>1018340</v>
      </c>
      <c r="B134" s="24" t="str">
        <f>'дод 5'!A137</f>
        <v>8340</v>
      </c>
      <c r="C134" s="23" t="str">
        <f>'дод 5'!B137</f>
        <v>0540</v>
      </c>
      <c r="D134" s="28" t="str">
        <f>'дод 5'!C137</f>
        <v>Природоохоронні заходи за рахунок цільових фондів</v>
      </c>
      <c r="E134" s="26">
        <f t="shared" si="119"/>
        <v>0</v>
      </c>
      <c r="F134" s="26"/>
      <c r="G134" s="26"/>
      <c r="H134" s="26"/>
      <c r="I134" s="26"/>
      <c r="J134" s="26"/>
      <c r="K134" s="26"/>
      <c r="L134" s="26"/>
      <c r="M134" s="26"/>
      <c r="N134" s="103"/>
      <c r="O134" s="26">
        <f t="shared" si="121"/>
        <v>21000</v>
      </c>
      <c r="P134" s="26"/>
      <c r="Q134" s="26">
        <v>21000</v>
      </c>
      <c r="R134" s="26"/>
      <c r="S134" s="26"/>
      <c r="T134" s="26"/>
      <c r="U134" s="26">
        <f t="shared" si="66"/>
        <v>0</v>
      </c>
      <c r="V134" s="26"/>
      <c r="W134" s="26"/>
      <c r="X134" s="26"/>
      <c r="Y134" s="26"/>
      <c r="Z134" s="26"/>
      <c r="AA134" s="103">
        <f t="shared" si="71"/>
        <v>0</v>
      </c>
      <c r="AB134" s="26">
        <f t="shared" si="67"/>
        <v>0</v>
      </c>
      <c r="AC134" s="26">
        <f t="shared" si="120"/>
        <v>21000</v>
      </c>
      <c r="AD134" s="172"/>
      <c r="AE134" s="17"/>
    </row>
    <row r="135" spans="1:31" s="17" customFormat="1" ht="39" customHeight="1" x14ac:dyDescent="0.25">
      <c r="A135" s="14" t="s">
        <v>159</v>
      </c>
      <c r="B135" s="29"/>
      <c r="C135" s="14"/>
      <c r="D135" s="15" t="s">
        <v>27</v>
      </c>
      <c r="E135" s="16">
        <f>E136</f>
        <v>579096377</v>
      </c>
      <c r="F135" s="16">
        <f t="shared" ref="F135:Z135" si="123">F136</f>
        <v>358540132</v>
      </c>
      <c r="G135" s="16">
        <f t="shared" si="123"/>
        <v>25054900</v>
      </c>
      <c r="H135" s="16">
        <f t="shared" si="123"/>
        <v>40760240</v>
      </c>
      <c r="I135" s="16">
        <f t="shared" si="123"/>
        <v>220556245</v>
      </c>
      <c r="J135" s="16">
        <f t="shared" si="123"/>
        <v>118072160.32000001</v>
      </c>
      <c r="K135" s="16">
        <f t="shared" si="123"/>
        <v>5825176.4100000001</v>
      </c>
      <c r="L135" s="16">
        <f t="shared" si="123"/>
        <v>4350306.7699999996</v>
      </c>
      <c r="M135" s="16">
        <f t="shared" si="123"/>
        <v>66942585.170000002</v>
      </c>
      <c r="N135" s="101">
        <f t="shared" si="65"/>
        <v>20.389034538891618</v>
      </c>
      <c r="O135" s="16">
        <f t="shared" si="123"/>
        <v>107740343</v>
      </c>
      <c r="P135" s="16">
        <f t="shared" si="123"/>
        <v>95897143</v>
      </c>
      <c r="Q135" s="16">
        <f t="shared" si="123"/>
        <v>1843200</v>
      </c>
      <c r="R135" s="16">
        <f t="shared" si="123"/>
        <v>0</v>
      </c>
      <c r="S135" s="16">
        <f t="shared" si="123"/>
        <v>0</v>
      </c>
      <c r="T135" s="16">
        <f t="shared" si="123"/>
        <v>105897143</v>
      </c>
      <c r="U135" s="16">
        <f t="shared" si="123"/>
        <v>21026230.199999999</v>
      </c>
      <c r="V135" s="16">
        <f t="shared" si="123"/>
        <v>134959.54</v>
      </c>
      <c r="W135" s="16">
        <f t="shared" si="123"/>
        <v>297205.75</v>
      </c>
      <c r="X135" s="16">
        <f t="shared" si="123"/>
        <v>0</v>
      </c>
      <c r="Y135" s="16">
        <f t="shared" si="123"/>
        <v>0</v>
      </c>
      <c r="Z135" s="16">
        <f t="shared" si="123"/>
        <v>20729024.449999999</v>
      </c>
      <c r="AA135" s="101">
        <f t="shared" si="71"/>
        <v>19.515651811132624</v>
      </c>
      <c r="AB135" s="16">
        <f t="shared" si="67"/>
        <v>139098390.52000001</v>
      </c>
      <c r="AC135" s="16">
        <f t="shared" ref="AC135" si="124">AC136</f>
        <v>686836720</v>
      </c>
      <c r="AD135" s="172"/>
    </row>
    <row r="136" spans="1:31" s="22" customFormat="1" ht="44.25" customHeight="1" x14ac:dyDescent="0.25">
      <c r="A136" s="18" t="s">
        <v>160</v>
      </c>
      <c r="B136" s="30"/>
      <c r="C136" s="18"/>
      <c r="D136" s="20" t="s">
        <v>27</v>
      </c>
      <c r="E136" s="21">
        <f>E137+E138+E139+E140+E143+E144+E145+E146+E149+E156+E157+E158+E161+E162+E159+E160+E148+E151+E154+E155+E147+E141+E153+E150+E152+E163+E142</f>
        <v>579096377</v>
      </c>
      <c r="F136" s="21">
        <f t="shared" ref="F136:Z136" si="125">F137+F138+F139+F140+F143+F144+F145+F146+F149+F156+F157+F158+F161+F162+F159+F160+F148+F151+F154+F155+F147+F141+F153+F150+F152+F163+F142</f>
        <v>358540132</v>
      </c>
      <c r="G136" s="21">
        <f t="shared" si="125"/>
        <v>25054900</v>
      </c>
      <c r="H136" s="21">
        <f t="shared" si="125"/>
        <v>40760240</v>
      </c>
      <c r="I136" s="21">
        <f t="shared" si="125"/>
        <v>220556245</v>
      </c>
      <c r="J136" s="21">
        <f t="shared" si="125"/>
        <v>118072160.32000001</v>
      </c>
      <c r="K136" s="21">
        <f t="shared" si="125"/>
        <v>5825176.4100000001</v>
      </c>
      <c r="L136" s="21">
        <f t="shared" si="125"/>
        <v>4350306.7699999996</v>
      </c>
      <c r="M136" s="21">
        <f t="shared" ref="M136" si="126">M137+M138+M139+M140+M143+M144+M145+M146+M149+M156+M157+M158+M161+M162+M159+M160+M148+M151+M154+M155+M147+M141+M153+M150+M152+M163+M142</f>
        <v>66942585.170000002</v>
      </c>
      <c r="N136" s="102">
        <f t="shared" si="65"/>
        <v>20.389034538891618</v>
      </c>
      <c r="O136" s="21">
        <f t="shared" si="125"/>
        <v>107740343</v>
      </c>
      <c r="P136" s="21">
        <f t="shared" si="125"/>
        <v>95897143</v>
      </c>
      <c r="Q136" s="21">
        <f t="shared" si="125"/>
        <v>1843200</v>
      </c>
      <c r="R136" s="21">
        <f t="shared" si="125"/>
        <v>0</v>
      </c>
      <c r="S136" s="21">
        <f t="shared" si="125"/>
        <v>0</v>
      </c>
      <c r="T136" s="21">
        <f t="shared" si="125"/>
        <v>105897143</v>
      </c>
      <c r="U136" s="21">
        <f t="shared" si="125"/>
        <v>21026230.199999999</v>
      </c>
      <c r="V136" s="21">
        <f t="shared" si="125"/>
        <v>134959.54</v>
      </c>
      <c r="W136" s="21">
        <f t="shared" si="125"/>
        <v>297205.75</v>
      </c>
      <c r="X136" s="21">
        <f t="shared" si="125"/>
        <v>0</v>
      </c>
      <c r="Y136" s="21">
        <f t="shared" si="125"/>
        <v>0</v>
      </c>
      <c r="Z136" s="21">
        <f t="shared" si="125"/>
        <v>20729024.449999999</v>
      </c>
      <c r="AA136" s="102">
        <f t="shared" si="71"/>
        <v>19.515651811132624</v>
      </c>
      <c r="AB136" s="21">
        <f t="shared" si="67"/>
        <v>139098390.52000001</v>
      </c>
      <c r="AC136" s="21">
        <f t="shared" ref="AC136" si="127">AC137+AC138+AC139+AC140+AC143+AC144+AC145+AC146+AC149+AC156+AC157+AC158+AC161+AC162+AC159+AC160+AC148+AC151+AC154+AC155+AC147+AC141+AC153+AC150+AC152+AC163+AC142</f>
        <v>686836720</v>
      </c>
      <c r="AD136" s="172"/>
      <c r="AE136" s="17"/>
    </row>
    <row r="137" spans="1:31" s="27" customFormat="1" ht="47.25" x14ac:dyDescent="0.25">
      <c r="A137" s="23" t="s">
        <v>161</v>
      </c>
      <c r="B137" s="23" t="str">
        <f>'дод 5'!A15</f>
        <v>0160</v>
      </c>
      <c r="C137" s="23" t="str">
        <f>'дод 5'!B15</f>
        <v>0111</v>
      </c>
      <c r="D137" s="25" t="str">
        <f>'дод 5'!C15</f>
        <v>Керівництво і управління у відповідній сфері у містах (місті Києві), селищах, селах, територіальних громадах</v>
      </c>
      <c r="E137" s="26">
        <f t="shared" ref="E137:E163" si="128">F137+I137</f>
        <v>32344000</v>
      </c>
      <c r="F137" s="26">
        <f>32043000+301000</f>
        <v>32344000</v>
      </c>
      <c r="G137" s="26">
        <v>25054900</v>
      </c>
      <c r="H137" s="26">
        <v>559200</v>
      </c>
      <c r="I137" s="26"/>
      <c r="J137" s="26">
        <v>7385646.3600000003</v>
      </c>
      <c r="K137" s="26">
        <v>5825176.4100000001</v>
      </c>
      <c r="L137" s="26">
        <v>216468.83</v>
      </c>
      <c r="M137" s="26"/>
      <c r="N137" s="103">
        <f t="shared" si="65"/>
        <v>22.834672149394013</v>
      </c>
      <c r="O137" s="26">
        <f>Q137+T137</f>
        <v>0</v>
      </c>
      <c r="P137" s="26"/>
      <c r="Q137" s="26"/>
      <c r="R137" s="26"/>
      <c r="S137" s="26"/>
      <c r="T137" s="26"/>
      <c r="U137" s="26">
        <f t="shared" si="66"/>
        <v>0</v>
      </c>
      <c r="V137" s="26"/>
      <c r="W137" s="26"/>
      <c r="X137" s="26"/>
      <c r="Y137" s="26"/>
      <c r="Z137" s="26"/>
      <c r="AA137" s="103"/>
      <c r="AB137" s="26">
        <f t="shared" si="67"/>
        <v>7385646.3600000003</v>
      </c>
      <c r="AC137" s="26">
        <f t="shared" ref="AC137:AC163" si="129">E137+O137</f>
        <v>32344000</v>
      </c>
      <c r="AD137" s="172"/>
      <c r="AE137" s="17"/>
    </row>
    <row r="138" spans="1:31" s="27" customFormat="1" ht="23.25" hidden="1" customHeight="1" x14ac:dyDescent="0.25">
      <c r="A138" s="23" t="s">
        <v>300</v>
      </c>
      <c r="B138" s="23" t="str">
        <f>'дод 5'!A16</f>
        <v>0180</v>
      </c>
      <c r="C138" s="23" t="str">
        <f>'дод 5'!B16</f>
        <v>0133</v>
      </c>
      <c r="D138" s="33" t="str">
        <f>'дод 5'!C16</f>
        <v>Інша діяльність у сфері державного управління</v>
      </c>
      <c r="E138" s="26">
        <f t="shared" si="128"/>
        <v>0</v>
      </c>
      <c r="F138" s="26"/>
      <c r="G138" s="26"/>
      <c r="H138" s="26"/>
      <c r="I138" s="26"/>
      <c r="J138" s="26"/>
      <c r="K138" s="26"/>
      <c r="L138" s="26"/>
      <c r="M138" s="26"/>
      <c r="N138" s="103" t="e">
        <f t="shared" si="65"/>
        <v>#DIV/0!</v>
      </c>
      <c r="O138" s="26">
        <f>Q138+T138</f>
        <v>0</v>
      </c>
      <c r="P138" s="26"/>
      <c r="Q138" s="26"/>
      <c r="R138" s="26"/>
      <c r="S138" s="26"/>
      <c r="T138" s="26"/>
      <c r="U138" s="26">
        <f t="shared" si="66"/>
        <v>0</v>
      </c>
      <c r="V138" s="26"/>
      <c r="W138" s="26"/>
      <c r="X138" s="26"/>
      <c r="Y138" s="26"/>
      <c r="Z138" s="26"/>
      <c r="AA138" s="103"/>
      <c r="AB138" s="26">
        <f t="shared" si="67"/>
        <v>0</v>
      </c>
      <c r="AC138" s="26">
        <f t="shared" si="129"/>
        <v>0</v>
      </c>
      <c r="AD138" s="172"/>
      <c r="AE138" s="17"/>
    </row>
    <row r="139" spans="1:31" s="27" customFormat="1" ht="29.25" customHeight="1" x14ac:dyDescent="0.25">
      <c r="A139" s="23" t="s">
        <v>228</v>
      </c>
      <c r="B139" s="24" t="str">
        <f>'дод 5'!A76</f>
        <v>3210</v>
      </c>
      <c r="C139" s="23" t="str">
        <f>'дод 5'!B76</f>
        <v>1050</v>
      </c>
      <c r="D139" s="25" t="str">
        <f>'дод 5'!C76</f>
        <v>Організація та проведення громадських робіт</v>
      </c>
      <c r="E139" s="26">
        <f t="shared" si="128"/>
        <v>50000</v>
      </c>
      <c r="F139" s="26">
        <v>50000</v>
      </c>
      <c r="G139" s="26"/>
      <c r="H139" s="26"/>
      <c r="I139" s="26"/>
      <c r="J139" s="26"/>
      <c r="K139" s="26"/>
      <c r="L139" s="26"/>
      <c r="M139" s="26"/>
      <c r="N139" s="103">
        <f t="shared" si="65"/>
        <v>0</v>
      </c>
      <c r="O139" s="26">
        <f t="shared" ref="O139:O163" si="130">Q139+T139</f>
        <v>0</v>
      </c>
      <c r="P139" s="26"/>
      <c r="Q139" s="26"/>
      <c r="R139" s="26"/>
      <c r="S139" s="26"/>
      <c r="T139" s="26"/>
      <c r="U139" s="26">
        <f t="shared" si="66"/>
        <v>0</v>
      </c>
      <c r="V139" s="26"/>
      <c r="W139" s="26"/>
      <c r="X139" s="26"/>
      <c r="Y139" s="26"/>
      <c r="Z139" s="26"/>
      <c r="AA139" s="103"/>
      <c r="AB139" s="26">
        <f t="shared" si="67"/>
        <v>0</v>
      </c>
      <c r="AC139" s="26">
        <f t="shared" si="129"/>
        <v>50000</v>
      </c>
      <c r="AD139" s="172"/>
      <c r="AE139" s="17"/>
    </row>
    <row r="140" spans="1:31" s="27" customFormat="1" ht="34.5" customHeight="1" x14ac:dyDescent="0.25">
      <c r="A140" s="23" t="s">
        <v>162</v>
      </c>
      <c r="B140" s="24" t="str">
        <f>'дод 5'!A93</f>
        <v>6013</v>
      </c>
      <c r="C140" s="23" t="str">
        <f>'дод 5'!B93</f>
        <v>0620</v>
      </c>
      <c r="D140" s="25" t="str">
        <f>'дод 5'!C93</f>
        <v>Забезпечення діяльності водопровідно-каналізаційного господарства</v>
      </c>
      <c r="E140" s="26">
        <f t="shared" si="128"/>
        <v>101050000</v>
      </c>
      <c r="F140" s="26">
        <f>750000+300000</f>
        <v>1050000</v>
      </c>
      <c r="G140" s="26"/>
      <c r="H140" s="26"/>
      <c r="I140" s="26">
        <f>80000000+20000000</f>
        <v>100000000</v>
      </c>
      <c r="J140" s="26">
        <v>42342793.399999999</v>
      </c>
      <c r="K140" s="26"/>
      <c r="L140" s="26"/>
      <c r="M140" s="26">
        <v>42221654.600000001</v>
      </c>
      <c r="N140" s="103">
        <f t="shared" si="65"/>
        <v>41.902813854527459</v>
      </c>
      <c r="O140" s="26">
        <f t="shared" si="130"/>
        <v>0</v>
      </c>
      <c r="P140" s="26"/>
      <c r="Q140" s="26"/>
      <c r="R140" s="26"/>
      <c r="S140" s="26"/>
      <c r="T140" s="26"/>
      <c r="U140" s="26">
        <f t="shared" si="66"/>
        <v>0</v>
      </c>
      <c r="V140" s="26"/>
      <c r="W140" s="26"/>
      <c r="X140" s="26"/>
      <c r="Y140" s="26"/>
      <c r="Z140" s="26"/>
      <c r="AA140" s="103"/>
      <c r="AB140" s="26">
        <f t="shared" si="67"/>
        <v>42342793.399999999</v>
      </c>
      <c r="AC140" s="26">
        <f t="shared" si="129"/>
        <v>101050000</v>
      </c>
      <c r="AD140" s="172"/>
      <c r="AE140" s="17"/>
    </row>
    <row r="141" spans="1:31" s="27" customFormat="1" ht="25.15" customHeight="1" x14ac:dyDescent="0.25">
      <c r="A141" s="23" t="s">
        <v>344</v>
      </c>
      <c r="B141" s="24">
        <f>'дод 5'!A94</f>
        <v>6014</v>
      </c>
      <c r="C141" s="23" t="str">
        <f>'дод 5'!B94</f>
        <v>0620</v>
      </c>
      <c r="D141" s="28" t="str">
        <f>'дод 5'!C94</f>
        <v>Забезпечення збору та вивезення сміття і відходів</v>
      </c>
      <c r="E141" s="26">
        <f t="shared" ref="E141:E142" si="131">F141+I141</f>
        <v>7200000</v>
      </c>
      <c r="F141" s="26">
        <v>7200000</v>
      </c>
      <c r="G141" s="26"/>
      <c r="H141" s="26"/>
      <c r="I141" s="26"/>
      <c r="J141" s="26"/>
      <c r="K141" s="26"/>
      <c r="L141" s="26"/>
      <c r="M141" s="26"/>
      <c r="N141" s="103">
        <f t="shared" si="65"/>
        <v>0</v>
      </c>
      <c r="O141" s="26">
        <f t="shared" ref="O141:O142" si="132">Q141+T141</f>
        <v>0</v>
      </c>
      <c r="P141" s="26"/>
      <c r="Q141" s="26"/>
      <c r="R141" s="26"/>
      <c r="S141" s="26"/>
      <c r="T141" s="26"/>
      <c r="U141" s="26">
        <f t="shared" si="66"/>
        <v>0</v>
      </c>
      <c r="V141" s="26"/>
      <c r="W141" s="26"/>
      <c r="X141" s="26"/>
      <c r="Y141" s="26"/>
      <c r="Z141" s="26"/>
      <c r="AA141" s="103"/>
      <c r="AB141" s="26">
        <f t="shared" si="67"/>
        <v>0</v>
      </c>
      <c r="AC141" s="26">
        <f t="shared" ref="AC141:AC142" si="133">E141+O141</f>
        <v>7200000</v>
      </c>
      <c r="AD141" s="172"/>
      <c r="AE141" s="17"/>
    </row>
    <row r="142" spans="1:31" s="27" customFormat="1" ht="31.5" x14ac:dyDescent="0.25">
      <c r="A142" s="23" t="s">
        <v>404</v>
      </c>
      <c r="B142" s="24">
        <f>'дод 5'!A95</f>
        <v>6015</v>
      </c>
      <c r="C142" s="24" t="str">
        <f>'дод 5'!B95</f>
        <v>0620</v>
      </c>
      <c r="D142" s="28" t="str">
        <f>'дод 5'!C95</f>
        <v>Забезпечення надійної та безперебійної експлуатації ліфтів</v>
      </c>
      <c r="E142" s="26">
        <f t="shared" si="131"/>
        <v>2000000</v>
      </c>
      <c r="F142" s="26"/>
      <c r="G142" s="26"/>
      <c r="H142" s="26"/>
      <c r="I142" s="26">
        <v>2000000</v>
      </c>
      <c r="J142" s="26"/>
      <c r="K142" s="26"/>
      <c r="L142" s="26"/>
      <c r="M142" s="26"/>
      <c r="N142" s="103">
        <f t="shared" si="65"/>
        <v>0</v>
      </c>
      <c r="O142" s="26">
        <f t="shared" si="132"/>
        <v>0</v>
      </c>
      <c r="P142" s="26"/>
      <c r="Q142" s="26"/>
      <c r="R142" s="26"/>
      <c r="S142" s="26"/>
      <c r="T142" s="26"/>
      <c r="U142" s="26">
        <f t="shared" si="66"/>
        <v>0</v>
      </c>
      <c r="V142" s="26"/>
      <c r="W142" s="26"/>
      <c r="X142" s="26"/>
      <c r="Y142" s="26"/>
      <c r="Z142" s="26"/>
      <c r="AA142" s="103"/>
      <c r="AB142" s="26">
        <f t="shared" si="67"/>
        <v>0</v>
      </c>
      <c r="AC142" s="26">
        <f t="shared" si="133"/>
        <v>2000000</v>
      </c>
      <c r="AD142" s="172"/>
      <c r="AE142" s="17"/>
    </row>
    <row r="143" spans="1:31" s="27" customFormat="1" ht="37.5" customHeight="1" x14ac:dyDescent="0.25">
      <c r="A143" s="23" t="s">
        <v>206</v>
      </c>
      <c r="B143" s="24" t="str">
        <f>'дод 5'!A96</f>
        <v>6017</v>
      </c>
      <c r="C143" s="23" t="str">
        <f>'дод 5'!B96</f>
        <v>0620</v>
      </c>
      <c r="D143" s="25" t="str">
        <f>'дод 5'!C96</f>
        <v>Інша діяльність, пов’язана з експлуатацією об’єктів житлово-комунального господарства</v>
      </c>
      <c r="E143" s="26">
        <f t="shared" si="128"/>
        <v>600000</v>
      </c>
      <c r="F143" s="26">
        <v>600000</v>
      </c>
      <c r="G143" s="26"/>
      <c r="H143" s="26"/>
      <c r="I143" s="26"/>
      <c r="J143" s="26">
        <v>148166.79999999999</v>
      </c>
      <c r="K143" s="26"/>
      <c r="L143" s="26"/>
      <c r="M143" s="26"/>
      <c r="N143" s="103">
        <f t="shared" si="65"/>
        <v>24.694466666666663</v>
      </c>
      <c r="O143" s="26">
        <f t="shared" si="130"/>
        <v>0</v>
      </c>
      <c r="P143" s="26"/>
      <c r="Q143" s="26"/>
      <c r="R143" s="26"/>
      <c r="S143" s="26"/>
      <c r="T143" s="26"/>
      <c r="U143" s="26">
        <f t="shared" si="66"/>
        <v>0</v>
      </c>
      <c r="V143" s="26"/>
      <c r="W143" s="26"/>
      <c r="X143" s="26"/>
      <c r="Y143" s="26"/>
      <c r="Z143" s="26"/>
      <c r="AA143" s="103"/>
      <c r="AB143" s="26">
        <f t="shared" si="67"/>
        <v>148166.79999999999</v>
      </c>
      <c r="AC143" s="26">
        <f t="shared" si="129"/>
        <v>600000</v>
      </c>
      <c r="AD143" s="172"/>
      <c r="AE143" s="17"/>
    </row>
    <row r="144" spans="1:31" s="27" customFormat="1" ht="60.75" customHeight="1" x14ac:dyDescent="0.25">
      <c r="A144" s="23" t="s">
        <v>163</v>
      </c>
      <c r="B144" s="24" t="str">
        <f>'дод 5'!A97</f>
        <v>6020</v>
      </c>
      <c r="C144" s="23" t="str">
        <f>'дод 5'!B97</f>
        <v>0620</v>
      </c>
      <c r="D144" s="25" t="str">
        <f>'дод 5'!C97</f>
        <v>Забезпечення функціонування підприємств, установ та організацій, що виробляють, виконують та/або надають житлово-комунальні послуги</v>
      </c>
      <c r="E144" s="26">
        <f t="shared" si="128"/>
        <v>7873235</v>
      </c>
      <c r="F144" s="26"/>
      <c r="G144" s="26"/>
      <c r="H144" s="26"/>
      <c r="I144" s="26">
        <f>3600000+737640+50000+3485595</f>
        <v>7873235</v>
      </c>
      <c r="J144" s="26">
        <v>471160.57</v>
      </c>
      <c r="K144" s="26"/>
      <c r="L144" s="26"/>
      <c r="M144" s="26">
        <v>471160.57</v>
      </c>
      <c r="N144" s="103">
        <f t="shared" ref="N144:N207" si="134">J144/E144*100</f>
        <v>5.9843326155004899</v>
      </c>
      <c r="O144" s="26">
        <f t="shared" si="130"/>
        <v>0</v>
      </c>
      <c r="P144" s="26"/>
      <c r="Q144" s="26"/>
      <c r="R144" s="26"/>
      <c r="S144" s="26"/>
      <c r="T144" s="26"/>
      <c r="U144" s="26">
        <f t="shared" ref="U144:U205" si="135">W144+Z144</f>
        <v>0</v>
      </c>
      <c r="V144" s="26"/>
      <c r="W144" s="26"/>
      <c r="X144" s="26"/>
      <c r="Y144" s="26"/>
      <c r="Z144" s="26"/>
      <c r="AA144" s="103"/>
      <c r="AB144" s="26">
        <f t="shared" ref="AB144:AB207" si="136">J144+U144</f>
        <v>471160.57</v>
      </c>
      <c r="AC144" s="26">
        <f t="shared" si="129"/>
        <v>7873235</v>
      </c>
      <c r="AD144" s="172"/>
      <c r="AE144" s="17"/>
    </row>
    <row r="145" spans="1:31" s="27" customFormat="1" ht="29.25" customHeight="1" x14ac:dyDescent="0.25">
      <c r="A145" s="23" t="s">
        <v>164</v>
      </c>
      <c r="B145" s="24" t="str">
        <f>'дод 5'!A98</f>
        <v>6030</v>
      </c>
      <c r="C145" s="23" t="str">
        <f>'дод 5'!B98</f>
        <v>0620</v>
      </c>
      <c r="D145" s="25" t="str">
        <f>'дод 5'!C98</f>
        <v>Організація благоустрою населених пунктів</v>
      </c>
      <c r="E145" s="26">
        <f t="shared" si="128"/>
        <v>296446063</v>
      </c>
      <c r="F145" s="26">
        <f>288360000-50000+5000000+49000+43611+188542+264042+2000000</f>
        <v>295855195</v>
      </c>
      <c r="G145" s="26"/>
      <c r="H145" s="26">
        <v>40200000</v>
      </c>
      <c r="I145" s="26">
        <f>50000+540868</f>
        <v>590868</v>
      </c>
      <c r="J145" s="26">
        <v>40706156.280000001</v>
      </c>
      <c r="K145" s="26"/>
      <c r="L145" s="26">
        <v>4133687.82</v>
      </c>
      <c r="M145" s="26"/>
      <c r="N145" s="103">
        <f t="shared" si="134"/>
        <v>13.731387041561083</v>
      </c>
      <c r="O145" s="26">
        <f t="shared" si="130"/>
        <v>0</v>
      </c>
      <c r="P145" s="26"/>
      <c r="Q145" s="26"/>
      <c r="R145" s="26"/>
      <c r="S145" s="26"/>
      <c r="T145" s="26"/>
      <c r="U145" s="26">
        <f t="shared" si="135"/>
        <v>0</v>
      </c>
      <c r="V145" s="26"/>
      <c r="W145" s="26"/>
      <c r="X145" s="26"/>
      <c r="Y145" s="26"/>
      <c r="Z145" s="26"/>
      <c r="AA145" s="103"/>
      <c r="AB145" s="26">
        <f t="shared" si="136"/>
        <v>40706156.280000001</v>
      </c>
      <c r="AC145" s="26">
        <f t="shared" si="129"/>
        <v>296446063</v>
      </c>
      <c r="AD145" s="172"/>
      <c r="AE145" s="17"/>
    </row>
    <row r="146" spans="1:31" s="27" customFormat="1" ht="31.5" x14ac:dyDescent="0.25">
      <c r="A146" s="23" t="s">
        <v>204</v>
      </c>
      <c r="B146" s="24" t="str">
        <f>'дод 5'!A101</f>
        <v>6090</v>
      </c>
      <c r="C146" s="23" t="str">
        <f>'дод 5'!B101</f>
        <v>0640</v>
      </c>
      <c r="D146" s="25" t="str">
        <f>'дод 5'!C101</f>
        <v>Інша діяльність у сфері житлово-комунального господарства</v>
      </c>
      <c r="E146" s="26">
        <f t="shared" si="128"/>
        <v>3546280</v>
      </c>
      <c r="F146" s="26">
        <f>2775220-1262500+51780+78400+100000</f>
        <v>1742900</v>
      </c>
      <c r="G146" s="26"/>
      <c r="H146" s="26">
        <f>1000+40</f>
        <v>1040</v>
      </c>
      <c r="I146" s="26">
        <f>1262500+485700+30260+24920</f>
        <v>1803380</v>
      </c>
      <c r="J146" s="26">
        <v>306625.28999999998</v>
      </c>
      <c r="K146" s="26"/>
      <c r="L146" s="26">
        <v>150.12</v>
      </c>
      <c r="M146" s="26">
        <v>119400</v>
      </c>
      <c r="N146" s="103">
        <f t="shared" si="134"/>
        <v>8.6463925578352523</v>
      </c>
      <c r="O146" s="26">
        <f t="shared" ref="O146" si="137">Q146+T146</f>
        <v>0</v>
      </c>
      <c r="P146" s="26"/>
      <c r="Q146" s="26"/>
      <c r="R146" s="26"/>
      <c r="S146" s="26"/>
      <c r="T146" s="26"/>
      <c r="U146" s="26">
        <f t="shared" si="135"/>
        <v>20594064.91</v>
      </c>
      <c r="V146" s="26"/>
      <c r="W146" s="26"/>
      <c r="X146" s="26"/>
      <c r="Y146" s="26"/>
      <c r="Z146" s="26">
        <v>20594064.91</v>
      </c>
      <c r="AA146" s="103"/>
      <c r="AB146" s="26">
        <f t="shared" si="136"/>
        <v>20900690.199999999</v>
      </c>
      <c r="AC146" s="26">
        <f t="shared" si="129"/>
        <v>3546280</v>
      </c>
      <c r="AD146" s="172"/>
      <c r="AE146" s="17"/>
    </row>
    <row r="147" spans="1:31" s="27" customFormat="1" ht="67.5" customHeight="1" x14ac:dyDescent="0.25">
      <c r="A147" s="23" t="s">
        <v>353</v>
      </c>
      <c r="B147" s="24">
        <f>'дод 5'!A102</f>
        <v>6091</v>
      </c>
      <c r="C147" s="23" t="str">
        <f>'дод 5'!B102</f>
        <v>0640</v>
      </c>
      <c r="D147" s="25" t="str">
        <f>'дод 5'!C102</f>
        <v>Підготовка та реалізація публічних інвестиційних проектів / програм публічних інвестицій за рахунок коштів місцевого бюджету в галузі житлово- комунального господарства</v>
      </c>
      <c r="E147" s="26">
        <f>F147+I147</f>
        <v>0</v>
      </c>
      <c r="F147" s="26"/>
      <c r="G147" s="26"/>
      <c r="H147" s="26"/>
      <c r="I147" s="26"/>
      <c r="J147" s="26"/>
      <c r="K147" s="26"/>
      <c r="L147" s="26"/>
      <c r="M147" s="26"/>
      <c r="N147" s="103"/>
      <c r="O147" s="26">
        <f t="shared" ref="O147" si="138">Q147+T147</f>
        <v>37958901</v>
      </c>
      <c r="P147" s="26">
        <f>34383213+3575688</f>
        <v>37958901</v>
      </c>
      <c r="Q147" s="26"/>
      <c r="R147" s="26"/>
      <c r="S147" s="26"/>
      <c r="T147" s="26">
        <f>34383213+3575688</f>
        <v>37958901</v>
      </c>
      <c r="U147" s="26">
        <f t="shared" si="135"/>
        <v>0</v>
      </c>
      <c r="V147" s="26"/>
      <c r="W147" s="26"/>
      <c r="X147" s="26"/>
      <c r="Y147" s="26"/>
      <c r="Z147" s="26"/>
      <c r="AA147" s="103">
        <f t="shared" ref="AA147:AA204" si="139">U147/O147*100</f>
        <v>0</v>
      </c>
      <c r="AB147" s="26">
        <f t="shared" si="136"/>
        <v>0</v>
      </c>
      <c r="AC147" s="26">
        <f t="shared" ref="AC147" si="140">E147+O147</f>
        <v>37958901</v>
      </c>
      <c r="AD147" s="172"/>
      <c r="AE147" s="17"/>
    </row>
    <row r="148" spans="1:31" s="27" customFormat="1" ht="70.5" customHeight="1" x14ac:dyDescent="0.25">
      <c r="A148" s="23" t="s">
        <v>345</v>
      </c>
      <c r="B148" s="24">
        <f>'дод 5'!A103</f>
        <v>6092</v>
      </c>
      <c r="C148" s="23" t="str">
        <f>'дод 5'!B103</f>
        <v>0610</v>
      </c>
      <c r="D148" s="28" t="str">
        <f>'дод 5'!C103</f>
        <v>Реалізація проектів (заходів) з відновлення об'єктів житлового фонду, пошкоджених/знищених внаслідок збройної агресії, за рахунок коштів місцевих бюджетів</v>
      </c>
      <c r="E148" s="26">
        <f t="shared" ref="E148:E149" si="141">F148+I148</f>
        <v>34000000</v>
      </c>
      <c r="F148" s="26">
        <v>4000000</v>
      </c>
      <c r="G148" s="26"/>
      <c r="H148" s="26"/>
      <c r="I148" s="26">
        <f>20000000+10000000</f>
        <v>30000000</v>
      </c>
      <c r="J148" s="26"/>
      <c r="K148" s="26"/>
      <c r="L148" s="26"/>
      <c r="M148" s="26"/>
      <c r="N148" s="103">
        <f t="shared" si="134"/>
        <v>0</v>
      </c>
      <c r="O148" s="26">
        <f t="shared" ref="O148" si="142">Q148+T148</f>
        <v>0</v>
      </c>
      <c r="P148" s="26"/>
      <c r="Q148" s="26"/>
      <c r="R148" s="26"/>
      <c r="S148" s="26"/>
      <c r="T148" s="26"/>
      <c r="U148" s="26">
        <f t="shared" si="135"/>
        <v>275121.74</v>
      </c>
      <c r="V148" s="26"/>
      <c r="W148" s="26">
        <v>275121.74</v>
      </c>
      <c r="X148" s="26"/>
      <c r="Y148" s="26"/>
      <c r="Z148" s="26"/>
      <c r="AA148" s="103"/>
      <c r="AB148" s="26">
        <f t="shared" si="136"/>
        <v>275121.74</v>
      </c>
      <c r="AC148" s="26">
        <f t="shared" ref="AC148" si="143">E148+O148</f>
        <v>34000000</v>
      </c>
      <c r="AD148" s="172"/>
      <c r="AE148" s="17"/>
    </row>
    <row r="149" spans="1:31" s="27" customFormat="1" ht="63" x14ac:dyDescent="0.25">
      <c r="A149" s="23" t="s">
        <v>212</v>
      </c>
      <c r="B149" s="24" t="str">
        <f>'дод 5'!A108</f>
        <v>7330</v>
      </c>
      <c r="C149" s="23" t="str">
        <f>'дод 5'!B108</f>
        <v>0490</v>
      </c>
      <c r="D149" s="32" t="s">
        <v>428</v>
      </c>
      <c r="E149" s="26">
        <f t="shared" si="141"/>
        <v>0</v>
      </c>
      <c r="F149" s="26"/>
      <c r="G149" s="26"/>
      <c r="H149" s="26"/>
      <c r="I149" s="26"/>
      <c r="J149" s="26"/>
      <c r="K149" s="26"/>
      <c r="L149" s="26"/>
      <c r="M149" s="26"/>
      <c r="N149" s="103"/>
      <c r="O149" s="26">
        <f>Q149+T149</f>
        <v>11000000</v>
      </c>
      <c r="P149" s="26">
        <f>11000000</f>
        <v>11000000</v>
      </c>
      <c r="Q149" s="26"/>
      <c r="R149" s="26"/>
      <c r="S149" s="26"/>
      <c r="T149" s="26">
        <f>11000000</f>
        <v>11000000</v>
      </c>
      <c r="U149" s="26">
        <f t="shared" si="135"/>
        <v>134959.54</v>
      </c>
      <c r="V149" s="26">
        <v>134959.54</v>
      </c>
      <c r="W149" s="26"/>
      <c r="X149" s="26"/>
      <c r="Y149" s="26"/>
      <c r="Z149" s="26">
        <v>134959.54</v>
      </c>
      <c r="AA149" s="103">
        <f t="shared" si="139"/>
        <v>1.2269049090909092</v>
      </c>
      <c r="AB149" s="26">
        <f t="shared" si="136"/>
        <v>134959.54</v>
      </c>
      <c r="AC149" s="26">
        <f t="shared" si="129"/>
        <v>11000000</v>
      </c>
      <c r="AD149" s="172"/>
      <c r="AE149" s="17"/>
    </row>
    <row r="150" spans="1:31" s="27" customFormat="1" ht="36.75" customHeight="1" x14ac:dyDescent="0.25">
      <c r="A150" s="23" t="s">
        <v>397</v>
      </c>
      <c r="B150" s="24">
        <v>7367</v>
      </c>
      <c r="C150" s="23" t="s">
        <v>69</v>
      </c>
      <c r="D150" s="32" t="str">
        <f>'дод 5'!C110</f>
        <v>Реалізація проектів у рамках Програми відновлення України III</v>
      </c>
      <c r="E150" s="26">
        <f t="shared" ref="E150" si="144">F150+I150</f>
        <v>0</v>
      </c>
      <c r="F150" s="26"/>
      <c r="G150" s="26"/>
      <c r="H150" s="26"/>
      <c r="I150" s="26"/>
      <c r="J150" s="26"/>
      <c r="K150" s="26"/>
      <c r="L150" s="26"/>
      <c r="M150" s="26"/>
      <c r="N150" s="103"/>
      <c r="O150" s="26">
        <f>Q150+T150</f>
        <v>44195894</v>
      </c>
      <c r="P150" s="26">
        <v>34195894</v>
      </c>
      <c r="Q150" s="26"/>
      <c r="R150" s="26"/>
      <c r="S150" s="26"/>
      <c r="T150" s="26">
        <f>34195894+10000000</f>
        <v>44195894</v>
      </c>
      <c r="U150" s="26">
        <f t="shared" si="135"/>
        <v>0</v>
      </c>
      <c r="V150" s="26"/>
      <c r="W150" s="26"/>
      <c r="X150" s="26"/>
      <c r="Y150" s="26"/>
      <c r="Z150" s="26"/>
      <c r="AA150" s="103">
        <f t="shared" si="139"/>
        <v>0</v>
      </c>
      <c r="AB150" s="26">
        <f t="shared" si="136"/>
        <v>0</v>
      </c>
      <c r="AC150" s="26">
        <f>E150+O150</f>
        <v>44195894</v>
      </c>
      <c r="AD150" s="172"/>
      <c r="AE150" s="17"/>
    </row>
    <row r="151" spans="1:31" s="31" customFormat="1" ht="39" hidden="1" customHeight="1" x14ac:dyDescent="0.25">
      <c r="A151" s="23" t="s">
        <v>346</v>
      </c>
      <c r="B151" s="24" t="str">
        <f>'дод 5'!A112</f>
        <v>7412</v>
      </c>
      <c r="C151" s="23" t="str">
        <f>'дод 5'!B112</f>
        <v>0451</v>
      </c>
      <c r="D151" s="28" t="str">
        <f>'дод 5'!C112</f>
        <v>Регулювання цін на послуги місцевого автотранспорту</v>
      </c>
      <c r="E151" s="26">
        <f t="shared" ref="E151:E153" si="145">F151+I151</f>
        <v>0</v>
      </c>
      <c r="F151" s="26"/>
      <c r="G151" s="26"/>
      <c r="H151" s="26"/>
      <c r="I151" s="26"/>
      <c r="J151" s="26"/>
      <c r="K151" s="26"/>
      <c r="L151" s="26"/>
      <c r="M151" s="26"/>
      <c r="N151" s="103" t="e">
        <f t="shared" si="134"/>
        <v>#DIV/0!</v>
      </c>
      <c r="O151" s="26">
        <f t="shared" ref="O151:O153" si="146">Q151+T151</f>
        <v>0</v>
      </c>
      <c r="P151" s="26"/>
      <c r="Q151" s="26"/>
      <c r="R151" s="26"/>
      <c r="S151" s="26"/>
      <c r="T151" s="26"/>
      <c r="U151" s="26">
        <f t="shared" si="135"/>
        <v>0</v>
      </c>
      <c r="V151" s="26"/>
      <c r="W151" s="26"/>
      <c r="X151" s="26"/>
      <c r="Y151" s="26"/>
      <c r="Z151" s="26"/>
      <c r="AA151" s="103" t="e">
        <f t="shared" si="139"/>
        <v>#DIV/0!</v>
      </c>
      <c r="AB151" s="26">
        <f t="shared" si="136"/>
        <v>0</v>
      </c>
      <c r="AC151" s="26">
        <f t="shared" ref="AC151:AC153" si="147">E151+O151</f>
        <v>0</v>
      </c>
      <c r="AD151" s="172"/>
      <c r="AE151" s="17"/>
    </row>
    <row r="152" spans="1:31" s="31" customFormat="1" ht="39" hidden="1" customHeight="1" x14ac:dyDescent="0.25">
      <c r="A152" s="23" t="s">
        <v>399</v>
      </c>
      <c r="B152" s="24">
        <f>'дод 5'!A113</f>
        <v>7413</v>
      </c>
      <c r="C152" s="24" t="str">
        <f>'дод 5'!B113</f>
        <v>0451</v>
      </c>
      <c r="D152" s="28" t="str">
        <f>'дод 5'!C113</f>
        <v>Інші заходи у сфері автотранспорту</v>
      </c>
      <c r="E152" s="26">
        <f t="shared" ref="E152" si="148">F152+I152</f>
        <v>0</v>
      </c>
      <c r="F152" s="26"/>
      <c r="G152" s="26"/>
      <c r="H152" s="26"/>
      <c r="I152" s="26"/>
      <c r="J152" s="26"/>
      <c r="K152" s="26"/>
      <c r="L152" s="26"/>
      <c r="M152" s="26"/>
      <c r="N152" s="103" t="e">
        <f t="shared" si="134"/>
        <v>#DIV/0!</v>
      </c>
      <c r="O152" s="26">
        <f t="shared" ref="O152" si="149">Q152+T152</f>
        <v>0</v>
      </c>
      <c r="P152" s="26"/>
      <c r="Q152" s="26"/>
      <c r="R152" s="26"/>
      <c r="S152" s="26"/>
      <c r="T152" s="26"/>
      <c r="U152" s="26">
        <f t="shared" si="135"/>
        <v>0</v>
      </c>
      <c r="V152" s="26"/>
      <c r="W152" s="26"/>
      <c r="X152" s="26"/>
      <c r="Y152" s="26"/>
      <c r="Z152" s="26"/>
      <c r="AA152" s="103" t="e">
        <f t="shared" si="139"/>
        <v>#DIV/0!</v>
      </c>
      <c r="AB152" s="26">
        <f t="shared" si="136"/>
        <v>0</v>
      </c>
      <c r="AC152" s="26">
        <f t="shared" ref="AC152" si="150">E152+O152</f>
        <v>0</v>
      </c>
      <c r="AD152" s="172"/>
      <c r="AE152" s="17"/>
    </row>
    <row r="153" spans="1:31" s="31" customFormat="1" ht="30.95" hidden="1" customHeight="1" x14ac:dyDescent="0.25">
      <c r="A153" s="23" t="s">
        <v>381</v>
      </c>
      <c r="B153" s="24">
        <f>'дод 5'!A114</f>
        <v>7422</v>
      </c>
      <c r="C153" s="23" t="str">
        <f>'дод 5'!B114</f>
        <v>0453</v>
      </c>
      <c r="D153" s="28" t="str">
        <f>'дод 5'!C114</f>
        <v>Регулювання цін на послуги місцевого наземного електротранспорту</v>
      </c>
      <c r="E153" s="26">
        <f t="shared" si="145"/>
        <v>0</v>
      </c>
      <c r="F153" s="26"/>
      <c r="G153" s="26"/>
      <c r="H153" s="26"/>
      <c r="I153" s="26"/>
      <c r="J153" s="26"/>
      <c r="K153" s="26"/>
      <c r="L153" s="26"/>
      <c r="M153" s="26"/>
      <c r="N153" s="103" t="e">
        <f t="shared" si="134"/>
        <v>#DIV/0!</v>
      </c>
      <c r="O153" s="26">
        <f t="shared" si="146"/>
        <v>0</v>
      </c>
      <c r="P153" s="26"/>
      <c r="Q153" s="26"/>
      <c r="R153" s="26"/>
      <c r="S153" s="26"/>
      <c r="T153" s="26"/>
      <c r="U153" s="26">
        <f t="shared" si="135"/>
        <v>0</v>
      </c>
      <c r="V153" s="26"/>
      <c r="W153" s="26"/>
      <c r="X153" s="26"/>
      <c r="Y153" s="26"/>
      <c r="Z153" s="26"/>
      <c r="AA153" s="103" t="e">
        <f t="shared" si="139"/>
        <v>#DIV/0!</v>
      </c>
      <c r="AB153" s="26">
        <f t="shared" si="136"/>
        <v>0</v>
      </c>
      <c r="AC153" s="26">
        <f t="shared" si="147"/>
        <v>0</v>
      </c>
      <c r="AD153" s="172"/>
      <c r="AE153" s="17"/>
    </row>
    <row r="154" spans="1:31" s="31" customFormat="1" ht="25.5" hidden="1" customHeight="1" x14ac:dyDescent="0.25">
      <c r="A154" s="23" t="s">
        <v>350</v>
      </c>
      <c r="B154" s="24">
        <f>'дод 5'!A115</f>
        <v>7426</v>
      </c>
      <c r="C154" s="23" t="str">
        <f>'дод 5'!B115</f>
        <v>0455</v>
      </c>
      <c r="D154" s="28" t="str">
        <f>'дод 5'!C115</f>
        <v>Інші заходи у сфері електротранспорту</v>
      </c>
      <c r="E154" s="26">
        <f t="shared" ref="E154:E155" si="151">F154+I154</f>
        <v>0</v>
      </c>
      <c r="F154" s="26"/>
      <c r="G154" s="26"/>
      <c r="H154" s="26"/>
      <c r="I154" s="26"/>
      <c r="J154" s="26"/>
      <c r="K154" s="26"/>
      <c r="L154" s="26"/>
      <c r="M154" s="26"/>
      <c r="N154" s="103" t="e">
        <f t="shared" si="134"/>
        <v>#DIV/0!</v>
      </c>
      <c r="O154" s="26">
        <f t="shared" ref="O154:O155" si="152">Q154+T154</f>
        <v>0</v>
      </c>
      <c r="P154" s="26"/>
      <c r="Q154" s="26"/>
      <c r="R154" s="26"/>
      <c r="S154" s="26"/>
      <c r="T154" s="26"/>
      <c r="U154" s="26">
        <f t="shared" si="135"/>
        <v>0</v>
      </c>
      <c r="V154" s="26"/>
      <c r="W154" s="26"/>
      <c r="X154" s="26"/>
      <c r="Y154" s="26"/>
      <c r="Z154" s="26"/>
      <c r="AA154" s="103" t="e">
        <f t="shared" si="139"/>
        <v>#DIV/0!</v>
      </c>
      <c r="AB154" s="26">
        <f t="shared" si="136"/>
        <v>0</v>
      </c>
      <c r="AC154" s="26">
        <f t="shared" ref="AC154:AC155" si="153">E154+O154</f>
        <v>0</v>
      </c>
      <c r="AD154" s="172"/>
      <c r="AE154" s="17"/>
    </row>
    <row r="155" spans="1:31" s="31" customFormat="1" ht="15.4" hidden="1" customHeight="1" x14ac:dyDescent="0.25">
      <c r="A155" s="23" t="s">
        <v>347</v>
      </c>
      <c r="B155" s="24">
        <f>'дод 5'!A116</f>
        <v>7450</v>
      </c>
      <c r="C155" s="23" t="str">
        <f>'дод 5'!B116</f>
        <v>0456</v>
      </c>
      <c r="D155" s="28" t="str">
        <f>'дод 5'!C116</f>
        <v>Інша діяльність у сфері транспорту</v>
      </c>
      <c r="E155" s="26">
        <f t="shared" si="151"/>
        <v>0</v>
      </c>
      <c r="F155" s="26"/>
      <c r="G155" s="26"/>
      <c r="H155" s="26"/>
      <c r="I155" s="26"/>
      <c r="J155" s="26"/>
      <c r="K155" s="26"/>
      <c r="L155" s="26"/>
      <c r="M155" s="26"/>
      <c r="N155" s="103" t="e">
        <f t="shared" si="134"/>
        <v>#DIV/0!</v>
      </c>
      <c r="O155" s="26">
        <f t="shared" si="152"/>
        <v>0</v>
      </c>
      <c r="P155" s="26"/>
      <c r="Q155" s="26"/>
      <c r="R155" s="26"/>
      <c r="S155" s="26"/>
      <c r="T155" s="26"/>
      <c r="U155" s="26">
        <f t="shared" si="135"/>
        <v>0</v>
      </c>
      <c r="V155" s="26"/>
      <c r="W155" s="26"/>
      <c r="X155" s="26"/>
      <c r="Y155" s="26"/>
      <c r="Z155" s="26"/>
      <c r="AA155" s="103" t="e">
        <f t="shared" si="139"/>
        <v>#DIV/0!</v>
      </c>
      <c r="AB155" s="26">
        <f t="shared" si="136"/>
        <v>0</v>
      </c>
      <c r="AC155" s="26">
        <f t="shared" si="153"/>
        <v>0</v>
      </c>
      <c r="AD155" s="172"/>
      <c r="AE155" s="17"/>
    </row>
    <row r="156" spans="1:31" s="27" customFormat="1" ht="25.5" customHeight="1" x14ac:dyDescent="0.25">
      <c r="A156" s="23" t="s">
        <v>165</v>
      </c>
      <c r="B156" s="24" t="str">
        <f>'дод 5'!A121</f>
        <v>7640</v>
      </c>
      <c r="C156" s="23" t="str">
        <f>'дод 5'!B121</f>
        <v>0470</v>
      </c>
      <c r="D156" s="25" t="s">
        <v>274</v>
      </c>
      <c r="E156" s="26">
        <f t="shared" si="128"/>
        <v>350000</v>
      </c>
      <c r="F156" s="26"/>
      <c r="G156" s="26"/>
      <c r="H156" s="26"/>
      <c r="I156" s="26">
        <v>350000</v>
      </c>
      <c r="J156" s="26"/>
      <c r="K156" s="26"/>
      <c r="L156" s="26"/>
      <c r="M156" s="26"/>
      <c r="N156" s="103">
        <f t="shared" si="134"/>
        <v>0</v>
      </c>
      <c r="O156" s="26">
        <f t="shared" si="130"/>
        <v>0</v>
      </c>
      <c r="P156" s="26"/>
      <c r="Q156" s="26"/>
      <c r="R156" s="26"/>
      <c r="S156" s="26"/>
      <c r="T156" s="26"/>
      <c r="U156" s="26">
        <f t="shared" si="135"/>
        <v>0</v>
      </c>
      <c r="V156" s="26"/>
      <c r="W156" s="26"/>
      <c r="X156" s="26"/>
      <c r="Y156" s="26"/>
      <c r="Z156" s="26"/>
      <c r="AA156" s="103"/>
      <c r="AB156" s="26">
        <f t="shared" si="136"/>
        <v>0</v>
      </c>
      <c r="AC156" s="26">
        <f t="shared" si="129"/>
        <v>350000</v>
      </c>
      <c r="AD156" s="172"/>
      <c r="AE156" s="17"/>
    </row>
    <row r="157" spans="1:31" s="27" customFormat="1" ht="31.5" x14ac:dyDescent="0.25">
      <c r="A157" s="23" t="s">
        <v>247</v>
      </c>
      <c r="B157" s="24" t="str">
        <f>'дод 5'!A124</f>
        <v>7670</v>
      </c>
      <c r="C157" s="23" t="str">
        <f>'дод 5'!B124</f>
        <v>0490</v>
      </c>
      <c r="D157" s="25" t="s">
        <v>443</v>
      </c>
      <c r="E157" s="26">
        <f>F157+I157</f>
        <v>0</v>
      </c>
      <c r="F157" s="26"/>
      <c r="G157" s="26"/>
      <c r="H157" s="26"/>
      <c r="I157" s="26"/>
      <c r="J157" s="26"/>
      <c r="K157" s="26"/>
      <c r="L157" s="26"/>
      <c r="M157" s="26"/>
      <c r="N157" s="103"/>
      <c r="O157" s="26">
        <f>Q157+T157</f>
        <v>12742348</v>
      </c>
      <c r="P157" s="26">
        <f>11784939+957409</f>
        <v>12742348</v>
      </c>
      <c r="Q157" s="26"/>
      <c r="R157" s="26"/>
      <c r="S157" s="26"/>
      <c r="T157" s="26">
        <f>11784939+957409</f>
        <v>12742348</v>
      </c>
      <c r="U157" s="26">
        <f t="shared" si="135"/>
        <v>0</v>
      </c>
      <c r="V157" s="26"/>
      <c r="W157" s="26"/>
      <c r="X157" s="26"/>
      <c r="Y157" s="26"/>
      <c r="Z157" s="26"/>
      <c r="AA157" s="103">
        <f t="shared" si="139"/>
        <v>0</v>
      </c>
      <c r="AB157" s="26">
        <f t="shared" si="136"/>
        <v>0</v>
      </c>
      <c r="AC157" s="26">
        <f>E157+O157</f>
        <v>12742348</v>
      </c>
      <c r="AD157" s="172"/>
      <c r="AE157" s="17"/>
    </row>
    <row r="158" spans="1:31" s="27" customFormat="1" ht="126" x14ac:dyDescent="0.25">
      <c r="A158" s="23" t="s">
        <v>226</v>
      </c>
      <c r="B158" s="24" t="str">
        <f>'дод 5'!A126</f>
        <v>7691</v>
      </c>
      <c r="C158" s="23" t="str">
        <f>'дод 5'!B126</f>
        <v>0490</v>
      </c>
      <c r="D158" s="28" t="s">
        <v>236</v>
      </c>
      <c r="E158" s="26">
        <f t="shared" si="128"/>
        <v>0</v>
      </c>
      <c r="F158" s="26"/>
      <c r="G158" s="26"/>
      <c r="H158" s="26"/>
      <c r="I158" s="26"/>
      <c r="J158" s="26"/>
      <c r="K158" s="26"/>
      <c r="L158" s="26"/>
      <c r="M158" s="26"/>
      <c r="N158" s="103"/>
      <c r="O158" s="26">
        <f t="shared" si="130"/>
        <v>70000</v>
      </c>
      <c r="P158" s="26"/>
      <c r="Q158" s="26">
        <v>70000</v>
      </c>
      <c r="R158" s="26"/>
      <c r="S158" s="26"/>
      <c r="T158" s="26"/>
      <c r="U158" s="26">
        <f t="shared" si="135"/>
        <v>0</v>
      </c>
      <c r="V158" s="26"/>
      <c r="W158" s="26"/>
      <c r="X158" s="26"/>
      <c r="Y158" s="26"/>
      <c r="Z158" s="26"/>
      <c r="AA158" s="103">
        <f t="shared" si="139"/>
        <v>0</v>
      </c>
      <c r="AB158" s="26">
        <f t="shared" si="136"/>
        <v>0</v>
      </c>
      <c r="AC158" s="26">
        <f t="shared" si="129"/>
        <v>70000</v>
      </c>
      <c r="AD158" s="172"/>
      <c r="AE158" s="17"/>
    </row>
    <row r="159" spans="1:31" s="27" customFormat="1" ht="39" customHeight="1" x14ac:dyDescent="0.25">
      <c r="A159" s="23" t="s">
        <v>270</v>
      </c>
      <c r="B159" s="24" t="str">
        <f>'дод 5'!A130</f>
        <v>8110</v>
      </c>
      <c r="C159" s="23" t="str">
        <f>'дод 5'!B130</f>
        <v>0320</v>
      </c>
      <c r="D159" s="28" t="str">
        <f>'дод 5'!C130</f>
        <v>Заходи із запобігання та ліквідації надзвичайних ситуацій та наслідків стихійного лиха</v>
      </c>
      <c r="E159" s="26">
        <f t="shared" ref="E159:E161" si="154">F159+I159</f>
        <v>87636799</v>
      </c>
      <c r="F159" s="26">
        <f>7000000+1973213+655848+68976</f>
        <v>9698037</v>
      </c>
      <c r="G159" s="26"/>
      <c r="H159" s="26"/>
      <c r="I159" s="26">
        <f>50000000+897500+4464240-655848+23232870</f>
        <v>77938762</v>
      </c>
      <c r="J159" s="26">
        <v>25189047.620000001</v>
      </c>
      <c r="K159" s="26"/>
      <c r="L159" s="26"/>
      <c r="M159" s="26">
        <v>24130370</v>
      </c>
      <c r="N159" s="103">
        <f t="shared" si="134"/>
        <v>28.742546404507539</v>
      </c>
      <c r="O159" s="26">
        <f>Q159+T159</f>
        <v>0</v>
      </c>
      <c r="P159" s="26"/>
      <c r="Q159" s="26"/>
      <c r="R159" s="26"/>
      <c r="S159" s="26"/>
      <c r="T159" s="26"/>
      <c r="U159" s="26">
        <f t="shared" si="135"/>
        <v>0</v>
      </c>
      <c r="V159" s="26"/>
      <c r="W159" s="26"/>
      <c r="X159" s="26"/>
      <c r="Y159" s="26"/>
      <c r="Z159" s="26"/>
      <c r="AA159" s="103"/>
      <c r="AB159" s="26">
        <f t="shared" si="136"/>
        <v>25189047.620000001</v>
      </c>
      <c r="AC159" s="26">
        <f t="shared" ref="AC159:AC160" si="155">E159+O159</f>
        <v>87636799</v>
      </c>
      <c r="AD159" s="172"/>
      <c r="AE159" s="17"/>
    </row>
    <row r="160" spans="1:31" s="27" customFormat="1" ht="27" customHeight="1" x14ac:dyDescent="0.25">
      <c r="A160" s="23" t="s">
        <v>327</v>
      </c>
      <c r="B160" s="24">
        <f>'дод 5'!A134</f>
        <v>8240</v>
      </c>
      <c r="C160" s="23" t="str">
        <f>'дод 5'!B134</f>
        <v>0380</v>
      </c>
      <c r="D160" s="28" t="str">
        <f>'дод 5'!C134</f>
        <v>Заходи та роботи з територіальної оборони</v>
      </c>
      <c r="E160" s="26">
        <f>F160+I160</f>
        <v>6000000</v>
      </c>
      <c r="F160" s="26">
        <f>3000000+3000000</f>
        <v>6000000</v>
      </c>
      <c r="G160" s="26"/>
      <c r="H160" s="26"/>
      <c r="I160" s="26"/>
      <c r="J160" s="26">
        <v>1522564</v>
      </c>
      <c r="K160" s="26"/>
      <c r="L160" s="26"/>
      <c r="M160" s="26"/>
      <c r="N160" s="103">
        <f t="shared" si="134"/>
        <v>25.37606666666667</v>
      </c>
      <c r="O160" s="26">
        <f>Q160+T160</f>
        <v>0</v>
      </c>
      <c r="P160" s="26"/>
      <c r="Q160" s="26"/>
      <c r="R160" s="26"/>
      <c r="S160" s="26"/>
      <c r="T160" s="26"/>
      <c r="U160" s="26">
        <f t="shared" si="135"/>
        <v>0</v>
      </c>
      <c r="V160" s="26"/>
      <c r="W160" s="26"/>
      <c r="X160" s="26"/>
      <c r="Y160" s="26"/>
      <c r="Z160" s="26"/>
      <c r="AA160" s="103"/>
      <c r="AB160" s="26">
        <f t="shared" si="136"/>
        <v>1522564</v>
      </c>
      <c r="AC160" s="26">
        <f t="shared" si="155"/>
        <v>6000000</v>
      </c>
      <c r="AD160" s="172"/>
      <c r="AE160" s="17"/>
    </row>
    <row r="161" spans="1:31" s="27" customFormat="1" ht="31.5" customHeight="1" x14ac:dyDescent="0.25">
      <c r="A161" s="23" t="s">
        <v>166</v>
      </c>
      <c r="B161" s="24" t="str">
        <f>'дод 5'!A137</f>
        <v>8340</v>
      </c>
      <c r="C161" s="23" t="str">
        <f>'дод 5'!B137</f>
        <v>0540</v>
      </c>
      <c r="D161" s="25" t="str">
        <f>'дод 5'!C137</f>
        <v>Природоохоронні заходи за рахунок цільових фондів</v>
      </c>
      <c r="E161" s="26">
        <f t="shared" si="154"/>
        <v>0</v>
      </c>
      <c r="F161" s="26"/>
      <c r="G161" s="26"/>
      <c r="H161" s="26"/>
      <c r="I161" s="26"/>
      <c r="J161" s="26"/>
      <c r="K161" s="26"/>
      <c r="L161" s="26"/>
      <c r="M161" s="26"/>
      <c r="N161" s="103"/>
      <c r="O161" s="26">
        <f t="shared" ref="O161" si="156">Q161+T161</f>
        <v>1773200</v>
      </c>
      <c r="P161" s="26"/>
      <c r="Q161" s="26">
        <v>1773200</v>
      </c>
      <c r="R161" s="26"/>
      <c r="S161" s="26"/>
      <c r="T161" s="26"/>
      <c r="U161" s="26">
        <f t="shared" si="135"/>
        <v>22084.01</v>
      </c>
      <c r="V161" s="26"/>
      <c r="W161" s="26">
        <v>22084.01</v>
      </c>
      <c r="X161" s="26"/>
      <c r="Y161" s="26"/>
      <c r="Z161" s="26"/>
      <c r="AA161" s="103">
        <f t="shared" si="139"/>
        <v>1.245432551319648</v>
      </c>
      <c r="AB161" s="26">
        <f t="shared" si="136"/>
        <v>22084.01</v>
      </c>
      <c r="AC161" s="26">
        <f t="shared" si="129"/>
        <v>1773200</v>
      </c>
      <c r="AD161" s="172"/>
      <c r="AE161" s="17"/>
    </row>
    <row r="162" spans="1:31" s="27" customFormat="1" ht="26.25" hidden="1" customHeight="1" x14ac:dyDescent="0.25">
      <c r="A162" s="23" t="s">
        <v>167</v>
      </c>
      <c r="B162" s="24" t="str">
        <f>'дод 5'!A145</f>
        <v>9770</v>
      </c>
      <c r="C162" s="23" t="str">
        <f>'дод 5'!B145</f>
        <v>0180</v>
      </c>
      <c r="D162" s="25" t="str">
        <f>'дод 5'!C145</f>
        <v>Інші субвенції з місцевого бюджету</v>
      </c>
      <c r="E162" s="26">
        <f t="shared" si="128"/>
        <v>0</v>
      </c>
      <c r="F162" s="26"/>
      <c r="G162" s="26"/>
      <c r="H162" s="26"/>
      <c r="I162" s="26"/>
      <c r="J162" s="26"/>
      <c r="K162" s="26"/>
      <c r="L162" s="26"/>
      <c r="M162" s="26"/>
      <c r="N162" s="103" t="e">
        <f t="shared" si="134"/>
        <v>#DIV/0!</v>
      </c>
      <c r="O162" s="26">
        <f t="shared" si="130"/>
        <v>0</v>
      </c>
      <c r="P162" s="26"/>
      <c r="Q162" s="26"/>
      <c r="R162" s="26"/>
      <c r="S162" s="26"/>
      <c r="T162" s="26"/>
      <c r="U162" s="26">
        <f t="shared" si="135"/>
        <v>0</v>
      </c>
      <c r="V162" s="26"/>
      <c r="W162" s="26"/>
      <c r="X162" s="26"/>
      <c r="Y162" s="26"/>
      <c r="Z162" s="26"/>
      <c r="AA162" s="103" t="e">
        <f t="shared" si="139"/>
        <v>#DIV/0!</v>
      </c>
      <c r="AB162" s="26">
        <f t="shared" si="136"/>
        <v>0</v>
      </c>
      <c r="AC162" s="26">
        <f t="shared" si="129"/>
        <v>0</v>
      </c>
      <c r="AD162" s="142"/>
      <c r="AE162" s="17"/>
    </row>
    <row r="163" spans="1:31" s="27" customFormat="1" ht="47.25" hidden="1" customHeight="1" x14ac:dyDescent="0.25">
      <c r="A163" s="23" t="s">
        <v>402</v>
      </c>
      <c r="B163" s="24">
        <f>'дод 5'!A146</f>
        <v>9800</v>
      </c>
      <c r="C163" s="24" t="str">
        <f>'дод 5'!B146</f>
        <v>0180</v>
      </c>
      <c r="D163" s="28" t="str">
        <f>'дод 5'!C146</f>
        <v>Субвенція з місцевого бюджету державному бюджету на виконання програм соціально-економічного розвитку регіонів</v>
      </c>
      <c r="E163" s="26">
        <f t="shared" si="128"/>
        <v>0</v>
      </c>
      <c r="F163" s="26"/>
      <c r="G163" s="26"/>
      <c r="H163" s="26"/>
      <c r="I163" s="26"/>
      <c r="J163" s="26"/>
      <c r="K163" s="26"/>
      <c r="L163" s="26"/>
      <c r="M163" s="26"/>
      <c r="N163" s="103" t="e">
        <f t="shared" si="134"/>
        <v>#DIV/0!</v>
      </c>
      <c r="O163" s="26">
        <f t="shared" si="130"/>
        <v>0</v>
      </c>
      <c r="P163" s="26"/>
      <c r="Q163" s="26"/>
      <c r="R163" s="26"/>
      <c r="S163" s="26"/>
      <c r="T163" s="26"/>
      <c r="U163" s="26">
        <f t="shared" si="135"/>
        <v>0</v>
      </c>
      <c r="V163" s="26"/>
      <c r="W163" s="26"/>
      <c r="X163" s="26"/>
      <c r="Y163" s="26"/>
      <c r="Z163" s="26"/>
      <c r="AA163" s="103" t="e">
        <f t="shared" si="139"/>
        <v>#DIV/0!</v>
      </c>
      <c r="AB163" s="26">
        <f t="shared" si="136"/>
        <v>0</v>
      </c>
      <c r="AC163" s="26">
        <f t="shared" si="129"/>
        <v>0</v>
      </c>
      <c r="AD163" s="142"/>
      <c r="AE163" s="17"/>
    </row>
    <row r="164" spans="1:31" s="17" customFormat="1" ht="42.75" customHeight="1" x14ac:dyDescent="0.25">
      <c r="A164" s="14" t="s">
        <v>23</v>
      </c>
      <c r="B164" s="29"/>
      <c r="C164" s="14"/>
      <c r="D164" s="15" t="s">
        <v>28</v>
      </c>
      <c r="E164" s="16">
        <f>E165</f>
        <v>46887965</v>
      </c>
      <c r="F164" s="16">
        <f t="shared" ref="F164:Z164" si="157">F165</f>
        <v>4035500</v>
      </c>
      <c r="G164" s="16">
        <f t="shared" si="157"/>
        <v>2900000</v>
      </c>
      <c r="H164" s="16">
        <f t="shared" si="157"/>
        <v>0</v>
      </c>
      <c r="I164" s="16">
        <f t="shared" si="157"/>
        <v>42852465</v>
      </c>
      <c r="J164" s="16">
        <f t="shared" si="157"/>
        <v>10483968.890000001</v>
      </c>
      <c r="K164" s="16">
        <f t="shared" si="157"/>
        <v>1210073.3899999999</v>
      </c>
      <c r="L164" s="16">
        <f t="shared" si="157"/>
        <v>0</v>
      </c>
      <c r="M164" s="16">
        <f t="shared" si="157"/>
        <v>9033458.7400000002</v>
      </c>
      <c r="N164" s="101">
        <f t="shared" si="134"/>
        <v>22.359615927029463</v>
      </c>
      <c r="O164" s="16">
        <f t="shared" si="157"/>
        <v>868430590</v>
      </c>
      <c r="P164" s="16">
        <f t="shared" si="157"/>
        <v>867572490</v>
      </c>
      <c r="Q164" s="16">
        <f t="shared" si="157"/>
        <v>450000</v>
      </c>
      <c r="R164" s="16">
        <f t="shared" si="157"/>
        <v>0</v>
      </c>
      <c r="S164" s="16">
        <f t="shared" si="157"/>
        <v>239500</v>
      </c>
      <c r="T164" s="16">
        <f t="shared" si="157"/>
        <v>867980590</v>
      </c>
      <c r="U164" s="16">
        <f t="shared" si="157"/>
        <v>9452814.5899999999</v>
      </c>
      <c r="V164" s="16">
        <f t="shared" si="157"/>
        <v>6750002</v>
      </c>
      <c r="W164" s="16">
        <f t="shared" si="157"/>
        <v>1128700.6599999999</v>
      </c>
      <c r="X164" s="16">
        <f t="shared" si="157"/>
        <v>809345.3</v>
      </c>
      <c r="Y164" s="16">
        <f t="shared" si="157"/>
        <v>85856.99</v>
      </c>
      <c r="Z164" s="16">
        <f t="shared" si="157"/>
        <v>8324113.9299999997</v>
      </c>
      <c r="AA164" s="101">
        <f t="shared" si="139"/>
        <v>1.0884939681823045</v>
      </c>
      <c r="AB164" s="16">
        <f t="shared" si="136"/>
        <v>19936783.48</v>
      </c>
      <c r="AC164" s="16">
        <f t="shared" ref="AC164" si="158">AC165</f>
        <v>915318555</v>
      </c>
      <c r="AD164" s="172">
        <v>15</v>
      </c>
    </row>
    <row r="165" spans="1:31" s="22" customFormat="1" ht="42.75" customHeight="1" x14ac:dyDescent="0.25">
      <c r="A165" s="18" t="s">
        <v>24</v>
      </c>
      <c r="B165" s="30"/>
      <c r="C165" s="18"/>
      <c r="D165" s="20" t="s">
        <v>28</v>
      </c>
      <c r="E165" s="21">
        <f>E166+E174+E178+E170+E175+E177+E168+E172+E167+E171+E176+E173+E169</f>
        <v>46887965</v>
      </c>
      <c r="F165" s="21">
        <f t="shared" ref="F165:Z165" si="159">F166+F174+F178+F170+F175+F177+F168+F172+F167+F171+F176+F173+F169</f>
        <v>4035500</v>
      </c>
      <c r="G165" s="21">
        <f t="shared" si="159"/>
        <v>2900000</v>
      </c>
      <c r="H165" s="21">
        <f t="shared" si="159"/>
        <v>0</v>
      </c>
      <c r="I165" s="21">
        <f t="shared" si="159"/>
        <v>42852465</v>
      </c>
      <c r="J165" s="21">
        <f t="shared" si="159"/>
        <v>10483968.890000001</v>
      </c>
      <c r="K165" s="21">
        <f t="shared" si="159"/>
        <v>1210073.3899999999</v>
      </c>
      <c r="L165" s="21">
        <f t="shared" si="159"/>
        <v>0</v>
      </c>
      <c r="M165" s="21">
        <f t="shared" ref="M165" si="160">M166+M174+M178+M170+M175+M177+M168+M172+M167+M171+M176+M173+M169</f>
        <v>9033458.7400000002</v>
      </c>
      <c r="N165" s="102">
        <f t="shared" si="134"/>
        <v>22.359615927029463</v>
      </c>
      <c r="O165" s="21">
        <f t="shared" si="159"/>
        <v>868430590</v>
      </c>
      <c r="P165" s="21">
        <f t="shared" si="159"/>
        <v>867572490</v>
      </c>
      <c r="Q165" s="21">
        <f t="shared" si="159"/>
        <v>450000</v>
      </c>
      <c r="R165" s="21">
        <f t="shared" si="159"/>
        <v>0</v>
      </c>
      <c r="S165" s="21">
        <f t="shared" si="159"/>
        <v>239500</v>
      </c>
      <c r="T165" s="21">
        <f t="shared" si="159"/>
        <v>867980590</v>
      </c>
      <c r="U165" s="21">
        <f t="shared" si="159"/>
        <v>9452814.5899999999</v>
      </c>
      <c r="V165" s="21">
        <f t="shared" si="159"/>
        <v>6750002</v>
      </c>
      <c r="W165" s="21">
        <f t="shared" si="159"/>
        <v>1128700.6599999999</v>
      </c>
      <c r="X165" s="21">
        <f t="shared" si="159"/>
        <v>809345.3</v>
      </c>
      <c r="Y165" s="21">
        <f t="shared" si="159"/>
        <v>85856.99</v>
      </c>
      <c r="Z165" s="21">
        <f t="shared" si="159"/>
        <v>8324113.9299999997</v>
      </c>
      <c r="AA165" s="102">
        <f t="shared" si="139"/>
        <v>1.0884939681823045</v>
      </c>
      <c r="AB165" s="21">
        <f t="shared" si="136"/>
        <v>19936783.48</v>
      </c>
      <c r="AC165" s="21">
        <f t="shared" ref="AC165" si="161">AC166+AC174+AC178+AC170+AC175+AC177+AC168+AC172+AC167+AC171+AC176+AC173+AC169</f>
        <v>915318555</v>
      </c>
      <c r="AD165" s="172"/>
      <c r="AE165" s="17"/>
    </row>
    <row r="166" spans="1:31" s="27" customFormat="1" ht="47.25" x14ac:dyDescent="0.25">
      <c r="A166" s="23" t="s">
        <v>114</v>
      </c>
      <c r="B166" s="24" t="str">
        <f>'дод 5'!A15</f>
        <v>0160</v>
      </c>
      <c r="C166" s="23" t="str">
        <f>'дод 5'!B15</f>
        <v>0111</v>
      </c>
      <c r="D166" s="25" t="str">
        <f>'дод 5'!C15</f>
        <v>Керівництво і управління у відповідній сфері у містах (місті Києві), селищах, селах, територіальних громадах</v>
      </c>
      <c r="E166" s="26">
        <f t="shared" ref="E166:E178" si="162">F166+I166</f>
        <v>3500000</v>
      </c>
      <c r="F166" s="26">
        <v>3500000</v>
      </c>
      <c r="G166" s="26">
        <v>2900000</v>
      </c>
      <c r="H166" s="26"/>
      <c r="I166" s="26"/>
      <c r="J166" s="26">
        <v>1450510.15</v>
      </c>
      <c r="K166" s="26">
        <v>1210073.3899999999</v>
      </c>
      <c r="L166" s="26"/>
      <c r="M166" s="26"/>
      <c r="N166" s="103">
        <f t="shared" si="134"/>
        <v>41.443147142857143</v>
      </c>
      <c r="O166" s="26">
        <f>Q166+T166</f>
        <v>450000</v>
      </c>
      <c r="P166" s="26"/>
      <c r="Q166" s="26">
        <v>450000</v>
      </c>
      <c r="R166" s="26"/>
      <c r="S166" s="26">
        <v>239500</v>
      </c>
      <c r="T166" s="26"/>
      <c r="U166" s="26">
        <f t="shared" si="135"/>
        <v>1128700.6599999999</v>
      </c>
      <c r="V166" s="26"/>
      <c r="W166" s="26">
        <v>1128700.6599999999</v>
      </c>
      <c r="X166" s="26">
        <v>809345.3</v>
      </c>
      <c r="Y166" s="26">
        <v>85856.99</v>
      </c>
      <c r="Z166" s="26"/>
      <c r="AA166" s="103" t="s">
        <v>514</v>
      </c>
      <c r="AB166" s="26">
        <f t="shared" si="136"/>
        <v>2579210.8099999996</v>
      </c>
      <c r="AC166" s="26">
        <f t="shared" ref="AC166:AC178" si="163">E166+O166</f>
        <v>3950000</v>
      </c>
      <c r="AD166" s="172"/>
      <c r="AE166" s="17"/>
    </row>
    <row r="167" spans="1:31" s="27" customFormat="1" ht="46.5" customHeight="1" x14ac:dyDescent="0.25">
      <c r="A167" s="23" t="s">
        <v>388</v>
      </c>
      <c r="B167" s="24">
        <f>'дод 5'!A19</f>
        <v>1021</v>
      </c>
      <c r="C167" s="23" t="str">
        <f>'дод 5'!B19</f>
        <v>0921</v>
      </c>
      <c r="D167" s="28" t="s">
        <v>338</v>
      </c>
      <c r="E167" s="26">
        <f t="shared" si="162"/>
        <v>2440665</v>
      </c>
      <c r="F167" s="26"/>
      <c r="G167" s="26"/>
      <c r="H167" s="26"/>
      <c r="I167" s="26">
        <v>2440665</v>
      </c>
      <c r="J167" s="26">
        <v>396005.74</v>
      </c>
      <c r="K167" s="26"/>
      <c r="L167" s="26"/>
      <c r="M167" s="26">
        <v>396005.74</v>
      </c>
      <c r="N167" s="103">
        <f t="shared" si="134"/>
        <v>16.225321377575376</v>
      </c>
      <c r="O167" s="26">
        <f t="shared" ref="O167" si="164">Q167+T167</f>
        <v>0</v>
      </c>
      <c r="P167" s="26"/>
      <c r="Q167" s="26"/>
      <c r="R167" s="26"/>
      <c r="S167" s="26"/>
      <c r="T167" s="26"/>
      <c r="U167" s="26">
        <f t="shared" si="135"/>
        <v>1506044.04</v>
      </c>
      <c r="V167" s="26"/>
      <c r="W167" s="26"/>
      <c r="X167" s="26"/>
      <c r="Y167" s="26"/>
      <c r="Z167" s="26">
        <v>1506044.04</v>
      </c>
      <c r="AA167" s="103"/>
      <c r="AB167" s="26">
        <f t="shared" si="136"/>
        <v>1902049.78</v>
      </c>
      <c r="AC167" s="26">
        <f t="shared" si="163"/>
        <v>2440665</v>
      </c>
      <c r="AD167" s="172"/>
      <c r="AE167" s="17"/>
    </row>
    <row r="168" spans="1:31" s="27" customFormat="1" ht="157.5" x14ac:dyDescent="0.25">
      <c r="A168" s="23" t="s">
        <v>385</v>
      </c>
      <c r="B168" s="24" t="str">
        <f>'дод 5'!A39</f>
        <v>1261</v>
      </c>
      <c r="C168" s="23" t="str">
        <f>'дод 5'!B39</f>
        <v>0990</v>
      </c>
      <c r="D168" s="28" t="str">
        <f>'дод 5'!C39</f>
        <v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(облаштування укриттів) у закладах, що надають загальну середню освіту, зокрема військових (військово-морських, військово-спортивних) ліцеях, ліцеях із посиленою військово-фізичною підготовкою та у закладах дошкільної освіти</v>
      </c>
      <c r="E168" s="26">
        <f t="shared" si="162"/>
        <v>0</v>
      </c>
      <c r="F168" s="26"/>
      <c r="G168" s="26"/>
      <c r="H168" s="26"/>
      <c r="I168" s="26"/>
      <c r="J168" s="26"/>
      <c r="K168" s="26"/>
      <c r="L168" s="26"/>
      <c r="M168" s="26"/>
      <c r="N168" s="103"/>
      <c r="O168" s="26">
        <f>Q168+T168</f>
        <v>153217517</v>
      </c>
      <c r="P168" s="26">
        <v>153217517</v>
      </c>
      <c r="Q168" s="26"/>
      <c r="R168" s="26"/>
      <c r="S168" s="26"/>
      <c r="T168" s="26">
        <v>153217517</v>
      </c>
      <c r="U168" s="26">
        <f t="shared" si="135"/>
        <v>1338907</v>
      </c>
      <c r="V168" s="26">
        <v>1338907</v>
      </c>
      <c r="W168" s="26"/>
      <c r="X168" s="26"/>
      <c r="Y168" s="26"/>
      <c r="Z168" s="26">
        <v>1338907</v>
      </c>
      <c r="AA168" s="103">
        <f t="shared" si="139"/>
        <v>0.8738602649460766</v>
      </c>
      <c r="AB168" s="26">
        <f t="shared" si="136"/>
        <v>1338907</v>
      </c>
      <c r="AC168" s="26">
        <f t="shared" si="163"/>
        <v>153217517</v>
      </c>
      <c r="AD168" s="172"/>
      <c r="AE168" s="17"/>
    </row>
    <row r="169" spans="1:31" s="27" customFormat="1" ht="157.5" x14ac:dyDescent="0.25">
      <c r="A169" s="23" t="s">
        <v>496</v>
      </c>
      <c r="B169" s="24" t="str">
        <f>'дод 5'!A40</f>
        <v>1262</v>
      </c>
      <c r="C169" s="24" t="str">
        <f>'дод 5'!B40</f>
        <v>0990</v>
      </c>
      <c r="D169" s="28" t="str">
        <f>'дод 5'!C40</f>
        <v>Виконання заходів щодо реалізації публічного інвестиційного проекту на облаштування безпечних умов (облаштування укриттів) у закладах, що надають загальну середню освіту, зокрема військових (військово-морських, військово-спортивних) ліцеях, ліцеях із посиленою військово-фізичною підготовкою, та у закладах дошкільної освіти, за рахунок субвенції з державного бюджету місцевим бюджетам</v>
      </c>
      <c r="E169" s="26">
        <f t="shared" ref="E169" si="165">F169+I169</f>
        <v>0</v>
      </c>
      <c r="F169" s="26"/>
      <c r="G169" s="26"/>
      <c r="H169" s="26"/>
      <c r="I169" s="26"/>
      <c r="J169" s="26"/>
      <c r="K169" s="26"/>
      <c r="L169" s="26"/>
      <c r="M169" s="26"/>
      <c r="N169" s="103"/>
      <c r="O169" s="26">
        <f t="shared" ref="O169" si="166">Q169+T169</f>
        <v>350282094</v>
      </c>
      <c r="P169" s="26">
        <f>27067491+323214603</f>
        <v>350282094</v>
      </c>
      <c r="Q169" s="26"/>
      <c r="R169" s="26"/>
      <c r="S169" s="26"/>
      <c r="T169" s="26">
        <f>27067491+323214603</f>
        <v>350282094</v>
      </c>
      <c r="U169" s="26">
        <f t="shared" si="135"/>
        <v>2847180</v>
      </c>
      <c r="V169" s="26">
        <v>2847180</v>
      </c>
      <c r="W169" s="26"/>
      <c r="X169" s="26"/>
      <c r="Y169" s="26"/>
      <c r="Z169" s="26">
        <v>2847180</v>
      </c>
      <c r="AA169" s="103">
        <f t="shared" si="139"/>
        <v>0.81282487708321161</v>
      </c>
      <c r="AB169" s="26">
        <f t="shared" si="136"/>
        <v>2847180</v>
      </c>
      <c r="AC169" s="26">
        <f t="shared" ref="AC169" si="167">E169+O169</f>
        <v>350282094</v>
      </c>
      <c r="AD169" s="172"/>
      <c r="AE169" s="17"/>
    </row>
    <row r="170" spans="1:31" s="27" customFormat="1" ht="56.25" customHeight="1" x14ac:dyDescent="0.25">
      <c r="A170" s="23" t="s">
        <v>376</v>
      </c>
      <c r="B170" s="24" t="str">
        <f>'дод 5'!A42</f>
        <v>1300</v>
      </c>
      <c r="C170" s="23" t="str">
        <f>'дод 5'!B42</f>
        <v>0990</v>
      </c>
      <c r="D170" s="28" t="s">
        <v>454</v>
      </c>
      <c r="E170" s="26">
        <f t="shared" si="162"/>
        <v>0</v>
      </c>
      <c r="F170" s="26"/>
      <c r="G170" s="26"/>
      <c r="H170" s="26"/>
      <c r="I170" s="26"/>
      <c r="J170" s="26"/>
      <c r="K170" s="26"/>
      <c r="L170" s="26"/>
      <c r="M170" s="26"/>
      <c r="N170" s="103"/>
      <c r="O170" s="26">
        <f t="shared" ref="O170:O171" si="168">Q170+T170</f>
        <v>138186479</v>
      </c>
      <c r="P170" s="26">
        <f>123659988+14466491+60000</f>
        <v>138186479</v>
      </c>
      <c r="Q170" s="26"/>
      <c r="R170" s="26"/>
      <c r="S170" s="26"/>
      <c r="T170" s="26">
        <f>123659988+14466491+60000</f>
        <v>138186479</v>
      </c>
      <c r="U170" s="26">
        <f t="shared" si="135"/>
        <v>0</v>
      </c>
      <c r="V170" s="26"/>
      <c r="W170" s="26"/>
      <c r="X170" s="26"/>
      <c r="Y170" s="26"/>
      <c r="Z170" s="26"/>
      <c r="AA170" s="103">
        <f t="shared" si="139"/>
        <v>0</v>
      </c>
      <c r="AB170" s="26">
        <f t="shared" si="136"/>
        <v>0</v>
      </c>
      <c r="AC170" s="26">
        <f t="shared" si="163"/>
        <v>138186479</v>
      </c>
      <c r="AD170" s="172"/>
      <c r="AE170" s="17"/>
    </row>
    <row r="171" spans="1:31" s="27" customFormat="1" ht="60.4" customHeight="1" x14ac:dyDescent="0.25">
      <c r="A171" s="23" t="s">
        <v>391</v>
      </c>
      <c r="B171" s="24" t="str">
        <f>'дод 5'!A43</f>
        <v>1310</v>
      </c>
      <c r="C171" s="23" t="str">
        <f>'дод 5'!B43</f>
        <v>0990</v>
      </c>
      <c r="D171" s="28" t="str">
        <f>'дод 5'!C43</f>
        <v>Реалізація проектів (заходів) з відновлення освітніх установ та закладів, пошкоджених/знищених внаслідок збройної агресії, за рахунок коштів місцевих бюджетів</v>
      </c>
      <c r="E171" s="26">
        <f t="shared" si="162"/>
        <v>14700000</v>
      </c>
      <c r="F171" s="26"/>
      <c r="G171" s="26"/>
      <c r="H171" s="26"/>
      <c r="I171" s="26">
        <f>15500000-800000</f>
        <v>14700000</v>
      </c>
      <c r="J171" s="26">
        <v>7720368</v>
      </c>
      <c r="K171" s="26"/>
      <c r="L171" s="26"/>
      <c r="M171" s="26">
        <v>7720368</v>
      </c>
      <c r="N171" s="103">
        <f t="shared" si="134"/>
        <v>52.519510204081634</v>
      </c>
      <c r="O171" s="26">
        <f t="shared" si="168"/>
        <v>0</v>
      </c>
      <c r="P171" s="26"/>
      <c r="Q171" s="26"/>
      <c r="R171" s="26"/>
      <c r="S171" s="26"/>
      <c r="T171" s="26"/>
      <c r="U171" s="26">
        <f t="shared" si="135"/>
        <v>0</v>
      </c>
      <c r="V171" s="26"/>
      <c r="W171" s="26"/>
      <c r="X171" s="26"/>
      <c r="Y171" s="26"/>
      <c r="Z171" s="26"/>
      <c r="AA171" s="103"/>
      <c r="AB171" s="26">
        <f t="shared" si="136"/>
        <v>7720368</v>
      </c>
      <c r="AC171" s="26">
        <f t="shared" si="163"/>
        <v>14700000</v>
      </c>
      <c r="AD171" s="172"/>
      <c r="AE171" s="17"/>
    </row>
    <row r="172" spans="1:31" s="27" customFormat="1" ht="24" customHeight="1" x14ac:dyDescent="0.25">
      <c r="A172" s="23" t="s">
        <v>387</v>
      </c>
      <c r="B172" s="24" t="str">
        <f>'дод 5'!A98</f>
        <v>6030</v>
      </c>
      <c r="C172" s="23" t="str">
        <f>'дод 5'!B98</f>
        <v>0620</v>
      </c>
      <c r="D172" s="28" t="str">
        <f>'дод 5'!C98</f>
        <v>Організація благоустрою населених пунктів</v>
      </c>
      <c r="E172" s="26">
        <f t="shared" ref="E172:E173" si="169">F172+I172</f>
        <v>20000000</v>
      </c>
      <c r="F172" s="26"/>
      <c r="G172" s="26"/>
      <c r="H172" s="26"/>
      <c r="I172" s="26">
        <v>20000000</v>
      </c>
      <c r="J172" s="26"/>
      <c r="K172" s="26"/>
      <c r="L172" s="26"/>
      <c r="M172" s="26"/>
      <c r="N172" s="103">
        <f t="shared" si="134"/>
        <v>0</v>
      </c>
      <c r="O172" s="26">
        <f t="shared" ref="O172:O173" si="170">Q172+T172</f>
        <v>0</v>
      </c>
      <c r="P172" s="26"/>
      <c r="Q172" s="26"/>
      <c r="R172" s="26"/>
      <c r="S172" s="26"/>
      <c r="T172" s="26"/>
      <c r="U172" s="26">
        <f t="shared" si="135"/>
        <v>0</v>
      </c>
      <c r="V172" s="26"/>
      <c r="W172" s="26"/>
      <c r="X172" s="26"/>
      <c r="Y172" s="26"/>
      <c r="Z172" s="26"/>
      <c r="AA172" s="103"/>
      <c r="AB172" s="26">
        <f t="shared" si="136"/>
        <v>0</v>
      </c>
      <c r="AC172" s="26">
        <f t="shared" ref="AC172:AC173" si="171">E172+O172</f>
        <v>20000000</v>
      </c>
      <c r="AD172" s="172"/>
      <c r="AE172" s="17"/>
    </row>
    <row r="173" spans="1:31" s="27" customFormat="1" ht="63" x14ac:dyDescent="0.25">
      <c r="A173" s="23" t="s">
        <v>494</v>
      </c>
      <c r="B173" s="24">
        <f>'дод 5'!A99</f>
        <v>6081</v>
      </c>
      <c r="C173" s="24" t="str">
        <f>'дод 5'!B99</f>
        <v>0610</v>
      </c>
      <c r="D173" s="28" t="str">
        <f>'дод 5'!C99</f>
        <v>Підготовка та реалізація публічних інвестиційних проектів/програм публічних інвестицій в галузі (секторі) «Житло» за рахунок коштів місцевого бюджету</v>
      </c>
      <c r="E173" s="26">
        <f t="shared" si="169"/>
        <v>0</v>
      </c>
      <c r="F173" s="26"/>
      <c r="G173" s="26"/>
      <c r="H173" s="26"/>
      <c r="I173" s="26"/>
      <c r="J173" s="26"/>
      <c r="K173" s="26"/>
      <c r="L173" s="26"/>
      <c r="M173" s="26"/>
      <c r="N173" s="103"/>
      <c r="O173" s="26">
        <f t="shared" si="170"/>
        <v>120000000</v>
      </c>
      <c r="P173" s="26">
        <f>80000000+40000000</f>
        <v>120000000</v>
      </c>
      <c r="Q173" s="26"/>
      <c r="R173" s="26"/>
      <c r="S173" s="26"/>
      <c r="T173" s="26">
        <f>80000000+40000000</f>
        <v>120000000</v>
      </c>
      <c r="U173" s="26">
        <f t="shared" si="135"/>
        <v>2464453</v>
      </c>
      <c r="V173" s="26">
        <v>2464453</v>
      </c>
      <c r="W173" s="26"/>
      <c r="X173" s="26"/>
      <c r="Y173" s="26"/>
      <c r="Z173" s="26">
        <v>2464453</v>
      </c>
      <c r="AA173" s="103">
        <f t="shared" si="139"/>
        <v>2.0537108333333336</v>
      </c>
      <c r="AB173" s="26">
        <f t="shared" si="136"/>
        <v>2464453</v>
      </c>
      <c r="AC173" s="26">
        <f t="shared" si="171"/>
        <v>120000000</v>
      </c>
      <c r="AD173" s="172"/>
      <c r="AE173" s="17"/>
    </row>
    <row r="174" spans="1:31" s="27" customFormat="1" ht="72" customHeight="1" x14ac:dyDescent="0.25">
      <c r="A174" s="23" t="s">
        <v>168</v>
      </c>
      <c r="B174" s="24">
        <f>'дод 5'!A100</f>
        <v>6084</v>
      </c>
      <c r="C174" s="23" t="str">
        <f>'дод 5'!B100</f>
        <v>0610</v>
      </c>
      <c r="D174" s="28" t="str">
        <f>'дод 5'!C100</f>
        <v>Витрати, пов'язані з наданням та обслуговуванням пільгових довгострокових кредитів, наданих громадянам на будівництво/реконструкцію/придбання житла</v>
      </c>
      <c r="E174" s="26">
        <f t="shared" si="162"/>
        <v>0</v>
      </c>
      <c r="F174" s="26"/>
      <c r="G174" s="26"/>
      <c r="H174" s="26"/>
      <c r="I174" s="26"/>
      <c r="J174" s="26"/>
      <c r="K174" s="26"/>
      <c r="L174" s="26"/>
      <c r="M174" s="26"/>
      <c r="N174" s="103"/>
      <c r="O174" s="26">
        <f t="shared" ref="O174:O178" si="172">Q174+T174</f>
        <v>408100</v>
      </c>
      <c r="P174" s="26"/>
      <c r="Q174" s="26"/>
      <c r="R174" s="26"/>
      <c r="S174" s="26"/>
      <c r="T174" s="26">
        <v>408100</v>
      </c>
      <c r="U174" s="26">
        <f t="shared" si="135"/>
        <v>68067.89</v>
      </c>
      <c r="V174" s="26"/>
      <c r="W174" s="26"/>
      <c r="X174" s="26"/>
      <c r="Y174" s="26"/>
      <c r="Z174" s="26">
        <v>68067.89</v>
      </c>
      <c r="AA174" s="103">
        <f t="shared" si="139"/>
        <v>16.679218328840971</v>
      </c>
      <c r="AB174" s="26">
        <f t="shared" si="136"/>
        <v>68067.89</v>
      </c>
      <c r="AC174" s="26">
        <f t="shared" si="163"/>
        <v>408100</v>
      </c>
      <c r="AD174" s="172"/>
      <c r="AE174" s="17"/>
    </row>
    <row r="175" spans="1:31" s="27" customFormat="1" ht="63" hidden="1" customHeight="1" x14ac:dyDescent="0.25">
      <c r="A175" s="23" t="s">
        <v>377</v>
      </c>
      <c r="B175" s="24">
        <f>'дод 5'!A102</f>
        <v>6091</v>
      </c>
      <c r="C175" s="23" t="str">
        <f>'дод 5'!B102</f>
        <v>0640</v>
      </c>
      <c r="D175" s="28" t="str">
        <f>'дод 5'!C102</f>
        <v>Підготовка та реалізація публічних інвестиційних проектів / програм публічних інвестицій за рахунок коштів місцевого бюджету в галузі житлово- комунального господарства</v>
      </c>
      <c r="E175" s="26">
        <f t="shared" ref="E175:E177" si="173">F175+I175</f>
        <v>0</v>
      </c>
      <c r="F175" s="26"/>
      <c r="G175" s="26"/>
      <c r="H175" s="26"/>
      <c r="I175" s="26"/>
      <c r="J175" s="26"/>
      <c r="K175" s="26"/>
      <c r="L175" s="26"/>
      <c r="M175" s="26"/>
      <c r="N175" s="103" t="e">
        <f t="shared" si="134"/>
        <v>#DIV/0!</v>
      </c>
      <c r="O175" s="26">
        <f t="shared" ref="O175:O177" si="174">Q175+T175</f>
        <v>0</v>
      </c>
      <c r="P175" s="26">
        <f>40000000-40000000</f>
        <v>0</v>
      </c>
      <c r="Q175" s="26"/>
      <c r="R175" s="26"/>
      <c r="S175" s="26"/>
      <c r="T175" s="26">
        <f>40000000-40000000</f>
        <v>0</v>
      </c>
      <c r="U175" s="26">
        <f t="shared" si="135"/>
        <v>0</v>
      </c>
      <c r="V175" s="26"/>
      <c r="W175" s="26"/>
      <c r="X175" s="26"/>
      <c r="Y175" s="26"/>
      <c r="Z175" s="26"/>
      <c r="AA175" s="103" t="e">
        <f t="shared" si="139"/>
        <v>#DIV/0!</v>
      </c>
      <c r="AB175" s="26">
        <f t="shared" si="136"/>
        <v>0</v>
      </c>
      <c r="AC175" s="26">
        <f t="shared" ref="AC175:AC177" si="175">E175+O175</f>
        <v>0</v>
      </c>
      <c r="AD175" s="172"/>
      <c r="AE175" s="17"/>
    </row>
    <row r="176" spans="1:31" s="27" customFormat="1" ht="63" x14ac:dyDescent="0.25">
      <c r="A176" s="23" t="s">
        <v>393</v>
      </c>
      <c r="B176" s="24">
        <f>'дод 5'!A103</f>
        <v>6092</v>
      </c>
      <c r="C176" s="23" t="str">
        <f>'дод 5'!B103</f>
        <v>0610</v>
      </c>
      <c r="D176" s="28" t="str">
        <f>'дод 5'!C103</f>
        <v>Реалізація проектів (заходів) з відновлення об'єктів житлового фонду, пошкоджених/знищених внаслідок збройної агресії, за рахунок коштів місцевих бюджетів</v>
      </c>
      <c r="E176" s="26">
        <f t="shared" si="173"/>
        <v>3961800</v>
      </c>
      <c r="F176" s="26"/>
      <c r="G176" s="26"/>
      <c r="H176" s="26"/>
      <c r="I176" s="26">
        <f>1500000+1543500+918300</f>
        <v>3961800</v>
      </c>
      <c r="J176" s="26">
        <v>917085</v>
      </c>
      <c r="K176" s="26"/>
      <c r="L176" s="26"/>
      <c r="M176" s="26">
        <v>917085</v>
      </c>
      <c r="N176" s="103">
        <f t="shared" si="134"/>
        <v>23.148190216568228</v>
      </c>
      <c r="O176" s="26">
        <f t="shared" si="174"/>
        <v>0</v>
      </c>
      <c r="P176" s="26"/>
      <c r="Q176" s="26"/>
      <c r="R176" s="26"/>
      <c r="S176" s="26"/>
      <c r="T176" s="26"/>
      <c r="U176" s="26">
        <f t="shared" si="135"/>
        <v>0</v>
      </c>
      <c r="V176" s="26"/>
      <c r="W176" s="26"/>
      <c r="X176" s="26"/>
      <c r="Y176" s="26"/>
      <c r="Z176" s="26"/>
      <c r="AA176" s="103"/>
      <c r="AB176" s="26">
        <f t="shared" si="136"/>
        <v>917085</v>
      </c>
      <c r="AC176" s="26">
        <f t="shared" si="175"/>
        <v>3961800</v>
      </c>
      <c r="AD176" s="172"/>
      <c r="AE176" s="17"/>
    </row>
    <row r="177" spans="1:31" s="27" customFormat="1" ht="66" customHeight="1" x14ac:dyDescent="0.25">
      <c r="A177" s="23" t="s">
        <v>378</v>
      </c>
      <c r="B177" s="24" t="str">
        <f>'дод 5'!A108</f>
        <v>7330</v>
      </c>
      <c r="C177" s="23" t="str">
        <f>'дод 5'!B108</f>
        <v>0490</v>
      </c>
      <c r="D177" s="28" t="s">
        <v>428</v>
      </c>
      <c r="E177" s="26">
        <f t="shared" si="173"/>
        <v>0</v>
      </c>
      <c r="F177" s="26"/>
      <c r="G177" s="26"/>
      <c r="H177" s="26"/>
      <c r="I177" s="26"/>
      <c r="J177" s="26"/>
      <c r="K177" s="26"/>
      <c r="L177" s="26"/>
      <c r="M177" s="26"/>
      <c r="N177" s="103"/>
      <c r="O177" s="26">
        <f t="shared" si="174"/>
        <v>105886400</v>
      </c>
      <c r="P177" s="26">
        <f>10086400+90000000+5800000</f>
        <v>105886400</v>
      </c>
      <c r="Q177" s="26"/>
      <c r="R177" s="26"/>
      <c r="S177" s="26"/>
      <c r="T177" s="26">
        <f>10086400+90000000+5800000</f>
        <v>105886400</v>
      </c>
      <c r="U177" s="26">
        <f t="shared" si="135"/>
        <v>99462</v>
      </c>
      <c r="V177" s="26">
        <v>99462</v>
      </c>
      <c r="W177" s="26"/>
      <c r="X177" s="26"/>
      <c r="Y177" s="26"/>
      <c r="Z177" s="26">
        <v>99462</v>
      </c>
      <c r="AA177" s="103">
        <f t="shared" si="139"/>
        <v>9.3932743015155862E-2</v>
      </c>
      <c r="AB177" s="26">
        <f t="shared" si="136"/>
        <v>99462</v>
      </c>
      <c r="AC177" s="26">
        <f t="shared" si="175"/>
        <v>105886400</v>
      </c>
      <c r="AD177" s="172"/>
      <c r="AE177" s="17"/>
    </row>
    <row r="178" spans="1:31" s="27" customFormat="1" ht="29.25" customHeight="1" x14ac:dyDescent="0.25">
      <c r="A178" s="23" t="s">
        <v>119</v>
      </c>
      <c r="B178" s="24" t="str">
        <f>'дод 5'!A121</f>
        <v>7640</v>
      </c>
      <c r="C178" s="23" t="str">
        <f>'дод 5'!B121</f>
        <v>0470</v>
      </c>
      <c r="D178" s="25" t="str">
        <f>'дод 5'!C121</f>
        <v>Заходи з енергозбереження</v>
      </c>
      <c r="E178" s="26">
        <f t="shared" si="162"/>
        <v>2285500</v>
      </c>
      <c r="F178" s="26">
        <v>535500</v>
      </c>
      <c r="G178" s="26"/>
      <c r="H178" s="26"/>
      <c r="I178" s="26">
        <f>1450000+300000</f>
        <v>1750000</v>
      </c>
      <c r="J178" s="26"/>
      <c r="K178" s="26"/>
      <c r="L178" s="26"/>
      <c r="M178" s="26"/>
      <c r="N178" s="103">
        <f t="shared" si="134"/>
        <v>0</v>
      </c>
      <c r="O178" s="26">
        <f t="shared" si="172"/>
        <v>0</v>
      </c>
      <c r="P178" s="26"/>
      <c r="Q178" s="26"/>
      <c r="R178" s="26"/>
      <c r="S178" s="26"/>
      <c r="T178" s="26"/>
      <c r="U178" s="26">
        <f t="shared" si="135"/>
        <v>0</v>
      </c>
      <c r="V178" s="26"/>
      <c r="W178" s="26"/>
      <c r="X178" s="26"/>
      <c r="Y178" s="26"/>
      <c r="Z178" s="26"/>
      <c r="AA178" s="103"/>
      <c r="AB178" s="26">
        <f t="shared" si="136"/>
        <v>0</v>
      </c>
      <c r="AC178" s="26">
        <f t="shared" si="163"/>
        <v>2285500</v>
      </c>
      <c r="AD178" s="172"/>
      <c r="AE178" s="17"/>
    </row>
    <row r="179" spans="1:31" s="31" customFormat="1" ht="47.25" x14ac:dyDescent="0.25">
      <c r="A179" s="14" t="s">
        <v>412</v>
      </c>
      <c r="B179" s="29"/>
      <c r="C179" s="14"/>
      <c r="D179" s="15" t="s">
        <v>414</v>
      </c>
      <c r="E179" s="16">
        <f>E180</f>
        <v>14637100</v>
      </c>
      <c r="F179" s="16">
        <f t="shared" ref="F179:Z179" si="176">F180</f>
        <v>14637100</v>
      </c>
      <c r="G179" s="16">
        <f t="shared" si="176"/>
        <v>11429500</v>
      </c>
      <c r="H179" s="16">
        <f t="shared" si="176"/>
        <v>221100</v>
      </c>
      <c r="I179" s="16">
        <f t="shared" si="176"/>
        <v>0</v>
      </c>
      <c r="J179" s="16">
        <f t="shared" si="176"/>
        <v>2955246.69</v>
      </c>
      <c r="K179" s="16">
        <f t="shared" si="176"/>
        <v>2301135.0299999998</v>
      </c>
      <c r="L179" s="16">
        <f t="shared" si="176"/>
        <v>95322.82</v>
      </c>
      <c r="M179" s="16">
        <f t="shared" si="176"/>
        <v>0</v>
      </c>
      <c r="N179" s="101">
        <f t="shared" si="134"/>
        <v>20.190110677661558</v>
      </c>
      <c r="O179" s="16">
        <f t="shared" si="176"/>
        <v>4100000</v>
      </c>
      <c r="P179" s="16">
        <f t="shared" si="176"/>
        <v>2000000</v>
      </c>
      <c r="Q179" s="16">
        <f t="shared" si="176"/>
        <v>2100000</v>
      </c>
      <c r="R179" s="16">
        <f t="shared" si="176"/>
        <v>0</v>
      </c>
      <c r="S179" s="16">
        <f t="shared" si="176"/>
        <v>0</v>
      </c>
      <c r="T179" s="16">
        <f t="shared" si="176"/>
        <v>2000000</v>
      </c>
      <c r="U179" s="16">
        <f t="shared" si="176"/>
        <v>0</v>
      </c>
      <c r="V179" s="16">
        <f t="shared" si="176"/>
        <v>0</v>
      </c>
      <c r="W179" s="16">
        <f t="shared" si="176"/>
        <v>0</v>
      </c>
      <c r="X179" s="16">
        <f t="shared" si="176"/>
        <v>0</v>
      </c>
      <c r="Y179" s="16">
        <f t="shared" si="176"/>
        <v>0</v>
      </c>
      <c r="Z179" s="16">
        <f t="shared" si="176"/>
        <v>0</v>
      </c>
      <c r="AA179" s="101">
        <f t="shared" si="139"/>
        <v>0</v>
      </c>
      <c r="AB179" s="16">
        <f t="shared" si="136"/>
        <v>2955246.69</v>
      </c>
      <c r="AC179" s="16">
        <f t="shared" ref="AC179" si="177">AC180</f>
        <v>18737100</v>
      </c>
      <c r="AD179" s="172"/>
      <c r="AE179" s="17"/>
    </row>
    <row r="180" spans="1:31" s="31" customFormat="1" ht="47.25" x14ac:dyDescent="0.25">
      <c r="A180" s="18" t="s">
        <v>413</v>
      </c>
      <c r="B180" s="30"/>
      <c r="C180" s="18"/>
      <c r="D180" s="20" t="s">
        <v>414</v>
      </c>
      <c r="E180" s="21">
        <f>E181+E183+E182</f>
        <v>14637100</v>
      </c>
      <c r="F180" s="21">
        <f t="shared" ref="F180:Z180" si="178">F181+F183+F182</f>
        <v>14637100</v>
      </c>
      <c r="G180" s="21">
        <f t="shared" si="178"/>
        <v>11429500</v>
      </c>
      <c r="H180" s="21">
        <f t="shared" si="178"/>
        <v>221100</v>
      </c>
      <c r="I180" s="21">
        <f t="shared" si="178"/>
        <v>0</v>
      </c>
      <c r="J180" s="21">
        <f t="shared" si="178"/>
        <v>2955246.69</v>
      </c>
      <c r="K180" s="21">
        <f t="shared" si="178"/>
        <v>2301135.0299999998</v>
      </c>
      <c r="L180" s="21">
        <f t="shared" si="178"/>
        <v>95322.82</v>
      </c>
      <c r="M180" s="21">
        <f t="shared" ref="M180" si="179">M181+M183+M182</f>
        <v>0</v>
      </c>
      <c r="N180" s="102">
        <f t="shared" si="134"/>
        <v>20.190110677661558</v>
      </c>
      <c r="O180" s="21">
        <f t="shared" si="178"/>
        <v>4100000</v>
      </c>
      <c r="P180" s="21">
        <f t="shared" si="178"/>
        <v>2000000</v>
      </c>
      <c r="Q180" s="21">
        <f t="shared" si="178"/>
        <v>2100000</v>
      </c>
      <c r="R180" s="21">
        <f t="shared" si="178"/>
        <v>0</v>
      </c>
      <c r="S180" s="21">
        <f t="shared" si="178"/>
        <v>0</v>
      </c>
      <c r="T180" s="21">
        <f t="shared" si="178"/>
        <v>2000000</v>
      </c>
      <c r="U180" s="21">
        <f t="shared" si="178"/>
        <v>0</v>
      </c>
      <c r="V180" s="21">
        <f t="shared" si="178"/>
        <v>0</v>
      </c>
      <c r="W180" s="21">
        <f t="shared" si="178"/>
        <v>0</v>
      </c>
      <c r="X180" s="21">
        <f t="shared" si="178"/>
        <v>0</v>
      </c>
      <c r="Y180" s="21">
        <f t="shared" si="178"/>
        <v>0</v>
      </c>
      <c r="Z180" s="21">
        <f t="shared" si="178"/>
        <v>0</v>
      </c>
      <c r="AA180" s="102">
        <f t="shared" si="139"/>
        <v>0</v>
      </c>
      <c r="AB180" s="21">
        <f t="shared" si="136"/>
        <v>2955246.69</v>
      </c>
      <c r="AC180" s="21">
        <f t="shared" ref="AC180" si="180">AC181+AC183+AC182</f>
        <v>18737100</v>
      </c>
      <c r="AD180" s="172"/>
      <c r="AE180" s="17"/>
    </row>
    <row r="181" spans="1:31" s="31" customFormat="1" ht="47.25" x14ac:dyDescent="0.25">
      <c r="A181" s="23" t="s">
        <v>415</v>
      </c>
      <c r="B181" s="24" t="str">
        <f>'дод 5'!A15</f>
        <v>0160</v>
      </c>
      <c r="C181" s="24" t="str">
        <f>'дод 5'!B15</f>
        <v>0111</v>
      </c>
      <c r="D181" s="28" t="str">
        <f>'дод 5'!C15</f>
        <v>Керівництво і управління у відповідній сфері у містах (місті Києві), селищах, селах, територіальних громадах</v>
      </c>
      <c r="E181" s="26">
        <f>F181+I181</f>
        <v>14637100</v>
      </c>
      <c r="F181" s="26">
        <v>14637100</v>
      </c>
      <c r="G181" s="26">
        <v>11429500</v>
      </c>
      <c r="H181" s="26">
        <v>221100</v>
      </c>
      <c r="I181" s="26"/>
      <c r="J181" s="26">
        <v>2955246.69</v>
      </c>
      <c r="K181" s="26">
        <v>2301135.0299999998</v>
      </c>
      <c r="L181" s="26">
        <v>95322.82</v>
      </c>
      <c r="M181" s="26"/>
      <c r="N181" s="103">
        <f t="shared" si="134"/>
        <v>20.190110677661558</v>
      </c>
      <c r="O181" s="26">
        <f>Q181+T181</f>
        <v>0</v>
      </c>
      <c r="P181" s="26"/>
      <c r="Q181" s="26"/>
      <c r="R181" s="26"/>
      <c r="S181" s="26"/>
      <c r="T181" s="26"/>
      <c r="U181" s="26">
        <f t="shared" si="135"/>
        <v>0</v>
      </c>
      <c r="V181" s="26"/>
      <c r="W181" s="26"/>
      <c r="X181" s="26"/>
      <c r="Y181" s="26"/>
      <c r="Z181" s="26"/>
      <c r="AA181" s="103"/>
      <c r="AB181" s="26">
        <f t="shared" si="136"/>
        <v>2955246.69</v>
      </c>
      <c r="AC181" s="26">
        <f>E181+O181</f>
        <v>14637100</v>
      </c>
      <c r="AD181" s="172"/>
      <c r="AE181" s="17"/>
    </row>
    <row r="182" spans="1:31" s="31" customFormat="1" ht="36" customHeight="1" x14ac:dyDescent="0.25">
      <c r="A182" s="23" t="s">
        <v>422</v>
      </c>
      <c r="B182" s="24">
        <v>7351</v>
      </c>
      <c r="C182" s="23" t="s">
        <v>93</v>
      </c>
      <c r="D182" s="28" t="s">
        <v>423</v>
      </c>
      <c r="E182" s="26">
        <f>F182+I182</f>
        <v>0</v>
      </c>
      <c r="F182" s="26"/>
      <c r="G182" s="26"/>
      <c r="H182" s="26"/>
      <c r="I182" s="26"/>
      <c r="J182" s="26"/>
      <c r="K182" s="26"/>
      <c r="L182" s="26"/>
      <c r="M182" s="26"/>
      <c r="N182" s="103"/>
      <c r="O182" s="26">
        <f>Q182+T182</f>
        <v>2000000</v>
      </c>
      <c r="P182" s="26">
        <v>2000000</v>
      </c>
      <c r="Q182" s="26"/>
      <c r="R182" s="26"/>
      <c r="S182" s="26"/>
      <c r="T182" s="26">
        <v>2000000</v>
      </c>
      <c r="U182" s="26">
        <f t="shared" si="135"/>
        <v>0</v>
      </c>
      <c r="V182" s="26"/>
      <c r="W182" s="26"/>
      <c r="X182" s="26"/>
      <c r="Y182" s="26"/>
      <c r="Z182" s="26"/>
      <c r="AA182" s="103">
        <f t="shared" si="139"/>
        <v>0</v>
      </c>
      <c r="AB182" s="26">
        <f t="shared" si="136"/>
        <v>0</v>
      </c>
      <c r="AC182" s="26">
        <f>E182+O182</f>
        <v>2000000</v>
      </c>
      <c r="AD182" s="172"/>
      <c r="AE182" s="17"/>
    </row>
    <row r="183" spans="1:31" s="27" customFormat="1" ht="114.75" customHeight="1" x14ac:dyDescent="0.25">
      <c r="A183" s="23" t="s">
        <v>416</v>
      </c>
      <c r="B183" s="24" t="str">
        <f>'дод 5'!A126</f>
        <v>7691</v>
      </c>
      <c r="C183" s="24" t="str">
        <f>'дод 5'!B126</f>
        <v>0490</v>
      </c>
      <c r="D183" s="28" t="str">
        <f>'дод 5'!C126</f>
        <v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v>
      </c>
      <c r="E183" s="26">
        <f>F183+I183</f>
        <v>0</v>
      </c>
      <c r="F183" s="26"/>
      <c r="G183" s="26"/>
      <c r="H183" s="26"/>
      <c r="I183" s="26"/>
      <c r="J183" s="26"/>
      <c r="K183" s="26"/>
      <c r="L183" s="26"/>
      <c r="M183" s="26"/>
      <c r="N183" s="103"/>
      <c r="O183" s="26">
        <f>Q183+T183</f>
        <v>2100000</v>
      </c>
      <c r="P183" s="26"/>
      <c r="Q183" s="26">
        <v>2100000</v>
      </c>
      <c r="R183" s="26"/>
      <c r="S183" s="26"/>
      <c r="T183" s="26"/>
      <c r="U183" s="26">
        <f t="shared" si="135"/>
        <v>0</v>
      </c>
      <c r="V183" s="26"/>
      <c r="W183" s="26"/>
      <c r="X183" s="26"/>
      <c r="Y183" s="26"/>
      <c r="Z183" s="26"/>
      <c r="AA183" s="103">
        <f t="shared" si="139"/>
        <v>0</v>
      </c>
      <c r="AB183" s="26">
        <f t="shared" si="136"/>
        <v>0</v>
      </c>
      <c r="AC183" s="26">
        <f>E183+O183</f>
        <v>2100000</v>
      </c>
      <c r="AD183" s="172"/>
      <c r="AE183" s="17"/>
    </row>
    <row r="184" spans="1:31" s="17" customFormat="1" ht="44.25" customHeight="1" x14ac:dyDescent="0.25">
      <c r="A184" s="14" t="s">
        <v>171</v>
      </c>
      <c r="B184" s="29"/>
      <c r="C184" s="14"/>
      <c r="D184" s="15" t="s">
        <v>34</v>
      </c>
      <c r="E184" s="16">
        <f>E185</f>
        <v>8371100</v>
      </c>
      <c r="F184" s="16">
        <f t="shared" ref="F184:Z185" si="181">F185</f>
        <v>8371100</v>
      </c>
      <c r="G184" s="16">
        <f t="shared" si="181"/>
        <v>6504300</v>
      </c>
      <c r="H184" s="16">
        <f t="shared" si="181"/>
        <v>118900</v>
      </c>
      <c r="I184" s="16">
        <f t="shared" si="181"/>
        <v>0</v>
      </c>
      <c r="J184" s="16">
        <f t="shared" si="181"/>
        <v>2073735.61</v>
      </c>
      <c r="K184" s="16">
        <f t="shared" si="181"/>
        <v>1660553.48</v>
      </c>
      <c r="L184" s="16">
        <f t="shared" si="181"/>
        <v>18524.830000000002</v>
      </c>
      <c r="M184" s="16">
        <f t="shared" si="181"/>
        <v>0</v>
      </c>
      <c r="N184" s="101">
        <f t="shared" si="134"/>
        <v>24.772558086750845</v>
      </c>
      <c r="O184" s="16">
        <f t="shared" si="181"/>
        <v>0</v>
      </c>
      <c r="P184" s="16">
        <f t="shared" si="181"/>
        <v>0</v>
      </c>
      <c r="Q184" s="16">
        <f t="shared" si="181"/>
        <v>0</v>
      </c>
      <c r="R184" s="16">
        <f t="shared" si="181"/>
        <v>0</v>
      </c>
      <c r="S184" s="16">
        <f t="shared" si="181"/>
        <v>0</v>
      </c>
      <c r="T184" s="16">
        <f t="shared" si="181"/>
        <v>0</v>
      </c>
      <c r="U184" s="16">
        <f t="shared" si="181"/>
        <v>0</v>
      </c>
      <c r="V184" s="16">
        <f t="shared" si="181"/>
        <v>0</v>
      </c>
      <c r="W184" s="16">
        <f t="shared" si="181"/>
        <v>0</v>
      </c>
      <c r="X184" s="16">
        <f t="shared" si="181"/>
        <v>0</v>
      </c>
      <c r="Y184" s="16">
        <f t="shared" si="181"/>
        <v>0</v>
      </c>
      <c r="Z184" s="16">
        <f t="shared" si="181"/>
        <v>0</v>
      </c>
      <c r="AA184" s="101"/>
      <c r="AB184" s="16">
        <f t="shared" si="136"/>
        <v>2073735.61</v>
      </c>
      <c r="AC184" s="16">
        <f t="shared" ref="AC184" si="182">AC185</f>
        <v>8371100</v>
      </c>
      <c r="AD184" s="172"/>
    </row>
    <row r="185" spans="1:31" s="22" customFormat="1" ht="41.25" customHeight="1" x14ac:dyDescent="0.25">
      <c r="A185" s="18" t="s">
        <v>169</v>
      </c>
      <c r="B185" s="30"/>
      <c r="C185" s="18"/>
      <c r="D185" s="20" t="s">
        <v>34</v>
      </c>
      <c r="E185" s="21">
        <f>E186</f>
        <v>8371100</v>
      </c>
      <c r="F185" s="21">
        <f t="shared" si="181"/>
        <v>8371100</v>
      </c>
      <c r="G185" s="21">
        <f t="shared" si="181"/>
        <v>6504300</v>
      </c>
      <c r="H185" s="21">
        <f t="shared" si="181"/>
        <v>118900</v>
      </c>
      <c r="I185" s="21">
        <f t="shared" si="181"/>
        <v>0</v>
      </c>
      <c r="J185" s="21">
        <f t="shared" si="181"/>
        <v>2073735.61</v>
      </c>
      <c r="K185" s="21">
        <f t="shared" si="181"/>
        <v>1660553.48</v>
      </c>
      <c r="L185" s="21">
        <f t="shared" si="181"/>
        <v>18524.830000000002</v>
      </c>
      <c r="M185" s="21">
        <f t="shared" si="181"/>
        <v>0</v>
      </c>
      <c r="N185" s="102">
        <f t="shared" si="134"/>
        <v>24.772558086750845</v>
      </c>
      <c r="O185" s="21">
        <f t="shared" si="181"/>
        <v>0</v>
      </c>
      <c r="P185" s="21">
        <f t="shared" si="181"/>
        <v>0</v>
      </c>
      <c r="Q185" s="21">
        <f t="shared" si="181"/>
        <v>0</v>
      </c>
      <c r="R185" s="21">
        <f t="shared" si="181"/>
        <v>0</v>
      </c>
      <c r="S185" s="21">
        <f t="shared" si="181"/>
        <v>0</v>
      </c>
      <c r="T185" s="21">
        <f t="shared" si="181"/>
        <v>0</v>
      </c>
      <c r="U185" s="21">
        <f t="shared" si="181"/>
        <v>0</v>
      </c>
      <c r="V185" s="21">
        <f t="shared" si="181"/>
        <v>0</v>
      </c>
      <c r="W185" s="21">
        <f t="shared" si="181"/>
        <v>0</v>
      </c>
      <c r="X185" s="21">
        <f t="shared" si="181"/>
        <v>0</v>
      </c>
      <c r="Y185" s="21">
        <f t="shared" si="181"/>
        <v>0</v>
      </c>
      <c r="Z185" s="21">
        <f t="shared" si="181"/>
        <v>0</v>
      </c>
      <c r="AA185" s="102"/>
      <c r="AB185" s="21">
        <f t="shared" si="136"/>
        <v>2073735.61</v>
      </c>
      <c r="AC185" s="21">
        <f t="shared" ref="AC185" si="183">AC186</f>
        <v>8371100</v>
      </c>
      <c r="AD185" s="172"/>
      <c r="AE185" s="17"/>
    </row>
    <row r="186" spans="1:31" s="27" customFormat="1" ht="56.25" customHeight="1" x14ac:dyDescent="0.25">
      <c r="A186" s="23" t="s">
        <v>170</v>
      </c>
      <c r="B186" s="24" t="str">
        <f>'дод 5'!A15</f>
        <v>0160</v>
      </c>
      <c r="C186" s="23" t="str">
        <f>'дод 5'!B15</f>
        <v>0111</v>
      </c>
      <c r="D186" s="25" t="str">
        <f>'дод 5'!C15</f>
        <v>Керівництво і управління у відповідній сфері у містах (місті Києві), селищах, селах, територіальних громадах</v>
      </c>
      <c r="E186" s="26">
        <f>F186+I186</f>
        <v>8371100</v>
      </c>
      <c r="F186" s="26">
        <f>8341100+30000</f>
        <v>8371100</v>
      </c>
      <c r="G186" s="26">
        <v>6504300</v>
      </c>
      <c r="H186" s="26">
        <v>118900</v>
      </c>
      <c r="I186" s="26"/>
      <c r="J186" s="26">
        <v>2073735.61</v>
      </c>
      <c r="K186" s="26">
        <v>1660553.48</v>
      </c>
      <c r="L186" s="26">
        <v>18524.830000000002</v>
      </c>
      <c r="M186" s="26"/>
      <c r="N186" s="103">
        <f t="shared" si="134"/>
        <v>24.772558086750845</v>
      </c>
      <c r="O186" s="26">
        <f>Q186+T186</f>
        <v>0</v>
      </c>
      <c r="P186" s="26"/>
      <c r="Q186" s="26"/>
      <c r="R186" s="26"/>
      <c r="S186" s="26"/>
      <c r="T186" s="26"/>
      <c r="U186" s="26">
        <f t="shared" si="135"/>
        <v>0</v>
      </c>
      <c r="V186" s="26"/>
      <c r="W186" s="26"/>
      <c r="X186" s="26"/>
      <c r="Y186" s="26"/>
      <c r="Z186" s="26"/>
      <c r="AA186" s="103"/>
      <c r="AB186" s="26">
        <f t="shared" si="136"/>
        <v>2073735.61</v>
      </c>
      <c r="AC186" s="26">
        <f>E186+O186</f>
        <v>8371100</v>
      </c>
      <c r="AD186" s="172"/>
      <c r="AE186" s="17"/>
    </row>
    <row r="187" spans="1:31" s="17" customFormat="1" ht="31.5" x14ac:dyDescent="0.25">
      <c r="A187" s="14" t="s">
        <v>323</v>
      </c>
      <c r="B187" s="29"/>
      <c r="C187" s="14"/>
      <c r="D187" s="15" t="s">
        <v>314</v>
      </c>
      <c r="E187" s="16">
        <f>E188</f>
        <v>24272200</v>
      </c>
      <c r="F187" s="16">
        <f t="shared" ref="F187:Z187" si="184">F188</f>
        <v>23672200</v>
      </c>
      <c r="G187" s="16">
        <f t="shared" si="184"/>
        <v>18687900</v>
      </c>
      <c r="H187" s="16">
        <f t="shared" si="184"/>
        <v>274600</v>
      </c>
      <c r="I187" s="16">
        <f t="shared" si="184"/>
        <v>600000</v>
      </c>
      <c r="J187" s="16">
        <f t="shared" si="184"/>
        <v>5449482.4100000001</v>
      </c>
      <c r="K187" s="16">
        <f t="shared" si="184"/>
        <v>4338408.1399999997</v>
      </c>
      <c r="L187" s="16">
        <f t="shared" si="184"/>
        <v>105053.57</v>
      </c>
      <c r="M187" s="16">
        <f t="shared" si="184"/>
        <v>0</v>
      </c>
      <c r="N187" s="101">
        <f t="shared" si="134"/>
        <v>22.451538838671404</v>
      </c>
      <c r="O187" s="16">
        <f t="shared" si="184"/>
        <v>0</v>
      </c>
      <c r="P187" s="16">
        <f t="shared" si="184"/>
        <v>0</v>
      </c>
      <c r="Q187" s="16">
        <f t="shared" si="184"/>
        <v>0</v>
      </c>
      <c r="R187" s="16">
        <f t="shared" si="184"/>
        <v>0</v>
      </c>
      <c r="S187" s="16">
        <f t="shared" si="184"/>
        <v>0</v>
      </c>
      <c r="T187" s="16">
        <f t="shared" si="184"/>
        <v>0</v>
      </c>
      <c r="U187" s="16">
        <f t="shared" si="184"/>
        <v>0</v>
      </c>
      <c r="V187" s="16">
        <f t="shared" si="184"/>
        <v>0</v>
      </c>
      <c r="W187" s="16">
        <f t="shared" si="184"/>
        <v>0</v>
      </c>
      <c r="X187" s="16">
        <f t="shared" si="184"/>
        <v>0</v>
      </c>
      <c r="Y187" s="16">
        <f t="shared" si="184"/>
        <v>0</v>
      </c>
      <c r="Z187" s="16">
        <f t="shared" si="184"/>
        <v>0</v>
      </c>
      <c r="AA187" s="101"/>
      <c r="AB187" s="16">
        <f t="shared" si="136"/>
        <v>5449482.4100000001</v>
      </c>
      <c r="AC187" s="16">
        <f t="shared" ref="AC187" si="185">AC188</f>
        <v>24272200</v>
      </c>
      <c r="AD187" s="172"/>
    </row>
    <row r="188" spans="1:31" s="22" customFormat="1" ht="31.5" x14ac:dyDescent="0.25">
      <c r="A188" s="18" t="s">
        <v>325</v>
      </c>
      <c r="B188" s="30"/>
      <c r="C188" s="18"/>
      <c r="D188" s="20" t="s">
        <v>314</v>
      </c>
      <c r="E188" s="21">
        <f>E189+E190</f>
        <v>24272200</v>
      </c>
      <c r="F188" s="21">
        <f t="shared" ref="F188:Z188" si="186">F189+F190</f>
        <v>23672200</v>
      </c>
      <c r="G188" s="21">
        <f t="shared" si="186"/>
        <v>18687900</v>
      </c>
      <c r="H188" s="21">
        <f t="shared" si="186"/>
        <v>274600</v>
      </c>
      <c r="I188" s="21">
        <f t="shared" si="186"/>
        <v>600000</v>
      </c>
      <c r="J188" s="21">
        <f t="shared" si="186"/>
        <v>5449482.4100000001</v>
      </c>
      <c r="K188" s="21">
        <f t="shared" si="186"/>
        <v>4338408.1399999997</v>
      </c>
      <c r="L188" s="21">
        <f t="shared" si="186"/>
        <v>105053.57</v>
      </c>
      <c r="M188" s="21">
        <f t="shared" ref="M188" si="187">M189+M190</f>
        <v>0</v>
      </c>
      <c r="N188" s="102">
        <f t="shared" si="134"/>
        <v>22.451538838671404</v>
      </c>
      <c r="O188" s="21">
        <f t="shared" si="186"/>
        <v>0</v>
      </c>
      <c r="P188" s="21">
        <f t="shared" si="186"/>
        <v>0</v>
      </c>
      <c r="Q188" s="21">
        <f t="shared" si="186"/>
        <v>0</v>
      </c>
      <c r="R188" s="21">
        <f t="shared" si="186"/>
        <v>0</v>
      </c>
      <c r="S188" s="21">
        <f t="shared" si="186"/>
        <v>0</v>
      </c>
      <c r="T188" s="21">
        <f t="shared" si="186"/>
        <v>0</v>
      </c>
      <c r="U188" s="21">
        <f t="shared" si="186"/>
        <v>0</v>
      </c>
      <c r="V188" s="21">
        <f t="shared" si="186"/>
        <v>0</v>
      </c>
      <c r="W188" s="21">
        <f t="shared" si="186"/>
        <v>0</v>
      </c>
      <c r="X188" s="21">
        <f t="shared" si="186"/>
        <v>0</v>
      </c>
      <c r="Y188" s="21">
        <f t="shared" si="186"/>
        <v>0</v>
      </c>
      <c r="Z188" s="21">
        <f t="shared" si="186"/>
        <v>0</v>
      </c>
      <c r="AA188" s="102"/>
      <c r="AB188" s="21">
        <f t="shared" si="136"/>
        <v>5449482.4100000001</v>
      </c>
      <c r="AC188" s="21">
        <f t="shared" ref="AC188" si="188">AC189+AC190</f>
        <v>24272200</v>
      </c>
      <c r="AD188" s="172"/>
      <c r="AE188" s="17"/>
    </row>
    <row r="189" spans="1:31" s="27" customFormat="1" ht="47.25" x14ac:dyDescent="0.25">
      <c r="A189" s="23" t="s">
        <v>324</v>
      </c>
      <c r="B189" s="24" t="str">
        <f>'дод 5'!A15</f>
        <v>0160</v>
      </c>
      <c r="C189" s="23" t="str">
        <f>'дод 5'!B15</f>
        <v>0111</v>
      </c>
      <c r="D189" s="25" t="str">
        <f>'дод 5'!C15</f>
        <v>Керівництво і управління у відповідній сфері у містах (місті Києві), селищах, селах, територіальних громадах</v>
      </c>
      <c r="E189" s="26">
        <f>F189+I189</f>
        <v>23642200</v>
      </c>
      <c r="F189" s="26">
        <f>23582200+60000</f>
        <v>23642200</v>
      </c>
      <c r="G189" s="26">
        <v>18687900</v>
      </c>
      <c r="H189" s="26">
        <v>274600</v>
      </c>
      <c r="I189" s="26"/>
      <c r="J189" s="26">
        <v>5449482.4100000001</v>
      </c>
      <c r="K189" s="26">
        <v>4338408.1399999997</v>
      </c>
      <c r="L189" s="26">
        <v>105053.57</v>
      </c>
      <c r="M189" s="26"/>
      <c r="N189" s="103">
        <f t="shared" si="134"/>
        <v>23.04981097359806</v>
      </c>
      <c r="O189" s="26">
        <f>Q189+T189</f>
        <v>0</v>
      </c>
      <c r="P189" s="26">
        <f>8000-8000</f>
        <v>0</v>
      </c>
      <c r="Q189" s="26"/>
      <c r="R189" s="26"/>
      <c r="S189" s="26"/>
      <c r="T189" s="26">
        <f>8000-8000</f>
        <v>0</v>
      </c>
      <c r="U189" s="26">
        <f t="shared" si="135"/>
        <v>0</v>
      </c>
      <c r="V189" s="26"/>
      <c r="W189" s="26"/>
      <c r="X189" s="26"/>
      <c r="Y189" s="26"/>
      <c r="Z189" s="26"/>
      <c r="AA189" s="103"/>
      <c r="AB189" s="26">
        <f t="shared" si="136"/>
        <v>5449482.4100000001</v>
      </c>
      <c r="AC189" s="26">
        <f>E189+O189</f>
        <v>23642200</v>
      </c>
      <c r="AD189" s="172"/>
      <c r="AE189" s="17"/>
    </row>
    <row r="190" spans="1:31" s="27" customFormat="1" ht="40.5" customHeight="1" x14ac:dyDescent="0.25">
      <c r="A190" s="23" t="s">
        <v>326</v>
      </c>
      <c r="B190" s="24" t="str">
        <f>'дод 5'!A120</f>
        <v>7610</v>
      </c>
      <c r="C190" s="23" t="str">
        <f>'дод 5'!B120</f>
        <v>0411</v>
      </c>
      <c r="D190" s="28" t="str">
        <f>'дод 5'!C120</f>
        <v>Сприяння розвитку малого та середнього підприємництва</v>
      </c>
      <c r="E190" s="26">
        <f>F190+I190</f>
        <v>630000</v>
      </c>
      <c r="F190" s="26">
        <v>30000</v>
      </c>
      <c r="G190" s="26"/>
      <c r="H190" s="26"/>
      <c r="I190" s="26">
        <v>600000</v>
      </c>
      <c r="J190" s="26"/>
      <c r="K190" s="26"/>
      <c r="L190" s="26"/>
      <c r="M190" s="26"/>
      <c r="N190" s="103">
        <f t="shared" si="134"/>
        <v>0</v>
      </c>
      <c r="O190" s="26">
        <f>Q190+T190</f>
        <v>0</v>
      </c>
      <c r="P190" s="26">
        <f>8000-8000</f>
        <v>0</v>
      </c>
      <c r="Q190" s="26"/>
      <c r="R190" s="26"/>
      <c r="S190" s="26"/>
      <c r="T190" s="26">
        <f>8000-8000</f>
        <v>0</v>
      </c>
      <c r="U190" s="26">
        <f t="shared" si="135"/>
        <v>0</v>
      </c>
      <c r="V190" s="26"/>
      <c r="W190" s="26"/>
      <c r="X190" s="26"/>
      <c r="Y190" s="26"/>
      <c r="Z190" s="26"/>
      <c r="AA190" s="103"/>
      <c r="AB190" s="26">
        <f t="shared" si="136"/>
        <v>0</v>
      </c>
      <c r="AC190" s="26">
        <f>E190+O190</f>
        <v>630000</v>
      </c>
      <c r="AD190" s="172"/>
      <c r="AE190" s="17"/>
    </row>
    <row r="191" spans="1:31" s="27" customFormat="1" ht="36" customHeight="1" x14ac:dyDescent="0.25">
      <c r="A191" s="14" t="s">
        <v>463</v>
      </c>
      <c r="B191" s="29"/>
      <c r="C191" s="14"/>
      <c r="D191" s="15" t="s">
        <v>465</v>
      </c>
      <c r="E191" s="16">
        <f>E192</f>
        <v>21564380</v>
      </c>
      <c r="F191" s="16">
        <f t="shared" ref="F191:Z191" si="189">F192</f>
        <v>21564380</v>
      </c>
      <c r="G191" s="16">
        <f t="shared" si="189"/>
        <v>16648900</v>
      </c>
      <c r="H191" s="16">
        <f t="shared" si="189"/>
        <v>198200</v>
      </c>
      <c r="I191" s="16">
        <f t="shared" si="189"/>
        <v>0</v>
      </c>
      <c r="J191" s="16">
        <f t="shared" si="189"/>
        <v>3205706.12</v>
      </c>
      <c r="K191" s="16">
        <f t="shared" si="189"/>
        <v>2515996.7400000002</v>
      </c>
      <c r="L191" s="16">
        <f t="shared" si="189"/>
        <v>44209.9</v>
      </c>
      <c r="M191" s="16">
        <f t="shared" si="189"/>
        <v>0</v>
      </c>
      <c r="N191" s="101">
        <f t="shared" si="134"/>
        <v>14.865746754601803</v>
      </c>
      <c r="O191" s="16">
        <f t="shared" si="189"/>
        <v>0</v>
      </c>
      <c r="P191" s="16">
        <f t="shared" si="189"/>
        <v>0</v>
      </c>
      <c r="Q191" s="16">
        <f t="shared" si="189"/>
        <v>0</v>
      </c>
      <c r="R191" s="16">
        <f t="shared" si="189"/>
        <v>0</v>
      </c>
      <c r="S191" s="16">
        <f t="shared" si="189"/>
        <v>0</v>
      </c>
      <c r="T191" s="16">
        <f t="shared" si="189"/>
        <v>0</v>
      </c>
      <c r="U191" s="16">
        <f t="shared" si="189"/>
        <v>0</v>
      </c>
      <c r="V191" s="16">
        <f t="shared" si="189"/>
        <v>0</v>
      </c>
      <c r="W191" s="16">
        <f t="shared" si="189"/>
        <v>0</v>
      </c>
      <c r="X191" s="16">
        <f t="shared" si="189"/>
        <v>0</v>
      </c>
      <c r="Y191" s="16">
        <f t="shared" si="189"/>
        <v>0</v>
      </c>
      <c r="Z191" s="16">
        <f t="shared" si="189"/>
        <v>0</v>
      </c>
      <c r="AA191" s="101"/>
      <c r="AB191" s="16">
        <f t="shared" si="136"/>
        <v>3205706.12</v>
      </c>
      <c r="AC191" s="16">
        <f>AC192</f>
        <v>21564380</v>
      </c>
      <c r="AD191" s="172"/>
      <c r="AE191" s="17"/>
    </row>
    <row r="192" spans="1:31" s="27" customFormat="1" ht="36" customHeight="1" x14ac:dyDescent="0.25">
      <c r="A192" s="18" t="s">
        <v>464</v>
      </c>
      <c r="B192" s="30"/>
      <c r="C192" s="18"/>
      <c r="D192" s="20" t="s">
        <v>465</v>
      </c>
      <c r="E192" s="21">
        <f>E193+E194</f>
        <v>21564380</v>
      </c>
      <c r="F192" s="21">
        <f t="shared" ref="F192:Z192" si="190">F193+F194</f>
        <v>21564380</v>
      </c>
      <c r="G192" s="21">
        <f t="shared" si="190"/>
        <v>16648900</v>
      </c>
      <c r="H192" s="21">
        <f t="shared" si="190"/>
        <v>198200</v>
      </c>
      <c r="I192" s="21">
        <f t="shared" si="190"/>
        <v>0</v>
      </c>
      <c r="J192" s="21">
        <f t="shared" si="190"/>
        <v>3205706.12</v>
      </c>
      <c r="K192" s="21">
        <f t="shared" si="190"/>
        <v>2515996.7400000002</v>
      </c>
      <c r="L192" s="21">
        <f t="shared" si="190"/>
        <v>44209.9</v>
      </c>
      <c r="M192" s="21">
        <f t="shared" ref="M192" si="191">M193+M194</f>
        <v>0</v>
      </c>
      <c r="N192" s="102">
        <f t="shared" si="134"/>
        <v>14.865746754601803</v>
      </c>
      <c r="O192" s="21">
        <f t="shared" si="190"/>
        <v>0</v>
      </c>
      <c r="P192" s="21">
        <f t="shared" si="190"/>
        <v>0</v>
      </c>
      <c r="Q192" s="21">
        <f t="shared" si="190"/>
        <v>0</v>
      </c>
      <c r="R192" s="21">
        <f t="shared" si="190"/>
        <v>0</v>
      </c>
      <c r="S192" s="21">
        <f t="shared" si="190"/>
        <v>0</v>
      </c>
      <c r="T192" s="21">
        <f t="shared" si="190"/>
        <v>0</v>
      </c>
      <c r="U192" s="21">
        <f t="shared" si="190"/>
        <v>0</v>
      </c>
      <c r="V192" s="21">
        <f t="shared" si="190"/>
        <v>0</v>
      </c>
      <c r="W192" s="21">
        <f t="shared" si="190"/>
        <v>0</v>
      </c>
      <c r="X192" s="21">
        <f t="shared" si="190"/>
        <v>0</v>
      </c>
      <c r="Y192" s="21">
        <f t="shared" si="190"/>
        <v>0</v>
      </c>
      <c r="Z192" s="21">
        <f t="shared" si="190"/>
        <v>0</v>
      </c>
      <c r="AA192" s="102"/>
      <c r="AB192" s="21">
        <f t="shared" si="136"/>
        <v>3205706.12</v>
      </c>
      <c r="AC192" s="21">
        <f t="shared" ref="AC192" si="192">AC193+AC194</f>
        <v>21564380</v>
      </c>
      <c r="AD192" s="172"/>
      <c r="AE192" s="17"/>
    </row>
    <row r="193" spans="1:31" s="27" customFormat="1" ht="47.25" x14ac:dyDescent="0.25">
      <c r="A193" s="23" t="s">
        <v>466</v>
      </c>
      <c r="B193" s="24" t="str">
        <f t="shared" ref="B193:D194" si="193">B197</f>
        <v>0160</v>
      </c>
      <c r="C193" s="23" t="str">
        <f t="shared" si="193"/>
        <v>0111</v>
      </c>
      <c r="D193" s="25" t="str">
        <f t="shared" si="193"/>
        <v>Керівництво і управління у відповідній сфері у містах (місті Києві), селищах, селах, територіальних громадах</v>
      </c>
      <c r="E193" s="26">
        <f t="shared" ref="E193:E194" si="194">F193+I193</f>
        <v>21114380</v>
      </c>
      <c r="F193" s="26">
        <v>21114380</v>
      </c>
      <c r="G193" s="26">
        <v>16648900</v>
      </c>
      <c r="H193" s="26">
        <v>198200</v>
      </c>
      <c r="I193" s="26"/>
      <c r="J193" s="26">
        <v>3198251.4</v>
      </c>
      <c r="K193" s="26">
        <v>2515996.7400000002</v>
      </c>
      <c r="L193" s="26">
        <v>44209.9</v>
      </c>
      <c r="M193" s="26"/>
      <c r="N193" s="103">
        <f t="shared" si="134"/>
        <v>15.147266460109176</v>
      </c>
      <c r="O193" s="26">
        <f>Q193+T193</f>
        <v>0</v>
      </c>
      <c r="P193" s="26"/>
      <c r="Q193" s="26"/>
      <c r="R193" s="26"/>
      <c r="S193" s="26"/>
      <c r="T193" s="26"/>
      <c r="U193" s="26">
        <f t="shared" si="135"/>
        <v>0</v>
      </c>
      <c r="V193" s="26"/>
      <c r="W193" s="26"/>
      <c r="X193" s="26"/>
      <c r="Y193" s="26"/>
      <c r="Z193" s="26"/>
      <c r="AA193" s="103"/>
      <c r="AB193" s="26">
        <f t="shared" si="136"/>
        <v>3198251.4</v>
      </c>
      <c r="AC193" s="26">
        <f t="shared" ref="AC193:AC194" si="195">E193+O193</f>
        <v>21114380</v>
      </c>
      <c r="AD193" s="172"/>
      <c r="AE193" s="17"/>
    </row>
    <row r="194" spans="1:31" s="27" customFormat="1" ht="32.25" customHeight="1" x14ac:dyDescent="0.25">
      <c r="A194" s="23" t="s">
        <v>467</v>
      </c>
      <c r="B194" s="24" t="str">
        <f t="shared" si="193"/>
        <v>7693</v>
      </c>
      <c r="C194" s="23" t="str">
        <f t="shared" si="193"/>
        <v>0490</v>
      </c>
      <c r="D194" s="25" t="str">
        <f t="shared" si="193"/>
        <v>Інші заходи, пов'язані з економічною діяльністю</v>
      </c>
      <c r="E194" s="26">
        <f t="shared" si="194"/>
        <v>450000</v>
      </c>
      <c r="F194" s="26">
        <v>450000</v>
      </c>
      <c r="G194" s="26"/>
      <c r="H194" s="26"/>
      <c r="I194" s="26"/>
      <c r="J194" s="26">
        <v>7454.72</v>
      </c>
      <c r="K194" s="26"/>
      <c r="L194" s="26"/>
      <c r="M194" s="26"/>
      <c r="N194" s="103">
        <f t="shared" si="134"/>
        <v>1.6566044444444445</v>
      </c>
      <c r="O194" s="26">
        <f t="shared" ref="O194" si="196">Q194+T194</f>
        <v>0</v>
      </c>
      <c r="P194" s="26"/>
      <c r="Q194" s="26"/>
      <c r="R194" s="26"/>
      <c r="S194" s="26"/>
      <c r="T194" s="26"/>
      <c r="U194" s="26">
        <f t="shared" si="135"/>
        <v>0</v>
      </c>
      <c r="V194" s="26"/>
      <c r="W194" s="26"/>
      <c r="X194" s="26"/>
      <c r="Y194" s="26"/>
      <c r="Z194" s="26"/>
      <c r="AA194" s="103"/>
      <c r="AB194" s="26">
        <f t="shared" si="136"/>
        <v>7454.72</v>
      </c>
      <c r="AC194" s="26">
        <f t="shared" si="195"/>
        <v>450000</v>
      </c>
      <c r="AD194" s="172"/>
      <c r="AE194" s="17"/>
    </row>
    <row r="195" spans="1:31" s="17" customFormat="1" ht="36" customHeight="1" x14ac:dyDescent="0.25">
      <c r="A195" s="14" t="s">
        <v>424</v>
      </c>
      <c r="B195" s="29"/>
      <c r="C195" s="14"/>
      <c r="D195" s="15" t="s">
        <v>318</v>
      </c>
      <c r="E195" s="16">
        <f>E196</f>
        <v>1674920</v>
      </c>
      <c r="F195" s="16">
        <f t="shared" ref="F195:Z195" si="197">F196</f>
        <v>1674920</v>
      </c>
      <c r="G195" s="16">
        <f t="shared" si="197"/>
        <v>1300000</v>
      </c>
      <c r="H195" s="16">
        <f t="shared" si="197"/>
        <v>39000</v>
      </c>
      <c r="I195" s="16">
        <f t="shared" si="197"/>
        <v>0</v>
      </c>
      <c r="J195" s="16">
        <f t="shared" si="197"/>
        <v>961285.9</v>
      </c>
      <c r="K195" s="16">
        <f t="shared" si="197"/>
        <v>786248.12</v>
      </c>
      <c r="L195" s="16">
        <f t="shared" si="197"/>
        <v>0</v>
      </c>
      <c r="M195" s="16">
        <f t="shared" si="197"/>
        <v>0</v>
      </c>
      <c r="N195" s="101">
        <f t="shared" si="134"/>
        <v>57.392944140615676</v>
      </c>
      <c r="O195" s="16">
        <f t="shared" si="197"/>
        <v>0</v>
      </c>
      <c r="P195" s="16">
        <f t="shared" si="197"/>
        <v>0</v>
      </c>
      <c r="Q195" s="16">
        <f t="shared" si="197"/>
        <v>0</v>
      </c>
      <c r="R195" s="16">
        <f t="shared" si="197"/>
        <v>0</v>
      </c>
      <c r="S195" s="16">
        <f t="shared" si="197"/>
        <v>0</v>
      </c>
      <c r="T195" s="16">
        <f t="shared" si="197"/>
        <v>0</v>
      </c>
      <c r="U195" s="16">
        <f t="shared" si="197"/>
        <v>0</v>
      </c>
      <c r="V195" s="16">
        <f t="shared" si="197"/>
        <v>0</v>
      </c>
      <c r="W195" s="16">
        <f t="shared" si="197"/>
        <v>0</v>
      </c>
      <c r="X195" s="16">
        <f t="shared" si="197"/>
        <v>0</v>
      </c>
      <c r="Y195" s="16">
        <f t="shared" si="197"/>
        <v>0</v>
      </c>
      <c r="Z195" s="16">
        <f t="shared" si="197"/>
        <v>0</v>
      </c>
      <c r="AA195" s="101"/>
      <c r="AB195" s="16">
        <f t="shared" si="136"/>
        <v>961285.9</v>
      </c>
      <c r="AC195" s="16">
        <f>AC196</f>
        <v>1674920</v>
      </c>
      <c r="AD195" s="172"/>
    </row>
    <row r="196" spans="1:31" s="22" customFormat="1" ht="36" customHeight="1" x14ac:dyDescent="0.25">
      <c r="A196" s="18" t="s">
        <v>425</v>
      </c>
      <c r="B196" s="30"/>
      <c r="C196" s="18"/>
      <c r="D196" s="20" t="s">
        <v>318</v>
      </c>
      <c r="E196" s="21">
        <f>E197+E198</f>
        <v>1674920</v>
      </c>
      <c r="F196" s="21">
        <f t="shared" ref="F196:Z196" si="198">F197+F198</f>
        <v>1674920</v>
      </c>
      <c r="G196" s="21">
        <f t="shared" si="198"/>
        <v>1300000</v>
      </c>
      <c r="H196" s="21">
        <f t="shared" si="198"/>
        <v>39000</v>
      </c>
      <c r="I196" s="21">
        <f t="shared" si="198"/>
        <v>0</v>
      </c>
      <c r="J196" s="21">
        <f t="shared" si="198"/>
        <v>961285.9</v>
      </c>
      <c r="K196" s="21">
        <f t="shared" si="198"/>
        <v>786248.12</v>
      </c>
      <c r="L196" s="21">
        <f t="shared" si="198"/>
        <v>0</v>
      </c>
      <c r="M196" s="21">
        <f t="shared" ref="M196" si="199">M197+M198</f>
        <v>0</v>
      </c>
      <c r="N196" s="102">
        <f t="shared" si="134"/>
        <v>57.392944140615676</v>
      </c>
      <c r="O196" s="21">
        <f t="shared" si="198"/>
        <v>0</v>
      </c>
      <c r="P196" s="21">
        <f t="shared" si="198"/>
        <v>0</v>
      </c>
      <c r="Q196" s="21">
        <f t="shared" si="198"/>
        <v>0</v>
      </c>
      <c r="R196" s="21">
        <f t="shared" si="198"/>
        <v>0</v>
      </c>
      <c r="S196" s="21">
        <f t="shared" si="198"/>
        <v>0</v>
      </c>
      <c r="T196" s="21">
        <f t="shared" si="198"/>
        <v>0</v>
      </c>
      <c r="U196" s="21">
        <f t="shared" si="198"/>
        <v>0</v>
      </c>
      <c r="V196" s="21">
        <f t="shared" si="198"/>
        <v>0</v>
      </c>
      <c r="W196" s="21">
        <f t="shared" si="198"/>
        <v>0</v>
      </c>
      <c r="X196" s="21">
        <f t="shared" si="198"/>
        <v>0</v>
      </c>
      <c r="Y196" s="21">
        <f t="shared" si="198"/>
        <v>0</v>
      </c>
      <c r="Z196" s="21">
        <f t="shared" si="198"/>
        <v>0</v>
      </c>
      <c r="AA196" s="102"/>
      <c r="AB196" s="21">
        <f t="shared" si="136"/>
        <v>961285.9</v>
      </c>
      <c r="AC196" s="21">
        <f t="shared" ref="AC196" si="200">AC197+AC198</f>
        <v>1674920</v>
      </c>
      <c r="AD196" s="172"/>
      <c r="AE196" s="17"/>
    </row>
    <row r="197" spans="1:31" s="27" customFormat="1" ht="47.25" x14ac:dyDescent="0.25">
      <c r="A197" s="23" t="s">
        <v>447</v>
      </c>
      <c r="B197" s="24" t="str">
        <f>'дод 5'!A15</f>
        <v>0160</v>
      </c>
      <c r="C197" s="23" t="str">
        <f>'дод 5'!B15</f>
        <v>0111</v>
      </c>
      <c r="D197" s="25" t="str">
        <f>'дод 5'!C15</f>
        <v>Керівництво і управління у відповідній сфері у містах (місті Києві), селищах, селах, територіальних громадах</v>
      </c>
      <c r="E197" s="26">
        <f t="shared" ref="E197:E198" si="201">F197+I197</f>
        <v>1674920</v>
      </c>
      <c r="F197" s="26">
        <f>22789300-21114380</f>
        <v>1674920</v>
      </c>
      <c r="G197" s="26">
        <f>17948900-16648900</f>
        <v>1300000</v>
      </c>
      <c r="H197" s="26">
        <f>237200-198200</f>
        <v>39000</v>
      </c>
      <c r="I197" s="26"/>
      <c r="J197" s="26">
        <v>961285.9</v>
      </c>
      <c r="K197" s="26">
        <v>786248.12</v>
      </c>
      <c r="L197" s="26">
        <v>0</v>
      </c>
      <c r="M197" s="26"/>
      <c r="N197" s="103">
        <f t="shared" si="134"/>
        <v>57.392944140615676</v>
      </c>
      <c r="O197" s="26">
        <f>Q197+T197</f>
        <v>0</v>
      </c>
      <c r="P197" s="26"/>
      <c r="Q197" s="26"/>
      <c r="R197" s="26"/>
      <c r="S197" s="26"/>
      <c r="T197" s="26"/>
      <c r="U197" s="26">
        <f t="shared" si="135"/>
        <v>0</v>
      </c>
      <c r="V197" s="26"/>
      <c r="W197" s="26"/>
      <c r="X197" s="26"/>
      <c r="Y197" s="26"/>
      <c r="Z197" s="26"/>
      <c r="AA197" s="103"/>
      <c r="AB197" s="26">
        <f t="shared" si="136"/>
        <v>961285.9</v>
      </c>
      <c r="AC197" s="26">
        <f t="shared" ref="AC197:AC198" si="202">E197+O197</f>
        <v>1674920</v>
      </c>
      <c r="AD197" s="172"/>
      <c r="AE197" s="17"/>
    </row>
    <row r="198" spans="1:31" s="27" customFormat="1" ht="22.5" hidden="1" customHeight="1" x14ac:dyDescent="0.25">
      <c r="A198" s="23" t="s">
        <v>448</v>
      </c>
      <c r="B198" s="24" t="str">
        <f>'дод 5'!A127</f>
        <v>7693</v>
      </c>
      <c r="C198" s="23" t="str">
        <f>'дод 5'!B127</f>
        <v>0490</v>
      </c>
      <c r="D198" s="25" t="str">
        <f>'дод 5'!C127</f>
        <v>Інші заходи, пов'язані з економічною діяльністю</v>
      </c>
      <c r="E198" s="26">
        <f t="shared" si="201"/>
        <v>0</v>
      </c>
      <c r="F198" s="26">
        <f>450000-450000</f>
        <v>0</v>
      </c>
      <c r="G198" s="26"/>
      <c r="H198" s="26"/>
      <c r="I198" s="26"/>
      <c r="J198" s="26"/>
      <c r="K198" s="26"/>
      <c r="L198" s="26"/>
      <c r="M198" s="26"/>
      <c r="N198" s="103" t="e">
        <f t="shared" si="134"/>
        <v>#DIV/0!</v>
      </c>
      <c r="O198" s="26">
        <f t="shared" ref="O198" si="203">Q198+T198</f>
        <v>0</v>
      </c>
      <c r="P198" s="26"/>
      <c r="Q198" s="26"/>
      <c r="R198" s="26"/>
      <c r="S198" s="26"/>
      <c r="T198" s="26"/>
      <c r="U198" s="26">
        <f t="shared" si="135"/>
        <v>0</v>
      </c>
      <c r="V198" s="26"/>
      <c r="W198" s="26"/>
      <c r="X198" s="26"/>
      <c r="Y198" s="26"/>
      <c r="Z198" s="26"/>
      <c r="AA198" s="103" t="e">
        <f t="shared" si="139"/>
        <v>#DIV/0!</v>
      </c>
      <c r="AB198" s="26">
        <f t="shared" si="136"/>
        <v>0</v>
      </c>
      <c r="AC198" s="26">
        <f t="shared" si="202"/>
        <v>0</v>
      </c>
      <c r="AD198" s="145"/>
      <c r="AE198" s="17"/>
    </row>
    <row r="199" spans="1:31" s="17" customFormat="1" ht="36.75" customHeight="1" x14ac:dyDescent="0.25">
      <c r="A199" s="14" t="s">
        <v>315</v>
      </c>
      <c r="B199" s="29"/>
      <c r="C199" s="14"/>
      <c r="D199" s="15" t="s">
        <v>33</v>
      </c>
      <c r="E199" s="16">
        <f>E200</f>
        <v>24968100</v>
      </c>
      <c r="F199" s="16">
        <f t="shared" ref="F199:Z199" si="204">F200</f>
        <v>23668100</v>
      </c>
      <c r="G199" s="16">
        <f t="shared" si="204"/>
        <v>16826900</v>
      </c>
      <c r="H199" s="16">
        <f t="shared" si="204"/>
        <v>610600</v>
      </c>
      <c r="I199" s="16">
        <f t="shared" si="204"/>
        <v>1300000</v>
      </c>
      <c r="J199" s="16">
        <f t="shared" si="204"/>
        <v>5980250.1999999993</v>
      </c>
      <c r="K199" s="16">
        <f t="shared" si="204"/>
        <v>4474835.87</v>
      </c>
      <c r="L199" s="16">
        <f t="shared" si="204"/>
        <v>164940.98000000001</v>
      </c>
      <c r="M199" s="16">
        <f t="shared" si="204"/>
        <v>0</v>
      </c>
      <c r="N199" s="101">
        <f t="shared" si="134"/>
        <v>23.951562994380826</v>
      </c>
      <c r="O199" s="16">
        <f t="shared" si="204"/>
        <v>100000</v>
      </c>
      <c r="P199" s="16">
        <f t="shared" si="204"/>
        <v>100000</v>
      </c>
      <c r="Q199" s="16">
        <f t="shared" si="204"/>
        <v>0</v>
      </c>
      <c r="R199" s="16">
        <f t="shared" si="204"/>
        <v>0</v>
      </c>
      <c r="S199" s="16">
        <f t="shared" si="204"/>
        <v>0</v>
      </c>
      <c r="T199" s="16">
        <f t="shared" si="204"/>
        <v>100000</v>
      </c>
      <c r="U199" s="16">
        <f t="shared" si="204"/>
        <v>10000</v>
      </c>
      <c r="V199" s="16">
        <f t="shared" si="204"/>
        <v>10000</v>
      </c>
      <c r="W199" s="16">
        <f t="shared" si="204"/>
        <v>0</v>
      </c>
      <c r="X199" s="16">
        <f t="shared" si="204"/>
        <v>0</v>
      </c>
      <c r="Y199" s="16">
        <f t="shared" si="204"/>
        <v>0</v>
      </c>
      <c r="Z199" s="16">
        <f t="shared" si="204"/>
        <v>10000</v>
      </c>
      <c r="AA199" s="101">
        <f t="shared" si="139"/>
        <v>10</v>
      </c>
      <c r="AB199" s="16">
        <f t="shared" si="136"/>
        <v>5990250.1999999993</v>
      </c>
      <c r="AC199" s="16">
        <f t="shared" ref="AC199" si="205">AC200</f>
        <v>25068100</v>
      </c>
      <c r="AD199" s="173">
        <v>16</v>
      </c>
    </row>
    <row r="200" spans="1:31" s="22" customFormat="1" ht="47.25" x14ac:dyDescent="0.25">
      <c r="A200" s="18" t="s">
        <v>316</v>
      </c>
      <c r="B200" s="30"/>
      <c r="C200" s="18"/>
      <c r="D200" s="20" t="s">
        <v>389</v>
      </c>
      <c r="E200" s="21">
        <f>E201+E202+E203+E204+E205</f>
        <v>24968100</v>
      </c>
      <c r="F200" s="21">
        <f t="shared" ref="F200:Z200" si="206">F201+F202+F203+F204+F205</f>
        <v>23668100</v>
      </c>
      <c r="G200" s="21">
        <f t="shared" si="206"/>
        <v>16826900</v>
      </c>
      <c r="H200" s="21">
        <f t="shared" si="206"/>
        <v>610600</v>
      </c>
      <c r="I200" s="21">
        <f t="shared" si="206"/>
        <v>1300000</v>
      </c>
      <c r="J200" s="21">
        <f t="shared" si="206"/>
        <v>5980250.1999999993</v>
      </c>
      <c r="K200" s="21">
        <f t="shared" si="206"/>
        <v>4474835.87</v>
      </c>
      <c r="L200" s="21">
        <f t="shared" si="206"/>
        <v>164940.98000000001</v>
      </c>
      <c r="M200" s="21">
        <f t="shared" ref="M200" si="207">M201+M202+M203+M204+M205</f>
        <v>0</v>
      </c>
      <c r="N200" s="102">
        <f t="shared" si="134"/>
        <v>23.951562994380826</v>
      </c>
      <c r="O200" s="21">
        <f t="shared" si="206"/>
        <v>100000</v>
      </c>
      <c r="P200" s="21">
        <f t="shared" si="206"/>
        <v>100000</v>
      </c>
      <c r="Q200" s="21">
        <f t="shared" si="206"/>
        <v>0</v>
      </c>
      <c r="R200" s="21">
        <f t="shared" si="206"/>
        <v>0</v>
      </c>
      <c r="S200" s="21">
        <f t="shared" si="206"/>
        <v>0</v>
      </c>
      <c r="T200" s="21">
        <f t="shared" si="206"/>
        <v>100000</v>
      </c>
      <c r="U200" s="21">
        <f t="shared" si="206"/>
        <v>10000</v>
      </c>
      <c r="V200" s="21">
        <f t="shared" si="206"/>
        <v>10000</v>
      </c>
      <c r="W200" s="21">
        <f t="shared" si="206"/>
        <v>0</v>
      </c>
      <c r="X200" s="21">
        <f t="shared" si="206"/>
        <v>0</v>
      </c>
      <c r="Y200" s="21">
        <f t="shared" si="206"/>
        <v>0</v>
      </c>
      <c r="Z200" s="21">
        <f t="shared" si="206"/>
        <v>10000</v>
      </c>
      <c r="AA200" s="102">
        <f t="shared" si="139"/>
        <v>10</v>
      </c>
      <c r="AB200" s="21">
        <f t="shared" si="136"/>
        <v>5990250.1999999993</v>
      </c>
      <c r="AC200" s="21">
        <f t="shared" ref="AC200" si="208">AC201+AC202+AC203+AC204+AC205</f>
        <v>25068100</v>
      </c>
      <c r="AD200" s="173"/>
      <c r="AE200" s="17"/>
    </row>
    <row r="201" spans="1:31" s="27" customFormat="1" ht="47.25" x14ac:dyDescent="0.25">
      <c r="A201" s="23" t="s">
        <v>317</v>
      </c>
      <c r="B201" s="24" t="str">
        <f>'дод 5'!A15</f>
        <v>0160</v>
      </c>
      <c r="C201" s="23" t="str">
        <f>'дод 5'!B15</f>
        <v>0111</v>
      </c>
      <c r="D201" s="25" t="str">
        <f>'дод 5'!C15</f>
        <v>Керівництво і управління у відповідній сфері у містах (місті Києві), селищах, селах, територіальних громадах</v>
      </c>
      <c r="E201" s="26">
        <f>F201+I201</f>
        <v>23068100</v>
      </c>
      <c r="F201" s="26">
        <v>21768100</v>
      </c>
      <c r="G201" s="26">
        <v>16826900</v>
      </c>
      <c r="H201" s="26">
        <v>610600</v>
      </c>
      <c r="I201" s="26">
        <v>1300000</v>
      </c>
      <c r="J201" s="26">
        <v>5747175.3099999996</v>
      </c>
      <c r="K201" s="26">
        <v>4474835.87</v>
      </c>
      <c r="L201" s="26">
        <v>164940.98000000001</v>
      </c>
      <c r="M201" s="26"/>
      <c r="N201" s="103">
        <f t="shared" si="134"/>
        <v>24.913951777562954</v>
      </c>
      <c r="O201" s="26">
        <f>Q201+T201</f>
        <v>0</v>
      </c>
      <c r="P201" s="26"/>
      <c r="Q201" s="26"/>
      <c r="R201" s="26"/>
      <c r="S201" s="26"/>
      <c r="T201" s="26"/>
      <c r="U201" s="26">
        <f t="shared" si="135"/>
        <v>0</v>
      </c>
      <c r="V201" s="26"/>
      <c r="W201" s="26"/>
      <c r="X201" s="26"/>
      <c r="Y201" s="26"/>
      <c r="Z201" s="26"/>
      <c r="AA201" s="103"/>
      <c r="AB201" s="26">
        <f t="shared" si="136"/>
        <v>5747175.3099999996</v>
      </c>
      <c r="AC201" s="26">
        <f>E201+O201</f>
        <v>23068100</v>
      </c>
      <c r="AD201" s="173"/>
      <c r="AE201" s="17"/>
    </row>
    <row r="202" spans="1:31" s="27" customFormat="1" ht="28.5" customHeight="1" x14ac:dyDescent="0.25">
      <c r="A202" s="23" t="s">
        <v>319</v>
      </c>
      <c r="B202" s="24" t="str">
        <f>'дод 5'!A106</f>
        <v>7130</v>
      </c>
      <c r="C202" s="23" t="str">
        <f>'дод 5'!B106</f>
        <v>0421</v>
      </c>
      <c r="D202" s="28" t="str">
        <f>'дод 5'!C106</f>
        <v>Здійснення заходів із землеустрою</v>
      </c>
      <c r="E202" s="26">
        <f t="shared" ref="E202:E205" si="209">F202+I202</f>
        <v>1300000</v>
      </c>
      <c r="F202" s="26">
        <v>1300000</v>
      </c>
      <c r="G202" s="26"/>
      <c r="H202" s="26"/>
      <c r="I202" s="26"/>
      <c r="J202" s="26"/>
      <c r="K202" s="26"/>
      <c r="L202" s="26"/>
      <c r="M202" s="26"/>
      <c r="N202" s="103">
        <f t="shared" si="134"/>
        <v>0</v>
      </c>
      <c r="O202" s="26">
        <f t="shared" ref="O202:O205" si="210">Q202+T202</f>
        <v>0</v>
      </c>
      <c r="P202" s="26"/>
      <c r="Q202" s="26"/>
      <c r="R202" s="26"/>
      <c r="S202" s="26"/>
      <c r="T202" s="26"/>
      <c r="U202" s="26">
        <f t="shared" si="135"/>
        <v>0</v>
      </c>
      <c r="V202" s="26"/>
      <c r="W202" s="26"/>
      <c r="X202" s="26"/>
      <c r="Y202" s="26"/>
      <c r="Z202" s="26"/>
      <c r="AA202" s="103"/>
      <c r="AB202" s="26">
        <f t="shared" si="136"/>
        <v>0</v>
      </c>
      <c r="AC202" s="26">
        <f t="shared" ref="AC202:AC205" si="211">E202+O202</f>
        <v>1300000</v>
      </c>
      <c r="AD202" s="173"/>
      <c r="AE202" s="17"/>
    </row>
    <row r="203" spans="1:31" s="27" customFormat="1" ht="31.5" x14ac:dyDescent="0.25">
      <c r="A203" s="23" t="s">
        <v>320</v>
      </c>
      <c r="B203" s="24" t="str">
        <f>'дод 5'!A122</f>
        <v>7650</v>
      </c>
      <c r="C203" s="23" t="str">
        <f>'дод 5'!B122</f>
        <v>0490</v>
      </c>
      <c r="D203" s="28" t="str">
        <f>'дод 5'!C122</f>
        <v>Проведення експертної грошової оцінки земельної ділянки чи права на неї</v>
      </c>
      <c r="E203" s="26">
        <f t="shared" si="209"/>
        <v>0</v>
      </c>
      <c r="F203" s="26"/>
      <c r="G203" s="26"/>
      <c r="H203" s="26"/>
      <c r="I203" s="26"/>
      <c r="J203" s="26"/>
      <c r="K203" s="26"/>
      <c r="L203" s="26"/>
      <c r="M203" s="26"/>
      <c r="N203" s="103"/>
      <c r="O203" s="26">
        <f t="shared" si="210"/>
        <v>50000</v>
      </c>
      <c r="P203" s="26">
        <v>50000</v>
      </c>
      <c r="Q203" s="26"/>
      <c r="R203" s="26"/>
      <c r="S203" s="26"/>
      <c r="T203" s="26">
        <v>50000</v>
      </c>
      <c r="U203" s="26">
        <f t="shared" si="135"/>
        <v>0</v>
      </c>
      <c r="V203" s="26"/>
      <c r="W203" s="26"/>
      <c r="X203" s="26"/>
      <c r="Y203" s="26"/>
      <c r="Z203" s="26"/>
      <c r="AA203" s="103">
        <f t="shared" si="139"/>
        <v>0</v>
      </c>
      <c r="AB203" s="26">
        <f t="shared" si="136"/>
        <v>0</v>
      </c>
      <c r="AC203" s="26">
        <f t="shared" si="211"/>
        <v>50000</v>
      </c>
      <c r="AD203" s="173"/>
      <c r="AE203" s="17"/>
    </row>
    <row r="204" spans="1:31" s="27" customFormat="1" ht="72.75" customHeight="1" x14ac:dyDescent="0.25">
      <c r="A204" s="23" t="s">
        <v>321</v>
      </c>
      <c r="B204" s="24" t="str">
        <f>'дод 5'!A123</f>
        <v>7660</v>
      </c>
      <c r="C204" s="23" t="str">
        <f>'дод 5'!B123</f>
        <v>0490</v>
      </c>
      <c r="D204" s="28" t="str">
        <f>'дод 5'!C123</f>
        <v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v>
      </c>
      <c r="E204" s="26">
        <f t="shared" si="209"/>
        <v>0</v>
      </c>
      <c r="F204" s="26"/>
      <c r="G204" s="26"/>
      <c r="H204" s="26"/>
      <c r="I204" s="26"/>
      <c r="J204" s="26"/>
      <c r="K204" s="26"/>
      <c r="L204" s="26"/>
      <c r="M204" s="26"/>
      <c r="N204" s="103"/>
      <c r="O204" s="26">
        <f t="shared" si="210"/>
        <v>50000</v>
      </c>
      <c r="P204" s="26">
        <v>50000</v>
      </c>
      <c r="Q204" s="26"/>
      <c r="R204" s="26"/>
      <c r="S204" s="26"/>
      <c r="T204" s="26">
        <v>50000</v>
      </c>
      <c r="U204" s="26">
        <f t="shared" si="135"/>
        <v>10000</v>
      </c>
      <c r="V204" s="26">
        <v>10000</v>
      </c>
      <c r="W204" s="26"/>
      <c r="X204" s="26"/>
      <c r="Y204" s="26"/>
      <c r="Z204" s="26">
        <v>10000</v>
      </c>
      <c r="AA204" s="103">
        <f t="shared" si="139"/>
        <v>20</v>
      </c>
      <c r="AB204" s="26">
        <f t="shared" si="136"/>
        <v>10000</v>
      </c>
      <c r="AC204" s="26">
        <f t="shared" si="211"/>
        <v>50000</v>
      </c>
      <c r="AD204" s="173"/>
      <c r="AE204" s="17"/>
    </row>
    <row r="205" spans="1:31" s="27" customFormat="1" ht="29.25" customHeight="1" x14ac:dyDescent="0.25">
      <c r="A205" s="23" t="s">
        <v>322</v>
      </c>
      <c r="B205" s="24" t="str">
        <f>'дод 5'!A127</f>
        <v>7693</v>
      </c>
      <c r="C205" s="23" t="str">
        <f>'дод 5'!B127</f>
        <v>0490</v>
      </c>
      <c r="D205" s="28" t="str">
        <f>'дод 5'!C127</f>
        <v>Інші заходи, пов'язані з економічною діяльністю</v>
      </c>
      <c r="E205" s="26">
        <f t="shared" si="209"/>
        <v>600000</v>
      </c>
      <c r="F205" s="26">
        <v>600000</v>
      </c>
      <c r="G205" s="26"/>
      <c r="H205" s="26"/>
      <c r="I205" s="26"/>
      <c r="J205" s="26">
        <v>233074.89</v>
      </c>
      <c r="K205" s="26"/>
      <c r="L205" s="26"/>
      <c r="M205" s="26"/>
      <c r="N205" s="103">
        <f t="shared" si="134"/>
        <v>38.845815000000002</v>
      </c>
      <c r="O205" s="26">
        <f t="shared" si="210"/>
        <v>0</v>
      </c>
      <c r="P205" s="26"/>
      <c r="Q205" s="26"/>
      <c r="R205" s="26"/>
      <c r="S205" s="26"/>
      <c r="T205" s="26"/>
      <c r="U205" s="26">
        <f t="shared" si="135"/>
        <v>0</v>
      </c>
      <c r="V205" s="26"/>
      <c r="W205" s="26"/>
      <c r="X205" s="26"/>
      <c r="Y205" s="26"/>
      <c r="Z205" s="26"/>
      <c r="AA205" s="103"/>
      <c r="AB205" s="26">
        <f t="shared" si="136"/>
        <v>233074.89</v>
      </c>
      <c r="AC205" s="26">
        <f t="shared" si="211"/>
        <v>600000</v>
      </c>
      <c r="AD205" s="173"/>
      <c r="AE205" s="17"/>
    </row>
    <row r="206" spans="1:31" s="17" customFormat="1" ht="28.5" customHeight="1" x14ac:dyDescent="0.25">
      <c r="A206" s="14" t="s">
        <v>172</v>
      </c>
      <c r="B206" s="29"/>
      <c r="C206" s="14"/>
      <c r="D206" s="15" t="s">
        <v>417</v>
      </c>
      <c r="E206" s="16">
        <f>E207</f>
        <v>743719752</v>
      </c>
      <c r="F206" s="16">
        <f t="shared" ref="F206:Z206" si="212">F207</f>
        <v>96142260</v>
      </c>
      <c r="G206" s="16">
        <f t="shared" si="212"/>
        <v>21064300</v>
      </c>
      <c r="H206" s="16">
        <f t="shared" si="212"/>
        <v>479500</v>
      </c>
      <c r="I206" s="16">
        <f t="shared" si="212"/>
        <v>0</v>
      </c>
      <c r="J206" s="16">
        <f t="shared" si="212"/>
        <v>23180455.829999998</v>
      </c>
      <c r="K206" s="16">
        <f t="shared" si="212"/>
        <v>5825899.5999999996</v>
      </c>
      <c r="L206" s="16">
        <f t="shared" si="212"/>
        <v>186018.29</v>
      </c>
      <c r="M206" s="16">
        <f t="shared" si="212"/>
        <v>0</v>
      </c>
      <c r="N206" s="101">
        <f t="shared" si="134"/>
        <v>3.1168267035618542</v>
      </c>
      <c r="O206" s="16">
        <f t="shared" si="212"/>
        <v>0</v>
      </c>
      <c r="P206" s="16">
        <f t="shared" si="212"/>
        <v>0</v>
      </c>
      <c r="Q206" s="16">
        <f t="shared" si="212"/>
        <v>0</v>
      </c>
      <c r="R206" s="16">
        <f t="shared" si="212"/>
        <v>0</v>
      </c>
      <c r="S206" s="16">
        <f t="shared" si="212"/>
        <v>0</v>
      </c>
      <c r="T206" s="16">
        <f t="shared" si="212"/>
        <v>0</v>
      </c>
      <c r="U206" s="16">
        <f t="shared" si="212"/>
        <v>0</v>
      </c>
      <c r="V206" s="16">
        <f t="shared" si="212"/>
        <v>0</v>
      </c>
      <c r="W206" s="16">
        <f t="shared" si="212"/>
        <v>0</v>
      </c>
      <c r="X206" s="16">
        <f t="shared" si="212"/>
        <v>0</v>
      </c>
      <c r="Y206" s="16">
        <f t="shared" si="212"/>
        <v>0</v>
      </c>
      <c r="Z206" s="16">
        <f t="shared" si="212"/>
        <v>0</v>
      </c>
      <c r="AA206" s="101"/>
      <c r="AB206" s="16">
        <f t="shared" si="136"/>
        <v>23180455.829999998</v>
      </c>
      <c r="AC206" s="16">
        <f t="shared" ref="AC206" si="213">AC207</f>
        <v>743719752</v>
      </c>
      <c r="AD206" s="173"/>
    </row>
    <row r="207" spans="1:31" s="22" customFormat="1" ht="28.5" customHeight="1" x14ac:dyDescent="0.25">
      <c r="A207" s="18" t="s">
        <v>173</v>
      </c>
      <c r="B207" s="30"/>
      <c r="C207" s="18"/>
      <c r="D207" s="20" t="s">
        <v>417</v>
      </c>
      <c r="E207" s="21">
        <f>E208+E209+E210+E211</f>
        <v>743719752</v>
      </c>
      <c r="F207" s="21">
        <f t="shared" ref="F207:Z207" si="214">F208+F209+F210+F211</f>
        <v>96142260</v>
      </c>
      <c r="G207" s="21">
        <f t="shared" si="214"/>
        <v>21064300</v>
      </c>
      <c r="H207" s="21">
        <f t="shared" si="214"/>
        <v>479500</v>
      </c>
      <c r="I207" s="21">
        <f t="shared" si="214"/>
        <v>0</v>
      </c>
      <c r="J207" s="21">
        <f t="shared" si="214"/>
        <v>23180455.829999998</v>
      </c>
      <c r="K207" s="21">
        <f t="shared" si="214"/>
        <v>5825899.5999999996</v>
      </c>
      <c r="L207" s="21">
        <f t="shared" si="214"/>
        <v>186018.29</v>
      </c>
      <c r="M207" s="21">
        <f t="shared" ref="M207" si="215">M208+M209+M210+M211</f>
        <v>0</v>
      </c>
      <c r="N207" s="102">
        <f t="shared" si="134"/>
        <v>3.1168267035618542</v>
      </c>
      <c r="O207" s="21">
        <f t="shared" si="214"/>
        <v>0</v>
      </c>
      <c r="P207" s="21">
        <f t="shared" si="214"/>
        <v>0</v>
      </c>
      <c r="Q207" s="21">
        <f t="shared" si="214"/>
        <v>0</v>
      </c>
      <c r="R207" s="21">
        <f t="shared" si="214"/>
        <v>0</v>
      </c>
      <c r="S207" s="21">
        <f t="shared" si="214"/>
        <v>0</v>
      </c>
      <c r="T207" s="21">
        <f t="shared" si="214"/>
        <v>0</v>
      </c>
      <c r="U207" s="21">
        <f t="shared" si="214"/>
        <v>0</v>
      </c>
      <c r="V207" s="21">
        <f t="shared" si="214"/>
        <v>0</v>
      </c>
      <c r="W207" s="21">
        <f t="shared" si="214"/>
        <v>0</v>
      </c>
      <c r="X207" s="21">
        <f t="shared" si="214"/>
        <v>0</v>
      </c>
      <c r="Y207" s="21">
        <f t="shared" si="214"/>
        <v>0</v>
      </c>
      <c r="Z207" s="21">
        <f t="shared" si="214"/>
        <v>0</v>
      </c>
      <c r="AA207" s="102"/>
      <c r="AB207" s="21">
        <f t="shared" si="136"/>
        <v>23180455.829999998</v>
      </c>
      <c r="AC207" s="21">
        <f t="shared" ref="AC207" si="216">AC208+AC209+AC210+AC211</f>
        <v>743719752</v>
      </c>
      <c r="AD207" s="173"/>
      <c r="AE207" s="17"/>
    </row>
    <row r="208" spans="1:31" s="27" customFormat="1" ht="52.5" customHeight="1" x14ac:dyDescent="0.25">
      <c r="A208" s="23" t="s">
        <v>174</v>
      </c>
      <c r="B208" s="24" t="str">
        <f>'дод 5'!A15</f>
        <v>0160</v>
      </c>
      <c r="C208" s="23" t="str">
        <f>'дод 5'!B15</f>
        <v>0111</v>
      </c>
      <c r="D208" s="25" t="str">
        <f>'дод 5'!C15</f>
        <v>Керівництво і управління у відповідній сфері у містах (місті Києві), селищах, селах, територіальних громадах</v>
      </c>
      <c r="E208" s="26">
        <f t="shared" ref="E208:E211" si="217">F208+I208</f>
        <v>27015100</v>
      </c>
      <c r="F208" s="26">
        <f>26015100+1000000</f>
        <v>27015100</v>
      </c>
      <c r="G208" s="26">
        <f>20244300+820000</f>
        <v>21064300</v>
      </c>
      <c r="H208" s="26">
        <v>479500</v>
      </c>
      <c r="I208" s="26"/>
      <c r="J208" s="26">
        <v>7342255.8300000001</v>
      </c>
      <c r="K208" s="26">
        <v>5825899.5999999996</v>
      </c>
      <c r="L208" s="26">
        <v>186018.29</v>
      </c>
      <c r="M208" s="26"/>
      <c r="N208" s="103">
        <f t="shared" ref="N208:N215" si="218">J208/E208*100</f>
        <v>27.178340372606431</v>
      </c>
      <c r="O208" s="26">
        <f>Q208+T208</f>
        <v>0</v>
      </c>
      <c r="P208" s="26"/>
      <c r="Q208" s="26"/>
      <c r="R208" s="26"/>
      <c r="S208" s="26"/>
      <c r="T208" s="26"/>
      <c r="U208" s="26">
        <f t="shared" ref="U208:U214" si="219">W208+Z208</f>
        <v>0</v>
      </c>
      <c r="V208" s="26"/>
      <c r="W208" s="26"/>
      <c r="X208" s="26"/>
      <c r="Y208" s="26"/>
      <c r="Z208" s="26"/>
      <c r="AA208" s="103"/>
      <c r="AB208" s="26">
        <f t="shared" ref="AB208:AB215" si="220">J208+U208</f>
        <v>7342255.8300000001</v>
      </c>
      <c r="AC208" s="26">
        <f t="shared" ref="AC208:AC210" si="221">E208+O208</f>
        <v>27015100</v>
      </c>
      <c r="AD208" s="173"/>
      <c r="AE208" s="17"/>
    </row>
    <row r="209" spans="1:32" s="27" customFormat="1" ht="29.25" customHeight="1" x14ac:dyDescent="0.25">
      <c r="A209" s="23" t="s">
        <v>175</v>
      </c>
      <c r="B209" s="24" t="str">
        <f>'дод 5'!A138</f>
        <v>8600</v>
      </c>
      <c r="C209" s="23" t="str">
        <f>'дод 5'!B138</f>
        <v>0170</v>
      </c>
      <c r="D209" s="25" t="str">
        <f>'дод 5'!C138</f>
        <v>Обслуговування місцевого боргу</v>
      </c>
      <c r="E209" s="26">
        <f t="shared" si="217"/>
        <v>5774760</v>
      </c>
      <c r="F209" s="26">
        <f>6032100-257340</f>
        <v>5774760</v>
      </c>
      <c r="G209" s="26"/>
      <c r="H209" s="26"/>
      <c r="I209" s="26"/>
      <c r="J209" s="26"/>
      <c r="K209" s="26"/>
      <c r="L209" s="26"/>
      <c r="M209" s="26"/>
      <c r="N209" s="103">
        <f t="shared" si="218"/>
        <v>0</v>
      </c>
      <c r="O209" s="26">
        <f t="shared" ref="O209:O210" si="222">Q209+T209</f>
        <v>0</v>
      </c>
      <c r="P209" s="26"/>
      <c r="Q209" s="26"/>
      <c r="R209" s="26"/>
      <c r="S209" s="26"/>
      <c r="T209" s="26"/>
      <c r="U209" s="26">
        <f t="shared" si="219"/>
        <v>0</v>
      </c>
      <c r="V209" s="26"/>
      <c r="W209" s="26"/>
      <c r="X209" s="26"/>
      <c r="Y209" s="26"/>
      <c r="Z209" s="26"/>
      <c r="AA209" s="103"/>
      <c r="AB209" s="26">
        <f t="shared" si="220"/>
        <v>0</v>
      </c>
      <c r="AC209" s="26">
        <f t="shared" si="221"/>
        <v>5774760</v>
      </c>
      <c r="AD209" s="173"/>
      <c r="AE209" s="17"/>
    </row>
    <row r="210" spans="1:32" s="27" customFormat="1" ht="27.75" customHeight="1" x14ac:dyDescent="0.25">
      <c r="A210" s="23" t="s">
        <v>298</v>
      </c>
      <c r="B210" s="24">
        <f>'дод 5'!A140</f>
        <v>8710</v>
      </c>
      <c r="C210" s="23" t="str">
        <f>'дод 5'!B140</f>
        <v>0133</v>
      </c>
      <c r="D210" s="28" t="str">
        <f>'дод 5'!C140</f>
        <v>Резервний фонд місцевого бюджету</v>
      </c>
      <c r="E210" s="26">
        <f>435305652-2800000-118500-592648-3498000-850113+3260348-3260348+306278392+348923-18969725-119037-3485595-195000-1748310-23232870-37748489-82188-915000</f>
        <v>647577492</v>
      </c>
      <c r="F210" s="26"/>
      <c r="G210" s="26"/>
      <c r="H210" s="26"/>
      <c r="I210" s="26"/>
      <c r="J210" s="26"/>
      <c r="K210" s="26"/>
      <c r="L210" s="26"/>
      <c r="M210" s="26"/>
      <c r="N210" s="103">
        <f t="shared" si="218"/>
        <v>0</v>
      </c>
      <c r="O210" s="26">
        <f t="shared" si="222"/>
        <v>0</v>
      </c>
      <c r="P210" s="26"/>
      <c r="Q210" s="26"/>
      <c r="R210" s="26"/>
      <c r="S210" s="26"/>
      <c r="T210" s="26"/>
      <c r="U210" s="26">
        <f t="shared" si="219"/>
        <v>0</v>
      </c>
      <c r="V210" s="26"/>
      <c r="W210" s="26"/>
      <c r="X210" s="26"/>
      <c r="Y210" s="26"/>
      <c r="Z210" s="26"/>
      <c r="AA210" s="103"/>
      <c r="AB210" s="26">
        <f t="shared" si="220"/>
        <v>0</v>
      </c>
      <c r="AC210" s="26">
        <f t="shared" si="221"/>
        <v>647577492</v>
      </c>
      <c r="AD210" s="173"/>
      <c r="AE210" s="17"/>
    </row>
    <row r="211" spans="1:32" s="27" customFormat="1" ht="26.25" customHeight="1" x14ac:dyDescent="0.25">
      <c r="A211" s="49" t="s">
        <v>418</v>
      </c>
      <c r="B211" s="51">
        <v>9110</v>
      </c>
      <c r="C211" s="51">
        <v>180</v>
      </c>
      <c r="D211" s="50" t="s">
        <v>419</v>
      </c>
      <c r="E211" s="26">
        <f t="shared" si="217"/>
        <v>63352400</v>
      </c>
      <c r="F211" s="26">
        <v>63352400</v>
      </c>
      <c r="G211" s="26"/>
      <c r="H211" s="26"/>
      <c r="I211" s="26"/>
      <c r="J211" s="26">
        <v>15838200</v>
      </c>
      <c r="K211" s="26"/>
      <c r="L211" s="26"/>
      <c r="M211" s="26"/>
      <c r="N211" s="103">
        <f t="shared" si="218"/>
        <v>25.000157847216521</v>
      </c>
      <c r="O211" s="26">
        <f t="shared" ref="O211" si="223">Q211+T211</f>
        <v>0</v>
      </c>
      <c r="P211" s="26"/>
      <c r="Q211" s="26"/>
      <c r="R211" s="26"/>
      <c r="S211" s="26"/>
      <c r="T211" s="26"/>
      <c r="U211" s="26">
        <f t="shared" si="219"/>
        <v>0</v>
      </c>
      <c r="V211" s="26"/>
      <c r="W211" s="26"/>
      <c r="X211" s="26"/>
      <c r="Y211" s="26"/>
      <c r="Z211" s="26"/>
      <c r="AA211" s="103"/>
      <c r="AB211" s="26">
        <f t="shared" si="220"/>
        <v>15838200</v>
      </c>
      <c r="AC211" s="26">
        <f t="shared" ref="AC211" si="224">E211+O211</f>
        <v>63352400</v>
      </c>
      <c r="AD211" s="173"/>
      <c r="AE211" s="17"/>
    </row>
    <row r="212" spans="1:32" s="27" customFormat="1" ht="38.25" customHeight="1" x14ac:dyDescent="0.25">
      <c r="A212" s="14" t="s">
        <v>440</v>
      </c>
      <c r="B212" s="24"/>
      <c r="C212" s="23"/>
      <c r="D212" s="15" t="s">
        <v>332</v>
      </c>
      <c r="E212" s="16">
        <f>E213</f>
        <v>37564800</v>
      </c>
      <c r="F212" s="16">
        <f t="shared" ref="F212:Z212" si="225">F213</f>
        <v>37262800</v>
      </c>
      <c r="G212" s="16">
        <f t="shared" si="225"/>
        <v>28048400</v>
      </c>
      <c r="H212" s="16">
        <f t="shared" si="225"/>
        <v>407200</v>
      </c>
      <c r="I212" s="16">
        <f t="shared" si="225"/>
        <v>302000</v>
      </c>
      <c r="J212" s="16">
        <f t="shared" si="225"/>
        <v>7487785.3499999996</v>
      </c>
      <c r="K212" s="16">
        <f t="shared" si="225"/>
        <v>5529852.9500000002</v>
      </c>
      <c r="L212" s="16">
        <f t="shared" si="225"/>
        <v>73295.7</v>
      </c>
      <c r="M212" s="16">
        <f t="shared" si="225"/>
        <v>293320</v>
      </c>
      <c r="N212" s="101">
        <f t="shared" si="218"/>
        <v>19.932983404676719</v>
      </c>
      <c r="O212" s="16">
        <f t="shared" si="225"/>
        <v>0</v>
      </c>
      <c r="P212" s="16">
        <f t="shared" si="225"/>
        <v>0</v>
      </c>
      <c r="Q212" s="16">
        <f t="shared" si="225"/>
        <v>0</v>
      </c>
      <c r="R212" s="16">
        <f t="shared" si="225"/>
        <v>0</v>
      </c>
      <c r="S212" s="16">
        <f t="shared" si="225"/>
        <v>0</v>
      </c>
      <c r="T212" s="16">
        <f t="shared" si="225"/>
        <v>0</v>
      </c>
      <c r="U212" s="16">
        <f t="shared" si="225"/>
        <v>0</v>
      </c>
      <c r="V212" s="16">
        <f t="shared" si="225"/>
        <v>0</v>
      </c>
      <c r="W212" s="16">
        <f t="shared" si="225"/>
        <v>0</v>
      </c>
      <c r="X212" s="16">
        <f t="shared" si="225"/>
        <v>0</v>
      </c>
      <c r="Y212" s="16">
        <f t="shared" si="225"/>
        <v>0</v>
      </c>
      <c r="Z212" s="16">
        <f t="shared" si="225"/>
        <v>0</v>
      </c>
      <c r="AA212" s="101"/>
      <c r="AB212" s="16">
        <f t="shared" si="220"/>
        <v>7487785.3499999996</v>
      </c>
      <c r="AC212" s="16">
        <f t="shared" ref="AC212:AC214" si="226">E212+O212</f>
        <v>37564800</v>
      </c>
      <c r="AD212" s="173"/>
      <c r="AE212" s="17"/>
    </row>
    <row r="213" spans="1:32" s="27" customFormat="1" ht="36.75" customHeight="1" x14ac:dyDescent="0.25">
      <c r="A213" s="18" t="s">
        <v>330</v>
      </c>
      <c r="B213" s="24"/>
      <c r="C213" s="23"/>
      <c r="D213" s="20" t="s">
        <v>332</v>
      </c>
      <c r="E213" s="21">
        <f t="shared" ref="E213:Z213" si="227">E214</f>
        <v>37564800</v>
      </c>
      <c r="F213" s="21">
        <f t="shared" si="227"/>
        <v>37262800</v>
      </c>
      <c r="G213" s="21">
        <f t="shared" si="227"/>
        <v>28048400</v>
      </c>
      <c r="H213" s="21">
        <f t="shared" si="227"/>
        <v>407200</v>
      </c>
      <c r="I213" s="21">
        <f t="shared" si="227"/>
        <v>302000</v>
      </c>
      <c r="J213" s="21">
        <f t="shared" si="227"/>
        <v>7487785.3499999996</v>
      </c>
      <c r="K213" s="21">
        <f t="shared" si="227"/>
        <v>5529852.9500000002</v>
      </c>
      <c r="L213" s="21">
        <f t="shared" si="227"/>
        <v>73295.7</v>
      </c>
      <c r="M213" s="21">
        <f t="shared" si="227"/>
        <v>293320</v>
      </c>
      <c r="N213" s="102">
        <f t="shared" si="218"/>
        <v>19.932983404676719</v>
      </c>
      <c r="O213" s="21">
        <f t="shared" si="227"/>
        <v>0</v>
      </c>
      <c r="P213" s="21">
        <f t="shared" si="227"/>
        <v>0</v>
      </c>
      <c r="Q213" s="21">
        <f t="shared" si="227"/>
        <v>0</v>
      </c>
      <c r="R213" s="21">
        <f t="shared" si="227"/>
        <v>0</v>
      </c>
      <c r="S213" s="21">
        <f t="shared" si="227"/>
        <v>0</v>
      </c>
      <c r="T213" s="21">
        <f t="shared" si="227"/>
        <v>0</v>
      </c>
      <c r="U213" s="21">
        <f t="shared" si="227"/>
        <v>0</v>
      </c>
      <c r="V213" s="21">
        <f t="shared" si="227"/>
        <v>0</v>
      </c>
      <c r="W213" s="21">
        <f t="shared" si="227"/>
        <v>0</v>
      </c>
      <c r="X213" s="21">
        <f t="shared" si="227"/>
        <v>0</v>
      </c>
      <c r="Y213" s="21">
        <f t="shared" si="227"/>
        <v>0</v>
      </c>
      <c r="Z213" s="21">
        <f t="shared" si="227"/>
        <v>0</v>
      </c>
      <c r="AA213" s="102"/>
      <c r="AB213" s="21">
        <f t="shared" si="220"/>
        <v>7487785.3499999996</v>
      </c>
      <c r="AC213" s="21">
        <f t="shared" si="226"/>
        <v>37564800</v>
      </c>
      <c r="AD213" s="173"/>
      <c r="AE213" s="17"/>
    </row>
    <row r="214" spans="1:32" s="27" customFormat="1" ht="51.75" customHeight="1" x14ac:dyDescent="0.25">
      <c r="A214" s="23" t="s">
        <v>331</v>
      </c>
      <c r="B214" s="24" t="str">
        <f>'дод 5'!A15</f>
        <v>0160</v>
      </c>
      <c r="C214" s="23" t="str">
        <f>'дод 5'!B15</f>
        <v>0111</v>
      </c>
      <c r="D214" s="28" t="str">
        <f>'дод 5'!C15</f>
        <v>Керівництво і управління у відповідній сфері у містах (місті Києві), селищах, селах, територіальних громадах</v>
      </c>
      <c r="E214" s="26">
        <f t="shared" ref="E214" si="228">F214+I214</f>
        <v>37564800</v>
      </c>
      <c r="F214" s="26">
        <f>37234000+28800</f>
        <v>37262800</v>
      </c>
      <c r="G214" s="26">
        <v>28048400</v>
      </c>
      <c r="H214" s="26">
        <f>253000+154200</f>
        <v>407200</v>
      </c>
      <c r="I214" s="26">
        <f>118500+10000+132000+41500</f>
        <v>302000</v>
      </c>
      <c r="J214" s="26">
        <v>7487785.3499999996</v>
      </c>
      <c r="K214" s="26">
        <v>5529852.9500000002</v>
      </c>
      <c r="L214" s="26">
        <v>73295.7</v>
      </c>
      <c r="M214" s="26">
        <v>293320</v>
      </c>
      <c r="N214" s="103">
        <f t="shared" si="218"/>
        <v>19.932983404676719</v>
      </c>
      <c r="O214" s="26">
        <f t="shared" ref="O214" si="229">Q214+T214</f>
        <v>0</v>
      </c>
      <c r="P214" s="26"/>
      <c r="Q214" s="26"/>
      <c r="R214" s="26"/>
      <c r="S214" s="26"/>
      <c r="T214" s="26"/>
      <c r="U214" s="26">
        <f t="shared" si="219"/>
        <v>0</v>
      </c>
      <c r="V214" s="26"/>
      <c r="W214" s="26"/>
      <c r="X214" s="26"/>
      <c r="Y214" s="26"/>
      <c r="Z214" s="26"/>
      <c r="AA214" s="103"/>
      <c r="AB214" s="26">
        <f t="shared" si="220"/>
        <v>7487785.3499999996</v>
      </c>
      <c r="AC214" s="26">
        <f t="shared" si="226"/>
        <v>37564800</v>
      </c>
      <c r="AD214" s="173"/>
      <c r="AE214" s="17"/>
      <c r="AF214" s="27" t="s">
        <v>502</v>
      </c>
    </row>
    <row r="215" spans="1:32" s="17" customFormat="1" ht="34.5" customHeight="1" x14ac:dyDescent="0.25">
      <c r="A215" s="14"/>
      <c r="B215" s="29"/>
      <c r="C215" s="14"/>
      <c r="D215" s="15" t="s">
        <v>450</v>
      </c>
      <c r="E215" s="16">
        <f t="shared" ref="E215:AC215" si="230">E15+E50+E84+E98+E120+E125+E135+E164+E184+E206+E199+E195+E187+E212+E179+E191</f>
        <v>4423678881.1399994</v>
      </c>
      <c r="F215" s="16">
        <f t="shared" si="230"/>
        <v>3321822472.9400001</v>
      </c>
      <c r="G215" s="16">
        <f t="shared" si="230"/>
        <v>1651429468</v>
      </c>
      <c r="H215" s="16">
        <f t="shared" si="230"/>
        <v>238186831</v>
      </c>
      <c r="I215" s="16">
        <f t="shared" si="230"/>
        <v>454278916.19999999</v>
      </c>
      <c r="J215" s="16">
        <f>J15+J50+J84+J98+J120+J125+J135+J164+J184+J206+J199+J195+J187+J212+J179+J191</f>
        <v>977817975.30000019</v>
      </c>
      <c r="K215" s="16">
        <f t="shared" si="230"/>
        <v>457859918.39999998</v>
      </c>
      <c r="L215" s="16">
        <f t="shared" si="230"/>
        <v>75277086.49000001</v>
      </c>
      <c r="M215" s="16">
        <f t="shared" si="230"/>
        <v>124090963.91</v>
      </c>
      <c r="N215" s="101">
        <f t="shared" si="218"/>
        <v>22.104180741256986</v>
      </c>
      <c r="O215" s="16">
        <f t="shared" si="230"/>
        <v>1068512291</v>
      </c>
      <c r="P215" s="16">
        <f t="shared" si="230"/>
        <v>996624933</v>
      </c>
      <c r="Q215" s="16">
        <f t="shared" si="230"/>
        <v>60872258</v>
      </c>
      <c r="R215" s="16">
        <f t="shared" si="230"/>
        <v>13503372</v>
      </c>
      <c r="S215" s="16">
        <f t="shared" si="230"/>
        <v>7905688</v>
      </c>
      <c r="T215" s="16">
        <f t="shared" si="230"/>
        <v>1007640033</v>
      </c>
      <c r="U215" s="16">
        <f t="shared" si="230"/>
        <v>119784099.81</v>
      </c>
      <c r="V215" s="16">
        <f t="shared" si="230"/>
        <v>6894961.54</v>
      </c>
      <c r="W215" s="16">
        <f t="shared" si="230"/>
        <v>83032351.660000011</v>
      </c>
      <c r="X215" s="16">
        <f t="shared" si="230"/>
        <v>4142050.5699999994</v>
      </c>
      <c r="Y215" s="16">
        <f t="shared" si="230"/>
        <v>1593165.85</v>
      </c>
      <c r="Z215" s="16">
        <f t="shared" si="230"/>
        <v>36751748.149999999</v>
      </c>
      <c r="AA215" s="101">
        <f t="shared" ref="AA215" si="231">U215/O215*100</f>
        <v>11.21036237195703</v>
      </c>
      <c r="AB215" s="16">
        <f t="shared" si="220"/>
        <v>1097602075.1100001</v>
      </c>
      <c r="AC215" s="16">
        <f t="shared" si="230"/>
        <v>5492191172.1399994</v>
      </c>
      <c r="AD215" s="173"/>
      <c r="AF215" s="17" t="e">
        <f>AC215-#REF!-#REF!</f>
        <v>#REF!</v>
      </c>
    </row>
    <row r="216" spans="1:32" s="22" customFormat="1" ht="98.25" customHeight="1" x14ac:dyDescent="0.25">
      <c r="A216" s="34"/>
      <c r="B216" s="35"/>
      <c r="C216" s="34"/>
      <c r="D216" s="36"/>
      <c r="E216" s="37"/>
      <c r="F216" s="37"/>
      <c r="G216" s="37"/>
      <c r="H216" s="37"/>
      <c r="I216" s="37"/>
      <c r="J216" s="37"/>
      <c r="K216" s="37"/>
      <c r="L216" s="37"/>
      <c r="M216" s="37"/>
      <c r="N216" s="96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  <c r="AA216" s="96"/>
      <c r="AB216" s="37"/>
      <c r="AC216" s="37"/>
      <c r="AD216" s="173"/>
    </row>
    <row r="217" spans="1:32" s="22" customFormat="1" ht="61.5" customHeight="1" x14ac:dyDescent="0.55000000000000004">
      <c r="A217" s="34"/>
      <c r="B217" s="158" t="s">
        <v>525</v>
      </c>
      <c r="C217" s="158"/>
      <c r="D217" s="158"/>
      <c r="E217" s="158"/>
      <c r="F217" s="158"/>
      <c r="G217" s="158"/>
      <c r="H217" s="158"/>
      <c r="I217" s="158"/>
      <c r="J217" s="158"/>
      <c r="K217" s="158"/>
      <c r="L217" s="158"/>
      <c r="M217" s="158"/>
      <c r="N217" s="158"/>
      <c r="O217" s="158"/>
      <c r="P217" s="152"/>
      <c r="Q217" s="152"/>
      <c r="R217" s="152"/>
      <c r="S217" s="152"/>
      <c r="T217" s="152"/>
      <c r="U217" s="135"/>
      <c r="V217" s="135"/>
      <c r="W217" s="135"/>
      <c r="X217" s="135"/>
      <c r="Y217" s="159" t="s">
        <v>526</v>
      </c>
      <c r="Z217" s="159"/>
      <c r="AA217" s="159"/>
      <c r="AB217" s="159"/>
      <c r="AC217" s="37"/>
      <c r="AD217" s="173"/>
    </row>
    <row r="218" spans="1:32" s="22" customFormat="1" ht="20.25" customHeight="1" x14ac:dyDescent="0.25">
      <c r="A218" s="34"/>
      <c r="B218" s="35"/>
      <c r="C218" s="34"/>
      <c r="D218" s="36"/>
      <c r="E218" s="37"/>
      <c r="F218" s="37"/>
      <c r="G218" s="37"/>
      <c r="H218" s="37"/>
      <c r="I218" s="37"/>
      <c r="J218" s="37"/>
      <c r="K218" s="37"/>
      <c r="L218" s="37"/>
      <c r="M218" s="37"/>
      <c r="N218" s="96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  <c r="AA218" s="96"/>
      <c r="AB218" s="37"/>
      <c r="AC218" s="37"/>
      <c r="AD218" s="143"/>
    </row>
    <row r="219" spans="1:32" s="22" customFormat="1" ht="20.25" customHeight="1" x14ac:dyDescent="0.25">
      <c r="A219" s="34"/>
      <c r="B219" s="35"/>
      <c r="C219" s="34"/>
      <c r="D219" s="36"/>
      <c r="E219" s="37"/>
      <c r="F219" s="37"/>
      <c r="G219" s="37"/>
      <c r="H219" s="37"/>
      <c r="I219" s="37"/>
      <c r="J219" s="37"/>
      <c r="K219" s="37"/>
      <c r="L219" s="37"/>
      <c r="M219" s="37"/>
      <c r="N219" s="96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  <c r="AA219" s="96"/>
      <c r="AB219" s="37"/>
      <c r="AC219" s="37"/>
      <c r="AD219" s="143"/>
    </row>
    <row r="220" spans="1:32" s="22" customFormat="1" ht="20.25" customHeight="1" x14ac:dyDescent="0.25">
      <c r="A220" s="34"/>
      <c r="B220" s="35"/>
      <c r="C220" s="34"/>
      <c r="D220" s="36"/>
      <c r="E220" s="37"/>
      <c r="F220" s="37"/>
      <c r="G220" s="37"/>
      <c r="H220" s="37"/>
      <c r="I220" s="37"/>
      <c r="J220" s="37"/>
      <c r="K220" s="37"/>
      <c r="L220" s="37"/>
      <c r="M220" s="37"/>
      <c r="N220" s="96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  <c r="AA220" s="96"/>
      <c r="AB220" s="37"/>
      <c r="AC220" s="37"/>
      <c r="AD220" s="143"/>
    </row>
    <row r="221" spans="1:32" s="22" customFormat="1" ht="20.25" customHeight="1" x14ac:dyDescent="0.25">
      <c r="A221" s="34"/>
      <c r="B221" s="35"/>
      <c r="C221" s="34"/>
      <c r="D221" s="36"/>
      <c r="E221" s="37"/>
      <c r="F221" s="37"/>
      <c r="G221" s="37"/>
      <c r="H221" s="37"/>
      <c r="I221" s="37"/>
      <c r="J221" s="37"/>
      <c r="K221" s="37"/>
      <c r="L221" s="37"/>
      <c r="M221" s="37"/>
      <c r="N221" s="96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96"/>
      <c r="AB221" s="37"/>
      <c r="AC221" s="37"/>
      <c r="AD221" s="143"/>
    </row>
    <row r="222" spans="1:32" s="22" customFormat="1" ht="20.25" customHeight="1" x14ac:dyDescent="0.25">
      <c r="A222" s="34"/>
      <c r="B222" s="35"/>
      <c r="C222" s="34"/>
      <c r="D222" s="36"/>
      <c r="E222" s="37"/>
      <c r="F222" s="37"/>
      <c r="G222" s="37"/>
      <c r="H222" s="37"/>
      <c r="I222" s="37"/>
      <c r="J222" s="37"/>
      <c r="K222" s="37"/>
      <c r="L222" s="37"/>
      <c r="M222" s="37"/>
      <c r="N222" s="96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  <c r="AA222" s="96"/>
      <c r="AB222" s="37"/>
      <c r="AC222" s="37"/>
      <c r="AD222" s="143"/>
    </row>
    <row r="223" spans="1:32" s="22" customFormat="1" ht="20.25" customHeight="1" x14ac:dyDescent="0.25">
      <c r="A223" s="34"/>
      <c r="B223" s="35"/>
      <c r="C223" s="34"/>
      <c r="D223" s="36"/>
      <c r="E223" s="37"/>
      <c r="F223" s="37"/>
      <c r="G223" s="37"/>
      <c r="H223" s="37"/>
      <c r="I223" s="37"/>
      <c r="J223" s="37"/>
      <c r="K223" s="37"/>
      <c r="L223" s="37"/>
      <c r="M223" s="37"/>
      <c r="N223" s="96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  <c r="AA223" s="96"/>
      <c r="AB223" s="37"/>
      <c r="AC223" s="37"/>
      <c r="AD223" s="143"/>
    </row>
    <row r="224" spans="1:32" s="22" customFormat="1" ht="20.25" customHeight="1" x14ac:dyDescent="0.25">
      <c r="A224" s="34"/>
      <c r="B224" s="35"/>
      <c r="C224" s="34"/>
      <c r="D224" s="36"/>
      <c r="E224" s="37"/>
      <c r="F224" s="37"/>
      <c r="G224" s="37"/>
      <c r="H224" s="37"/>
      <c r="I224" s="37"/>
      <c r="J224" s="37"/>
      <c r="K224" s="37"/>
      <c r="L224" s="37"/>
      <c r="M224" s="37"/>
      <c r="N224" s="96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  <c r="AA224" s="96"/>
      <c r="AB224" s="37"/>
      <c r="AC224" s="37"/>
      <c r="AD224" s="143"/>
    </row>
    <row r="225" spans="1:30" s="22" customFormat="1" ht="20.25" customHeight="1" x14ac:dyDescent="0.25">
      <c r="A225" s="34"/>
      <c r="B225" s="35"/>
      <c r="C225" s="34"/>
      <c r="D225" s="36"/>
      <c r="E225" s="37"/>
      <c r="F225" s="37"/>
      <c r="G225" s="37"/>
      <c r="H225" s="37"/>
      <c r="I225" s="37"/>
      <c r="J225" s="37"/>
      <c r="K225" s="37"/>
      <c r="L225" s="37"/>
      <c r="M225" s="37"/>
      <c r="N225" s="96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  <c r="AA225" s="96"/>
      <c r="AB225" s="37"/>
      <c r="AC225" s="37"/>
      <c r="AD225" s="143"/>
    </row>
    <row r="226" spans="1:30" s="72" customFormat="1" ht="133.5" customHeight="1" x14ac:dyDescent="0.45">
      <c r="A226" s="89"/>
      <c r="B226" s="89"/>
      <c r="C226" s="89"/>
      <c r="D226" s="89"/>
      <c r="E226" s="89"/>
      <c r="F226" s="89"/>
      <c r="G226" s="89"/>
      <c r="H226" s="89"/>
      <c r="I226" s="89"/>
      <c r="J226" s="89"/>
      <c r="K226" s="89"/>
      <c r="L226" s="89"/>
      <c r="M226" s="89"/>
      <c r="N226" s="89"/>
      <c r="O226" s="89"/>
      <c r="P226" s="5"/>
      <c r="T226" s="89"/>
      <c r="U226" s="89"/>
      <c r="V226" s="89"/>
      <c r="W226" s="89"/>
      <c r="X226" s="89"/>
      <c r="Y226" s="153"/>
      <c r="Z226" s="153"/>
      <c r="AA226" s="153"/>
      <c r="AB226" s="89"/>
      <c r="AC226" s="89"/>
      <c r="AD226" s="143"/>
    </row>
    <row r="227" spans="1:30" s="38" customFormat="1" ht="68.25" customHeight="1" x14ac:dyDescent="0.45">
      <c r="A227" s="76"/>
      <c r="B227" s="76"/>
      <c r="C227" s="76"/>
      <c r="D227" s="76"/>
      <c r="E227" s="76">
        <f>E215-'дод 5'!D147</f>
        <v>0</v>
      </c>
      <c r="F227" s="76">
        <f>F215-'дод 5'!E147</f>
        <v>0</v>
      </c>
      <c r="G227" s="76">
        <f>G215-'дод 5'!F147</f>
        <v>0</v>
      </c>
      <c r="H227" s="76">
        <f>H215-'дод 5'!G147</f>
        <v>0</v>
      </c>
      <c r="I227" s="76">
        <f>I215-'дод 5'!H147</f>
        <v>0</v>
      </c>
      <c r="J227" s="76"/>
      <c r="K227" s="76"/>
      <c r="L227" s="76"/>
      <c r="M227" s="76"/>
      <c r="N227" s="97"/>
      <c r="O227" s="76">
        <f>O215-'дод 5'!N147</f>
        <v>0</v>
      </c>
      <c r="P227" s="76">
        <f>P215-'дод 5'!O147</f>
        <v>0</v>
      </c>
      <c r="Q227" s="76">
        <f>Q215-'дод 5'!P147</f>
        <v>0</v>
      </c>
      <c r="R227" s="76">
        <f>R215-'дод 5'!Q147</f>
        <v>0</v>
      </c>
      <c r="S227" s="76">
        <f>S215-'дод 5'!R147</f>
        <v>0</v>
      </c>
      <c r="T227" s="76">
        <f>T215-'дод 5'!S147</f>
        <v>0</v>
      </c>
      <c r="U227" s="76"/>
      <c r="V227" s="76"/>
      <c r="W227" s="76"/>
      <c r="X227" s="76"/>
      <c r="Y227" s="76"/>
      <c r="Z227" s="76"/>
      <c r="AA227" s="97"/>
      <c r="AB227" s="76"/>
      <c r="AC227" s="80"/>
      <c r="AD227" s="143"/>
    </row>
    <row r="228" spans="1:30" x14ac:dyDescent="0.25">
      <c r="AC228" s="4"/>
    </row>
    <row r="229" spans="1:30" x14ac:dyDescent="0.25">
      <c r="AC229" s="4"/>
    </row>
    <row r="230" spans="1:30" x14ac:dyDescent="0.25">
      <c r="AC230" s="4"/>
    </row>
    <row r="231" spans="1:30" x14ac:dyDescent="0.25">
      <c r="AC231" s="4"/>
    </row>
    <row r="232" spans="1:30" x14ac:dyDescent="0.25">
      <c r="AC232" s="4"/>
    </row>
    <row r="233" spans="1:30" x14ac:dyDescent="0.25">
      <c r="AC233" s="4"/>
    </row>
    <row r="234" spans="1:30" x14ac:dyDescent="0.25">
      <c r="AC234" s="4"/>
    </row>
    <row r="235" spans="1:30" x14ac:dyDescent="0.25">
      <c r="AC235" s="4"/>
    </row>
    <row r="236" spans="1:30" x14ac:dyDescent="0.25">
      <c r="AC236" s="4"/>
    </row>
    <row r="237" spans="1:30" x14ac:dyDescent="0.25">
      <c r="AC237" s="4"/>
    </row>
    <row r="238" spans="1:30" x14ac:dyDescent="0.25">
      <c r="AC238" s="4"/>
    </row>
    <row r="239" spans="1:30" x14ac:dyDescent="0.25">
      <c r="AC239" s="4"/>
    </row>
    <row r="240" spans="1:30" x14ac:dyDescent="0.25">
      <c r="AC240" s="4"/>
    </row>
    <row r="241" spans="29:29" x14ac:dyDescent="0.25">
      <c r="AC241" s="4"/>
    </row>
    <row r="242" spans="29:29" x14ac:dyDescent="0.25">
      <c r="AC242" s="4"/>
    </row>
    <row r="243" spans="29:29" x14ac:dyDescent="0.25">
      <c r="AC243" s="4"/>
    </row>
    <row r="244" spans="29:29" x14ac:dyDescent="0.25">
      <c r="AC244" s="4"/>
    </row>
    <row r="245" spans="29:29" x14ac:dyDescent="0.25">
      <c r="AC245" s="4"/>
    </row>
    <row r="246" spans="29:29" x14ac:dyDescent="0.25">
      <c r="AC246" s="4"/>
    </row>
    <row r="247" spans="29:29" x14ac:dyDescent="0.25">
      <c r="AC247" s="4"/>
    </row>
    <row r="248" spans="29:29" x14ac:dyDescent="0.25">
      <c r="AC248" s="4"/>
    </row>
    <row r="249" spans="29:29" x14ac:dyDescent="0.25">
      <c r="AC249" s="4"/>
    </row>
    <row r="250" spans="29:29" x14ac:dyDescent="0.25">
      <c r="AC250" s="4"/>
    </row>
    <row r="251" spans="29:29" x14ac:dyDescent="0.25">
      <c r="AC251" s="4"/>
    </row>
    <row r="252" spans="29:29" x14ac:dyDescent="0.25">
      <c r="AC252" s="4"/>
    </row>
    <row r="253" spans="29:29" x14ac:dyDescent="0.25">
      <c r="AC253" s="4"/>
    </row>
    <row r="254" spans="29:29" x14ac:dyDescent="0.25">
      <c r="AC254" s="4"/>
    </row>
    <row r="255" spans="29:29" x14ac:dyDescent="0.25">
      <c r="AC255" s="4"/>
    </row>
    <row r="256" spans="29:29" x14ac:dyDescent="0.25">
      <c r="AC256" s="4"/>
    </row>
    <row r="257" spans="29:29" x14ac:dyDescent="0.25">
      <c r="AC257" s="4"/>
    </row>
    <row r="258" spans="29:29" x14ac:dyDescent="0.25">
      <c r="AC258" s="4"/>
    </row>
    <row r="259" spans="29:29" x14ac:dyDescent="0.25">
      <c r="AC259" s="4"/>
    </row>
    <row r="260" spans="29:29" x14ac:dyDescent="0.25">
      <c r="AC260" s="4"/>
    </row>
    <row r="261" spans="29:29" x14ac:dyDescent="0.25">
      <c r="AC261" s="4"/>
    </row>
    <row r="262" spans="29:29" x14ac:dyDescent="0.25">
      <c r="AC262" s="4"/>
    </row>
    <row r="263" spans="29:29" x14ac:dyDescent="0.25">
      <c r="AC263" s="4"/>
    </row>
    <row r="264" spans="29:29" x14ac:dyDescent="0.25">
      <c r="AC264" s="4"/>
    </row>
    <row r="265" spans="29:29" x14ac:dyDescent="0.25">
      <c r="AC265" s="4"/>
    </row>
    <row r="266" spans="29:29" x14ac:dyDescent="0.25">
      <c r="AC266" s="4"/>
    </row>
    <row r="267" spans="29:29" x14ac:dyDescent="0.25">
      <c r="AC267" s="4"/>
    </row>
    <row r="268" spans="29:29" x14ac:dyDescent="0.25">
      <c r="AC268" s="4"/>
    </row>
    <row r="269" spans="29:29" x14ac:dyDescent="0.25">
      <c r="AC269" s="4"/>
    </row>
    <row r="270" spans="29:29" x14ac:dyDescent="0.25">
      <c r="AC270" s="4"/>
    </row>
    <row r="271" spans="29:29" x14ac:dyDescent="0.25">
      <c r="AC271" s="4"/>
    </row>
    <row r="272" spans="29:29" x14ac:dyDescent="0.25">
      <c r="AC272" s="4"/>
    </row>
    <row r="273" spans="29:29" x14ac:dyDescent="0.25">
      <c r="AC273" s="4"/>
    </row>
    <row r="274" spans="29:29" x14ac:dyDescent="0.25">
      <c r="AC274" s="4"/>
    </row>
    <row r="275" spans="29:29" x14ac:dyDescent="0.25">
      <c r="AC275" s="4"/>
    </row>
    <row r="276" spans="29:29" x14ac:dyDescent="0.25">
      <c r="AC276" s="4"/>
    </row>
    <row r="277" spans="29:29" x14ac:dyDescent="0.25">
      <c r="AC277" s="4"/>
    </row>
    <row r="278" spans="29:29" x14ac:dyDescent="0.25">
      <c r="AC278" s="4"/>
    </row>
    <row r="279" spans="29:29" x14ac:dyDescent="0.25">
      <c r="AC279" s="4"/>
    </row>
    <row r="280" spans="29:29" x14ac:dyDescent="0.25">
      <c r="AC280" s="4"/>
    </row>
    <row r="281" spans="29:29" x14ac:dyDescent="0.25">
      <c r="AC281" s="4"/>
    </row>
    <row r="282" spans="29:29" x14ac:dyDescent="0.25">
      <c r="AC282" s="4"/>
    </row>
    <row r="283" spans="29:29" x14ac:dyDescent="0.25">
      <c r="AC283" s="4"/>
    </row>
    <row r="284" spans="29:29" x14ac:dyDescent="0.25">
      <c r="AC284" s="4"/>
    </row>
    <row r="285" spans="29:29" x14ac:dyDescent="0.25">
      <c r="AC285" s="4"/>
    </row>
    <row r="286" spans="29:29" x14ac:dyDescent="0.25">
      <c r="AC286" s="4"/>
    </row>
    <row r="287" spans="29:29" x14ac:dyDescent="0.25">
      <c r="AC287" s="4"/>
    </row>
    <row r="288" spans="29:29" x14ac:dyDescent="0.25">
      <c r="AC288" s="4"/>
    </row>
    <row r="289" spans="29:29" x14ac:dyDescent="0.25">
      <c r="AC289" s="4"/>
    </row>
    <row r="290" spans="29:29" x14ac:dyDescent="0.25">
      <c r="AC290" s="4"/>
    </row>
    <row r="291" spans="29:29" x14ac:dyDescent="0.25">
      <c r="AC291" s="4"/>
    </row>
    <row r="292" spans="29:29" x14ac:dyDescent="0.25">
      <c r="AC292" s="4"/>
    </row>
    <row r="293" spans="29:29" x14ac:dyDescent="0.25">
      <c r="AC293" s="4"/>
    </row>
    <row r="294" spans="29:29" x14ac:dyDescent="0.25">
      <c r="AC294" s="4"/>
    </row>
    <row r="295" spans="29:29" x14ac:dyDescent="0.25">
      <c r="AC295" s="4"/>
    </row>
    <row r="296" spans="29:29" x14ac:dyDescent="0.25">
      <c r="AC296" s="4"/>
    </row>
    <row r="297" spans="29:29" x14ac:dyDescent="0.25">
      <c r="AC297" s="4"/>
    </row>
    <row r="298" spans="29:29" x14ac:dyDescent="0.25">
      <c r="AC298" s="4"/>
    </row>
    <row r="299" spans="29:29" x14ac:dyDescent="0.25">
      <c r="AC299" s="4"/>
    </row>
    <row r="300" spans="29:29" x14ac:dyDescent="0.25">
      <c r="AC300" s="4"/>
    </row>
    <row r="301" spans="29:29" x14ac:dyDescent="0.25">
      <c r="AC301" s="4"/>
    </row>
    <row r="302" spans="29:29" x14ac:dyDescent="0.25">
      <c r="AC302" s="4"/>
    </row>
    <row r="303" spans="29:29" x14ac:dyDescent="0.25">
      <c r="AC303" s="4"/>
    </row>
    <row r="304" spans="29:29" x14ac:dyDescent="0.25">
      <c r="AC304" s="4"/>
    </row>
    <row r="305" spans="29:29" x14ac:dyDescent="0.25">
      <c r="AC305" s="4"/>
    </row>
    <row r="306" spans="29:29" x14ac:dyDescent="0.25">
      <c r="AC306" s="4"/>
    </row>
    <row r="307" spans="29:29" x14ac:dyDescent="0.25">
      <c r="AC307" s="4"/>
    </row>
    <row r="308" spans="29:29" x14ac:dyDescent="0.25">
      <c r="AC308" s="4"/>
    </row>
    <row r="309" spans="29:29" x14ac:dyDescent="0.25">
      <c r="AC309" s="4"/>
    </row>
    <row r="310" spans="29:29" x14ac:dyDescent="0.25">
      <c r="AC310" s="4"/>
    </row>
    <row r="311" spans="29:29" x14ac:dyDescent="0.25">
      <c r="AC311" s="4"/>
    </row>
    <row r="312" spans="29:29" x14ac:dyDescent="0.25">
      <c r="AC312" s="4"/>
    </row>
    <row r="313" spans="29:29" x14ac:dyDescent="0.25">
      <c r="AC313" s="4"/>
    </row>
    <row r="314" spans="29:29" x14ac:dyDescent="0.25">
      <c r="AC314" s="4"/>
    </row>
    <row r="315" spans="29:29" x14ac:dyDescent="0.25">
      <c r="AC315" s="4"/>
    </row>
    <row r="316" spans="29:29" x14ac:dyDescent="0.25">
      <c r="AC316" s="4"/>
    </row>
    <row r="317" spans="29:29" x14ac:dyDescent="0.25">
      <c r="AC317" s="4"/>
    </row>
    <row r="318" spans="29:29" x14ac:dyDescent="0.25">
      <c r="AC318" s="4"/>
    </row>
    <row r="319" spans="29:29" x14ac:dyDescent="0.25">
      <c r="AC319" s="4"/>
    </row>
    <row r="320" spans="29:29" x14ac:dyDescent="0.25">
      <c r="AC320" s="4"/>
    </row>
    <row r="321" spans="29:29" x14ac:dyDescent="0.25">
      <c r="AC321" s="4"/>
    </row>
    <row r="322" spans="29:29" x14ac:dyDescent="0.25">
      <c r="AC322" s="4"/>
    </row>
    <row r="323" spans="29:29" x14ac:dyDescent="0.25">
      <c r="AC323" s="4"/>
    </row>
    <row r="324" spans="29:29" x14ac:dyDescent="0.25">
      <c r="AC324" s="4"/>
    </row>
    <row r="325" spans="29:29" x14ac:dyDescent="0.25">
      <c r="AC325" s="4"/>
    </row>
    <row r="326" spans="29:29" x14ac:dyDescent="0.25">
      <c r="AC326" s="4"/>
    </row>
    <row r="327" spans="29:29" x14ac:dyDescent="0.25">
      <c r="AC327" s="4"/>
    </row>
    <row r="328" spans="29:29" x14ac:dyDescent="0.25">
      <c r="AC328" s="4"/>
    </row>
    <row r="329" spans="29:29" x14ac:dyDescent="0.25">
      <c r="AC329" s="4"/>
    </row>
    <row r="330" spans="29:29" x14ac:dyDescent="0.25">
      <c r="AC330" s="4"/>
    </row>
    <row r="331" spans="29:29" x14ac:dyDescent="0.25">
      <c r="AC331" s="4"/>
    </row>
    <row r="332" spans="29:29" x14ac:dyDescent="0.25">
      <c r="AC332" s="4"/>
    </row>
    <row r="333" spans="29:29" x14ac:dyDescent="0.25">
      <c r="AC333" s="4"/>
    </row>
    <row r="334" spans="29:29" x14ac:dyDescent="0.25">
      <c r="AC334" s="4"/>
    </row>
    <row r="335" spans="29:29" x14ac:dyDescent="0.25">
      <c r="AC335" s="4"/>
    </row>
    <row r="336" spans="29:29" x14ac:dyDescent="0.25">
      <c r="AC336" s="4"/>
    </row>
    <row r="337" spans="29:29" x14ac:dyDescent="0.25">
      <c r="AC337" s="4"/>
    </row>
    <row r="338" spans="29:29" x14ac:dyDescent="0.25">
      <c r="AC338" s="4"/>
    </row>
    <row r="339" spans="29:29" x14ac:dyDescent="0.25">
      <c r="AC339" s="4"/>
    </row>
    <row r="340" spans="29:29" x14ac:dyDescent="0.25">
      <c r="AC340" s="4"/>
    </row>
    <row r="341" spans="29:29" x14ac:dyDescent="0.25">
      <c r="AC341" s="4"/>
    </row>
    <row r="342" spans="29:29" x14ac:dyDescent="0.25">
      <c r="AC342" s="4"/>
    </row>
    <row r="343" spans="29:29" x14ac:dyDescent="0.25">
      <c r="AC343" s="4"/>
    </row>
    <row r="344" spans="29:29" x14ac:dyDescent="0.25">
      <c r="AC344" s="4"/>
    </row>
    <row r="345" spans="29:29" x14ac:dyDescent="0.25">
      <c r="AC345" s="4"/>
    </row>
    <row r="346" spans="29:29" x14ac:dyDescent="0.25">
      <c r="AC346" s="4"/>
    </row>
    <row r="347" spans="29:29" x14ac:dyDescent="0.25">
      <c r="AC347" s="4"/>
    </row>
    <row r="348" spans="29:29" x14ac:dyDescent="0.25">
      <c r="AC348" s="4"/>
    </row>
    <row r="349" spans="29:29" x14ac:dyDescent="0.25">
      <c r="AC349" s="4"/>
    </row>
    <row r="350" spans="29:29" x14ac:dyDescent="0.25">
      <c r="AC350" s="4"/>
    </row>
    <row r="351" spans="29:29" x14ac:dyDescent="0.25">
      <c r="AC351" s="4"/>
    </row>
    <row r="352" spans="29:29" x14ac:dyDescent="0.25">
      <c r="AC352" s="4"/>
    </row>
    <row r="353" spans="29:29" x14ac:dyDescent="0.25">
      <c r="AC353" s="4"/>
    </row>
    <row r="354" spans="29:29" x14ac:dyDescent="0.25">
      <c r="AC354" s="4"/>
    </row>
    <row r="355" spans="29:29" x14ac:dyDescent="0.25">
      <c r="AC355" s="4"/>
    </row>
    <row r="356" spans="29:29" x14ac:dyDescent="0.25">
      <c r="AC356" s="4"/>
    </row>
    <row r="357" spans="29:29" x14ac:dyDescent="0.25">
      <c r="AC357" s="4"/>
    </row>
    <row r="358" spans="29:29" x14ac:dyDescent="0.25">
      <c r="AC358" s="4"/>
    </row>
    <row r="359" spans="29:29" x14ac:dyDescent="0.25">
      <c r="AC359" s="4"/>
    </row>
    <row r="360" spans="29:29" x14ac:dyDescent="0.25">
      <c r="AC360" s="4"/>
    </row>
    <row r="361" spans="29:29" x14ac:dyDescent="0.25">
      <c r="AC361" s="4"/>
    </row>
    <row r="362" spans="29:29" x14ac:dyDescent="0.25">
      <c r="AC362" s="4"/>
    </row>
    <row r="363" spans="29:29" x14ac:dyDescent="0.25">
      <c r="AC363" s="4"/>
    </row>
    <row r="364" spans="29:29" x14ac:dyDescent="0.25">
      <c r="AC364" s="4"/>
    </row>
    <row r="365" spans="29:29" x14ac:dyDescent="0.25">
      <c r="AC365" s="4"/>
    </row>
    <row r="366" spans="29:29" x14ac:dyDescent="0.25">
      <c r="AC366" s="4"/>
    </row>
    <row r="367" spans="29:29" x14ac:dyDescent="0.25">
      <c r="AC367" s="4"/>
    </row>
    <row r="368" spans="29:29" x14ac:dyDescent="0.25">
      <c r="AC368" s="4"/>
    </row>
    <row r="369" spans="29:29" x14ac:dyDescent="0.25">
      <c r="AC369" s="4"/>
    </row>
    <row r="370" spans="29:29" x14ac:dyDescent="0.25">
      <c r="AC370" s="4"/>
    </row>
    <row r="371" spans="29:29" x14ac:dyDescent="0.25">
      <c r="AC371" s="4"/>
    </row>
    <row r="372" spans="29:29" x14ac:dyDescent="0.25">
      <c r="AC372" s="4"/>
    </row>
    <row r="373" spans="29:29" x14ac:dyDescent="0.25">
      <c r="AC373" s="4"/>
    </row>
    <row r="374" spans="29:29" x14ac:dyDescent="0.25">
      <c r="AC374" s="4"/>
    </row>
    <row r="375" spans="29:29" x14ac:dyDescent="0.25">
      <c r="AC375" s="4"/>
    </row>
    <row r="376" spans="29:29" x14ac:dyDescent="0.25">
      <c r="AC376" s="4"/>
    </row>
    <row r="377" spans="29:29" x14ac:dyDescent="0.25">
      <c r="AC377" s="4"/>
    </row>
    <row r="378" spans="29:29" x14ac:dyDescent="0.25">
      <c r="AC378" s="4"/>
    </row>
    <row r="379" spans="29:29" x14ac:dyDescent="0.25">
      <c r="AC379" s="4"/>
    </row>
    <row r="380" spans="29:29" x14ac:dyDescent="0.25">
      <c r="AC380" s="4"/>
    </row>
    <row r="381" spans="29:29" x14ac:dyDescent="0.25">
      <c r="AC381" s="4"/>
    </row>
    <row r="382" spans="29:29" x14ac:dyDescent="0.25">
      <c r="AC382" s="4"/>
    </row>
    <row r="383" spans="29:29" x14ac:dyDescent="0.25">
      <c r="AC383" s="4"/>
    </row>
    <row r="384" spans="29:29" x14ac:dyDescent="0.25">
      <c r="AC384" s="4"/>
    </row>
    <row r="385" spans="29:29" x14ac:dyDescent="0.25">
      <c r="AC385" s="4"/>
    </row>
    <row r="386" spans="29:29" x14ac:dyDescent="0.25">
      <c r="AC386" s="4"/>
    </row>
    <row r="387" spans="29:29" x14ac:dyDescent="0.25">
      <c r="AC387" s="4"/>
    </row>
    <row r="388" spans="29:29" x14ac:dyDescent="0.25">
      <c r="AC388" s="4"/>
    </row>
    <row r="389" spans="29:29" x14ac:dyDescent="0.25">
      <c r="AC389" s="4"/>
    </row>
    <row r="390" spans="29:29" x14ac:dyDescent="0.25">
      <c r="AC390" s="4"/>
    </row>
    <row r="391" spans="29:29" x14ac:dyDescent="0.25">
      <c r="AC391" s="4"/>
    </row>
    <row r="392" spans="29:29" x14ac:dyDescent="0.25">
      <c r="AC392" s="4"/>
    </row>
    <row r="393" spans="29:29" x14ac:dyDescent="0.25">
      <c r="AC393" s="4"/>
    </row>
    <row r="394" spans="29:29" x14ac:dyDescent="0.25">
      <c r="AC394" s="4"/>
    </row>
    <row r="395" spans="29:29" x14ac:dyDescent="0.25">
      <c r="AC395" s="4"/>
    </row>
    <row r="396" spans="29:29" x14ac:dyDescent="0.25">
      <c r="AC396" s="4"/>
    </row>
    <row r="397" spans="29:29" x14ac:dyDescent="0.25">
      <c r="AC397" s="4"/>
    </row>
    <row r="398" spans="29:29" x14ac:dyDescent="0.25">
      <c r="AC398" s="4"/>
    </row>
    <row r="399" spans="29:29" x14ac:dyDescent="0.25">
      <c r="AC399" s="4"/>
    </row>
    <row r="400" spans="29:29" x14ac:dyDescent="0.25">
      <c r="AC400" s="4"/>
    </row>
    <row r="401" spans="29:29" x14ac:dyDescent="0.25">
      <c r="AC401" s="4"/>
    </row>
    <row r="402" spans="29:29" x14ac:dyDescent="0.25">
      <c r="AC402" s="4"/>
    </row>
    <row r="403" spans="29:29" x14ac:dyDescent="0.25">
      <c r="AC403" s="4"/>
    </row>
    <row r="404" spans="29:29" x14ac:dyDescent="0.25">
      <c r="AC404" s="4"/>
    </row>
    <row r="405" spans="29:29" x14ac:dyDescent="0.25">
      <c r="AC405" s="4"/>
    </row>
    <row r="406" spans="29:29" x14ac:dyDescent="0.25">
      <c r="AC406" s="4"/>
    </row>
    <row r="407" spans="29:29" x14ac:dyDescent="0.25">
      <c r="AC407" s="4"/>
    </row>
    <row r="408" spans="29:29" x14ac:dyDescent="0.25">
      <c r="AC408" s="4"/>
    </row>
    <row r="409" spans="29:29" x14ac:dyDescent="0.25">
      <c r="AC409" s="4"/>
    </row>
    <row r="410" spans="29:29" x14ac:dyDescent="0.25">
      <c r="AC410" s="4"/>
    </row>
    <row r="411" spans="29:29" x14ac:dyDescent="0.25">
      <c r="AC411" s="4"/>
    </row>
    <row r="412" spans="29:29" x14ac:dyDescent="0.25">
      <c r="AC412" s="4"/>
    </row>
    <row r="413" spans="29:29" x14ac:dyDescent="0.25">
      <c r="AC413" s="4"/>
    </row>
    <row r="414" spans="29:29" x14ac:dyDescent="0.25">
      <c r="AC414" s="4"/>
    </row>
    <row r="415" spans="29:29" x14ac:dyDescent="0.25">
      <c r="AC415" s="4"/>
    </row>
    <row r="416" spans="29:29" x14ac:dyDescent="0.25">
      <c r="AC416" s="4"/>
    </row>
    <row r="417" spans="29:29" x14ac:dyDescent="0.25">
      <c r="AC417" s="4"/>
    </row>
    <row r="418" spans="29:29" x14ac:dyDescent="0.25">
      <c r="AC418" s="4"/>
    </row>
    <row r="419" spans="29:29" x14ac:dyDescent="0.25">
      <c r="AC419" s="4"/>
    </row>
    <row r="420" spans="29:29" x14ac:dyDescent="0.25">
      <c r="AC420" s="4"/>
    </row>
    <row r="421" spans="29:29" x14ac:dyDescent="0.25">
      <c r="AC421" s="4"/>
    </row>
    <row r="422" spans="29:29" x14ac:dyDescent="0.25">
      <c r="AC422" s="4"/>
    </row>
    <row r="423" spans="29:29" x14ac:dyDescent="0.25">
      <c r="AC423" s="4"/>
    </row>
    <row r="424" spans="29:29" x14ac:dyDescent="0.25">
      <c r="AC424" s="4"/>
    </row>
    <row r="425" spans="29:29" x14ac:dyDescent="0.25">
      <c r="AC425" s="4"/>
    </row>
    <row r="426" spans="29:29" x14ac:dyDescent="0.25">
      <c r="AC426" s="4"/>
    </row>
    <row r="427" spans="29:29" x14ac:dyDescent="0.25">
      <c r="AC427" s="4"/>
    </row>
    <row r="428" spans="29:29" x14ac:dyDescent="0.25">
      <c r="AC428" s="4"/>
    </row>
    <row r="429" spans="29:29" x14ac:dyDescent="0.25">
      <c r="AC429" s="4"/>
    </row>
    <row r="430" spans="29:29" x14ac:dyDescent="0.25">
      <c r="AC430" s="4"/>
    </row>
    <row r="431" spans="29:29" x14ac:dyDescent="0.25">
      <c r="AC431" s="4"/>
    </row>
    <row r="432" spans="29:29" x14ac:dyDescent="0.25">
      <c r="AC432" s="4"/>
    </row>
    <row r="433" spans="29:29" x14ac:dyDescent="0.25">
      <c r="AC433" s="4"/>
    </row>
    <row r="434" spans="29:29" x14ac:dyDescent="0.25">
      <c r="AC434" s="4"/>
    </row>
    <row r="435" spans="29:29" x14ac:dyDescent="0.25">
      <c r="AC435" s="4"/>
    </row>
    <row r="436" spans="29:29" x14ac:dyDescent="0.25">
      <c r="AC436" s="4"/>
    </row>
    <row r="437" spans="29:29" x14ac:dyDescent="0.25">
      <c r="AC437" s="4"/>
    </row>
    <row r="438" spans="29:29" x14ac:dyDescent="0.25">
      <c r="AC438" s="4"/>
    </row>
    <row r="439" spans="29:29" x14ac:dyDescent="0.25">
      <c r="AC439" s="4"/>
    </row>
    <row r="440" spans="29:29" x14ac:dyDescent="0.25">
      <c r="AC440" s="4"/>
    </row>
    <row r="441" spans="29:29" x14ac:dyDescent="0.25">
      <c r="AC441" s="4"/>
    </row>
    <row r="442" spans="29:29" x14ac:dyDescent="0.25">
      <c r="AC442" s="4"/>
    </row>
    <row r="443" spans="29:29" x14ac:dyDescent="0.25">
      <c r="AC443" s="4"/>
    </row>
    <row r="444" spans="29:29" x14ac:dyDescent="0.25">
      <c r="AC444" s="4"/>
    </row>
    <row r="445" spans="29:29" x14ac:dyDescent="0.25">
      <c r="AC445" s="4"/>
    </row>
    <row r="446" spans="29:29" x14ac:dyDescent="0.25">
      <c r="AC446" s="4"/>
    </row>
    <row r="447" spans="29:29" x14ac:dyDescent="0.25">
      <c r="AC447" s="4"/>
    </row>
    <row r="448" spans="29:29" x14ac:dyDescent="0.25">
      <c r="AC448" s="4"/>
    </row>
    <row r="449" spans="29:29" x14ac:dyDescent="0.25">
      <c r="AC449" s="4"/>
    </row>
    <row r="450" spans="29:29" x14ac:dyDescent="0.25">
      <c r="AC450" s="4"/>
    </row>
    <row r="451" spans="29:29" x14ac:dyDescent="0.25">
      <c r="AC451" s="4"/>
    </row>
    <row r="452" spans="29:29" x14ac:dyDescent="0.25">
      <c r="AC452" s="4"/>
    </row>
    <row r="453" spans="29:29" x14ac:dyDescent="0.25">
      <c r="AC453" s="4"/>
    </row>
    <row r="454" spans="29:29" x14ac:dyDescent="0.25">
      <c r="AC454" s="4"/>
    </row>
    <row r="455" spans="29:29" x14ac:dyDescent="0.25">
      <c r="AC455" s="4"/>
    </row>
    <row r="456" spans="29:29" x14ac:dyDescent="0.25">
      <c r="AC456" s="4"/>
    </row>
    <row r="457" spans="29:29" x14ac:dyDescent="0.25">
      <c r="AC457" s="4"/>
    </row>
    <row r="458" spans="29:29" x14ac:dyDescent="0.25">
      <c r="AC458" s="4"/>
    </row>
    <row r="459" spans="29:29" x14ac:dyDescent="0.25">
      <c r="AC459" s="4"/>
    </row>
    <row r="460" spans="29:29" x14ac:dyDescent="0.25">
      <c r="AC460" s="4"/>
    </row>
    <row r="461" spans="29:29" x14ac:dyDescent="0.25">
      <c r="AC461" s="4"/>
    </row>
    <row r="462" spans="29:29" x14ac:dyDescent="0.25">
      <c r="AC462" s="4"/>
    </row>
    <row r="463" spans="29:29" x14ac:dyDescent="0.25">
      <c r="AC463" s="4"/>
    </row>
    <row r="464" spans="29:29" x14ac:dyDescent="0.25">
      <c r="AC464" s="4"/>
    </row>
    <row r="465" spans="29:29" x14ac:dyDescent="0.25">
      <c r="AC465" s="4"/>
    </row>
    <row r="466" spans="29:29" x14ac:dyDescent="0.25">
      <c r="AC466" s="4"/>
    </row>
    <row r="467" spans="29:29" x14ac:dyDescent="0.25">
      <c r="AC467" s="4"/>
    </row>
    <row r="468" spans="29:29" x14ac:dyDescent="0.25">
      <c r="AC468" s="4"/>
    </row>
    <row r="469" spans="29:29" x14ac:dyDescent="0.25">
      <c r="AC469" s="4"/>
    </row>
    <row r="470" spans="29:29" x14ac:dyDescent="0.25">
      <c r="AC470" s="4"/>
    </row>
    <row r="471" spans="29:29" x14ac:dyDescent="0.25">
      <c r="AC471" s="4"/>
    </row>
    <row r="472" spans="29:29" x14ac:dyDescent="0.25">
      <c r="AC472" s="4"/>
    </row>
    <row r="473" spans="29:29" x14ac:dyDescent="0.25">
      <c r="AC473" s="4"/>
    </row>
    <row r="474" spans="29:29" x14ac:dyDescent="0.25">
      <c r="AC474" s="4"/>
    </row>
    <row r="475" spans="29:29" x14ac:dyDescent="0.25">
      <c r="AC475" s="4"/>
    </row>
    <row r="476" spans="29:29" x14ac:dyDescent="0.25">
      <c r="AC476" s="4"/>
    </row>
    <row r="477" spans="29:29" x14ac:dyDescent="0.25">
      <c r="AC477" s="4"/>
    </row>
    <row r="478" spans="29:29" x14ac:dyDescent="0.25">
      <c r="AC478" s="4"/>
    </row>
    <row r="479" spans="29:29" x14ac:dyDescent="0.25">
      <c r="AC479" s="4"/>
    </row>
    <row r="480" spans="29:29" x14ac:dyDescent="0.25">
      <c r="AC480" s="4"/>
    </row>
    <row r="481" spans="29:29" x14ac:dyDescent="0.25">
      <c r="AC481" s="4"/>
    </row>
    <row r="482" spans="29:29" x14ac:dyDescent="0.25">
      <c r="AC482" s="4"/>
    </row>
    <row r="483" spans="29:29" x14ac:dyDescent="0.25">
      <c r="AC483" s="4"/>
    </row>
    <row r="484" spans="29:29" x14ac:dyDescent="0.25">
      <c r="AC484" s="4"/>
    </row>
    <row r="485" spans="29:29" x14ac:dyDescent="0.25">
      <c r="AC485" s="4"/>
    </row>
    <row r="486" spans="29:29" x14ac:dyDescent="0.25">
      <c r="AC486" s="4"/>
    </row>
    <row r="487" spans="29:29" x14ac:dyDescent="0.25">
      <c r="AC487" s="4"/>
    </row>
    <row r="488" spans="29:29" x14ac:dyDescent="0.25">
      <c r="AC488" s="4"/>
    </row>
    <row r="489" spans="29:29" x14ac:dyDescent="0.25">
      <c r="AC489" s="4"/>
    </row>
    <row r="490" spans="29:29" x14ac:dyDescent="0.25">
      <c r="AC490" s="4"/>
    </row>
    <row r="491" spans="29:29" x14ac:dyDescent="0.25">
      <c r="AC491" s="4"/>
    </row>
    <row r="492" spans="29:29" x14ac:dyDescent="0.25">
      <c r="AC492" s="4"/>
    </row>
    <row r="493" spans="29:29" x14ac:dyDescent="0.25">
      <c r="AC493" s="4"/>
    </row>
    <row r="494" spans="29:29" x14ac:dyDescent="0.25">
      <c r="AC494" s="4"/>
    </row>
    <row r="495" spans="29:29" x14ac:dyDescent="0.25">
      <c r="AC495" s="4"/>
    </row>
    <row r="496" spans="29:29" x14ac:dyDescent="0.25">
      <c r="AC496" s="4"/>
    </row>
    <row r="497" spans="29:29" x14ac:dyDescent="0.25">
      <c r="AC497" s="4"/>
    </row>
    <row r="498" spans="29:29" x14ac:dyDescent="0.25">
      <c r="AC498" s="4"/>
    </row>
    <row r="499" spans="29:29" x14ac:dyDescent="0.25">
      <c r="AC499" s="4"/>
    </row>
    <row r="500" spans="29:29" x14ac:dyDescent="0.25">
      <c r="AC500" s="4"/>
    </row>
    <row r="501" spans="29:29" x14ac:dyDescent="0.25">
      <c r="AC501" s="4"/>
    </row>
    <row r="502" spans="29:29" x14ac:dyDescent="0.25">
      <c r="AC502" s="4"/>
    </row>
    <row r="503" spans="29:29" x14ac:dyDescent="0.25">
      <c r="AC503" s="4"/>
    </row>
    <row r="504" spans="29:29" x14ac:dyDescent="0.25">
      <c r="AC504" s="4"/>
    </row>
    <row r="505" spans="29:29" x14ac:dyDescent="0.25">
      <c r="AC505" s="4"/>
    </row>
    <row r="506" spans="29:29" x14ac:dyDescent="0.25">
      <c r="AC506" s="4"/>
    </row>
    <row r="507" spans="29:29" x14ac:dyDescent="0.25">
      <c r="AC507" s="4"/>
    </row>
    <row r="508" spans="29:29" x14ac:dyDescent="0.25">
      <c r="AC508" s="4"/>
    </row>
    <row r="509" spans="29:29" x14ac:dyDescent="0.25">
      <c r="AC509" s="4"/>
    </row>
    <row r="510" spans="29:29" x14ac:dyDescent="0.25">
      <c r="AC510" s="4"/>
    </row>
    <row r="511" spans="29:29" x14ac:dyDescent="0.25">
      <c r="AC511" s="4"/>
    </row>
    <row r="512" spans="29:29" x14ac:dyDescent="0.25">
      <c r="AC512" s="4"/>
    </row>
    <row r="513" spans="29:29" x14ac:dyDescent="0.25">
      <c r="AC513" s="4"/>
    </row>
    <row r="514" spans="29:29" x14ac:dyDescent="0.25">
      <c r="AC514" s="4"/>
    </row>
    <row r="515" spans="29:29" x14ac:dyDescent="0.25">
      <c r="AC515" s="4"/>
    </row>
    <row r="516" spans="29:29" x14ac:dyDescent="0.25">
      <c r="AC516" s="4"/>
    </row>
    <row r="517" spans="29:29" x14ac:dyDescent="0.25">
      <c r="AC517" s="4"/>
    </row>
    <row r="518" spans="29:29" x14ac:dyDescent="0.25">
      <c r="AC518" s="4"/>
    </row>
    <row r="519" spans="29:29" x14ac:dyDescent="0.25">
      <c r="AC519" s="4"/>
    </row>
    <row r="520" spans="29:29" x14ac:dyDescent="0.25">
      <c r="AC520" s="4"/>
    </row>
    <row r="521" spans="29:29" x14ac:dyDescent="0.25">
      <c r="AC521" s="4"/>
    </row>
    <row r="522" spans="29:29" x14ac:dyDescent="0.25">
      <c r="AC522" s="4"/>
    </row>
    <row r="523" spans="29:29" x14ac:dyDescent="0.25">
      <c r="AC523" s="4"/>
    </row>
    <row r="524" spans="29:29" x14ac:dyDescent="0.25">
      <c r="AC524" s="4"/>
    </row>
    <row r="525" spans="29:29" x14ac:dyDescent="0.25">
      <c r="AC525" s="4"/>
    </row>
    <row r="526" spans="29:29" x14ac:dyDescent="0.25">
      <c r="AC526" s="4"/>
    </row>
    <row r="527" spans="29:29" x14ac:dyDescent="0.25">
      <c r="AC527" s="4"/>
    </row>
    <row r="528" spans="29:29" x14ac:dyDescent="0.25">
      <c r="AC528" s="4"/>
    </row>
    <row r="529" spans="29:29" x14ac:dyDescent="0.25">
      <c r="AC529" s="4"/>
    </row>
    <row r="530" spans="29:29" x14ac:dyDescent="0.25">
      <c r="AC530" s="4"/>
    </row>
    <row r="531" spans="29:29" x14ac:dyDescent="0.25">
      <c r="AC531" s="4"/>
    </row>
    <row r="532" spans="29:29" x14ac:dyDescent="0.25">
      <c r="AC532" s="4"/>
    </row>
    <row r="533" spans="29:29" x14ac:dyDescent="0.25">
      <c r="AC533" s="4"/>
    </row>
    <row r="534" spans="29:29" x14ac:dyDescent="0.25">
      <c r="AC534" s="4"/>
    </row>
    <row r="535" spans="29:29" x14ac:dyDescent="0.25">
      <c r="AC535" s="4"/>
    </row>
    <row r="536" spans="29:29" x14ac:dyDescent="0.25">
      <c r="AC536" s="4"/>
    </row>
    <row r="537" spans="29:29" x14ac:dyDescent="0.25">
      <c r="AC537" s="4"/>
    </row>
    <row r="538" spans="29:29" x14ac:dyDescent="0.25">
      <c r="AC538" s="4"/>
    </row>
    <row r="539" spans="29:29" x14ac:dyDescent="0.25">
      <c r="AC539" s="4"/>
    </row>
    <row r="540" spans="29:29" x14ac:dyDescent="0.25">
      <c r="AC540" s="4"/>
    </row>
    <row r="541" spans="29:29" x14ac:dyDescent="0.25">
      <c r="AC541" s="4"/>
    </row>
    <row r="542" spans="29:29" x14ac:dyDescent="0.25">
      <c r="AC542" s="4"/>
    </row>
    <row r="543" spans="29:29" x14ac:dyDescent="0.25">
      <c r="AC543" s="4"/>
    </row>
    <row r="544" spans="29:29" x14ac:dyDescent="0.25">
      <c r="AC544" s="4"/>
    </row>
    <row r="545" spans="29:29" x14ac:dyDescent="0.25">
      <c r="AC545" s="4"/>
    </row>
    <row r="546" spans="29:29" x14ac:dyDescent="0.25">
      <c r="AC546" s="4"/>
    </row>
    <row r="547" spans="29:29" x14ac:dyDescent="0.25">
      <c r="AC547" s="4"/>
    </row>
    <row r="548" spans="29:29" x14ac:dyDescent="0.25">
      <c r="AC548" s="4"/>
    </row>
    <row r="549" spans="29:29" x14ac:dyDescent="0.25">
      <c r="AC549" s="4"/>
    </row>
    <row r="550" spans="29:29" x14ac:dyDescent="0.25">
      <c r="AC550" s="4"/>
    </row>
    <row r="551" spans="29:29" x14ac:dyDescent="0.25">
      <c r="AC551" s="4"/>
    </row>
    <row r="552" spans="29:29" x14ac:dyDescent="0.25">
      <c r="AC552" s="4"/>
    </row>
    <row r="553" spans="29:29" x14ac:dyDescent="0.25">
      <c r="AC553" s="4"/>
    </row>
    <row r="554" spans="29:29" x14ac:dyDescent="0.25">
      <c r="AC554" s="4"/>
    </row>
    <row r="555" spans="29:29" x14ac:dyDescent="0.25">
      <c r="AC555" s="4"/>
    </row>
    <row r="556" spans="29:29" x14ac:dyDescent="0.25">
      <c r="AC556" s="4"/>
    </row>
    <row r="557" spans="29:29" x14ac:dyDescent="0.25">
      <c r="AC557" s="4"/>
    </row>
    <row r="558" spans="29:29" x14ac:dyDescent="0.25">
      <c r="AC558" s="4"/>
    </row>
    <row r="559" spans="29:29" x14ac:dyDescent="0.25">
      <c r="AC559" s="4"/>
    </row>
    <row r="560" spans="29:29" x14ac:dyDescent="0.25">
      <c r="AC560" s="4"/>
    </row>
    <row r="561" spans="29:29" x14ac:dyDescent="0.25">
      <c r="AC561" s="4"/>
    </row>
    <row r="562" spans="29:29" x14ac:dyDescent="0.25">
      <c r="AC562" s="4"/>
    </row>
    <row r="563" spans="29:29" x14ac:dyDescent="0.25">
      <c r="AC563" s="4"/>
    </row>
    <row r="564" spans="29:29" x14ac:dyDescent="0.25">
      <c r="AC564" s="4"/>
    </row>
    <row r="565" spans="29:29" x14ac:dyDescent="0.25">
      <c r="AC565" s="4"/>
    </row>
    <row r="566" spans="29:29" x14ac:dyDescent="0.25">
      <c r="AC566" s="4"/>
    </row>
    <row r="567" spans="29:29" x14ac:dyDescent="0.25">
      <c r="AC567" s="4"/>
    </row>
    <row r="568" spans="29:29" x14ac:dyDescent="0.25">
      <c r="AC568" s="4"/>
    </row>
    <row r="569" spans="29:29" x14ac:dyDescent="0.25">
      <c r="AC569" s="4"/>
    </row>
    <row r="570" spans="29:29" x14ac:dyDescent="0.25">
      <c r="AC570" s="4"/>
    </row>
    <row r="571" spans="29:29" x14ac:dyDescent="0.25">
      <c r="AC571" s="4"/>
    </row>
    <row r="572" spans="29:29" x14ac:dyDescent="0.25">
      <c r="AC572" s="4"/>
    </row>
    <row r="573" spans="29:29" x14ac:dyDescent="0.25">
      <c r="AC573" s="4"/>
    </row>
    <row r="574" spans="29:29" x14ac:dyDescent="0.25">
      <c r="AC574" s="4"/>
    </row>
    <row r="575" spans="29:29" x14ac:dyDescent="0.25">
      <c r="AC575" s="4"/>
    </row>
    <row r="576" spans="29:29" x14ac:dyDescent="0.25">
      <c r="AC576" s="4"/>
    </row>
    <row r="577" spans="29:29" x14ac:dyDescent="0.25">
      <c r="AC577" s="4"/>
    </row>
    <row r="578" spans="29:29" x14ac:dyDescent="0.25">
      <c r="AC578" s="4"/>
    </row>
    <row r="579" spans="29:29" x14ac:dyDescent="0.25">
      <c r="AC579" s="4"/>
    </row>
    <row r="580" spans="29:29" x14ac:dyDescent="0.25">
      <c r="AC580" s="4"/>
    </row>
    <row r="581" spans="29:29" x14ac:dyDescent="0.25">
      <c r="AC581" s="4"/>
    </row>
    <row r="582" spans="29:29" x14ac:dyDescent="0.25">
      <c r="AC582" s="4"/>
    </row>
    <row r="583" spans="29:29" x14ac:dyDescent="0.25">
      <c r="AC583" s="4"/>
    </row>
    <row r="584" spans="29:29" x14ac:dyDescent="0.25">
      <c r="AC584" s="4"/>
    </row>
    <row r="585" spans="29:29" x14ac:dyDescent="0.25">
      <c r="AC585" s="4"/>
    </row>
    <row r="586" spans="29:29" x14ac:dyDescent="0.25">
      <c r="AC586" s="4"/>
    </row>
    <row r="587" spans="29:29" x14ac:dyDescent="0.25">
      <c r="AC587" s="4"/>
    </row>
    <row r="588" spans="29:29" x14ac:dyDescent="0.25">
      <c r="AC588" s="4"/>
    </row>
    <row r="589" spans="29:29" x14ac:dyDescent="0.25">
      <c r="AC589" s="4"/>
    </row>
    <row r="590" spans="29:29" x14ac:dyDescent="0.25">
      <c r="AC590" s="4"/>
    </row>
    <row r="591" spans="29:29" x14ac:dyDescent="0.25">
      <c r="AC591" s="4"/>
    </row>
    <row r="592" spans="29:29" x14ac:dyDescent="0.25">
      <c r="AC592" s="4"/>
    </row>
    <row r="593" spans="29:29" x14ac:dyDescent="0.25">
      <c r="AC593" s="4"/>
    </row>
    <row r="594" spans="29:29" x14ac:dyDescent="0.25">
      <c r="AC594" s="4"/>
    </row>
    <row r="595" spans="29:29" x14ac:dyDescent="0.25">
      <c r="AC595" s="4"/>
    </row>
    <row r="596" spans="29:29" x14ac:dyDescent="0.25">
      <c r="AC596" s="4"/>
    </row>
    <row r="597" spans="29:29" x14ac:dyDescent="0.25">
      <c r="AC597" s="4"/>
    </row>
    <row r="598" spans="29:29" x14ac:dyDescent="0.25">
      <c r="AC598" s="4"/>
    </row>
    <row r="599" spans="29:29" x14ac:dyDescent="0.25">
      <c r="AC599" s="4"/>
    </row>
    <row r="600" spans="29:29" x14ac:dyDescent="0.25">
      <c r="AC600" s="4"/>
    </row>
    <row r="601" spans="29:29" x14ac:dyDescent="0.25">
      <c r="AC601" s="4"/>
    </row>
    <row r="602" spans="29:29" x14ac:dyDescent="0.25">
      <c r="AC602" s="4"/>
    </row>
    <row r="603" spans="29:29" x14ac:dyDescent="0.25">
      <c r="AC603" s="4"/>
    </row>
    <row r="604" spans="29:29" x14ac:dyDescent="0.25">
      <c r="AC604" s="4"/>
    </row>
    <row r="605" spans="29:29" x14ac:dyDescent="0.25">
      <c r="AC605" s="4"/>
    </row>
    <row r="606" spans="29:29" x14ac:dyDescent="0.25">
      <c r="AC606" s="4"/>
    </row>
    <row r="607" spans="29:29" x14ac:dyDescent="0.25">
      <c r="AC607" s="4"/>
    </row>
    <row r="608" spans="29:29" x14ac:dyDescent="0.25">
      <c r="AC608" s="4"/>
    </row>
    <row r="609" spans="29:29" x14ac:dyDescent="0.25">
      <c r="AC609" s="4"/>
    </row>
    <row r="610" spans="29:29" x14ac:dyDescent="0.25">
      <c r="AC610" s="4"/>
    </row>
    <row r="611" spans="29:29" x14ac:dyDescent="0.25">
      <c r="AC611" s="4"/>
    </row>
    <row r="612" spans="29:29" x14ac:dyDescent="0.25">
      <c r="AC612" s="4"/>
    </row>
    <row r="613" spans="29:29" x14ac:dyDescent="0.25">
      <c r="AC613" s="4"/>
    </row>
    <row r="614" spans="29:29" x14ac:dyDescent="0.25">
      <c r="AC614" s="4"/>
    </row>
    <row r="615" spans="29:29" x14ac:dyDescent="0.25">
      <c r="AC615" s="4"/>
    </row>
    <row r="616" spans="29:29" x14ac:dyDescent="0.25">
      <c r="AC616" s="4"/>
    </row>
    <row r="617" spans="29:29" x14ac:dyDescent="0.25">
      <c r="AC617" s="4"/>
    </row>
    <row r="618" spans="29:29" x14ac:dyDescent="0.25">
      <c r="AC618" s="4"/>
    </row>
    <row r="619" spans="29:29" x14ac:dyDescent="0.25">
      <c r="AC619" s="4"/>
    </row>
    <row r="620" spans="29:29" x14ac:dyDescent="0.25">
      <c r="AC620" s="4"/>
    </row>
    <row r="621" spans="29:29" x14ac:dyDescent="0.25">
      <c r="AC621" s="4"/>
    </row>
    <row r="622" spans="29:29" x14ac:dyDescent="0.25">
      <c r="AC622" s="4"/>
    </row>
    <row r="623" spans="29:29" x14ac:dyDescent="0.25">
      <c r="AC623" s="4"/>
    </row>
    <row r="624" spans="29:29" x14ac:dyDescent="0.25">
      <c r="AC624" s="4"/>
    </row>
    <row r="625" spans="29:29" x14ac:dyDescent="0.25">
      <c r="AC625" s="4"/>
    </row>
    <row r="626" spans="29:29" x14ac:dyDescent="0.25">
      <c r="AC626" s="4"/>
    </row>
    <row r="627" spans="29:29" x14ac:dyDescent="0.25">
      <c r="AC627" s="4"/>
    </row>
    <row r="628" spans="29:29" x14ac:dyDescent="0.25">
      <c r="AC628" s="4"/>
    </row>
    <row r="629" spans="29:29" x14ac:dyDescent="0.25">
      <c r="AC629" s="4"/>
    </row>
    <row r="630" spans="29:29" x14ac:dyDescent="0.25">
      <c r="AC630" s="4"/>
    </row>
    <row r="631" spans="29:29" x14ac:dyDescent="0.25">
      <c r="AC631" s="4"/>
    </row>
    <row r="632" spans="29:29" x14ac:dyDescent="0.25">
      <c r="AC632" s="4"/>
    </row>
    <row r="633" spans="29:29" x14ac:dyDescent="0.25">
      <c r="AC633" s="4"/>
    </row>
    <row r="634" spans="29:29" x14ac:dyDescent="0.25">
      <c r="AC634" s="4"/>
    </row>
    <row r="635" spans="29:29" x14ac:dyDescent="0.25">
      <c r="AC635" s="4"/>
    </row>
    <row r="636" spans="29:29" x14ac:dyDescent="0.25">
      <c r="AC636" s="4"/>
    </row>
    <row r="637" spans="29:29" x14ac:dyDescent="0.25">
      <c r="AC637" s="4"/>
    </row>
    <row r="638" spans="29:29" x14ac:dyDescent="0.25">
      <c r="AC638" s="4"/>
    </row>
    <row r="639" spans="29:29" x14ac:dyDescent="0.25">
      <c r="AC639" s="4"/>
    </row>
    <row r="640" spans="29:29" x14ac:dyDescent="0.25">
      <c r="AC640" s="4"/>
    </row>
    <row r="641" spans="29:29" x14ac:dyDescent="0.25">
      <c r="AC641" s="4"/>
    </row>
    <row r="642" spans="29:29" x14ac:dyDescent="0.25">
      <c r="AC642" s="4"/>
    </row>
    <row r="643" spans="29:29" x14ac:dyDescent="0.25">
      <c r="AC643" s="4"/>
    </row>
    <row r="644" spans="29:29" x14ac:dyDescent="0.25">
      <c r="AC644" s="4"/>
    </row>
    <row r="645" spans="29:29" x14ac:dyDescent="0.25">
      <c r="AC645" s="4"/>
    </row>
    <row r="646" spans="29:29" x14ac:dyDescent="0.25">
      <c r="AC646" s="4"/>
    </row>
    <row r="647" spans="29:29" x14ac:dyDescent="0.25">
      <c r="AC647" s="4"/>
    </row>
    <row r="648" spans="29:29" x14ac:dyDescent="0.25">
      <c r="AC648" s="4"/>
    </row>
    <row r="649" spans="29:29" x14ac:dyDescent="0.25">
      <c r="AC649" s="4"/>
    </row>
    <row r="650" spans="29:29" x14ac:dyDescent="0.25">
      <c r="AC650" s="4"/>
    </row>
    <row r="651" spans="29:29" x14ac:dyDescent="0.25">
      <c r="AC651" s="4"/>
    </row>
    <row r="652" spans="29:29" x14ac:dyDescent="0.25">
      <c r="AC652" s="4"/>
    </row>
    <row r="653" spans="29:29" x14ac:dyDescent="0.25">
      <c r="AC653" s="4"/>
    </row>
    <row r="654" spans="29:29" x14ac:dyDescent="0.25">
      <c r="AC654" s="4"/>
    </row>
    <row r="655" spans="29:29" x14ac:dyDescent="0.25">
      <c r="AC655" s="4"/>
    </row>
    <row r="656" spans="29:29" x14ac:dyDescent="0.25">
      <c r="AC656" s="4"/>
    </row>
    <row r="657" spans="29:29" x14ac:dyDescent="0.25">
      <c r="AC657" s="4"/>
    </row>
    <row r="658" spans="29:29" x14ac:dyDescent="0.25">
      <c r="AC658" s="4"/>
    </row>
    <row r="659" spans="29:29" x14ac:dyDescent="0.25">
      <c r="AC659" s="4"/>
    </row>
    <row r="660" spans="29:29" x14ac:dyDescent="0.25">
      <c r="AC660" s="4"/>
    </row>
    <row r="661" spans="29:29" x14ac:dyDescent="0.25">
      <c r="AC661" s="4"/>
    </row>
    <row r="662" spans="29:29" x14ac:dyDescent="0.25">
      <c r="AC662" s="4"/>
    </row>
    <row r="663" spans="29:29" x14ac:dyDescent="0.25">
      <c r="AC663" s="4"/>
    </row>
    <row r="664" spans="29:29" x14ac:dyDescent="0.25">
      <c r="AC664" s="4"/>
    </row>
    <row r="665" spans="29:29" x14ac:dyDescent="0.25">
      <c r="AC665" s="4"/>
    </row>
    <row r="666" spans="29:29" x14ac:dyDescent="0.25">
      <c r="AC666" s="4"/>
    </row>
    <row r="667" spans="29:29" x14ac:dyDescent="0.25">
      <c r="AC667" s="4"/>
    </row>
    <row r="668" spans="29:29" x14ac:dyDescent="0.25">
      <c r="AC668" s="4"/>
    </row>
    <row r="669" spans="29:29" x14ac:dyDescent="0.25">
      <c r="AC669" s="4"/>
    </row>
    <row r="670" spans="29:29" x14ac:dyDescent="0.25">
      <c r="AC670" s="4"/>
    </row>
    <row r="671" spans="29:29" x14ac:dyDescent="0.25">
      <c r="AC671" s="4"/>
    </row>
    <row r="672" spans="29:29" x14ac:dyDescent="0.25">
      <c r="AC672" s="4"/>
    </row>
    <row r="673" spans="29:29" x14ac:dyDescent="0.25">
      <c r="AC673" s="4"/>
    </row>
    <row r="674" spans="29:29" x14ac:dyDescent="0.25">
      <c r="AC674" s="4"/>
    </row>
    <row r="675" spans="29:29" x14ac:dyDescent="0.25">
      <c r="AC675" s="4"/>
    </row>
    <row r="676" spans="29:29" x14ac:dyDescent="0.25">
      <c r="AC676" s="4"/>
    </row>
    <row r="677" spans="29:29" x14ac:dyDescent="0.25">
      <c r="AC677" s="4"/>
    </row>
    <row r="678" spans="29:29" x14ac:dyDescent="0.25">
      <c r="AC678" s="4"/>
    </row>
    <row r="679" spans="29:29" x14ac:dyDescent="0.25">
      <c r="AC679" s="4"/>
    </row>
    <row r="680" spans="29:29" x14ac:dyDescent="0.25">
      <c r="AC680" s="4"/>
    </row>
    <row r="681" spans="29:29" x14ac:dyDescent="0.25">
      <c r="AC681" s="4"/>
    </row>
    <row r="682" spans="29:29" x14ac:dyDescent="0.25">
      <c r="AC682" s="4"/>
    </row>
    <row r="683" spans="29:29" x14ac:dyDescent="0.25">
      <c r="AC683" s="4"/>
    </row>
    <row r="684" spans="29:29" x14ac:dyDescent="0.25">
      <c r="AC684" s="4"/>
    </row>
    <row r="685" spans="29:29" x14ac:dyDescent="0.25">
      <c r="AC685" s="4"/>
    </row>
    <row r="686" spans="29:29" x14ac:dyDescent="0.25">
      <c r="AC686" s="4"/>
    </row>
    <row r="687" spans="29:29" x14ac:dyDescent="0.25">
      <c r="AC687" s="4"/>
    </row>
    <row r="688" spans="29:29" x14ac:dyDescent="0.25">
      <c r="AC688" s="4"/>
    </row>
    <row r="689" spans="29:29" x14ac:dyDescent="0.25">
      <c r="AC689" s="4"/>
    </row>
    <row r="690" spans="29:29" x14ac:dyDescent="0.25">
      <c r="AC690" s="4"/>
    </row>
    <row r="691" spans="29:29" x14ac:dyDescent="0.25">
      <c r="AC691" s="4"/>
    </row>
    <row r="692" spans="29:29" x14ac:dyDescent="0.25">
      <c r="AC692" s="4"/>
    </row>
    <row r="693" spans="29:29" x14ac:dyDescent="0.25">
      <c r="AC693" s="4"/>
    </row>
    <row r="694" spans="29:29" x14ac:dyDescent="0.25">
      <c r="AC694" s="4"/>
    </row>
    <row r="695" spans="29:29" x14ac:dyDescent="0.25">
      <c r="AC695" s="4"/>
    </row>
    <row r="696" spans="29:29" x14ac:dyDescent="0.25">
      <c r="AC696" s="4"/>
    </row>
    <row r="697" spans="29:29" x14ac:dyDescent="0.25">
      <c r="AC697" s="4"/>
    </row>
    <row r="698" spans="29:29" x14ac:dyDescent="0.25">
      <c r="AC698" s="4"/>
    </row>
    <row r="699" spans="29:29" x14ac:dyDescent="0.25">
      <c r="AC699" s="4"/>
    </row>
    <row r="700" spans="29:29" x14ac:dyDescent="0.25">
      <c r="AC700" s="4"/>
    </row>
    <row r="701" spans="29:29" x14ac:dyDescent="0.25">
      <c r="AC701" s="4"/>
    </row>
    <row r="702" spans="29:29" x14ac:dyDescent="0.25">
      <c r="AC702" s="4"/>
    </row>
    <row r="703" spans="29:29" x14ac:dyDescent="0.25">
      <c r="AC703" s="4"/>
    </row>
    <row r="704" spans="29:29" x14ac:dyDescent="0.25">
      <c r="AC704" s="4"/>
    </row>
    <row r="705" spans="29:29" x14ac:dyDescent="0.25">
      <c r="AC705" s="4"/>
    </row>
    <row r="706" spans="29:29" x14ac:dyDescent="0.25">
      <c r="AC706" s="4"/>
    </row>
    <row r="707" spans="29:29" x14ac:dyDescent="0.25">
      <c r="AC707" s="4"/>
    </row>
    <row r="708" spans="29:29" x14ac:dyDescent="0.25">
      <c r="AC708" s="4"/>
    </row>
    <row r="709" spans="29:29" x14ac:dyDescent="0.25">
      <c r="AC709" s="4"/>
    </row>
    <row r="710" spans="29:29" x14ac:dyDescent="0.25">
      <c r="AC710" s="4"/>
    </row>
    <row r="711" spans="29:29" x14ac:dyDescent="0.25">
      <c r="AC711" s="4"/>
    </row>
    <row r="712" spans="29:29" x14ac:dyDescent="0.25">
      <c r="AC712" s="4"/>
    </row>
    <row r="713" spans="29:29" x14ac:dyDescent="0.25">
      <c r="AC713" s="4"/>
    </row>
    <row r="714" spans="29:29" x14ac:dyDescent="0.25">
      <c r="AC714" s="4"/>
    </row>
    <row r="715" spans="29:29" x14ac:dyDescent="0.25">
      <c r="AC715" s="4"/>
    </row>
    <row r="716" spans="29:29" x14ac:dyDescent="0.25">
      <c r="AC716" s="4"/>
    </row>
    <row r="717" spans="29:29" x14ac:dyDescent="0.25">
      <c r="AC717" s="4"/>
    </row>
    <row r="718" spans="29:29" x14ac:dyDescent="0.25">
      <c r="AC718" s="4"/>
    </row>
    <row r="719" spans="29:29" x14ac:dyDescent="0.25">
      <c r="AC719" s="4"/>
    </row>
    <row r="720" spans="29:29" x14ac:dyDescent="0.25">
      <c r="AC720" s="4"/>
    </row>
    <row r="721" spans="29:29" x14ac:dyDescent="0.25">
      <c r="AC721" s="4"/>
    </row>
    <row r="722" spans="29:29" x14ac:dyDescent="0.25">
      <c r="AC722" s="4"/>
    </row>
    <row r="723" spans="29:29" x14ac:dyDescent="0.25">
      <c r="AC723" s="4"/>
    </row>
    <row r="724" spans="29:29" x14ac:dyDescent="0.25">
      <c r="AC724" s="4"/>
    </row>
    <row r="725" spans="29:29" x14ac:dyDescent="0.25">
      <c r="AC725" s="4"/>
    </row>
    <row r="726" spans="29:29" x14ac:dyDescent="0.25">
      <c r="AC726" s="4"/>
    </row>
    <row r="727" spans="29:29" x14ac:dyDescent="0.25">
      <c r="AC727" s="4"/>
    </row>
    <row r="728" spans="29:29" x14ac:dyDescent="0.25">
      <c r="AC728" s="4"/>
    </row>
    <row r="729" spans="29:29" x14ac:dyDescent="0.25">
      <c r="AC729" s="4"/>
    </row>
    <row r="730" spans="29:29" x14ac:dyDescent="0.25">
      <c r="AC730" s="4"/>
    </row>
    <row r="731" spans="29:29" x14ac:dyDescent="0.25">
      <c r="AC731" s="4"/>
    </row>
    <row r="732" spans="29:29" x14ac:dyDescent="0.25">
      <c r="AC732" s="4"/>
    </row>
    <row r="733" spans="29:29" x14ac:dyDescent="0.25">
      <c r="AC733" s="4"/>
    </row>
    <row r="734" spans="29:29" x14ac:dyDescent="0.25">
      <c r="AC734" s="4"/>
    </row>
    <row r="735" spans="29:29" x14ac:dyDescent="0.25">
      <c r="AC735" s="4"/>
    </row>
    <row r="736" spans="29:29" x14ac:dyDescent="0.25">
      <c r="AC736" s="4"/>
    </row>
    <row r="737" spans="29:29" x14ac:dyDescent="0.25">
      <c r="AC737" s="4"/>
    </row>
    <row r="738" spans="29:29" x14ac:dyDescent="0.25">
      <c r="AC738" s="4"/>
    </row>
    <row r="739" spans="29:29" x14ac:dyDescent="0.25">
      <c r="AC739" s="4"/>
    </row>
    <row r="740" spans="29:29" x14ac:dyDescent="0.25">
      <c r="AC740" s="4"/>
    </row>
    <row r="741" spans="29:29" x14ac:dyDescent="0.25">
      <c r="AC741" s="4"/>
    </row>
    <row r="742" spans="29:29" x14ac:dyDescent="0.25">
      <c r="AC742" s="4"/>
    </row>
    <row r="743" spans="29:29" x14ac:dyDescent="0.25">
      <c r="AC743" s="4"/>
    </row>
    <row r="744" spans="29:29" x14ac:dyDescent="0.25">
      <c r="AC744" s="4"/>
    </row>
    <row r="745" spans="29:29" x14ac:dyDescent="0.25">
      <c r="AC745" s="4"/>
    </row>
    <row r="746" spans="29:29" x14ac:dyDescent="0.25">
      <c r="AC746" s="4"/>
    </row>
    <row r="747" spans="29:29" x14ac:dyDescent="0.25">
      <c r="AC747" s="4"/>
    </row>
    <row r="748" spans="29:29" x14ac:dyDescent="0.25">
      <c r="AC748" s="4"/>
    </row>
    <row r="749" spans="29:29" x14ac:dyDescent="0.25">
      <c r="AC749" s="4"/>
    </row>
    <row r="750" spans="29:29" x14ac:dyDescent="0.25">
      <c r="AC750" s="4"/>
    </row>
    <row r="751" spans="29:29" x14ac:dyDescent="0.25">
      <c r="AC751" s="4"/>
    </row>
    <row r="752" spans="29:29" x14ac:dyDescent="0.25">
      <c r="AC752" s="4"/>
    </row>
    <row r="753" spans="29:29" x14ac:dyDescent="0.25">
      <c r="AC753" s="4"/>
    </row>
    <row r="754" spans="29:29" x14ac:dyDescent="0.25">
      <c r="AC754" s="4"/>
    </row>
    <row r="755" spans="29:29" x14ac:dyDescent="0.25">
      <c r="AC755" s="4"/>
    </row>
    <row r="756" spans="29:29" x14ac:dyDescent="0.25">
      <c r="AC756" s="4"/>
    </row>
    <row r="757" spans="29:29" x14ac:dyDescent="0.25">
      <c r="AC757" s="4"/>
    </row>
    <row r="758" spans="29:29" x14ac:dyDescent="0.25">
      <c r="AC758" s="4"/>
    </row>
    <row r="759" spans="29:29" x14ac:dyDescent="0.25">
      <c r="AC759" s="4"/>
    </row>
    <row r="760" spans="29:29" x14ac:dyDescent="0.25">
      <c r="AC760" s="4"/>
    </row>
    <row r="761" spans="29:29" x14ac:dyDescent="0.25">
      <c r="AC761" s="4"/>
    </row>
    <row r="762" spans="29:29" x14ac:dyDescent="0.25">
      <c r="AC762" s="4"/>
    </row>
    <row r="763" spans="29:29" x14ac:dyDescent="0.25">
      <c r="AC763" s="4"/>
    </row>
    <row r="764" spans="29:29" x14ac:dyDescent="0.25">
      <c r="AC764" s="4"/>
    </row>
    <row r="765" spans="29:29" x14ac:dyDescent="0.25">
      <c r="AC765" s="4"/>
    </row>
    <row r="766" spans="29:29" x14ac:dyDescent="0.25">
      <c r="AC766" s="4"/>
    </row>
    <row r="767" spans="29:29" x14ac:dyDescent="0.25">
      <c r="AC767" s="4"/>
    </row>
    <row r="768" spans="29:29" x14ac:dyDescent="0.25">
      <c r="AC768" s="4"/>
    </row>
    <row r="769" spans="29:29" x14ac:dyDescent="0.25">
      <c r="AC769" s="4"/>
    </row>
    <row r="770" spans="29:29" x14ac:dyDescent="0.25">
      <c r="AC770" s="4"/>
    </row>
    <row r="771" spans="29:29" x14ac:dyDescent="0.25">
      <c r="AC771" s="4"/>
    </row>
    <row r="772" spans="29:29" x14ac:dyDescent="0.25">
      <c r="AC772" s="4"/>
    </row>
    <row r="773" spans="29:29" x14ac:dyDescent="0.25">
      <c r="AC773" s="4"/>
    </row>
    <row r="774" spans="29:29" x14ac:dyDescent="0.25">
      <c r="AC774" s="4"/>
    </row>
    <row r="775" spans="29:29" x14ac:dyDescent="0.25">
      <c r="AC775" s="4"/>
    </row>
    <row r="776" spans="29:29" x14ac:dyDescent="0.25">
      <c r="AC776" s="4"/>
    </row>
    <row r="777" spans="29:29" x14ac:dyDescent="0.25">
      <c r="AC777" s="4"/>
    </row>
    <row r="778" spans="29:29" x14ac:dyDescent="0.25">
      <c r="AC778" s="4"/>
    </row>
    <row r="779" spans="29:29" x14ac:dyDescent="0.25">
      <c r="AC779" s="4"/>
    </row>
    <row r="780" spans="29:29" x14ac:dyDescent="0.25">
      <c r="AC780" s="4"/>
    </row>
    <row r="781" spans="29:29" x14ac:dyDescent="0.25">
      <c r="AC781" s="4"/>
    </row>
    <row r="782" spans="29:29" x14ac:dyDescent="0.25">
      <c r="AC782" s="4"/>
    </row>
    <row r="783" spans="29:29" x14ac:dyDescent="0.25">
      <c r="AC783" s="4"/>
    </row>
    <row r="784" spans="29:29" x14ac:dyDescent="0.25">
      <c r="AC784" s="4"/>
    </row>
    <row r="785" spans="29:29" x14ac:dyDescent="0.25">
      <c r="AC785" s="4"/>
    </row>
    <row r="786" spans="29:29" x14ac:dyDescent="0.25">
      <c r="AC786" s="4"/>
    </row>
    <row r="787" spans="29:29" x14ac:dyDescent="0.25">
      <c r="AC787" s="4"/>
    </row>
    <row r="788" spans="29:29" x14ac:dyDescent="0.25">
      <c r="AC788" s="4"/>
    </row>
    <row r="789" spans="29:29" x14ac:dyDescent="0.25">
      <c r="AC789" s="4"/>
    </row>
    <row r="790" spans="29:29" x14ac:dyDescent="0.25">
      <c r="AC790" s="4"/>
    </row>
    <row r="791" spans="29:29" x14ac:dyDescent="0.25">
      <c r="AC791" s="4"/>
    </row>
    <row r="792" spans="29:29" x14ac:dyDescent="0.25">
      <c r="AC792" s="4"/>
    </row>
    <row r="793" spans="29:29" x14ac:dyDescent="0.25">
      <c r="AC793" s="4"/>
    </row>
    <row r="794" spans="29:29" x14ac:dyDescent="0.25">
      <c r="AC794" s="4"/>
    </row>
    <row r="795" spans="29:29" x14ac:dyDescent="0.25">
      <c r="AC795" s="4"/>
    </row>
    <row r="796" spans="29:29" x14ac:dyDescent="0.25">
      <c r="AC796" s="4"/>
    </row>
    <row r="797" spans="29:29" x14ac:dyDescent="0.25">
      <c r="AC797" s="4"/>
    </row>
    <row r="798" spans="29:29" x14ac:dyDescent="0.25">
      <c r="AC798" s="4"/>
    </row>
    <row r="799" spans="29:29" x14ac:dyDescent="0.25">
      <c r="AC799" s="4"/>
    </row>
    <row r="800" spans="29:29" x14ac:dyDescent="0.25">
      <c r="AC800" s="4"/>
    </row>
    <row r="801" spans="29:29" x14ac:dyDescent="0.25">
      <c r="AC801" s="4"/>
    </row>
    <row r="802" spans="29:29" x14ac:dyDescent="0.25">
      <c r="AC802" s="4"/>
    </row>
    <row r="803" spans="29:29" x14ac:dyDescent="0.25">
      <c r="AC803" s="4"/>
    </row>
    <row r="804" spans="29:29" x14ac:dyDescent="0.25">
      <c r="AC804" s="4"/>
    </row>
    <row r="805" spans="29:29" x14ac:dyDescent="0.25">
      <c r="AC805" s="4"/>
    </row>
    <row r="806" spans="29:29" x14ac:dyDescent="0.25">
      <c r="AC806" s="4"/>
    </row>
    <row r="807" spans="29:29" x14ac:dyDescent="0.25">
      <c r="AC807" s="4"/>
    </row>
    <row r="808" spans="29:29" x14ac:dyDescent="0.25">
      <c r="AC808" s="4"/>
    </row>
    <row r="809" spans="29:29" x14ac:dyDescent="0.25">
      <c r="AC809" s="4"/>
    </row>
    <row r="810" spans="29:29" x14ac:dyDescent="0.25">
      <c r="AC810" s="4"/>
    </row>
    <row r="811" spans="29:29" x14ac:dyDescent="0.25">
      <c r="AC811" s="4"/>
    </row>
    <row r="812" spans="29:29" x14ac:dyDescent="0.25">
      <c r="AC812" s="4"/>
    </row>
    <row r="813" spans="29:29" x14ac:dyDescent="0.25">
      <c r="AC813" s="4"/>
    </row>
    <row r="814" spans="29:29" x14ac:dyDescent="0.25">
      <c r="AC814" s="4"/>
    </row>
    <row r="815" spans="29:29" x14ac:dyDescent="0.25">
      <c r="AC815" s="4"/>
    </row>
    <row r="816" spans="29:29" x14ac:dyDescent="0.25">
      <c r="AC816" s="4"/>
    </row>
    <row r="817" spans="29:29" x14ac:dyDescent="0.25">
      <c r="AC817" s="4"/>
    </row>
    <row r="818" spans="29:29" x14ac:dyDescent="0.25">
      <c r="AC818" s="4"/>
    </row>
    <row r="819" spans="29:29" x14ac:dyDescent="0.25">
      <c r="AC819" s="4"/>
    </row>
    <row r="820" spans="29:29" x14ac:dyDescent="0.25">
      <c r="AC820" s="4"/>
    </row>
    <row r="821" spans="29:29" x14ac:dyDescent="0.25">
      <c r="AC821" s="4"/>
    </row>
    <row r="822" spans="29:29" x14ac:dyDescent="0.25">
      <c r="AC822" s="4"/>
    </row>
    <row r="823" spans="29:29" x14ac:dyDescent="0.25">
      <c r="AC823" s="4"/>
    </row>
    <row r="824" spans="29:29" x14ac:dyDescent="0.25">
      <c r="AC824" s="4"/>
    </row>
    <row r="825" spans="29:29" x14ac:dyDescent="0.25">
      <c r="AC825" s="4"/>
    </row>
    <row r="826" spans="29:29" x14ac:dyDescent="0.25">
      <c r="AC826" s="4"/>
    </row>
    <row r="827" spans="29:29" x14ac:dyDescent="0.25">
      <c r="AC827" s="4"/>
    </row>
    <row r="828" spans="29:29" x14ac:dyDescent="0.25">
      <c r="AC828" s="4"/>
    </row>
    <row r="829" spans="29:29" x14ac:dyDescent="0.25">
      <c r="AC829" s="4"/>
    </row>
    <row r="830" spans="29:29" x14ac:dyDescent="0.25">
      <c r="AC830" s="4"/>
    </row>
    <row r="831" spans="29:29" x14ac:dyDescent="0.25">
      <c r="AC831" s="4"/>
    </row>
    <row r="832" spans="29:29" x14ac:dyDescent="0.25">
      <c r="AC832" s="4"/>
    </row>
    <row r="833" spans="29:29" x14ac:dyDescent="0.25">
      <c r="AC833" s="4"/>
    </row>
    <row r="834" spans="29:29" x14ac:dyDescent="0.25">
      <c r="AC834" s="4"/>
    </row>
    <row r="835" spans="29:29" x14ac:dyDescent="0.25">
      <c r="AC835" s="4"/>
    </row>
    <row r="836" spans="29:29" x14ac:dyDescent="0.25">
      <c r="AC836" s="4"/>
    </row>
    <row r="837" spans="29:29" x14ac:dyDescent="0.25">
      <c r="AC837" s="4"/>
    </row>
    <row r="838" spans="29:29" x14ac:dyDescent="0.25">
      <c r="AC838" s="4"/>
    </row>
    <row r="839" spans="29:29" x14ac:dyDescent="0.25">
      <c r="AC839" s="4"/>
    </row>
    <row r="840" spans="29:29" x14ac:dyDescent="0.25">
      <c r="AC840" s="4"/>
    </row>
    <row r="841" spans="29:29" x14ac:dyDescent="0.25">
      <c r="AC841" s="4"/>
    </row>
    <row r="842" spans="29:29" x14ac:dyDescent="0.25">
      <c r="AC842" s="4"/>
    </row>
    <row r="843" spans="29:29" x14ac:dyDescent="0.25">
      <c r="AC843" s="4"/>
    </row>
    <row r="844" spans="29:29" x14ac:dyDescent="0.25">
      <c r="AC844" s="4"/>
    </row>
    <row r="845" spans="29:29" x14ac:dyDescent="0.25">
      <c r="AC845" s="4"/>
    </row>
    <row r="846" spans="29:29" x14ac:dyDescent="0.25">
      <c r="AC846" s="4"/>
    </row>
    <row r="847" spans="29:29" x14ac:dyDescent="0.25">
      <c r="AC847" s="4"/>
    </row>
    <row r="848" spans="29:29" x14ac:dyDescent="0.25">
      <c r="AC848" s="4"/>
    </row>
    <row r="849" spans="29:29" x14ac:dyDescent="0.25">
      <c r="AC849" s="4"/>
    </row>
    <row r="850" spans="29:29" x14ac:dyDescent="0.25">
      <c r="AC850" s="4"/>
    </row>
    <row r="851" spans="29:29" x14ac:dyDescent="0.25">
      <c r="AC851" s="4"/>
    </row>
    <row r="852" spans="29:29" x14ac:dyDescent="0.25">
      <c r="AC852" s="4"/>
    </row>
    <row r="853" spans="29:29" x14ac:dyDescent="0.25">
      <c r="AC853" s="4"/>
    </row>
    <row r="854" spans="29:29" x14ac:dyDescent="0.25">
      <c r="AC854" s="4"/>
    </row>
    <row r="855" spans="29:29" x14ac:dyDescent="0.25">
      <c r="AC855" s="4"/>
    </row>
    <row r="856" spans="29:29" x14ac:dyDescent="0.25">
      <c r="AC856" s="4"/>
    </row>
    <row r="857" spans="29:29" x14ac:dyDescent="0.25">
      <c r="AC857" s="4"/>
    </row>
    <row r="858" spans="29:29" x14ac:dyDescent="0.25">
      <c r="AC858" s="4"/>
    </row>
    <row r="859" spans="29:29" x14ac:dyDescent="0.25">
      <c r="AC859" s="4"/>
    </row>
    <row r="860" spans="29:29" x14ac:dyDescent="0.25">
      <c r="AC860" s="4"/>
    </row>
    <row r="861" spans="29:29" x14ac:dyDescent="0.25">
      <c r="AC861" s="4"/>
    </row>
    <row r="862" spans="29:29" x14ac:dyDescent="0.25">
      <c r="AC862" s="4"/>
    </row>
    <row r="863" spans="29:29" x14ac:dyDescent="0.25">
      <c r="AC863" s="4"/>
    </row>
    <row r="864" spans="29:29" x14ac:dyDescent="0.25">
      <c r="AC864" s="4"/>
    </row>
    <row r="865" spans="29:29" x14ac:dyDescent="0.25">
      <c r="AC865" s="4"/>
    </row>
    <row r="866" spans="29:29" x14ac:dyDescent="0.25">
      <c r="AC866" s="4"/>
    </row>
    <row r="867" spans="29:29" x14ac:dyDescent="0.25">
      <c r="AC867" s="4"/>
    </row>
    <row r="868" spans="29:29" x14ac:dyDescent="0.25">
      <c r="AC868" s="4"/>
    </row>
    <row r="869" spans="29:29" x14ac:dyDescent="0.25">
      <c r="AC869" s="4"/>
    </row>
    <row r="870" spans="29:29" x14ac:dyDescent="0.25">
      <c r="AC870" s="4"/>
    </row>
    <row r="871" spans="29:29" x14ac:dyDescent="0.25">
      <c r="AC871" s="4"/>
    </row>
    <row r="872" spans="29:29" x14ac:dyDescent="0.25">
      <c r="AC872" s="4"/>
    </row>
    <row r="873" spans="29:29" x14ac:dyDescent="0.25">
      <c r="AC873" s="4"/>
    </row>
    <row r="874" spans="29:29" x14ac:dyDescent="0.25">
      <c r="AC874" s="4"/>
    </row>
    <row r="875" spans="29:29" x14ac:dyDescent="0.25">
      <c r="AC875" s="4"/>
    </row>
    <row r="876" spans="29:29" x14ac:dyDescent="0.25">
      <c r="AC876" s="4"/>
    </row>
    <row r="877" spans="29:29" x14ac:dyDescent="0.25">
      <c r="AC877" s="4"/>
    </row>
    <row r="878" spans="29:29" x14ac:dyDescent="0.25">
      <c r="AC878" s="4"/>
    </row>
    <row r="879" spans="29:29" x14ac:dyDescent="0.25">
      <c r="AC879" s="4"/>
    </row>
    <row r="880" spans="29:29" x14ac:dyDescent="0.25">
      <c r="AC880" s="4"/>
    </row>
    <row r="881" spans="29:29" x14ac:dyDescent="0.25">
      <c r="AC881" s="4"/>
    </row>
    <row r="882" spans="29:29" x14ac:dyDescent="0.25">
      <c r="AC882" s="4"/>
    </row>
    <row r="883" spans="29:29" x14ac:dyDescent="0.25">
      <c r="AC883" s="4"/>
    </row>
    <row r="884" spans="29:29" x14ac:dyDescent="0.25">
      <c r="AC884" s="4"/>
    </row>
    <row r="885" spans="29:29" x14ac:dyDescent="0.25">
      <c r="AC885" s="4"/>
    </row>
    <row r="886" spans="29:29" x14ac:dyDescent="0.25">
      <c r="AC886" s="4"/>
    </row>
    <row r="887" spans="29:29" x14ac:dyDescent="0.25">
      <c r="AC887" s="4"/>
    </row>
    <row r="888" spans="29:29" x14ac:dyDescent="0.25">
      <c r="AC888" s="4"/>
    </row>
    <row r="889" spans="29:29" x14ac:dyDescent="0.25">
      <c r="AC889" s="4"/>
    </row>
    <row r="890" spans="29:29" x14ac:dyDescent="0.25">
      <c r="AC890" s="4"/>
    </row>
    <row r="891" spans="29:29" x14ac:dyDescent="0.25">
      <c r="AC891" s="4"/>
    </row>
    <row r="892" spans="29:29" x14ac:dyDescent="0.25">
      <c r="AC892" s="4"/>
    </row>
    <row r="893" spans="29:29" x14ac:dyDescent="0.25">
      <c r="AC893" s="4"/>
    </row>
    <row r="894" spans="29:29" x14ac:dyDescent="0.25">
      <c r="AC894" s="4"/>
    </row>
    <row r="895" spans="29:29" x14ac:dyDescent="0.25">
      <c r="AC895" s="4"/>
    </row>
    <row r="896" spans="29:29" x14ac:dyDescent="0.25">
      <c r="AC896" s="4"/>
    </row>
    <row r="897" spans="29:29" x14ac:dyDescent="0.25">
      <c r="AC897" s="4"/>
    </row>
    <row r="898" spans="29:29" x14ac:dyDescent="0.25">
      <c r="AC898" s="4"/>
    </row>
    <row r="899" spans="29:29" x14ac:dyDescent="0.25">
      <c r="AC899" s="4"/>
    </row>
    <row r="900" spans="29:29" x14ac:dyDescent="0.25">
      <c r="AC900" s="4"/>
    </row>
    <row r="901" spans="29:29" x14ac:dyDescent="0.25">
      <c r="AC901" s="4"/>
    </row>
    <row r="902" spans="29:29" x14ac:dyDescent="0.25">
      <c r="AC902" s="4"/>
    </row>
    <row r="903" spans="29:29" x14ac:dyDescent="0.25">
      <c r="AC903" s="4"/>
    </row>
    <row r="904" spans="29:29" x14ac:dyDescent="0.25">
      <c r="AC904" s="4"/>
    </row>
    <row r="905" spans="29:29" x14ac:dyDescent="0.25">
      <c r="AC905" s="4"/>
    </row>
    <row r="906" spans="29:29" x14ac:dyDescent="0.25">
      <c r="AC906" s="4"/>
    </row>
    <row r="907" spans="29:29" x14ac:dyDescent="0.25">
      <c r="AC907" s="4"/>
    </row>
    <row r="908" spans="29:29" x14ac:dyDescent="0.25">
      <c r="AC908" s="4"/>
    </row>
    <row r="909" spans="29:29" x14ac:dyDescent="0.25">
      <c r="AC909" s="4"/>
    </row>
    <row r="910" spans="29:29" x14ac:dyDescent="0.25">
      <c r="AC910" s="4"/>
    </row>
    <row r="911" spans="29:29" x14ac:dyDescent="0.25">
      <c r="AC911" s="4"/>
    </row>
    <row r="912" spans="29:29" x14ac:dyDescent="0.25">
      <c r="AC912" s="4"/>
    </row>
    <row r="913" spans="29:29" x14ac:dyDescent="0.25">
      <c r="AC913" s="4"/>
    </row>
    <row r="914" spans="29:29" x14ac:dyDescent="0.25">
      <c r="AC914" s="4"/>
    </row>
    <row r="915" spans="29:29" x14ac:dyDescent="0.25">
      <c r="AC915" s="4"/>
    </row>
    <row r="916" spans="29:29" x14ac:dyDescent="0.25">
      <c r="AC916" s="4"/>
    </row>
    <row r="917" spans="29:29" x14ac:dyDescent="0.25">
      <c r="AC917" s="4"/>
    </row>
    <row r="918" spans="29:29" x14ac:dyDescent="0.25">
      <c r="AC918" s="4"/>
    </row>
    <row r="919" spans="29:29" x14ac:dyDescent="0.25">
      <c r="AC919" s="4"/>
    </row>
    <row r="920" spans="29:29" x14ac:dyDescent="0.25">
      <c r="AC920" s="4"/>
    </row>
    <row r="921" spans="29:29" x14ac:dyDescent="0.25">
      <c r="AC921" s="4"/>
    </row>
    <row r="922" spans="29:29" x14ac:dyDescent="0.25">
      <c r="AC922" s="4"/>
    </row>
    <row r="923" spans="29:29" x14ac:dyDescent="0.25">
      <c r="AC923" s="4"/>
    </row>
    <row r="924" spans="29:29" x14ac:dyDescent="0.25">
      <c r="AC924" s="4"/>
    </row>
    <row r="925" spans="29:29" x14ac:dyDescent="0.25">
      <c r="AC925" s="4"/>
    </row>
    <row r="926" spans="29:29" x14ac:dyDescent="0.25">
      <c r="AC926" s="4"/>
    </row>
    <row r="927" spans="29:29" x14ac:dyDescent="0.25">
      <c r="AC927" s="4"/>
    </row>
    <row r="928" spans="29:29" x14ac:dyDescent="0.25">
      <c r="AC928" s="4"/>
    </row>
    <row r="929" spans="29:29" x14ac:dyDescent="0.25">
      <c r="AC929" s="4"/>
    </row>
    <row r="930" spans="29:29" x14ac:dyDescent="0.25">
      <c r="AC930" s="4"/>
    </row>
    <row r="931" spans="29:29" x14ac:dyDescent="0.25">
      <c r="AC931" s="4"/>
    </row>
    <row r="932" spans="29:29" x14ac:dyDescent="0.25">
      <c r="AC932" s="4"/>
    </row>
    <row r="933" spans="29:29" x14ac:dyDescent="0.25">
      <c r="AC933" s="4"/>
    </row>
    <row r="934" spans="29:29" x14ac:dyDescent="0.25">
      <c r="AC934" s="4"/>
    </row>
    <row r="935" spans="29:29" x14ac:dyDescent="0.25">
      <c r="AC935" s="4"/>
    </row>
    <row r="936" spans="29:29" x14ac:dyDescent="0.25">
      <c r="AC936" s="4"/>
    </row>
    <row r="937" spans="29:29" x14ac:dyDescent="0.25">
      <c r="AC937" s="4"/>
    </row>
    <row r="938" spans="29:29" x14ac:dyDescent="0.25">
      <c r="AC938" s="4"/>
    </row>
    <row r="939" spans="29:29" x14ac:dyDescent="0.25">
      <c r="AC939" s="4"/>
    </row>
    <row r="940" spans="29:29" x14ac:dyDescent="0.25">
      <c r="AC940" s="4"/>
    </row>
    <row r="941" spans="29:29" x14ac:dyDescent="0.25">
      <c r="AC941" s="4"/>
    </row>
    <row r="942" spans="29:29" x14ac:dyDescent="0.25">
      <c r="AC942" s="4"/>
    </row>
    <row r="943" spans="29:29" x14ac:dyDescent="0.25">
      <c r="AC943" s="4"/>
    </row>
    <row r="944" spans="29:29" x14ac:dyDescent="0.25">
      <c r="AC944" s="4"/>
    </row>
    <row r="945" spans="29:29" x14ac:dyDescent="0.25">
      <c r="AC945" s="4"/>
    </row>
    <row r="946" spans="29:29" x14ac:dyDescent="0.25">
      <c r="AC946" s="4"/>
    </row>
    <row r="947" spans="29:29" x14ac:dyDescent="0.25">
      <c r="AC947" s="4"/>
    </row>
    <row r="948" spans="29:29" x14ac:dyDescent="0.25">
      <c r="AC948" s="4"/>
    </row>
    <row r="949" spans="29:29" x14ac:dyDescent="0.25">
      <c r="AC949" s="4"/>
    </row>
    <row r="950" spans="29:29" x14ac:dyDescent="0.25">
      <c r="AC950" s="4"/>
    </row>
    <row r="951" spans="29:29" x14ac:dyDescent="0.25">
      <c r="AC951" s="4"/>
    </row>
    <row r="952" spans="29:29" x14ac:dyDescent="0.25">
      <c r="AC952" s="4"/>
    </row>
    <row r="953" spans="29:29" x14ac:dyDescent="0.25">
      <c r="AC953" s="4"/>
    </row>
    <row r="954" spans="29:29" x14ac:dyDescent="0.25">
      <c r="AC954" s="4"/>
    </row>
    <row r="955" spans="29:29" x14ac:dyDescent="0.25">
      <c r="AC955" s="4"/>
    </row>
    <row r="956" spans="29:29" x14ac:dyDescent="0.25">
      <c r="AC956" s="4"/>
    </row>
    <row r="957" spans="29:29" x14ac:dyDescent="0.25">
      <c r="AC957" s="4"/>
    </row>
    <row r="958" spans="29:29" x14ac:dyDescent="0.25">
      <c r="AC958" s="4"/>
    </row>
    <row r="959" spans="29:29" x14ac:dyDescent="0.25">
      <c r="AC959" s="4"/>
    </row>
    <row r="960" spans="29:29" x14ac:dyDescent="0.25">
      <c r="AC960" s="4"/>
    </row>
    <row r="961" spans="29:29" x14ac:dyDescent="0.25">
      <c r="AC961" s="4"/>
    </row>
    <row r="962" spans="29:29" x14ac:dyDescent="0.25">
      <c r="AC962" s="4"/>
    </row>
    <row r="963" spans="29:29" x14ac:dyDescent="0.25">
      <c r="AC963" s="4"/>
    </row>
    <row r="964" spans="29:29" x14ac:dyDescent="0.25">
      <c r="AC964" s="4"/>
    </row>
    <row r="965" spans="29:29" x14ac:dyDescent="0.25">
      <c r="AC965" s="4"/>
    </row>
    <row r="966" spans="29:29" x14ac:dyDescent="0.25">
      <c r="AC966" s="4"/>
    </row>
    <row r="967" spans="29:29" x14ac:dyDescent="0.25">
      <c r="AC967" s="4"/>
    </row>
    <row r="968" spans="29:29" x14ac:dyDescent="0.25">
      <c r="AC968" s="4"/>
    </row>
    <row r="969" spans="29:29" x14ac:dyDescent="0.25">
      <c r="AC969" s="4"/>
    </row>
    <row r="970" spans="29:29" x14ac:dyDescent="0.25">
      <c r="AC970" s="4"/>
    </row>
    <row r="971" spans="29:29" x14ac:dyDescent="0.25">
      <c r="AC971" s="4"/>
    </row>
    <row r="972" spans="29:29" x14ac:dyDescent="0.25">
      <c r="AC972" s="4"/>
    </row>
    <row r="973" spans="29:29" x14ac:dyDescent="0.25">
      <c r="AC973" s="4"/>
    </row>
    <row r="974" spans="29:29" x14ac:dyDescent="0.25">
      <c r="AC974" s="4"/>
    </row>
    <row r="975" spans="29:29" x14ac:dyDescent="0.25">
      <c r="AC975" s="4"/>
    </row>
    <row r="976" spans="29:29" x14ac:dyDescent="0.25">
      <c r="AC976" s="4"/>
    </row>
    <row r="977" spans="29:29" x14ac:dyDescent="0.25">
      <c r="AC977" s="4"/>
    </row>
    <row r="978" spans="29:29" x14ac:dyDescent="0.25">
      <c r="AC978" s="4"/>
    </row>
    <row r="979" spans="29:29" x14ac:dyDescent="0.25">
      <c r="AC979" s="4"/>
    </row>
    <row r="980" spans="29:29" x14ac:dyDescent="0.25">
      <c r="AC980" s="4"/>
    </row>
    <row r="981" spans="29:29" x14ac:dyDescent="0.25">
      <c r="AC981" s="4"/>
    </row>
    <row r="982" spans="29:29" x14ac:dyDescent="0.25">
      <c r="AC982" s="4"/>
    </row>
    <row r="983" spans="29:29" x14ac:dyDescent="0.25">
      <c r="AC983" s="4"/>
    </row>
    <row r="984" spans="29:29" x14ac:dyDescent="0.25">
      <c r="AC984" s="4"/>
    </row>
    <row r="985" spans="29:29" x14ac:dyDescent="0.25">
      <c r="AC985" s="4"/>
    </row>
    <row r="986" spans="29:29" x14ac:dyDescent="0.25">
      <c r="AC986" s="4"/>
    </row>
    <row r="987" spans="29:29" x14ac:dyDescent="0.25">
      <c r="AC987" s="4"/>
    </row>
    <row r="988" spans="29:29" x14ac:dyDescent="0.25">
      <c r="AC988" s="4"/>
    </row>
    <row r="989" spans="29:29" x14ac:dyDescent="0.25">
      <c r="AC989" s="4"/>
    </row>
    <row r="990" spans="29:29" x14ac:dyDescent="0.25">
      <c r="AC990" s="4"/>
    </row>
    <row r="991" spans="29:29" x14ac:dyDescent="0.25">
      <c r="AC991" s="4"/>
    </row>
    <row r="992" spans="29:29" x14ac:dyDescent="0.25">
      <c r="AC992" s="4"/>
    </row>
    <row r="993" spans="29:29" x14ac:dyDescent="0.25">
      <c r="AC993" s="4"/>
    </row>
    <row r="994" spans="29:29" x14ac:dyDescent="0.25">
      <c r="AC994" s="4"/>
    </row>
    <row r="995" spans="29:29" x14ac:dyDescent="0.25">
      <c r="AC995" s="4"/>
    </row>
    <row r="996" spans="29:29" x14ac:dyDescent="0.25">
      <c r="AC996" s="4"/>
    </row>
    <row r="997" spans="29:29" x14ac:dyDescent="0.25">
      <c r="AC997" s="4"/>
    </row>
    <row r="998" spans="29:29" x14ac:dyDescent="0.25">
      <c r="AC998" s="4"/>
    </row>
    <row r="999" spans="29:29" x14ac:dyDescent="0.25">
      <c r="AC999" s="4"/>
    </row>
    <row r="1000" spans="29:29" x14ac:dyDescent="0.25">
      <c r="AC1000" s="4"/>
    </row>
    <row r="1001" spans="29:29" x14ac:dyDescent="0.25">
      <c r="AC1001" s="4"/>
    </row>
    <row r="1002" spans="29:29" x14ac:dyDescent="0.25">
      <c r="AC1002" s="4"/>
    </row>
    <row r="1003" spans="29:29" x14ac:dyDescent="0.25">
      <c r="AC1003" s="4"/>
    </row>
    <row r="1004" spans="29:29" x14ac:dyDescent="0.25">
      <c r="AC1004" s="4"/>
    </row>
    <row r="1005" spans="29:29" x14ac:dyDescent="0.25">
      <c r="AC1005" s="4"/>
    </row>
    <row r="1006" spans="29:29" x14ac:dyDescent="0.25">
      <c r="AC1006" s="4"/>
    </row>
    <row r="1007" spans="29:29" x14ac:dyDescent="0.25">
      <c r="AC1007" s="4"/>
    </row>
    <row r="1008" spans="29:29" x14ac:dyDescent="0.25">
      <c r="AC1008" s="4"/>
    </row>
    <row r="1009" spans="29:29" x14ac:dyDescent="0.25">
      <c r="AC1009" s="4"/>
    </row>
    <row r="1010" spans="29:29" x14ac:dyDescent="0.25">
      <c r="AC1010" s="4"/>
    </row>
    <row r="1011" spans="29:29" x14ac:dyDescent="0.25">
      <c r="AC1011" s="4"/>
    </row>
    <row r="1012" spans="29:29" x14ac:dyDescent="0.25">
      <c r="AC1012" s="4"/>
    </row>
    <row r="1013" spans="29:29" x14ac:dyDescent="0.25">
      <c r="AC1013" s="4"/>
    </row>
    <row r="1014" spans="29:29" x14ac:dyDescent="0.25">
      <c r="AC1014" s="4"/>
    </row>
    <row r="1015" spans="29:29" x14ac:dyDescent="0.25">
      <c r="AC1015" s="4"/>
    </row>
    <row r="1016" spans="29:29" x14ac:dyDescent="0.25">
      <c r="AC1016" s="4"/>
    </row>
    <row r="1017" spans="29:29" x14ac:dyDescent="0.25">
      <c r="AC1017" s="4"/>
    </row>
    <row r="1018" spans="29:29" x14ac:dyDescent="0.25">
      <c r="AC1018" s="4"/>
    </row>
    <row r="1019" spans="29:29" x14ac:dyDescent="0.25">
      <c r="AC1019" s="4"/>
    </row>
    <row r="1020" spans="29:29" x14ac:dyDescent="0.25">
      <c r="AC1020" s="4"/>
    </row>
    <row r="1021" spans="29:29" x14ac:dyDescent="0.25">
      <c r="AC1021" s="4"/>
    </row>
    <row r="1022" spans="29:29" x14ac:dyDescent="0.25">
      <c r="AC1022" s="4"/>
    </row>
    <row r="1023" spans="29:29" x14ac:dyDescent="0.25">
      <c r="AC1023" s="4"/>
    </row>
    <row r="1024" spans="29:29" x14ac:dyDescent="0.25">
      <c r="AC1024" s="4"/>
    </row>
    <row r="1025" spans="29:29" x14ac:dyDescent="0.25">
      <c r="AC1025" s="4"/>
    </row>
    <row r="1026" spans="29:29" x14ac:dyDescent="0.25">
      <c r="AC1026" s="4"/>
    </row>
    <row r="1027" spans="29:29" x14ac:dyDescent="0.25">
      <c r="AC1027" s="4"/>
    </row>
    <row r="1028" spans="29:29" x14ac:dyDescent="0.25">
      <c r="AC1028" s="4"/>
    </row>
    <row r="1029" spans="29:29" x14ac:dyDescent="0.25">
      <c r="AC1029" s="4"/>
    </row>
    <row r="1030" spans="29:29" x14ac:dyDescent="0.25">
      <c r="AC1030" s="4"/>
    </row>
    <row r="1031" spans="29:29" x14ac:dyDescent="0.25">
      <c r="AC1031" s="4"/>
    </row>
    <row r="1032" spans="29:29" x14ac:dyDescent="0.25">
      <c r="AC1032" s="4"/>
    </row>
    <row r="1033" spans="29:29" x14ac:dyDescent="0.25">
      <c r="AC1033" s="4"/>
    </row>
    <row r="1034" spans="29:29" x14ac:dyDescent="0.25">
      <c r="AC1034" s="4"/>
    </row>
    <row r="1035" spans="29:29" x14ac:dyDescent="0.25">
      <c r="AC1035" s="4"/>
    </row>
    <row r="1036" spans="29:29" x14ac:dyDescent="0.25">
      <c r="AC1036" s="4"/>
    </row>
    <row r="1037" spans="29:29" x14ac:dyDescent="0.25">
      <c r="AC1037" s="4"/>
    </row>
    <row r="1038" spans="29:29" x14ac:dyDescent="0.25">
      <c r="AC1038" s="4"/>
    </row>
    <row r="1039" spans="29:29" x14ac:dyDescent="0.25">
      <c r="AC1039" s="4"/>
    </row>
    <row r="1040" spans="29:29" x14ac:dyDescent="0.25">
      <c r="AC1040" s="4"/>
    </row>
    <row r="1041" spans="29:29" x14ac:dyDescent="0.25">
      <c r="AC1041" s="4"/>
    </row>
    <row r="1042" spans="29:29" x14ac:dyDescent="0.25">
      <c r="AC1042" s="4"/>
    </row>
    <row r="1043" spans="29:29" x14ac:dyDescent="0.25">
      <c r="AC1043" s="4"/>
    </row>
    <row r="1044" spans="29:29" x14ac:dyDescent="0.25">
      <c r="AC1044" s="4"/>
    </row>
    <row r="1045" spans="29:29" x14ac:dyDescent="0.25">
      <c r="AC1045" s="4"/>
    </row>
    <row r="1046" spans="29:29" x14ac:dyDescent="0.25">
      <c r="AC1046" s="4"/>
    </row>
    <row r="1047" spans="29:29" x14ac:dyDescent="0.25">
      <c r="AC1047" s="4"/>
    </row>
    <row r="1048" spans="29:29" x14ac:dyDescent="0.25">
      <c r="AC1048" s="4"/>
    </row>
    <row r="1049" spans="29:29" x14ac:dyDescent="0.25">
      <c r="AC1049" s="4"/>
    </row>
    <row r="1050" spans="29:29" x14ac:dyDescent="0.25">
      <c r="AC1050" s="4"/>
    </row>
    <row r="1051" spans="29:29" x14ac:dyDescent="0.25">
      <c r="AC1051" s="4"/>
    </row>
    <row r="1052" spans="29:29" x14ac:dyDescent="0.25">
      <c r="AC1052" s="4"/>
    </row>
    <row r="1053" spans="29:29" x14ac:dyDescent="0.25">
      <c r="AC1053" s="4"/>
    </row>
    <row r="1054" spans="29:29" x14ac:dyDescent="0.25">
      <c r="AC1054" s="4"/>
    </row>
    <row r="1055" spans="29:29" x14ac:dyDescent="0.25">
      <c r="AC1055" s="4"/>
    </row>
    <row r="1056" spans="29:29" x14ac:dyDescent="0.25">
      <c r="AC1056" s="4"/>
    </row>
    <row r="1057" spans="29:29" x14ac:dyDescent="0.25">
      <c r="AC1057" s="4"/>
    </row>
    <row r="1058" spans="29:29" x14ac:dyDescent="0.25">
      <c r="AC1058" s="4"/>
    </row>
    <row r="1059" spans="29:29" x14ac:dyDescent="0.25">
      <c r="AC1059" s="4"/>
    </row>
    <row r="1060" spans="29:29" x14ac:dyDescent="0.25">
      <c r="AC1060" s="4"/>
    </row>
    <row r="1061" spans="29:29" x14ac:dyDescent="0.25">
      <c r="AC1061" s="4"/>
    </row>
    <row r="1062" spans="29:29" x14ac:dyDescent="0.25">
      <c r="AC1062" s="4"/>
    </row>
    <row r="1063" spans="29:29" x14ac:dyDescent="0.25">
      <c r="AC1063" s="4"/>
    </row>
    <row r="1064" spans="29:29" x14ac:dyDescent="0.25">
      <c r="AC1064" s="4"/>
    </row>
    <row r="1065" spans="29:29" x14ac:dyDescent="0.25">
      <c r="AC1065" s="4"/>
    </row>
    <row r="1066" spans="29:29" x14ac:dyDescent="0.25">
      <c r="AC1066" s="4"/>
    </row>
    <row r="1067" spans="29:29" x14ac:dyDescent="0.25">
      <c r="AC1067" s="4"/>
    </row>
    <row r="1068" spans="29:29" x14ac:dyDescent="0.25">
      <c r="AC1068" s="4"/>
    </row>
    <row r="1069" spans="29:29" x14ac:dyDescent="0.25">
      <c r="AC1069" s="4"/>
    </row>
    <row r="1070" spans="29:29" x14ac:dyDescent="0.25">
      <c r="AC1070" s="4"/>
    </row>
    <row r="1071" spans="29:29" x14ac:dyDescent="0.25">
      <c r="AC1071" s="4"/>
    </row>
    <row r="1072" spans="29:29" x14ac:dyDescent="0.25">
      <c r="AC1072" s="4"/>
    </row>
    <row r="1073" spans="29:29" x14ac:dyDescent="0.25">
      <c r="AC1073" s="4"/>
    </row>
    <row r="1074" spans="29:29" x14ac:dyDescent="0.25">
      <c r="AC1074" s="4"/>
    </row>
    <row r="1075" spans="29:29" x14ac:dyDescent="0.25">
      <c r="AC1075" s="4"/>
    </row>
    <row r="1076" spans="29:29" x14ac:dyDescent="0.25">
      <c r="AC1076" s="4"/>
    </row>
    <row r="1077" spans="29:29" x14ac:dyDescent="0.25">
      <c r="AC1077" s="4"/>
    </row>
    <row r="1078" spans="29:29" x14ac:dyDescent="0.25">
      <c r="AC1078" s="4"/>
    </row>
    <row r="1079" spans="29:29" x14ac:dyDescent="0.25">
      <c r="AC1079" s="4"/>
    </row>
    <row r="1080" spans="29:29" x14ac:dyDescent="0.25">
      <c r="AC1080" s="4"/>
    </row>
    <row r="1081" spans="29:29" x14ac:dyDescent="0.25">
      <c r="AC1081" s="4"/>
    </row>
    <row r="1082" spans="29:29" x14ac:dyDescent="0.25">
      <c r="AC1082" s="4"/>
    </row>
    <row r="1083" spans="29:29" x14ac:dyDescent="0.25">
      <c r="AC1083" s="4"/>
    </row>
    <row r="1084" spans="29:29" x14ac:dyDescent="0.25">
      <c r="AC1084" s="4"/>
    </row>
    <row r="1085" spans="29:29" x14ac:dyDescent="0.25">
      <c r="AC1085" s="4"/>
    </row>
    <row r="1086" spans="29:29" x14ac:dyDescent="0.25">
      <c r="AC1086" s="4"/>
    </row>
    <row r="1087" spans="29:29" x14ac:dyDescent="0.25">
      <c r="AC1087" s="4"/>
    </row>
    <row r="1088" spans="29:29" x14ac:dyDescent="0.25">
      <c r="AC1088" s="4"/>
    </row>
    <row r="1089" spans="29:29" x14ac:dyDescent="0.25">
      <c r="AC1089" s="4"/>
    </row>
    <row r="1090" spans="29:29" x14ac:dyDescent="0.25">
      <c r="AC1090" s="4"/>
    </row>
    <row r="1091" spans="29:29" x14ac:dyDescent="0.25">
      <c r="AC1091" s="4"/>
    </row>
    <row r="1092" spans="29:29" x14ac:dyDescent="0.25">
      <c r="AC1092" s="4"/>
    </row>
    <row r="1093" spans="29:29" x14ac:dyDescent="0.25">
      <c r="AC1093" s="4"/>
    </row>
    <row r="1094" spans="29:29" x14ac:dyDescent="0.25">
      <c r="AC1094" s="4"/>
    </row>
    <row r="1095" spans="29:29" x14ac:dyDescent="0.25">
      <c r="AC1095" s="4"/>
    </row>
    <row r="1096" spans="29:29" x14ac:dyDescent="0.25">
      <c r="AC1096" s="4"/>
    </row>
    <row r="1097" spans="29:29" x14ac:dyDescent="0.25">
      <c r="AC1097" s="4"/>
    </row>
    <row r="1098" spans="29:29" x14ac:dyDescent="0.25">
      <c r="AC1098" s="4"/>
    </row>
    <row r="1099" spans="29:29" x14ac:dyDescent="0.25">
      <c r="AC1099" s="4"/>
    </row>
    <row r="1100" spans="29:29" x14ac:dyDescent="0.25">
      <c r="AC1100" s="4"/>
    </row>
    <row r="1101" spans="29:29" x14ac:dyDescent="0.25">
      <c r="AC1101" s="4"/>
    </row>
    <row r="1102" spans="29:29" x14ac:dyDescent="0.25">
      <c r="AC1102" s="4"/>
    </row>
    <row r="1103" spans="29:29" x14ac:dyDescent="0.25">
      <c r="AC1103" s="4"/>
    </row>
    <row r="1104" spans="29:29" x14ac:dyDescent="0.25">
      <c r="AC1104" s="4"/>
    </row>
    <row r="1105" spans="29:29" x14ac:dyDescent="0.25">
      <c r="AC1105" s="4"/>
    </row>
    <row r="1106" spans="29:29" x14ac:dyDescent="0.25">
      <c r="AC1106" s="4"/>
    </row>
    <row r="1107" spans="29:29" x14ac:dyDescent="0.25">
      <c r="AC1107" s="4"/>
    </row>
    <row r="1108" spans="29:29" x14ac:dyDescent="0.25">
      <c r="AC1108" s="4"/>
    </row>
    <row r="1109" spans="29:29" x14ac:dyDescent="0.25">
      <c r="AC1109" s="4"/>
    </row>
    <row r="1110" spans="29:29" x14ac:dyDescent="0.25">
      <c r="AC1110" s="4"/>
    </row>
    <row r="1111" spans="29:29" x14ac:dyDescent="0.25">
      <c r="AC1111" s="4"/>
    </row>
    <row r="1112" spans="29:29" x14ac:dyDescent="0.25">
      <c r="AC1112" s="4"/>
    </row>
    <row r="1113" spans="29:29" x14ac:dyDescent="0.25">
      <c r="AC1113" s="4"/>
    </row>
    <row r="1114" spans="29:29" x14ac:dyDescent="0.25">
      <c r="AC1114" s="4"/>
    </row>
    <row r="1115" spans="29:29" x14ac:dyDescent="0.25">
      <c r="AC1115" s="4"/>
    </row>
    <row r="1116" spans="29:29" x14ac:dyDescent="0.25">
      <c r="AC1116" s="4"/>
    </row>
    <row r="1117" spans="29:29" x14ac:dyDescent="0.25">
      <c r="AC1117" s="4"/>
    </row>
    <row r="1118" spans="29:29" x14ac:dyDescent="0.25">
      <c r="AC1118" s="4"/>
    </row>
    <row r="1119" spans="29:29" x14ac:dyDescent="0.25">
      <c r="AC1119" s="4"/>
    </row>
    <row r="1120" spans="29:29" x14ac:dyDescent="0.25">
      <c r="AC1120" s="4"/>
    </row>
    <row r="1121" spans="29:29" x14ac:dyDescent="0.25">
      <c r="AC1121" s="4"/>
    </row>
    <row r="1122" spans="29:29" x14ac:dyDescent="0.25">
      <c r="AC1122" s="4"/>
    </row>
    <row r="1123" spans="29:29" x14ac:dyDescent="0.25">
      <c r="AC1123" s="4"/>
    </row>
    <row r="1124" spans="29:29" x14ac:dyDescent="0.25">
      <c r="AC1124" s="4"/>
    </row>
    <row r="1125" spans="29:29" x14ac:dyDescent="0.25">
      <c r="AC1125" s="4"/>
    </row>
    <row r="1126" spans="29:29" x14ac:dyDescent="0.25">
      <c r="AC1126" s="4"/>
    </row>
    <row r="1127" spans="29:29" x14ac:dyDescent="0.25">
      <c r="AC1127" s="4"/>
    </row>
    <row r="1128" spans="29:29" x14ac:dyDescent="0.25">
      <c r="AC1128" s="4"/>
    </row>
    <row r="1129" spans="29:29" x14ac:dyDescent="0.25">
      <c r="AC1129" s="4"/>
    </row>
    <row r="1130" spans="29:29" x14ac:dyDescent="0.25">
      <c r="AC1130" s="4"/>
    </row>
    <row r="1131" spans="29:29" x14ac:dyDescent="0.25">
      <c r="AC1131" s="4"/>
    </row>
    <row r="1132" spans="29:29" x14ac:dyDescent="0.25">
      <c r="AC1132" s="4"/>
    </row>
    <row r="1133" spans="29:29" x14ac:dyDescent="0.25">
      <c r="AC1133" s="4"/>
    </row>
    <row r="1134" spans="29:29" x14ac:dyDescent="0.25">
      <c r="AC1134" s="4"/>
    </row>
    <row r="1135" spans="29:29" x14ac:dyDescent="0.25">
      <c r="AC1135" s="4"/>
    </row>
    <row r="1136" spans="29:29" x14ac:dyDescent="0.25">
      <c r="AC1136" s="4"/>
    </row>
    <row r="1137" spans="29:29" x14ac:dyDescent="0.25">
      <c r="AC1137" s="4"/>
    </row>
    <row r="1138" spans="29:29" x14ac:dyDescent="0.25">
      <c r="AC1138" s="4"/>
    </row>
    <row r="1139" spans="29:29" x14ac:dyDescent="0.25">
      <c r="AC1139" s="4"/>
    </row>
    <row r="1140" spans="29:29" x14ac:dyDescent="0.25">
      <c r="AC1140" s="4"/>
    </row>
    <row r="1141" spans="29:29" x14ac:dyDescent="0.25">
      <c r="AC1141" s="4"/>
    </row>
    <row r="1142" spans="29:29" x14ac:dyDescent="0.25">
      <c r="AC1142" s="4"/>
    </row>
    <row r="1143" spans="29:29" x14ac:dyDescent="0.25">
      <c r="AC1143" s="4"/>
    </row>
    <row r="1144" spans="29:29" x14ac:dyDescent="0.25">
      <c r="AC1144" s="4"/>
    </row>
    <row r="1145" spans="29:29" x14ac:dyDescent="0.25">
      <c r="AC1145" s="4"/>
    </row>
    <row r="1146" spans="29:29" x14ac:dyDescent="0.25">
      <c r="AC1146" s="4"/>
    </row>
    <row r="1147" spans="29:29" x14ac:dyDescent="0.25">
      <c r="AC1147" s="4"/>
    </row>
    <row r="1148" spans="29:29" x14ac:dyDescent="0.25">
      <c r="AC1148" s="4"/>
    </row>
    <row r="1149" spans="29:29" x14ac:dyDescent="0.25">
      <c r="AC1149" s="4"/>
    </row>
    <row r="1150" spans="29:29" x14ac:dyDescent="0.25">
      <c r="AC1150" s="4"/>
    </row>
    <row r="1151" spans="29:29" x14ac:dyDescent="0.25">
      <c r="AC1151" s="4"/>
    </row>
    <row r="1152" spans="29:29" x14ac:dyDescent="0.25">
      <c r="AC1152" s="4"/>
    </row>
    <row r="1153" spans="29:29" x14ac:dyDescent="0.25">
      <c r="AC1153" s="4"/>
    </row>
    <row r="1154" spans="29:29" x14ac:dyDescent="0.25">
      <c r="AC1154" s="4"/>
    </row>
    <row r="1155" spans="29:29" x14ac:dyDescent="0.25">
      <c r="AC1155" s="4"/>
    </row>
    <row r="1156" spans="29:29" x14ac:dyDescent="0.25">
      <c r="AC1156" s="4"/>
    </row>
    <row r="1157" spans="29:29" x14ac:dyDescent="0.25">
      <c r="AC1157" s="4"/>
    </row>
    <row r="1158" spans="29:29" x14ac:dyDescent="0.25">
      <c r="AC1158" s="4"/>
    </row>
    <row r="1159" spans="29:29" x14ac:dyDescent="0.25">
      <c r="AC1159" s="4"/>
    </row>
    <row r="1160" spans="29:29" x14ac:dyDescent="0.25">
      <c r="AC1160" s="4"/>
    </row>
    <row r="1161" spans="29:29" x14ac:dyDescent="0.25">
      <c r="AC1161" s="4"/>
    </row>
    <row r="1162" spans="29:29" x14ac:dyDescent="0.25">
      <c r="AC1162" s="4"/>
    </row>
    <row r="1163" spans="29:29" x14ac:dyDescent="0.25">
      <c r="AC1163" s="4"/>
    </row>
    <row r="1164" spans="29:29" x14ac:dyDescent="0.25">
      <c r="AC1164" s="4"/>
    </row>
    <row r="1165" spans="29:29" x14ac:dyDescent="0.25">
      <c r="AC1165" s="4"/>
    </row>
    <row r="1166" spans="29:29" x14ac:dyDescent="0.25">
      <c r="AC1166" s="4"/>
    </row>
    <row r="1167" spans="29:29" x14ac:dyDescent="0.25">
      <c r="AC1167" s="4"/>
    </row>
    <row r="1168" spans="29:29" x14ac:dyDescent="0.25">
      <c r="AC1168" s="4"/>
    </row>
    <row r="1169" spans="29:29" x14ac:dyDescent="0.25">
      <c r="AC1169" s="4"/>
    </row>
    <row r="1170" spans="29:29" x14ac:dyDescent="0.25">
      <c r="AC1170" s="4"/>
    </row>
    <row r="1171" spans="29:29" x14ac:dyDescent="0.25">
      <c r="AC1171" s="4"/>
    </row>
    <row r="1172" spans="29:29" x14ac:dyDescent="0.25">
      <c r="AC1172" s="4"/>
    </row>
    <row r="1173" spans="29:29" x14ac:dyDescent="0.25">
      <c r="AC1173" s="4"/>
    </row>
    <row r="1174" spans="29:29" x14ac:dyDescent="0.25">
      <c r="AC1174" s="4"/>
    </row>
    <row r="1175" spans="29:29" x14ac:dyDescent="0.25">
      <c r="AC1175" s="4"/>
    </row>
    <row r="1176" spans="29:29" x14ac:dyDescent="0.25">
      <c r="AC1176" s="4"/>
    </row>
    <row r="1177" spans="29:29" x14ac:dyDescent="0.25">
      <c r="AC1177" s="4"/>
    </row>
    <row r="1178" spans="29:29" x14ac:dyDescent="0.25">
      <c r="AC1178" s="4"/>
    </row>
    <row r="1179" spans="29:29" x14ac:dyDescent="0.25">
      <c r="AC1179" s="4"/>
    </row>
    <row r="1180" spans="29:29" x14ac:dyDescent="0.25">
      <c r="AC1180" s="4"/>
    </row>
    <row r="1181" spans="29:29" x14ac:dyDescent="0.25">
      <c r="AC1181" s="4"/>
    </row>
    <row r="1182" spans="29:29" x14ac:dyDescent="0.25">
      <c r="AC1182" s="4"/>
    </row>
    <row r="1183" spans="29:29" x14ac:dyDescent="0.25">
      <c r="AC1183" s="4"/>
    </row>
    <row r="1184" spans="29:29" x14ac:dyDescent="0.25">
      <c r="AC1184" s="4"/>
    </row>
    <row r="1185" spans="29:29" x14ac:dyDescent="0.25">
      <c r="AC1185" s="4"/>
    </row>
    <row r="1186" spans="29:29" x14ac:dyDescent="0.25">
      <c r="AC1186" s="4"/>
    </row>
    <row r="1187" spans="29:29" x14ac:dyDescent="0.25">
      <c r="AC1187" s="4"/>
    </row>
    <row r="1188" spans="29:29" x14ac:dyDescent="0.25">
      <c r="AC1188" s="4"/>
    </row>
    <row r="1189" spans="29:29" x14ac:dyDescent="0.25">
      <c r="AC1189" s="4"/>
    </row>
    <row r="1190" spans="29:29" x14ac:dyDescent="0.25">
      <c r="AC1190" s="4"/>
    </row>
    <row r="1191" spans="29:29" x14ac:dyDescent="0.25">
      <c r="AC1191" s="4"/>
    </row>
    <row r="1192" spans="29:29" x14ac:dyDescent="0.25">
      <c r="AC1192" s="4"/>
    </row>
    <row r="1193" spans="29:29" x14ac:dyDescent="0.25">
      <c r="AC1193" s="4"/>
    </row>
    <row r="1194" spans="29:29" x14ac:dyDescent="0.25">
      <c r="AC1194" s="4"/>
    </row>
    <row r="1195" spans="29:29" x14ac:dyDescent="0.25">
      <c r="AC1195" s="4"/>
    </row>
    <row r="1196" spans="29:29" x14ac:dyDescent="0.25">
      <c r="AC1196" s="4"/>
    </row>
    <row r="1197" spans="29:29" x14ac:dyDescent="0.25">
      <c r="AC1197" s="4"/>
    </row>
    <row r="1198" spans="29:29" x14ac:dyDescent="0.25">
      <c r="AC1198" s="4"/>
    </row>
    <row r="1199" spans="29:29" x14ac:dyDescent="0.25">
      <c r="AC1199" s="4"/>
    </row>
    <row r="1200" spans="29:29" x14ac:dyDescent="0.25">
      <c r="AC1200" s="4"/>
    </row>
    <row r="1201" spans="29:29" x14ac:dyDescent="0.25">
      <c r="AC1201" s="4"/>
    </row>
    <row r="1202" spans="29:29" x14ac:dyDescent="0.25">
      <c r="AC1202" s="4"/>
    </row>
    <row r="1203" spans="29:29" x14ac:dyDescent="0.25">
      <c r="AC1203" s="4"/>
    </row>
    <row r="1204" spans="29:29" x14ac:dyDescent="0.25">
      <c r="AC1204" s="4"/>
    </row>
    <row r="1205" spans="29:29" x14ac:dyDescent="0.25">
      <c r="AC1205" s="4"/>
    </row>
    <row r="1206" spans="29:29" x14ac:dyDescent="0.25">
      <c r="AC1206" s="4"/>
    </row>
    <row r="1207" spans="29:29" x14ac:dyDescent="0.25">
      <c r="AC1207" s="4"/>
    </row>
    <row r="1208" spans="29:29" x14ac:dyDescent="0.25">
      <c r="AC1208" s="4"/>
    </row>
    <row r="1209" spans="29:29" x14ac:dyDescent="0.25">
      <c r="AC1209" s="4"/>
    </row>
    <row r="1210" spans="29:29" x14ac:dyDescent="0.25">
      <c r="AC1210" s="4"/>
    </row>
    <row r="1211" spans="29:29" x14ac:dyDescent="0.25">
      <c r="AC1211" s="4"/>
    </row>
    <row r="1212" spans="29:29" x14ac:dyDescent="0.25">
      <c r="AC1212" s="4"/>
    </row>
    <row r="1213" spans="29:29" x14ac:dyDescent="0.25">
      <c r="AC1213" s="4"/>
    </row>
    <row r="1214" spans="29:29" x14ac:dyDescent="0.25">
      <c r="AC1214" s="4"/>
    </row>
    <row r="1215" spans="29:29" x14ac:dyDescent="0.25">
      <c r="AC1215" s="4"/>
    </row>
    <row r="1216" spans="29:29" x14ac:dyDescent="0.25">
      <c r="AC1216" s="4"/>
    </row>
    <row r="1217" spans="29:29" x14ac:dyDescent="0.25">
      <c r="AC1217" s="4"/>
    </row>
    <row r="1218" spans="29:29" x14ac:dyDescent="0.25">
      <c r="AC1218" s="4"/>
    </row>
    <row r="1219" spans="29:29" x14ac:dyDescent="0.25">
      <c r="AC1219" s="4"/>
    </row>
    <row r="1220" spans="29:29" x14ac:dyDescent="0.25">
      <c r="AC1220" s="4"/>
    </row>
    <row r="1221" spans="29:29" x14ac:dyDescent="0.25">
      <c r="AC1221" s="4"/>
    </row>
    <row r="1222" spans="29:29" x14ac:dyDescent="0.25">
      <c r="AC1222" s="4"/>
    </row>
    <row r="1223" spans="29:29" x14ac:dyDescent="0.25">
      <c r="AC1223" s="4"/>
    </row>
    <row r="1224" spans="29:29" x14ac:dyDescent="0.25">
      <c r="AC1224" s="4"/>
    </row>
    <row r="1225" spans="29:29" x14ac:dyDescent="0.25">
      <c r="AC1225" s="4"/>
    </row>
    <row r="1226" spans="29:29" x14ac:dyDescent="0.25">
      <c r="AC1226" s="4"/>
    </row>
    <row r="1227" spans="29:29" x14ac:dyDescent="0.25">
      <c r="AC1227" s="4"/>
    </row>
    <row r="1228" spans="29:29" x14ac:dyDescent="0.25">
      <c r="AC1228" s="4"/>
    </row>
    <row r="1229" spans="29:29" x14ac:dyDescent="0.25">
      <c r="AC1229" s="4"/>
    </row>
    <row r="1230" spans="29:29" x14ac:dyDescent="0.25">
      <c r="AC1230" s="4"/>
    </row>
    <row r="1231" spans="29:29" x14ac:dyDescent="0.25">
      <c r="AC1231" s="4"/>
    </row>
    <row r="1232" spans="29:29" x14ac:dyDescent="0.25">
      <c r="AC1232" s="4"/>
    </row>
    <row r="1233" spans="29:29" x14ac:dyDescent="0.25">
      <c r="AC1233" s="4"/>
    </row>
    <row r="1234" spans="29:29" x14ac:dyDescent="0.25">
      <c r="AC1234" s="4"/>
    </row>
    <row r="1235" spans="29:29" x14ac:dyDescent="0.25">
      <c r="AC1235" s="4"/>
    </row>
    <row r="1236" spans="29:29" x14ac:dyDescent="0.25">
      <c r="AC1236" s="4"/>
    </row>
    <row r="1237" spans="29:29" x14ac:dyDescent="0.25">
      <c r="AC1237" s="4"/>
    </row>
    <row r="1238" spans="29:29" x14ac:dyDescent="0.25">
      <c r="AC1238" s="4"/>
    </row>
    <row r="1239" spans="29:29" x14ac:dyDescent="0.25">
      <c r="AC1239" s="4"/>
    </row>
    <row r="1240" spans="29:29" x14ac:dyDescent="0.25">
      <c r="AC1240" s="4"/>
    </row>
    <row r="1241" spans="29:29" x14ac:dyDescent="0.25">
      <c r="AC1241" s="4"/>
    </row>
    <row r="1242" spans="29:29" x14ac:dyDescent="0.25">
      <c r="AC1242" s="4"/>
    </row>
    <row r="1243" spans="29:29" x14ac:dyDescent="0.25">
      <c r="AC1243" s="4"/>
    </row>
    <row r="1244" spans="29:29" x14ac:dyDescent="0.25">
      <c r="AC1244" s="4"/>
    </row>
    <row r="1245" spans="29:29" x14ac:dyDescent="0.25">
      <c r="AC1245" s="4"/>
    </row>
    <row r="1246" spans="29:29" x14ac:dyDescent="0.25">
      <c r="AC1246" s="4"/>
    </row>
    <row r="1247" spans="29:29" x14ac:dyDescent="0.25">
      <c r="AC1247" s="4"/>
    </row>
    <row r="1248" spans="29:29" x14ac:dyDescent="0.25">
      <c r="AC1248" s="4"/>
    </row>
    <row r="1249" spans="29:29" x14ac:dyDescent="0.25">
      <c r="AC1249" s="4"/>
    </row>
    <row r="1250" spans="29:29" x14ac:dyDescent="0.25">
      <c r="AC1250" s="4"/>
    </row>
    <row r="1251" spans="29:29" x14ac:dyDescent="0.25">
      <c r="AC1251" s="4"/>
    </row>
    <row r="1252" spans="29:29" x14ac:dyDescent="0.25">
      <c r="AC1252" s="4"/>
    </row>
    <row r="1253" spans="29:29" x14ac:dyDescent="0.25">
      <c r="AC1253" s="4"/>
    </row>
    <row r="1254" spans="29:29" x14ac:dyDescent="0.25">
      <c r="AC1254" s="4"/>
    </row>
    <row r="1255" spans="29:29" x14ac:dyDescent="0.25">
      <c r="AC1255" s="4"/>
    </row>
    <row r="1256" spans="29:29" x14ac:dyDescent="0.25">
      <c r="AC1256" s="4"/>
    </row>
    <row r="1257" spans="29:29" x14ac:dyDescent="0.25">
      <c r="AC1257" s="4"/>
    </row>
    <row r="1258" spans="29:29" x14ac:dyDescent="0.25">
      <c r="AC1258" s="4"/>
    </row>
    <row r="1259" spans="29:29" x14ac:dyDescent="0.25">
      <c r="AC1259" s="4"/>
    </row>
    <row r="1260" spans="29:29" x14ac:dyDescent="0.25">
      <c r="AC1260" s="4"/>
    </row>
    <row r="1261" spans="29:29" x14ac:dyDescent="0.25">
      <c r="AC1261" s="4"/>
    </row>
    <row r="1262" spans="29:29" x14ac:dyDescent="0.25">
      <c r="AC1262" s="4"/>
    </row>
    <row r="1263" spans="29:29" x14ac:dyDescent="0.25">
      <c r="AC1263" s="4"/>
    </row>
    <row r="1264" spans="29:29" x14ac:dyDescent="0.25">
      <c r="AC1264" s="4"/>
    </row>
    <row r="1265" spans="29:29" x14ac:dyDescent="0.25">
      <c r="AC1265" s="4"/>
    </row>
    <row r="1266" spans="29:29" x14ac:dyDescent="0.25">
      <c r="AC1266" s="4"/>
    </row>
    <row r="1267" spans="29:29" x14ac:dyDescent="0.25">
      <c r="AC1267" s="4"/>
    </row>
    <row r="1268" spans="29:29" x14ac:dyDescent="0.25">
      <c r="AC1268" s="4"/>
    </row>
    <row r="1269" spans="29:29" x14ac:dyDescent="0.25">
      <c r="AC1269" s="4"/>
    </row>
    <row r="1270" spans="29:29" x14ac:dyDescent="0.25">
      <c r="AC1270" s="4"/>
    </row>
    <row r="1271" spans="29:29" x14ac:dyDescent="0.25">
      <c r="AC1271" s="4"/>
    </row>
    <row r="1272" spans="29:29" x14ac:dyDescent="0.25">
      <c r="AC1272" s="4"/>
    </row>
    <row r="1273" spans="29:29" x14ac:dyDescent="0.25">
      <c r="AC1273" s="4"/>
    </row>
    <row r="1274" spans="29:29" x14ac:dyDescent="0.25">
      <c r="AC1274" s="4"/>
    </row>
    <row r="1275" spans="29:29" x14ac:dyDescent="0.25">
      <c r="AC1275" s="4"/>
    </row>
    <row r="1276" spans="29:29" x14ac:dyDescent="0.25">
      <c r="AC1276" s="4"/>
    </row>
    <row r="1277" spans="29:29" x14ac:dyDescent="0.25">
      <c r="AC1277" s="4"/>
    </row>
    <row r="1278" spans="29:29" x14ac:dyDescent="0.25">
      <c r="AC1278" s="4"/>
    </row>
    <row r="1279" spans="29:29" x14ac:dyDescent="0.25">
      <c r="AC1279" s="4"/>
    </row>
    <row r="1280" spans="29:29" x14ac:dyDescent="0.25">
      <c r="AC1280" s="4"/>
    </row>
    <row r="1281" spans="29:29" x14ac:dyDescent="0.25">
      <c r="AC1281" s="4"/>
    </row>
    <row r="1282" spans="29:29" x14ac:dyDescent="0.25">
      <c r="AC1282" s="4"/>
    </row>
    <row r="1283" spans="29:29" x14ac:dyDescent="0.25">
      <c r="AC1283" s="4"/>
    </row>
    <row r="1284" spans="29:29" x14ac:dyDescent="0.25">
      <c r="AC1284" s="4"/>
    </row>
    <row r="1285" spans="29:29" x14ac:dyDescent="0.25">
      <c r="AC1285" s="4"/>
    </row>
    <row r="1286" spans="29:29" x14ac:dyDescent="0.25">
      <c r="AC1286" s="4"/>
    </row>
    <row r="1287" spans="29:29" x14ac:dyDescent="0.25">
      <c r="AC1287" s="4"/>
    </row>
    <row r="1288" spans="29:29" x14ac:dyDescent="0.25">
      <c r="AC1288" s="4"/>
    </row>
    <row r="1289" spans="29:29" x14ac:dyDescent="0.25">
      <c r="AC1289" s="4"/>
    </row>
    <row r="1290" spans="29:29" x14ac:dyDescent="0.25">
      <c r="AC1290" s="4"/>
    </row>
    <row r="1291" spans="29:29" x14ac:dyDescent="0.25">
      <c r="AC1291" s="4"/>
    </row>
    <row r="1292" spans="29:29" x14ac:dyDescent="0.25">
      <c r="AC1292" s="4"/>
    </row>
    <row r="1293" spans="29:29" x14ac:dyDescent="0.25">
      <c r="AC1293" s="4"/>
    </row>
    <row r="1294" spans="29:29" x14ac:dyDescent="0.25">
      <c r="AC1294" s="4"/>
    </row>
    <row r="1295" spans="29:29" x14ac:dyDescent="0.25">
      <c r="AC1295" s="4"/>
    </row>
    <row r="1296" spans="29:29" x14ac:dyDescent="0.25">
      <c r="AC1296" s="4"/>
    </row>
    <row r="1297" spans="29:29" x14ac:dyDescent="0.25">
      <c r="AC1297" s="4"/>
    </row>
    <row r="1298" spans="29:29" x14ac:dyDescent="0.25">
      <c r="AC1298" s="4"/>
    </row>
    <row r="1299" spans="29:29" x14ac:dyDescent="0.25">
      <c r="AC1299" s="4"/>
    </row>
    <row r="1300" spans="29:29" x14ac:dyDescent="0.25">
      <c r="AC1300" s="4"/>
    </row>
    <row r="1301" spans="29:29" x14ac:dyDescent="0.25">
      <c r="AC1301" s="4"/>
    </row>
    <row r="1302" spans="29:29" x14ac:dyDescent="0.25">
      <c r="AC1302" s="4"/>
    </row>
    <row r="1303" spans="29:29" x14ac:dyDescent="0.25">
      <c r="AC1303" s="4"/>
    </row>
    <row r="1304" spans="29:29" x14ac:dyDescent="0.25">
      <c r="AC1304" s="4"/>
    </row>
    <row r="1305" spans="29:29" x14ac:dyDescent="0.25">
      <c r="AC1305" s="4"/>
    </row>
    <row r="1306" spans="29:29" x14ac:dyDescent="0.25">
      <c r="AC1306" s="4"/>
    </row>
    <row r="1307" spans="29:29" x14ac:dyDescent="0.25">
      <c r="AC1307" s="4"/>
    </row>
    <row r="1308" spans="29:29" x14ac:dyDescent="0.25">
      <c r="AC1308" s="4"/>
    </row>
    <row r="1309" spans="29:29" x14ac:dyDescent="0.25">
      <c r="AC1309" s="4"/>
    </row>
    <row r="1310" spans="29:29" x14ac:dyDescent="0.25">
      <c r="AC1310" s="4"/>
    </row>
    <row r="1311" spans="29:29" x14ac:dyDescent="0.25">
      <c r="AC1311" s="4"/>
    </row>
    <row r="1312" spans="29:29" x14ac:dyDescent="0.25">
      <c r="AC1312" s="4"/>
    </row>
    <row r="1313" spans="29:29" x14ac:dyDescent="0.25">
      <c r="AC1313" s="4"/>
    </row>
    <row r="1314" spans="29:29" x14ac:dyDescent="0.25">
      <c r="AC1314" s="4"/>
    </row>
    <row r="1315" spans="29:29" x14ac:dyDescent="0.25">
      <c r="AC1315" s="4"/>
    </row>
    <row r="1316" spans="29:29" x14ac:dyDescent="0.25">
      <c r="AC1316" s="4"/>
    </row>
    <row r="1317" spans="29:29" x14ac:dyDescent="0.25">
      <c r="AC1317" s="4"/>
    </row>
    <row r="1318" spans="29:29" x14ac:dyDescent="0.25">
      <c r="AC1318" s="4"/>
    </row>
    <row r="1319" spans="29:29" x14ac:dyDescent="0.25">
      <c r="AC1319" s="4"/>
    </row>
    <row r="1320" spans="29:29" x14ac:dyDescent="0.25">
      <c r="AC1320" s="4"/>
    </row>
    <row r="1321" spans="29:29" x14ac:dyDescent="0.25">
      <c r="AC1321" s="4"/>
    </row>
    <row r="1322" spans="29:29" x14ac:dyDescent="0.25">
      <c r="AC1322" s="4"/>
    </row>
    <row r="1323" spans="29:29" x14ac:dyDescent="0.25">
      <c r="AC1323" s="4"/>
    </row>
    <row r="1324" spans="29:29" x14ac:dyDescent="0.25">
      <c r="AC1324" s="4"/>
    </row>
    <row r="1325" spans="29:29" x14ac:dyDescent="0.25">
      <c r="AC1325" s="4"/>
    </row>
    <row r="1326" spans="29:29" x14ac:dyDescent="0.25">
      <c r="AC1326" s="4"/>
    </row>
    <row r="1327" spans="29:29" x14ac:dyDescent="0.25">
      <c r="AC1327" s="4"/>
    </row>
    <row r="1328" spans="29:29" x14ac:dyDescent="0.25">
      <c r="AC1328" s="4"/>
    </row>
    <row r="1329" spans="29:29" x14ac:dyDescent="0.25">
      <c r="AC1329" s="4"/>
    </row>
    <row r="1330" spans="29:29" x14ac:dyDescent="0.25">
      <c r="AC1330" s="4"/>
    </row>
    <row r="1331" spans="29:29" x14ac:dyDescent="0.25">
      <c r="AC1331" s="4"/>
    </row>
    <row r="1332" spans="29:29" x14ac:dyDescent="0.25">
      <c r="AC1332" s="4"/>
    </row>
    <row r="1333" spans="29:29" x14ac:dyDescent="0.25">
      <c r="AC1333" s="4"/>
    </row>
    <row r="1334" spans="29:29" x14ac:dyDescent="0.25">
      <c r="AC1334" s="4"/>
    </row>
    <row r="1335" spans="29:29" x14ac:dyDescent="0.25">
      <c r="AC1335" s="4"/>
    </row>
    <row r="1336" spans="29:29" x14ac:dyDescent="0.25">
      <c r="AC1336" s="4"/>
    </row>
    <row r="1337" spans="29:29" x14ac:dyDescent="0.25">
      <c r="AC1337" s="4"/>
    </row>
    <row r="1338" spans="29:29" x14ac:dyDescent="0.25">
      <c r="AC1338" s="4"/>
    </row>
    <row r="1339" spans="29:29" x14ac:dyDescent="0.25">
      <c r="AC1339" s="4"/>
    </row>
    <row r="1340" spans="29:29" x14ac:dyDescent="0.25">
      <c r="AC1340" s="4"/>
    </row>
    <row r="1341" spans="29:29" x14ac:dyDescent="0.25">
      <c r="AC1341" s="4"/>
    </row>
    <row r="1342" spans="29:29" x14ac:dyDescent="0.25">
      <c r="AC1342" s="4"/>
    </row>
    <row r="1343" spans="29:29" x14ac:dyDescent="0.25">
      <c r="AC1343" s="4"/>
    </row>
    <row r="1344" spans="29:29" x14ac:dyDescent="0.25">
      <c r="AC1344" s="4"/>
    </row>
    <row r="1345" spans="29:29" x14ac:dyDescent="0.25">
      <c r="AC1345" s="4"/>
    </row>
    <row r="1346" spans="29:29" x14ac:dyDescent="0.25">
      <c r="AC1346" s="4"/>
    </row>
    <row r="1347" spans="29:29" x14ac:dyDescent="0.25">
      <c r="AC1347" s="4"/>
    </row>
    <row r="1348" spans="29:29" x14ac:dyDescent="0.25">
      <c r="AC1348" s="4"/>
    </row>
    <row r="1349" spans="29:29" x14ac:dyDescent="0.25">
      <c r="AC1349" s="4"/>
    </row>
    <row r="1350" spans="29:29" x14ac:dyDescent="0.25">
      <c r="AC1350" s="4"/>
    </row>
    <row r="1351" spans="29:29" x14ac:dyDescent="0.25">
      <c r="AC1351" s="4"/>
    </row>
    <row r="1352" spans="29:29" x14ac:dyDescent="0.25">
      <c r="AC1352" s="4"/>
    </row>
    <row r="1353" spans="29:29" x14ac:dyDescent="0.25">
      <c r="AC1353" s="4"/>
    </row>
    <row r="1354" spans="29:29" x14ac:dyDescent="0.25">
      <c r="AC1354" s="4"/>
    </row>
    <row r="1355" spans="29:29" x14ac:dyDescent="0.25">
      <c r="AC1355" s="4"/>
    </row>
    <row r="1356" spans="29:29" x14ac:dyDescent="0.25">
      <c r="AC1356" s="4"/>
    </row>
    <row r="1357" spans="29:29" x14ac:dyDescent="0.25">
      <c r="AC1357" s="4"/>
    </row>
    <row r="1358" spans="29:29" x14ac:dyDescent="0.25">
      <c r="AC1358" s="4"/>
    </row>
    <row r="1359" spans="29:29" x14ac:dyDescent="0.25">
      <c r="AC1359" s="4"/>
    </row>
    <row r="1360" spans="29:29" x14ac:dyDescent="0.25">
      <c r="AC1360" s="4"/>
    </row>
    <row r="1361" spans="29:29" x14ac:dyDescent="0.25">
      <c r="AC1361" s="4"/>
    </row>
    <row r="1362" spans="29:29" x14ac:dyDescent="0.25">
      <c r="AC1362" s="4"/>
    </row>
    <row r="1363" spans="29:29" x14ac:dyDescent="0.25">
      <c r="AC1363" s="4"/>
    </row>
    <row r="1364" spans="29:29" x14ac:dyDescent="0.25">
      <c r="AC1364" s="4"/>
    </row>
    <row r="1365" spans="29:29" x14ac:dyDescent="0.25">
      <c r="AC1365" s="4"/>
    </row>
    <row r="1366" spans="29:29" x14ac:dyDescent="0.25">
      <c r="AC1366" s="4"/>
    </row>
    <row r="1367" spans="29:29" x14ac:dyDescent="0.25">
      <c r="AC1367" s="4"/>
    </row>
    <row r="1368" spans="29:29" x14ac:dyDescent="0.25">
      <c r="AC1368" s="4"/>
    </row>
    <row r="1369" spans="29:29" x14ac:dyDescent="0.25">
      <c r="AC1369" s="4"/>
    </row>
    <row r="1370" spans="29:29" x14ac:dyDescent="0.25">
      <c r="AC1370" s="4"/>
    </row>
    <row r="1371" spans="29:29" x14ac:dyDescent="0.25">
      <c r="AC1371" s="4"/>
    </row>
    <row r="1372" spans="29:29" x14ac:dyDescent="0.25">
      <c r="AC1372" s="4"/>
    </row>
    <row r="1373" spans="29:29" x14ac:dyDescent="0.25">
      <c r="AC1373" s="4"/>
    </row>
    <row r="1374" spans="29:29" x14ac:dyDescent="0.25">
      <c r="AC1374" s="4"/>
    </row>
    <row r="1375" spans="29:29" x14ac:dyDescent="0.25">
      <c r="AC1375" s="4"/>
    </row>
    <row r="1376" spans="29:29" x14ac:dyDescent="0.25">
      <c r="AC1376" s="4"/>
    </row>
    <row r="1377" spans="29:29" x14ac:dyDescent="0.25">
      <c r="AC1377" s="4"/>
    </row>
    <row r="1378" spans="29:29" x14ac:dyDescent="0.25">
      <c r="AC1378" s="4"/>
    </row>
    <row r="1379" spans="29:29" x14ac:dyDescent="0.25">
      <c r="AC1379" s="4"/>
    </row>
    <row r="1380" spans="29:29" x14ac:dyDescent="0.25">
      <c r="AC1380" s="4"/>
    </row>
    <row r="1381" spans="29:29" x14ac:dyDescent="0.25">
      <c r="AC1381" s="4"/>
    </row>
    <row r="1382" spans="29:29" x14ac:dyDescent="0.25">
      <c r="AC1382" s="4"/>
    </row>
    <row r="1383" spans="29:29" x14ac:dyDescent="0.25">
      <c r="AC1383" s="4"/>
    </row>
    <row r="1384" spans="29:29" x14ac:dyDescent="0.25">
      <c r="AC1384" s="4"/>
    </row>
    <row r="1385" spans="29:29" x14ac:dyDescent="0.25">
      <c r="AC1385" s="4"/>
    </row>
    <row r="1386" spans="29:29" x14ac:dyDescent="0.25">
      <c r="AC1386" s="4"/>
    </row>
    <row r="1387" spans="29:29" x14ac:dyDescent="0.25">
      <c r="AC1387" s="4"/>
    </row>
    <row r="1388" spans="29:29" x14ac:dyDescent="0.25">
      <c r="AC1388" s="4"/>
    </row>
    <row r="1389" spans="29:29" x14ac:dyDescent="0.25">
      <c r="AC1389" s="4"/>
    </row>
    <row r="1390" spans="29:29" x14ac:dyDescent="0.25">
      <c r="AC1390" s="4"/>
    </row>
    <row r="1391" spans="29:29" x14ac:dyDescent="0.25">
      <c r="AC1391" s="4"/>
    </row>
    <row r="1392" spans="29:29" x14ac:dyDescent="0.25">
      <c r="AC1392" s="4"/>
    </row>
    <row r="1393" spans="29:29" x14ac:dyDescent="0.25">
      <c r="AC1393" s="4"/>
    </row>
    <row r="1394" spans="29:29" x14ac:dyDescent="0.25">
      <c r="AC1394" s="4"/>
    </row>
    <row r="1395" spans="29:29" x14ac:dyDescent="0.25">
      <c r="AC1395" s="4"/>
    </row>
    <row r="1396" spans="29:29" x14ac:dyDescent="0.25">
      <c r="AC1396" s="4"/>
    </row>
    <row r="1397" spans="29:29" x14ac:dyDescent="0.25">
      <c r="AC1397" s="4"/>
    </row>
    <row r="1398" spans="29:29" x14ac:dyDescent="0.25">
      <c r="AC1398" s="4"/>
    </row>
    <row r="1399" spans="29:29" x14ac:dyDescent="0.25">
      <c r="AC1399" s="4"/>
    </row>
    <row r="1400" spans="29:29" x14ac:dyDescent="0.25">
      <c r="AC1400" s="4"/>
    </row>
    <row r="1401" spans="29:29" x14ac:dyDescent="0.25">
      <c r="AC1401" s="4"/>
    </row>
    <row r="1402" spans="29:29" x14ac:dyDescent="0.25">
      <c r="AC1402" s="4"/>
    </row>
    <row r="1403" spans="29:29" x14ac:dyDescent="0.25">
      <c r="AC1403" s="4"/>
    </row>
    <row r="1404" spans="29:29" x14ac:dyDescent="0.25">
      <c r="AC1404" s="4"/>
    </row>
    <row r="1405" spans="29:29" x14ac:dyDescent="0.25">
      <c r="AC1405" s="4"/>
    </row>
    <row r="1406" spans="29:29" x14ac:dyDescent="0.25">
      <c r="AC1406" s="4"/>
    </row>
    <row r="1407" spans="29:29" x14ac:dyDescent="0.25">
      <c r="AC1407" s="4"/>
    </row>
    <row r="1408" spans="29:29" x14ac:dyDescent="0.25">
      <c r="AC1408" s="4"/>
    </row>
    <row r="1409" spans="29:29" x14ac:dyDescent="0.25">
      <c r="AC1409" s="4"/>
    </row>
    <row r="1410" spans="29:29" x14ac:dyDescent="0.25">
      <c r="AC1410" s="4"/>
    </row>
    <row r="1411" spans="29:29" x14ac:dyDescent="0.25">
      <c r="AC1411" s="4"/>
    </row>
    <row r="1412" spans="29:29" x14ac:dyDescent="0.25">
      <c r="AC1412" s="4"/>
    </row>
    <row r="1413" spans="29:29" x14ac:dyDescent="0.25">
      <c r="AC1413" s="4"/>
    </row>
    <row r="1414" spans="29:29" x14ac:dyDescent="0.25">
      <c r="AC1414" s="4"/>
    </row>
    <row r="1415" spans="29:29" x14ac:dyDescent="0.25">
      <c r="AC1415" s="4"/>
    </row>
    <row r="1416" spans="29:29" x14ac:dyDescent="0.25">
      <c r="AC1416" s="4"/>
    </row>
    <row r="1417" spans="29:29" x14ac:dyDescent="0.25">
      <c r="AC1417" s="4"/>
    </row>
    <row r="1418" spans="29:29" x14ac:dyDescent="0.25">
      <c r="AC1418" s="4"/>
    </row>
    <row r="1419" spans="29:29" x14ac:dyDescent="0.25">
      <c r="AC1419" s="4"/>
    </row>
    <row r="1420" spans="29:29" x14ac:dyDescent="0.25">
      <c r="AC1420" s="4"/>
    </row>
    <row r="1421" spans="29:29" x14ac:dyDescent="0.25">
      <c r="AC1421" s="4"/>
    </row>
    <row r="1422" spans="29:29" x14ac:dyDescent="0.25">
      <c r="AC1422" s="4"/>
    </row>
    <row r="1423" spans="29:29" x14ac:dyDescent="0.25">
      <c r="AC1423" s="4"/>
    </row>
    <row r="1424" spans="29:29" x14ac:dyDescent="0.25">
      <c r="AC1424" s="4"/>
    </row>
    <row r="1425" spans="29:29" x14ac:dyDescent="0.25">
      <c r="AC1425" s="4"/>
    </row>
    <row r="1426" spans="29:29" x14ac:dyDescent="0.25">
      <c r="AC1426" s="4"/>
    </row>
    <row r="1427" spans="29:29" x14ac:dyDescent="0.25">
      <c r="AC1427" s="4"/>
    </row>
    <row r="1428" spans="29:29" x14ac:dyDescent="0.25">
      <c r="AC1428" s="4"/>
    </row>
    <row r="1429" spans="29:29" x14ac:dyDescent="0.25">
      <c r="AC1429" s="4"/>
    </row>
    <row r="1430" spans="29:29" x14ac:dyDescent="0.25">
      <c r="AC1430" s="4"/>
    </row>
    <row r="1431" spans="29:29" x14ac:dyDescent="0.25">
      <c r="AC1431" s="4"/>
    </row>
    <row r="1432" spans="29:29" x14ac:dyDescent="0.25">
      <c r="AC1432" s="4"/>
    </row>
    <row r="1433" spans="29:29" x14ac:dyDescent="0.25">
      <c r="AC1433" s="4"/>
    </row>
    <row r="1434" spans="29:29" x14ac:dyDescent="0.25">
      <c r="AC1434" s="4"/>
    </row>
    <row r="1435" spans="29:29" x14ac:dyDescent="0.25">
      <c r="AC1435" s="4"/>
    </row>
    <row r="1436" spans="29:29" x14ac:dyDescent="0.25">
      <c r="AC1436" s="4"/>
    </row>
    <row r="1437" spans="29:29" x14ac:dyDescent="0.25">
      <c r="AC1437" s="4"/>
    </row>
    <row r="1438" spans="29:29" x14ac:dyDescent="0.25">
      <c r="AC1438" s="4"/>
    </row>
    <row r="1439" spans="29:29" x14ac:dyDescent="0.25">
      <c r="AC1439" s="4"/>
    </row>
    <row r="1440" spans="29:29" x14ac:dyDescent="0.25">
      <c r="AC1440" s="4"/>
    </row>
    <row r="1441" spans="29:29" x14ac:dyDescent="0.25">
      <c r="AC1441" s="4"/>
    </row>
    <row r="1442" spans="29:29" x14ac:dyDescent="0.25">
      <c r="AC1442" s="4"/>
    </row>
    <row r="1443" spans="29:29" x14ac:dyDescent="0.25">
      <c r="AC1443" s="4"/>
    </row>
    <row r="1444" spans="29:29" x14ac:dyDescent="0.25">
      <c r="AC1444" s="4"/>
    </row>
    <row r="1445" spans="29:29" x14ac:dyDescent="0.25">
      <c r="AC1445" s="4"/>
    </row>
    <row r="1446" spans="29:29" x14ac:dyDescent="0.25">
      <c r="AC1446" s="4"/>
    </row>
    <row r="1447" spans="29:29" x14ac:dyDescent="0.25">
      <c r="AC1447" s="4"/>
    </row>
    <row r="1448" spans="29:29" x14ac:dyDescent="0.25">
      <c r="AC1448" s="4"/>
    </row>
    <row r="1449" spans="29:29" x14ac:dyDescent="0.25">
      <c r="AC1449" s="4"/>
    </row>
    <row r="1450" spans="29:29" x14ac:dyDescent="0.25">
      <c r="AC1450" s="4"/>
    </row>
    <row r="1451" spans="29:29" x14ac:dyDescent="0.25">
      <c r="AC1451" s="4"/>
    </row>
    <row r="1452" spans="29:29" x14ac:dyDescent="0.25">
      <c r="AC1452" s="4"/>
    </row>
    <row r="1453" spans="29:29" x14ac:dyDescent="0.25">
      <c r="AC1453" s="4"/>
    </row>
  </sheetData>
  <mergeCells count="42">
    <mergeCell ref="AD164:AD197"/>
    <mergeCell ref="AD199:AD217"/>
    <mergeCell ref="AD1:AD49"/>
    <mergeCell ref="AD50:AD74"/>
    <mergeCell ref="AD75:AD113"/>
    <mergeCell ref="AD114:AD161"/>
    <mergeCell ref="J12:M12"/>
    <mergeCell ref="E11:M11"/>
    <mergeCell ref="A7:AC7"/>
    <mergeCell ref="A11:A14"/>
    <mergeCell ref="C11:C14"/>
    <mergeCell ref="B11:B14"/>
    <mergeCell ref="D11:D14"/>
    <mergeCell ref="A8:AC8"/>
    <mergeCell ref="A9:AC9"/>
    <mergeCell ref="AC11:AC14"/>
    <mergeCell ref="AB11:AB14"/>
    <mergeCell ref="T13:T14"/>
    <mergeCell ref="P13:P14"/>
    <mergeCell ref="O13:O14"/>
    <mergeCell ref="W1:Z1"/>
    <mergeCell ref="U13:U14"/>
    <mergeCell ref="V13:V14"/>
    <mergeCell ref="W13:W14"/>
    <mergeCell ref="X13:Y13"/>
    <mergeCell ref="Z13:Z14"/>
    <mergeCell ref="Y226:AA226"/>
    <mergeCell ref="E13:E14"/>
    <mergeCell ref="E12:I12"/>
    <mergeCell ref="N11:N14"/>
    <mergeCell ref="J13:J14"/>
    <mergeCell ref="O11:Z11"/>
    <mergeCell ref="O12:T12"/>
    <mergeCell ref="U12:Z12"/>
    <mergeCell ref="AA11:AA14"/>
    <mergeCell ref="F13:F14"/>
    <mergeCell ref="Q13:Q14"/>
    <mergeCell ref="R13:S13"/>
    <mergeCell ref="B217:O217"/>
    <mergeCell ref="Y217:AB217"/>
    <mergeCell ref="G13:I13"/>
    <mergeCell ref="K13:M13"/>
  </mergeCells>
  <phoneticPr fontId="2" type="noConversion"/>
  <printOptions horizontalCentered="1"/>
  <pageMargins left="0.19685039370078741" right="0" top="0.82677165354330717" bottom="0.35433070866141736" header="0.62992125984251968" footer="0.31496062992125984"/>
  <pageSetup paperSize="9" scale="26" fitToHeight="8" orientation="landscape" useFirstPageNumber="1" verticalDpi="360" r:id="rId1"/>
  <headerFooter differentFirst="1" scaleWithDoc="0" alignWithMargins="0">
    <oddHeader>&amp;R&amp;8Продовження додатку</oddHeader>
  </headerFooter>
  <rowBreaks count="1" manualBreakCount="1">
    <brk id="49" max="2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25"/>
  <sheetViews>
    <sheetView showGridLines="0" showZeros="0" tabSelected="1" view="pageBreakPreview" topLeftCell="F1" zoomScale="60" zoomScaleNormal="87" workbookViewId="0">
      <selection activeCell="R2" sqref="R2"/>
    </sheetView>
  </sheetViews>
  <sheetFormatPr defaultColWidth="9.1640625" defaultRowHeight="15.75" x14ac:dyDescent="0.25"/>
  <cols>
    <col min="1" max="1" width="19.1640625" style="60" customWidth="1"/>
    <col min="2" max="2" width="22.1640625" style="59" customWidth="1"/>
    <col min="3" max="3" width="74.1640625" style="61" customWidth="1"/>
    <col min="4" max="4" width="23.1640625" style="62" customWidth="1"/>
    <col min="5" max="5" width="23.83203125" style="62" hidden="1" customWidth="1"/>
    <col min="6" max="6" width="23.6640625" style="62" customWidth="1"/>
    <col min="7" max="7" width="20.83203125" style="62" customWidth="1"/>
    <col min="8" max="8" width="21.1640625" style="62" customWidth="1"/>
    <col min="9" max="9" width="23.1640625" style="62" bestFit="1" customWidth="1"/>
    <col min="10" max="12" width="21.1640625" style="62" customWidth="1"/>
    <col min="13" max="13" width="18.33203125" style="106" customWidth="1"/>
    <col min="14" max="14" width="22.5" style="62" customWidth="1"/>
    <col min="15" max="15" width="21.1640625" style="62" customWidth="1"/>
    <col min="16" max="16" width="21.33203125" style="62" customWidth="1"/>
    <col min="17" max="17" width="19.1640625" style="62" customWidth="1"/>
    <col min="18" max="18" width="18.83203125" style="62" customWidth="1"/>
    <col min="19" max="25" width="23" style="62" customWidth="1"/>
    <col min="26" max="26" width="16.5" style="106" customWidth="1"/>
    <col min="27" max="27" width="23" style="62" customWidth="1"/>
    <col min="28" max="28" width="22.83203125" style="62" hidden="1" customWidth="1"/>
    <col min="29" max="29" width="7.6640625" style="141" customWidth="1"/>
    <col min="30" max="30" width="0.1640625" style="59" customWidth="1"/>
    <col min="31" max="31" width="12.1640625" style="59" customWidth="1"/>
    <col min="32" max="16384" width="9.1640625" style="59"/>
  </cols>
  <sheetData>
    <row r="1" spans="1:30" ht="33.75" customHeight="1" x14ac:dyDescent="0.45">
      <c r="O1" s="71"/>
      <c r="P1" s="71"/>
      <c r="Q1" s="71"/>
      <c r="R1" s="71"/>
      <c r="S1" s="71"/>
      <c r="T1" s="71"/>
      <c r="U1" s="136"/>
      <c r="V1" s="163" t="s">
        <v>527</v>
      </c>
      <c r="W1" s="163"/>
      <c r="X1" s="163"/>
      <c r="Y1" s="163"/>
      <c r="Z1" s="111"/>
      <c r="AA1" s="71"/>
      <c r="AB1" s="71"/>
      <c r="AC1" s="180">
        <v>31</v>
      </c>
      <c r="AD1" s="176"/>
    </row>
    <row r="2" spans="1:30" ht="30" customHeight="1" x14ac:dyDescent="0.25">
      <c r="O2" s="67"/>
      <c r="P2" s="67"/>
      <c r="Q2" s="67"/>
      <c r="R2" s="67"/>
      <c r="S2" s="67"/>
      <c r="T2" s="67"/>
      <c r="U2" s="104"/>
      <c r="V2" s="92" t="s">
        <v>524</v>
      </c>
      <c r="W2" s="92"/>
      <c r="X2" s="92"/>
      <c r="Y2" s="92"/>
      <c r="Z2" s="112"/>
      <c r="AA2" s="67"/>
      <c r="AB2" s="67"/>
      <c r="AC2" s="180"/>
      <c r="AD2" s="176"/>
    </row>
    <row r="3" spans="1:30" ht="30" customHeight="1" x14ac:dyDescent="0.45">
      <c r="O3" s="67"/>
      <c r="P3" s="67"/>
      <c r="Q3" s="67"/>
      <c r="R3" s="67"/>
      <c r="S3" s="67"/>
      <c r="T3" s="67"/>
      <c r="U3" s="105"/>
      <c r="V3" s="93" t="s">
        <v>530</v>
      </c>
      <c r="W3" s="93"/>
      <c r="X3" s="93" t="s">
        <v>529</v>
      </c>
      <c r="Y3" s="93"/>
      <c r="Z3" s="112"/>
      <c r="AA3" s="67"/>
      <c r="AB3" s="67"/>
      <c r="AC3" s="180"/>
      <c r="AD3" s="176"/>
    </row>
    <row r="4" spans="1:30" ht="26.25" customHeight="1" x14ac:dyDescent="0.4">
      <c r="O4" s="81"/>
      <c r="P4" s="81"/>
      <c r="Q4" s="81"/>
      <c r="R4" s="81"/>
      <c r="S4" s="81"/>
      <c r="T4" s="91"/>
      <c r="U4" s="91"/>
      <c r="V4" s="91"/>
      <c r="W4" s="91"/>
      <c r="X4" s="91"/>
      <c r="Y4" s="91"/>
      <c r="Z4" s="99"/>
      <c r="AA4" s="91"/>
      <c r="AB4" s="81"/>
      <c r="AC4" s="180"/>
      <c r="AD4" s="176"/>
    </row>
    <row r="5" spans="1:30" ht="26.25" customHeight="1" x14ac:dyDescent="0.4"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100"/>
      <c r="AA5" s="7"/>
      <c r="AB5" s="7"/>
      <c r="AC5" s="180"/>
      <c r="AD5" s="176"/>
    </row>
    <row r="6" spans="1:30" ht="105.75" customHeight="1" x14ac:dyDescent="0.25">
      <c r="A6" s="178" t="s">
        <v>513</v>
      </c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80"/>
      <c r="AD6" s="176"/>
    </row>
    <row r="7" spans="1:30" ht="23.25" customHeight="1" x14ac:dyDescent="0.25">
      <c r="A7" s="177" t="s">
        <v>329</v>
      </c>
      <c r="B7" s="177"/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80"/>
      <c r="AD7" s="176"/>
    </row>
    <row r="8" spans="1:30" ht="13.5" customHeight="1" x14ac:dyDescent="0.25">
      <c r="A8" s="171" t="s">
        <v>421</v>
      </c>
      <c r="B8" s="171"/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71"/>
      <c r="V8" s="171"/>
      <c r="W8" s="171"/>
      <c r="X8" s="171"/>
      <c r="Y8" s="171"/>
      <c r="Z8" s="171"/>
      <c r="AA8" s="171"/>
      <c r="AB8" s="171"/>
      <c r="AC8" s="180"/>
      <c r="AD8" s="176"/>
    </row>
    <row r="9" spans="1:30" s="68" customFormat="1" ht="20.25" customHeight="1" x14ac:dyDescent="0.3">
      <c r="A9" s="39"/>
      <c r="B9" s="40"/>
      <c r="C9" s="41"/>
      <c r="D9" s="42"/>
      <c r="E9" s="42"/>
      <c r="F9" s="42"/>
      <c r="G9" s="42"/>
      <c r="H9" s="42"/>
      <c r="I9" s="42"/>
      <c r="J9" s="42"/>
      <c r="K9" s="42"/>
      <c r="L9" s="42"/>
      <c r="M9" s="107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107"/>
      <c r="AA9" s="73" t="s">
        <v>266</v>
      </c>
      <c r="AB9" s="73" t="s">
        <v>266</v>
      </c>
      <c r="AC9" s="180"/>
      <c r="AD9" s="176"/>
    </row>
    <row r="10" spans="1:30" s="63" customFormat="1" ht="21.75" customHeight="1" x14ac:dyDescent="0.25">
      <c r="A10" s="179" t="s">
        <v>250</v>
      </c>
      <c r="B10" s="179" t="s">
        <v>245</v>
      </c>
      <c r="C10" s="179" t="s">
        <v>252</v>
      </c>
      <c r="D10" s="164" t="s">
        <v>177</v>
      </c>
      <c r="E10" s="165"/>
      <c r="F10" s="165"/>
      <c r="G10" s="165"/>
      <c r="H10" s="165"/>
      <c r="I10" s="165"/>
      <c r="J10" s="165"/>
      <c r="K10" s="165"/>
      <c r="L10" s="166"/>
      <c r="M10" s="156" t="s">
        <v>512</v>
      </c>
      <c r="N10" s="155" t="s">
        <v>178</v>
      </c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6" t="s">
        <v>512</v>
      </c>
      <c r="AA10" s="154" t="s">
        <v>179</v>
      </c>
      <c r="AB10" s="155" t="s">
        <v>510</v>
      </c>
      <c r="AC10" s="180"/>
      <c r="AD10" s="176"/>
    </row>
    <row r="11" spans="1:30" s="63" customFormat="1" ht="51.75" customHeight="1" x14ac:dyDescent="0.25">
      <c r="A11" s="179"/>
      <c r="B11" s="179"/>
      <c r="C11" s="179"/>
      <c r="D11" s="155" t="s">
        <v>508</v>
      </c>
      <c r="E11" s="155"/>
      <c r="F11" s="155"/>
      <c r="G11" s="155"/>
      <c r="H11" s="155"/>
      <c r="I11" s="164" t="s">
        <v>509</v>
      </c>
      <c r="J11" s="165"/>
      <c r="K11" s="165"/>
      <c r="L11" s="166"/>
      <c r="M11" s="156"/>
      <c r="N11" s="155" t="s">
        <v>508</v>
      </c>
      <c r="O11" s="155"/>
      <c r="P11" s="155"/>
      <c r="Q11" s="155"/>
      <c r="R11" s="155"/>
      <c r="S11" s="155"/>
      <c r="T11" s="155" t="s">
        <v>509</v>
      </c>
      <c r="U11" s="155"/>
      <c r="V11" s="155"/>
      <c r="W11" s="155"/>
      <c r="X11" s="155"/>
      <c r="Y11" s="155"/>
      <c r="Z11" s="156"/>
      <c r="AA11" s="154"/>
      <c r="AB11" s="155"/>
      <c r="AC11" s="180"/>
      <c r="AD11" s="176"/>
    </row>
    <row r="12" spans="1:30" s="63" customFormat="1" ht="29.25" customHeight="1" x14ac:dyDescent="0.25">
      <c r="A12" s="179"/>
      <c r="B12" s="179"/>
      <c r="C12" s="179"/>
      <c r="D12" s="154" t="s">
        <v>386</v>
      </c>
      <c r="E12" s="154" t="s">
        <v>180</v>
      </c>
      <c r="F12" s="160" t="s">
        <v>181</v>
      </c>
      <c r="G12" s="161"/>
      <c r="H12" s="162"/>
      <c r="I12" s="154" t="s">
        <v>386</v>
      </c>
      <c r="J12" s="160" t="s">
        <v>181</v>
      </c>
      <c r="K12" s="161"/>
      <c r="L12" s="162"/>
      <c r="M12" s="156"/>
      <c r="N12" s="154" t="s">
        <v>386</v>
      </c>
      <c r="O12" s="154" t="s">
        <v>246</v>
      </c>
      <c r="P12" s="154" t="s">
        <v>180</v>
      </c>
      <c r="Q12" s="157" t="s">
        <v>181</v>
      </c>
      <c r="R12" s="157"/>
      <c r="S12" s="154" t="s">
        <v>182</v>
      </c>
      <c r="T12" s="154" t="s">
        <v>386</v>
      </c>
      <c r="U12" s="154" t="s">
        <v>246</v>
      </c>
      <c r="V12" s="154" t="s">
        <v>180</v>
      </c>
      <c r="W12" s="157" t="s">
        <v>181</v>
      </c>
      <c r="X12" s="157"/>
      <c r="Y12" s="154" t="s">
        <v>182</v>
      </c>
      <c r="Z12" s="156"/>
      <c r="AA12" s="154"/>
      <c r="AB12" s="155"/>
      <c r="AC12" s="180"/>
      <c r="AD12" s="176"/>
    </row>
    <row r="13" spans="1:30" s="63" customFormat="1" ht="60.75" customHeight="1" x14ac:dyDescent="0.25">
      <c r="A13" s="179"/>
      <c r="B13" s="179"/>
      <c r="C13" s="179"/>
      <c r="D13" s="154"/>
      <c r="E13" s="154"/>
      <c r="F13" s="88" t="s">
        <v>183</v>
      </c>
      <c r="G13" s="88" t="s">
        <v>184</v>
      </c>
      <c r="H13" s="132" t="s">
        <v>182</v>
      </c>
      <c r="I13" s="154"/>
      <c r="J13" s="88" t="s">
        <v>183</v>
      </c>
      <c r="K13" s="88" t="s">
        <v>184</v>
      </c>
      <c r="L13" s="132" t="s">
        <v>182</v>
      </c>
      <c r="M13" s="156"/>
      <c r="N13" s="154"/>
      <c r="O13" s="154"/>
      <c r="P13" s="154"/>
      <c r="Q13" s="88" t="s">
        <v>183</v>
      </c>
      <c r="R13" s="88" t="s">
        <v>184</v>
      </c>
      <c r="S13" s="154"/>
      <c r="T13" s="154"/>
      <c r="U13" s="154"/>
      <c r="V13" s="154"/>
      <c r="W13" s="88" t="s">
        <v>183</v>
      </c>
      <c r="X13" s="88" t="s">
        <v>184</v>
      </c>
      <c r="Y13" s="154"/>
      <c r="Z13" s="156"/>
      <c r="AA13" s="154"/>
      <c r="AB13" s="155"/>
      <c r="AC13" s="180"/>
      <c r="AD13" s="176"/>
    </row>
    <row r="14" spans="1:30" s="63" customFormat="1" ht="28.5" customHeight="1" x14ac:dyDescent="0.3">
      <c r="A14" s="43" t="s">
        <v>35</v>
      </c>
      <c r="B14" s="84"/>
      <c r="C14" s="85" t="s">
        <v>337</v>
      </c>
      <c r="D14" s="44">
        <f>D15+D16</f>
        <v>537308553</v>
      </c>
      <c r="E14" s="44">
        <f t="shared" ref="E14:Y14" si="0">E15+E16</f>
        <v>525753753</v>
      </c>
      <c r="F14" s="44">
        <f t="shared" si="0"/>
        <v>400595200</v>
      </c>
      <c r="G14" s="44">
        <f t="shared" si="0"/>
        <v>11833100</v>
      </c>
      <c r="H14" s="44">
        <f t="shared" si="0"/>
        <v>11554800</v>
      </c>
      <c r="I14" s="131">
        <f t="shared" si="0"/>
        <v>130918904.54000002</v>
      </c>
      <c r="J14" s="44">
        <f t="shared" si="0"/>
        <v>93901207</v>
      </c>
      <c r="K14" s="44">
        <f t="shared" si="0"/>
        <v>3714464.0799999996</v>
      </c>
      <c r="L14" s="44">
        <f t="shared" ref="L14" si="1">L15+L16</f>
        <v>10103320</v>
      </c>
      <c r="M14" s="108">
        <f>I14/D14*100</f>
        <v>24.3656840765012</v>
      </c>
      <c r="N14" s="44">
        <f t="shared" si="0"/>
        <v>450000</v>
      </c>
      <c r="O14" s="44">
        <f t="shared" si="0"/>
        <v>0</v>
      </c>
      <c r="P14" s="44">
        <f t="shared" si="0"/>
        <v>450000</v>
      </c>
      <c r="Q14" s="44">
        <f t="shared" si="0"/>
        <v>0</v>
      </c>
      <c r="R14" s="44">
        <f t="shared" si="0"/>
        <v>239500</v>
      </c>
      <c r="S14" s="44">
        <f t="shared" si="0"/>
        <v>0</v>
      </c>
      <c r="T14" s="44">
        <f t="shared" si="0"/>
        <v>26453291.979999997</v>
      </c>
      <c r="U14" s="44">
        <f t="shared" si="0"/>
        <v>0</v>
      </c>
      <c r="V14" s="44">
        <f t="shared" si="0"/>
        <v>22047559.439999998</v>
      </c>
      <c r="W14" s="44">
        <f t="shared" si="0"/>
        <v>809345.3</v>
      </c>
      <c r="X14" s="44">
        <f t="shared" si="0"/>
        <v>85856.99</v>
      </c>
      <c r="Y14" s="44">
        <f t="shared" si="0"/>
        <v>4405732.54</v>
      </c>
      <c r="Z14" s="108" t="s">
        <v>522</v>
      </c>
      <c r="AA14" s="44">
        <f>AA15+AA16</f>
        <v>157372196.52000001</v>
      </c>
      <c r="AB14" s="44">
        <f t="shared" ref="AB14" si="2">AB15+AB16</f>
        <v>537758553</v>
      </c>
      <c r="AC14" s="180"/>
      <c r="AD14" s="176"/>
    </row>
    <row r="15" spans="1:30" s="79" customFormat="1" ht="37.5" customHeight="1" x14ac:dyDescent="0.25">
      <c r="A15" s="45" t="s">
        <v>99</v>
      </c>
      <c r="B15" s="45" t="s">
        <v>37</v>
      </c>
      <c r="C15" s="46" t="s">
        <v>333</v>
      </c>
      <c r="D15" s="47">
        <f>'дод 2'!E17+'дод 2'!E52+'дод 2'!E86+'дод 2'!E100+'дод 2'!E122+'дод 2'!E127+'дод 2'!E137+'дод 2'!E166+'дод 2'!E186+'дод 2'!E208+'дод 2'!E197+'дод 2'!E201+'дод 2'!E189+'дод 2'!E214+'дод 2'!E181+'дод 2'!E193</f>
        <v>534379553</v>
      </c>
      <c r="E15" s="47">
        <f>'дод 2'!F17+'дод 2'!F52+'дод 2'!F86+'дод 2'!F100+'дод 2'!F122+'дод 2'!F127+'дод 2'!F137+'дод 2'!F166+'дод 2'!F186+'дод 2'!F208+'дод 2'!F197+'дод 2'!F201+'дод 2'!F189+'дод 2'!F214+'дод 2'!F181+'дод 2'!F193</f>
        <v>522824753</v>
      </c>
      <c r="F15" s="47">
        <f>'дод 2'!G17+'дод 2'!G52+'дод 2'!G86+'дод 2'!G100+'дод 2'!G122+'дод 2'!G127+'дод 2'!G137+'дод 2'!G166+'дод 2'!G186+'дод 2'!G208+'дод 2'!G197+'дод 2'!G201+'дод 2'!G189+'дод 2'!G214+'дод 2'!G181+'дод 2'!G193</f>
        <v>400595200</v>
      </c>
      <c r="G15" s="47">
        <f>'дод 2'!H17+'дод 2'!H52+'дод 2'!H86+'дод 2'!H100+'дод 2'!H122+'дод 2'!H127+'дод 2'!H137+'дод 2'!H166+'дод 2'!H186+'дод 2'!H208+'дод 2'!H197+'дод 2'!H201+'дод 2'!H189+'дод 2'!H214+'дод 2'!H181+'дод 2'!H193</f>
        <v>11833100</v>
      </c>
      <c r="H15" s="47">
        <f>'дод 2'!I17+'дод 2'!I52+'дод 2'!I86+'дод 2'!I100+'дод 2'!I122+'дод 2'!I127+'дод 2'!I137+'дод 2'!I166+'дод 2'!I186+'дод 2'!I208+'дод 2'!I197+'дод 2'!I201+'дод 2'!I189+'дод 2'!I214+'дод 2'!I181+'дод 2'!I193</f>
        <v>11554800</v>
      </c>
      <c r="I15" s="47">
        <f>'дод 2'!J17+'дод 2'!J52+'дод 2'!J86+'дод 2'!J100+'дод 2'!J122+'дод 2'!J127+'дод 2'!J137+'дод 2'!J166+'дод 2'!J186+'дод 2'!J208+'дод 2'!J197+'дод 2'!J201+'дод 2'!J189+'дод 2'!J214+'дод 2'!J181+'дод 2'!J193</f>
        <v>130862984.54000002</v>
      </c>
      <c r="J15" s="47">
        <f>'дод 2'!K17+'дод 2'!K52+'дод 2'!K86+'дод 2'!K100+'дод 2'!K122+'дод 2'!K127+'дод 2'!K137+'дод 2'!K166+'дод 2'!K186+'дод 2'!K208+'дод 2'!K197+'дод 2'!K201+'дод 2'!K189+'дод 2'!K214+'дод 2'!K181+'дод 2'!K193</f>
        <v>93901207</v>
      </c>
      <c r="K15" s="47">
        <f>'дод 2'!L17+'дод 2'!L52+'дод 2'!L86+'дод 2'!L100+'дод 2'!L122+'дод 2'!L127+'дод 2'!L137+'дод 2'!L166+'дод 2'!L186+'дод 2'!L208+'дод 2'!L197+'дод 2'!L201+'дод 2'!L189+'дод 2'!L214+'дод 2'!L181+'дод 2'!L193</f>
        <v>3714464.0799999996</v>
      </c>
      <c r="L15" s="47">
        <f>'дод 2'!M17+'дод 2'!M52+'дод 2'!M86+'дод 2'!M100+'дод 2'!M122+'дод 2'!M127+'дод 2'!M137+'дод 2'!M166+'дод 2'!M186+'дод 2'!M208+'дод 2'!M197+'дод 2'!M201+'дод 2'!M189+'дод 2'!M214+'дод 2'!M181+'дод 2'!M193</f>
        <v>10103320</v>
      </c>
      <c r="M15" s="109">
        <f t="shared" ref="M15:M78" si="3">I15/D15*100</f>
        <v>24.488770912984393</v>
      </c>
      <c r="N15" s="47">
        <f>'дод 2'!O17+'дод 2'!O52+'дод 2'!O86+'дод 2'!O100+'дод 2'!O122+'дод 2'!O127+'дод 2'!O137+'дод 2'!O166+'дод 2'!O186+'дод 2'!O208+'дод 2'!O197+'дод 2'!O201+'дод 2'!O189+'дод 2'!O214+'дод 2'!O181+'дод 2'!O193</f>
        <v>450000</v>
      </c>
      <c r="O15" s="47">
        <f>'дод 2'!P17+'дод 2'!P52+'дод 2'!P86+'дод 2'!P100+'дод 2'!P122+'дод 2'!P127+'дод 2'!P137+'дод 2'!P166+'дод 2'!P186+'дод 2'!P208+'дод 2'!P197+'дод 2'!P201+'дод 2'!P189+'дод 2'!P214+'дод 2'!P181+'дод 2'!P193</f>
        <v>0</v>
      </c>
      <c r="P15" s="47">
        <f>'дод 2'!Q17+'дод 2'!Q52+'дод 2'!Q86+'дод 2'!Q100+'дод 2'!Q122+'дод 2'!Q127+'дод 2'!Q137+'дод 2'!Q166+'дод 2'!Q186+'дод 2'!Q208+'дод 2'!Q197+'дод 2'!Q201+'дод 2'!Q189+'дод 2'!Q214+'дод 2'!Q181+'дод 2'!Q193</f>
        <v>450000</v>
      </c>
      <c r="Q15" s="47">
        <f>'дод 2'!R17+'дод 2'!R52+'дод 2'!R86+'дод 2'!R100+'дод 2'!R122+'дод 2'!R127+'дод 2'!R137+'дод 2'!R166+'дод 2'!R186+'дод 2'!R208+'дод 2'!R197+'дод 2'!R201+'дод 2'!R189+'дод 2'!R214+'дод 2'!R181+'дод 2'!R193</f>
        <v>0</v>
      </c>
      <c r="R15" s="47">
        <f>'дод 2'!S17+'дод 2'!S52+'дод 2'!S86+'дод 2'!S100+'дод 2'!S122+'дод 2'!S127+'дод 2'!S137+'дод 2'!S166+'дод 2'!S186+'дод 2'!S208+'дод 2'!S197+'дод 2'!S201+'дод 2'!S189+'дод 2'!S214+'дод 2'!S181+'дод 2'!S193</f>
        <v>239500</v>
      </c>
      <c r="S15" s="47">
        <f>'дод 2'!T17+'дод 2'!T52+'дод 2'!T86+'дод 2'!T100+'дод 2'!T122+'дод 2'!T127+'дод 2'!T137+'дод 2'!T166+'дод 2'!T186+'дод 2'!T208+'дод 2'!T197+'дод 2'!T201+'дод 2'!T189+'дод 2'!T214+'дод 2'!T181+'дод 2'!T193</f>
        <v>0</v>
      </c>
      <c r="T15" s="47">
        <f>'дод 2'!U17+'дод 2'!U52+'дод 2'!U86+'дод 2'!U100+'дод 2'!U122+'дод 2'!U127+'дод 2'!U137+'дод 2'!U166+'дод 2'!U186+'дод 2'!U208+'дод 2'!U197+'дод 2'!U201+'дод 2'!U189+'дод 2'!U214+'дод 2'!U181+'дод 2'!U193</f>
        <v>26453291.979999997</v>
      </c>
      <c r="U15" s="47">
        <f>'дод 2'!V17+'дод 2'!V52+'дод 2'!V86+'дод 2'!V100+'дод 2'!V122+'дод 2'!V127+'дод 2'!V137+'дод 2'!V166+'дод 2'!V186+'дод 2'!V208+'дод 2'!V197+'дод 2'!V201+'дод 2'!V189+'дод 2'!V214+'дод 2'!V181+'дод 2'!V193</f>
        <v>0</v>
      </c>
      <c r="V15" s="47">
        <f>'дод 2'!W17+'дод 2'!W52+'дод 2'!W86+'дод 2'!W100+'дод 2'!W122+'дод 2'!W127+'дод 2'!W137+'дод 2'!W166+'дод 2'!W186+'дод 2'!W208+'дод 2'!W197+'дод 2'!W201+'дод 2'!W189+'дод 2'!W214+'дод 2'!W181+'дод 2'!W193</f>
        <v>22047559.439999998</v>
      </c>
      <c r="W15" s="47">
        <f>'дод 2'!X17+'дод 2'!X52+'дод 2'!X86+'дод 2'!X100+'дод 2'!X122+'дод 2'!X127+'дод 2'!X137+'дод 2'!X166+'дод 2'!X186+'дод 2'!X208+'дод 2'!X197+'дод 2'!X201+'дод 2'!X189+'дод 2'!X214+'дод 2'!X181+'дод 2'!X193</f>
        <v>809345.3</v>
      </c>
      <c r="X15" s="47">
        <f>'дод 2'!Y17+'дод 2'!Y52+'дод 2'!Y86+'дод 2'!Y100+'дод 2'!Y122+'дод 2'!Y127+'дод 2'!Y137+'дод 2'!Y166+'дод 2'!Y186+'дод 2'!Y208+'дод 2'!Y197+'дод 2'!Y201+'дод 2'!Y189+'дод 2'!Y214+'дод 2'!Y181+'дод 2'!Y193</f>
        <v>85856.99</v>
      </c>
      <c r="Y15" s="47">
        <f>'дод 2'!Z17+'дод 2'!Z52+'дод 2'!Z86+'дод 2'!Z100+'дод 2'!Z122+'дод 2'!Z127+'дод 2'!Z137+'дод 2'!Z166+'дод 2'!Z186+'дод 2'!Z208+'дод 2'!Z197+'дод 2'!Z201+'дод 2'!Z189+'дод 2'!Z214+'дод 2'!Z181+'дод 2'!Z193</f>
        <v>4405732.54</v>
      </c>
      <c r="Z15" s="109" t="s">
        <v>522</v>
      </c>
      <c r="AA15" s="47">
        <f>'дод 2'!AB17+'дод 2'!AB52+'дод 2'!AB86+'дод 2'!AB100+'дод 2'!AB122+'дод 2'!AB127+'дод 2'!AB137+'дод 2'!AB166+'дод 2'!AB186+'дод 2'!AB208+'дод 2'!AB197+'дод 2'!AB201+'дод 2'!AB189+'дод 2'!AB214+'дод 2'!AB181+'дод 2'!AB193</f>
        <v>157316276.52000001</v>
      </c>
      <c r="AB15" s="47">
        <f>'дод 2'!AC17+'дод 2'!AC52+'дод 2'!AC86+'дод 2'!AC100+'дод 2'!AC122+'дод 2'!AC127+'дод 2'!AC137+'дод 2'!AC166+'дод 2'!AC186+'дод 2'!AC208+'дод 2'!AC197+'дод 2'!AC201+'дод 2'!AC189+'дод 2'!AC214+'дод 2'!AC181+'дод 2'!AC193</f>
        <v>534829553</v>
      </c>
      <c r="AC15" s="180"/>
      <c r="AD15" s="176"/>
    </row>
    <row r="16" spans="1:30" ht="24" customHeight="1" x14ac:dyDescent="0.25">
      <c r="A16" s="45" t="s">
        <v>36</v>
      </c>
      <c r="B16" s="45" t="s">
        <v>79</v>
      </c>
      <c r="C16" s="46" t="s">
        <v>194</v>
      </c>
      <c r="D16" s="47">
        <f>'дод 2'!E18+'дод 2'!E138</f>
        <v>2929000</v>
      </c>
      <c r="E16" s="47">
        <f>'дод 2'!F18+'дод 2'!F138</f>
        <v>2929000</v>
      </c>
      <c r="F16" s="47">
        <f>'дод 2'!G18+'дод 2'!G138</f>
        <v>0</v>
      </c>
      <c r="G16" s="47">
        <f>'дод 2'!H18+'дод 2'!H138</f>
        <v>0</v>
      </c>
      <c r="H16" s="47">
        <f>'дод 2'!I18+'дод 2'!I138</f>
        <v>0</v>
      </c>
      <c r="I16" s="47">
        <f>'дод 2'!J18+'дод 2'!J138</f>
        <v>55920</v>
      </c>
      <c r="J16" s="47">
        <f>'дод 2'!K18+'дод 2'!K138</f>
        <v>0</v>
      </c>
      <c r="K16" s="47">
        <f>'дод 2'!L18+'дод 2'!L138</f>
        <v>0</v>
      </c>
      <c r="L16" s="47">
        <f>'дод 2'!M18+'дод 2'!M138</f>
        <v>0</v>
      </c>
      <c r="M16" s="109">
        <f t="shared" si="3"/>
        <v>1.909184021850461</v>
      </c>
      <c r="N16" s="47">
        <f>'дод 2'!O18+'дод 2'!O138</f>
        <v>0</v>
      </c>
      <c r="O16" s="47">
        <f>'дод 2'!P18+'дод 2'!P138</f>
        <v>0</v>
      </c>
      <c r="P16" s="47">
        <f>'дод 2'!Q18+'дод 2'!Q138</f>
        <v>0</v>
      </c>
      <c r="Q16" s="47">
        <f>'дод 2'!R18+'дод 2'!R138</f>
        <v>0</v>
      </c>
      <c r="R16" s="47">
        <f>'дод 2'!S18+'дод 2'!S138</f>
        <v>0</v>
      </c>
      <c r="S16" s="47">
        <f>'дод 2'!T18+'дод 2'!T138</f>
        <v>0</v>
      </c>
      <c r="T16" s="47">
        <f>'дод 2'!U18+'дод 2'!U138</f>
        <v>0</v>
      </c>
      <c r="U16" s="47">
        <f>'дод 2'!V18+'дод 2'!V138</f>
        <v>0</v>
      </c>
      <c r="V16" s="47">
        <f>'дод 2'!W18+'дод 2'!W138</f>
        <v>0</v>
      </c>
      <c r="W16" s="47">
        <f>'дод 2'!X18+'дод 2'!X138</f>
        <v>0</v>
      </c>
      <c r="X16" s="47">
        <f>'дод 2'!Y18+'дод 2'!Y138</f>
        <v>0</v>
      </c>
      <c r="Y16" s="47">
        <f>'дод 2'!Z18+'дод 2'!Z138</f>
        <v>0</v>
      </c>
      <c r="Z16" s="109"/>
      <c r="AA16" s="47">
        <f>'дод 2'!AB18+'дод 2'!AB138</f>
        <v>55920</v>
      </c>
      <c r="AB16" s="47">
        <f>'дод 2'!AC18+'дод 2'!AC138</f>
        <v>2929000</v>
      </c>
      <c r="AC16" s="180"/>
      <c r="AD16" s="176"/>
    </row>
    <row r="17" spans="1:30" s="63" customFormat="1" ht="25.5" customHeight="1" x14ac:dyDescent="0.25">
      <c r="A17" s="48" t="s">
        <v>38</v>
      </c>
      <c r="B17" s="29"/>
      <c r="C17" s="85" t="s">
        <v>451</v>
      </c>
      <c r="D17" s="44">
        <f>D18+D19+D20+D21+D25+D26+D29+D30+D31+D33+D27+D22+D32+D23+D24+D28+D34+D42+D39+D43+D37+D38+D46+D44+D41+D45+D40+D36+D35</f>
        <v>1727885688.2</v>
      </c>
      <c r="E17" s="44">
        <f t="shared" ref="E17:AA17" si="4">E18+E19+E20+E21+E25+E26+E29+E30+E31+E33+E27+E22+E32+E23+E24+E28+E34+E42+E39+E43+E37+E38+E46+E44+E41+E45+E40+E36+E35</f>
        <v>1702818527</v>
      </c>
      <c r="F17" s="44">
        <f t="shared" si="4"/>
        <v>1133145683</v>
      </c>
      <c r="G17" s="44">
        <f t="shared" si="4"/>
        <v>168470250</v>
      </c>
      <c r="H17" s="44">
        <f t="shared" si="4"/>
        <v>25067161.199999999</v>
      </c>
      <c r="I17" s="44">
        <f t="shared" si="4"/>
        <v>507075931.19999999</v>
      </c>
      <c r="J17" s="44">
        <f t="shared" si="4"/>
        <v>336956412.65000004</v>
      </c>
      <c r="K17" s="44">
        <f t="shared" si="4"/>
        <v>62366561.200000003</v>
      </c>
      <c r="L17" s="44">
        <f t="shared" ref="L17" si="5">L18+L19+L20+L21+L25+L26+L29+L30+L31+L33+L27+L22+L32+L23+L24+L28+L34+L42+L39+L43+L37+L38+L46+L44+L41+L45+L40+L36+L35</f>
        <v>8116373.7400000002</v>
      </c>
      <c r="M17" s="108">
        <f t="shared" si="3"/>
        <v>29.346613301036079</v>
      </c>
      <c r="N17" s="44">
        <f t="shared" si="4"/>
        <v>716382071.4000001</v>
      </c>
      <c r="O17" s="44">
        <f t="shared" si="4"/>
        <v>661710090</v>
      </c>
      <c r="P17" s="44">
        <f t="shared" si="4"/>
        <v>54344981.399999999</v>
      </c>
      <c r="Q17" s="44">
        <f t="shared" si="4"/>
        <v>13081900</v>
      </c>
      <c r="R17" s="44">
        <f t="shared" si="4"/>
        <v>7612440</v>
      </c>
      <c r="S17" s="44">
        <f t="shared" si="4"/>
        <v>662037090</v>
      </c>
      <c r="T17" s="44">
        <f t="shared" si="4"/>
        <v>64592669.609999992</v>
      </c>
      <c r="U17" s="44">
        <f t="shared" si="4"/>
        <v>4186087</v>
      </c>
      <c r="V17" s="44">
        <f t="shared" si="4"/>
        <v>56141088.939999998</v>
      </c>
      <c r="W17" s="44">
        <f t="shared" si="4"/>
        <v>3232249.65</v>
      </c>
      <c r="X17" s="44">
        <f t="shared" si="4"/>
        <v>1506137.28</v>
      </c>
      <c r="Y17" s="44">
        <f t="shared" si="4"/>
        <v>8451580.6699999999</v>
      </c>
      <c r="Z17" s="108">
        <f t="shared" ref="Z17:Z68" si="6">T17/N17*100</f>
        <v>9.0165111870777039</v>
      </c>
      <c r="AA17" s="44">
        <f t="shared" si="4"/>
        <v>571668600.80999994</v>
      </c>
      <c r="AB17" s="44">
        <f t="shared" ref="AB17" si="7">AB18+AB19+AB20+AB21+AB25+AB26+AB29+AB30+AB31+AB33+AB27+AB22+AB32+AB23+AB24+AB28+AB34+AB42+AB39+AB43+AB37+AB38+AB46+AB44+AB41+AB45+AB40+AB36+AB35</f>
        <v>2444267759.5999999</v>
      </c>
      <c r="AC17" s="180"/>
      <c r="AD17" s="176"/>
    </row>
    <row r="18" spans="1:30" ht="30.75" customHeight="1" x14ac:dyDescent="0.25">
      <c r="A18" s="45" t="s">
        <v>39</v>
      </c>
      <c r="B18" s="45" t="s">
        <v>40</v>
      </c>
      <c r="C18" s="46" t="s">
        <v>452</v>
      </c>
      <c r="D18" s="47">
        <f>'дод 2'!E53</f>
        <v>439209730</v>
      </c>
      <c r="E18" s="47">
        <f>'дод 2'!F53</f>
        <v>439209730</v>
      </c>
      <c r="F18" s="47">
        <f>'дод 2'!G53</f>
        <v>287934400</v>
      </c>
      <c r="G18" s="47">
        <f>'дод 2'!H53</f>
        <v>52530100</v>
      </c>
      <c r="H18" s="47">
        <f>'дод 2'!I53</f>
        <v>0</v>
      </c>
      <c r="I18" s="47">
        <f>'дод 2'!J53</f>
        <v>116882349.54000001</v>
      </c>
      <c r="J18" s="47">
        <f>'дод 2'!K53</f>
        <v>73872166.519999996</v>
      </c>
      <c r="K18" s="47">
        <f>'дод 2'!L53</f>
        <v>19372749.960000001</v>
      </c>
      <c r="L18" s="47">
        <f>'дод 2'!M53</f>
        <v>0</v>
      </c>
      <c r="M18" s="109">
        <f t="shared" si="3"/>
        <v>26.611967257647052</v>
      </c>
      <c r="N18" s="47">
        <f>'дод 2'!O53</f>
        <v>12135825</v>
      </c>
      <c r="O18" s="47">
        <f>'дод 2'!P53</f>
        <v>0</v>
      </c>
      <c r="P18" s="47">
        <f>'дод 2'!Q53</f>
        <v>12135825</v>
      </c>
      <c r="Q18" s="47">
        <f>'дод 2'!R53</f>
        <v>0</v>
      </c>
      <c r="R18" s="47">
        <f>'дод 2'!S53</f>
        <v>0</v>
      </c>
      <c r="S18" s="47">
        <f>'дод 2'!T53</f>
        <v>0</v>
      </c>
      <c r="T18" s="47">
        <f>'дод 2'!U53</f>
        <v>44580159.780000001</v>
      </c>
      <c r="U18" s="47">
        <f>'дод 2'!V53</f>
        <v>0</v>
      </c>
      <c r="V18" s="47">
        <f>'дод 2'!W53</f>
        <v>43939301.93</v>
      </c>
      <c r="W18" s="47">
        <f>'дод 2'!X53</f>
        <v>433944.41</v>
      </c>
      <c r="X18" s="47">
        <f>'дод 2'!Y53</f>
        <v>0</v>
      </c>
      <c r="Y18" s="47">
        <f>'дод 2'!Z53</f>
        <v>640857.85</v>
      </c>
      <c r="Z18" s="109" t="s">
        <v>518</v>
      </c>
      <c r="AA18" s="47">
        <f>'дод 2'!AB53</f>
        <v>161462509.31999999</v>
      </c>
      <c r="AB18" s="47">
        <f>'дод 2'!AC53</f>
        <v>451345555</v>
      </c>
      <c r="AC18" s="180"/>
      <c r="AD18" s="176"/>
    </row>
    <row r="19" spans="1:30" ht="42.75" customHeight="1" x14ac:dyDescent="0.25">
      <c r="A19" s="45">
        <v>1021</v>
      </c>
      <c r="B19" s="45" t="s">
        <v>42</v>
      </c>
      <c r="C19" s="25" t="s">
        <v>338</v>
      </c>
      <c r="D19" s="47">
        <f>'дод 2'!E54+'дод 2'!E167</f>
        <v>292152585</v>
      </c>
      <c r="E19" s="47">
        <f>'дод 2'!F54+'дод 2'!F167</f>
        <v>289661920</v>
      </c>
      <c r="F19" s="47">
        <f>'дод 2'!G54+'дод 2'!G167</f>
        <v>155386900</v>
      </c>
      <c r="G19" s="47">
        <f>'дод 2'!H54+'дод 2'!H167</f>
        <v>73976800</v>
      </c>
      <c r="H19" s="47">
        <f>'дод 2'!I54+'дод 2'!I167</f>
        <v>2490665</v>
      </c>
      <c r="I19" s="47">
        <f>'дод 2'!J54+'дод 2'!J167</f>
        <v>81121939.890000001</v>
      </c>
      <c r="J19" s="47">
        <f>'дод 2'!K54+'дод 2'!K167</f>
        <v>39042176.390000001</v>
      </c>
      <c r="K19" s="47">
        <f>'дод 2'!L54+'дод 2'!L167</f>
        <v>28270980.82</v>
      </c>
      <c r="L19" s="47">
        <f>'дод 2'!M54+'дод 2'!M167</f>
        <v>396005.74</v>
      </c>
      <c r="M19" s="109">
        <f t="shared" si="3"/>
        <v>27.766976592043502</v>
      </c>
      <c r="N19" s="47">
        <f>'дод 2'!O54+'дод 2'!O167</f>
        <v>8769225</v>
      </c>
      <c r="O19" s="47">
        <f>'дод 2'!P54+'дод 2'!P167</f>
        <v>0</v>
      </c>
      <c r="P19" s="47">
        <f>'дод 2'!Q54+'дод 2'!Q167</f>
        <v>8769225</v>
      </c>
      <c r="Q19" s="47">
        <f>'дод 2'!R54+'дод 2'!R167</f>
        <v>2105600</v>
      </c>
      <c r="R19" s="47">
        <f>'дод 2'!S54+'дод 2'!S167</f>
        <v>0</v>
      </c>
      <c r="S19" s="47">
        <f>'дод 2'!T54+'дод 2'!T167</f>
        <v>0</v>
      </c>
      <c r="T19" s="47">
        <f>'дод 2'!U54+'дод 2'!U167</f>
        <v>5379665</v>
      </c>
      <c r="U19" s="47">
        <f>'дод 2'!V54+'дод 2'!V167</f>
        <v>0</v>
      </c>
      <c r="V19" s="47">
        <f>'дод 2'!W54+'дод 2'!W167</f>
        <v>2869951.04</v>
      </c>
      <c r="W19" s="47">
        <f>'дод 2'!X54+'дод 2'!X167</f>
        <v>1176570.1299999999</v>
      </c>
      <c r="X19" s="47">
        <f>'дод 2'!Y54+'дод 2'!Y167</f>
        <v>0</v>
      </c>
      <c r="Y19" s="47">
        <f>'дод 2'!Z54+'дод 2'!Z167</f>
        <v>2509713.96</v>
      </c>
      <c r="Z19" s="109">
        <f t="shared" si="6"/>
        <v>61.347097377476345</v>
      </c>
      <c r="AA19" s="47">
        <f>'дод 2'!AB54+'дод 2'!AB167</f>
        <v>86501604.890000001</v>
      </c>
      <c r="AB19" s="47">
        <f>'дод 2'!AC54+'дод 2'!AC167</f>
        <v>300921810</v>
      </c>
      <c r="AC19" s="180"/>
      <c r="AD19" s="176"/>
    </row>
    <row r="20" spans="1:30" ht="87.75" customHeight="1" x14ac:dyDescent="0.25">
      <c r="A20" s="45">
        <v>1022</v>
      </c>
      <c r="B20" s="23" t="s">
        <v>45</v>
      </c>
      <c r="C20" s="25" t="s">
        <v>334</v>
      </c>
      <c r="D20" s="47">
        <f>'дод 2'!E55</f>
        <v>20970200</v>
      </c>
      <c r="E20" s="47">
        <f>'дод 2'!F55</f>
        <v>20970200</v>
      </c>
      <c r="F20" s="47">
        <f>'дод 2'!G55</f>
        <v>12729600</v>
      </c>
      <c r="G20" s="47">
        <f>'дод 2'!H55</f>
        <v>3371900</v>
      </c>
      <c r="H20" s="47">
        <f>'дод 2'!I55</f>
        <v>0</v>
      </c>
      <c r="I20" s="47">
        <f>'дод 2'!J55</f>
        <v>5763520.8600000003</v>
      </c>
      <c r="J20" s="47">
        <f>'дод 2'!K55</f>
        <v>3283606.5</v>
      </c>
      <c r="K20" s="47">
        <f>'дод 2'!L55</f>
        <v>1442626.89</v>
      </c>
      <c r="L20" s="47">
        <f>'дод 2'!M55</f>
        <v>0</v>
      </c>
      <c r="M20" s="109">
        <f t="shared" si="3"/>
        <v>27.484339014410931</v>
      </c>
      <c r="N20" s="47">
        <f>'дод 2'!O55</f>
        <v>0</v>
      </c>
      <c r="O20" s="47">
        <f>'дод 2'!P55</f>
        <v>0</v>
      </c>
      <c r="P20" s="47">
        <f>'дод 2'!Q55</f>
        <v>0</v>
      </c>
      <c r="Q20" s="47">
        <f>'дод 2'!R55</f>
        <v>0</v>
      </c>
      <c r="R20" s="47">
        <f>'дод 2'!S55</f>
        <v>0</v>
      </c>
      <c r="S20" s="47">
        <f>'дод 2'!T55</f>
        <v>0</v>
      </c>
      <c r="T20" s="47">
        <f>'дод 2'!U55</f>
        <v>155250.12</v>
      </c>
      <c r="U20" s="47">
        <f>'дод 2'!V55</f>
        <v>0</v>
      </c>
      <c r="V20" s="47">
        <f>'дод 2'!W55</f>
        <v>116458.32</v>
      </c>
      <c r="W20" s="47">
        <f>'дод 2'!X55</f>
        <v>74529.919999999998</v>
      </c>
      <c r="X20" s="47">
        <f>'дод 2'!Y55</f>
        <v>0</v>
      </c>
      <c r="Y20" s="47">
        <f>'дод 2'!Z55</f>
        <v>38791.800000000003</v>
      </c>
      <c r="Z20" s="109"/>
      <c r="AA20" s="47">
        <f>'дод 2'!AB55</f>
        <v>5918770.9800000004</v>
      </c>
      <c r="AB20" s="47">
        <f>'дод 2'!AC55</f>
        <v>20970200</v>
      </c>
      <c r="AC20" s="180"/>
      <c r="AD20" s="176"/>
    </row>
    <row r="21" spans="1:30" ht="72" customHeight="1" x14ac:dyDescent="0.25">
      <c r="A21" s="45">
        <v>1025</v>
      </c>
      <c r="B21" s="45" t="s">
        <v>45</v>
      </c>
      <c r="C21" s="32" t="s">
        <v>335</v>
      </c>
      <c r="D21" s="47">
        <f>'дод 2'!E56</f>
        <v>15592680</v>
      </c>
      <c r="E21" s="47">
        <f>'дод 2'!F56</f>
        <v>15507680</v>
      </c>
      <c r="F21" s="47">
        <f>'дод 2'!G56</f>
        <v>10878200</v>
      </c>
      <c r="G21" s="47">
        <f>'дод 2'!H56</f>
        <v>1310900</v>
      </c>
      <c r="H21" s="47">
        <f>'дод 2'!I56</f>
        <v>85000</v>
      </c>
      <c r="I21" s="47">
        <f>'дод 2'!J56</f>
        <v>4002617.22</v>
      </c>
      <c r="J21" s="47">
        <f>'дод 2'!K56</f>
        <v>2843992.65</v>
      </c>
      <c r="K21" s="47">
        <f>'дод 2'!L56</f>
        <v>388831.92</v>
      </c>
      <c r="L21" s="47">
        <f>'дод 2'!M56</f>
        <v>0</v>
      </c>
      <c r="M21" s="109">
        <f t="shared" si="3"/>
        <v>25.669847774725064</v>
      </c>
      <c r="N21" s="47">
        <f>'дод 2'!O56</f>
        <v>0</v>
      </c>
      <c r="O21" s="47">
        <f>'дод 2'!P56</f>
        <v>0</v>
      </c>
      <c r="P21" s="47">
        <f>'дод 2'!Q56</f>
        <v>0</v>
      </c>
      <c r="Q21" s="47">
        <f>'дод 2'!R56</f>
        <v>0</v>
      </c>
      <c r="R21" s="47">
        <f>'дод 2'!S56</f>
        <v>0</v>
      </c>
      <c r="S21" s="47">
        <f>'дод 2'!T56</f>
        <v>0</v>
      </c>
      <c r="T21" s="47">
        <f>'дод 2'!U56</f>
        <v>86504.959999999992</v>
      </c>
      <c r="U21" s="47">
        <f>'дод 2'!V56</f>
        <v>0</v>
      </c>
      <c r="V21" s="47">
        <f>'дод 2'!W56</f>
        <v>64504.959999999999</v>
      </c>
      <c r="W21" s="47">
        <f>'дод 2'!X56</f>
        <v>0</v>
      </c>
      <c r="X21" s="47">
        <f>'дод 2'!Y56</f>
        <v>0</v>
      </c>
      <c r="Y21" s="47">
        <f>'дод 2'!Z56</f>
        <v>22000</v>
      </c>
      <c r="Z21" s="109"/>
      <c r="AA21" s="47">
        <f>'дод 2'!AB56</f>
        <v>4089122.18</v>
      </c>
      <c r="AB21" s="47">
        <f>'дод 2'!AC56</f>
        <v>15592680</v>
      </c>
      <c r="AC21" s="180"/>
      <c r="AD21" s="176"/>
    </row>
    <row r="22" spans="1:30" ht="39.75" customHeight="1" x14ac:dyDescent="0.25">
      <c r="A22" s="45">
        <v>1031</v>
      </c>
      <c r="B22" s="54" t="s">
        <v>42</v>
      </c>
      <c r="C22" s="32" t="s">
        <v>456</v>
      </c>
      <c r="D22" s="47">
        <f>'дод 2'!E57</f>
        <v>440774200</v>
      </c>
      <c r="E22" s="47">
        <f>'дод 2'!F57</f>
        <v>440774200</v>
      </c>
      <c r="F22" s="47">
        <f>'дод 2'!G57</f>
        <v>359604300</v>
      </c>
      <c r="G22" s="47">
        <f>'дод 2'!H57</f>
        <v>0</v>
      </c>
      <c r="H22" s="47">
        <f>'дод 2'!I57</f>
        <v>0</v>
      </c>
      <c r="I22" s="47">
        <f>'дод 2'!J57</f>
        <v>147079605.56999999</v>
      </c>
      <c r="J22" s="47">
        <f>'дод 2'!K57</f>
        <v>120488504.06</v>
      </c>
      <c r="K22" s="47">
        <f>'дод 2'!L57</f>
        <v>0</v>
      </c>
      <c r="L22" s="47">
        <f>'дод 2'!M57</f>
        <v>0</v>
      </c>
      <c r="M22" s="109">
        <f t="shared" si="3"/>
        <v>33.368469744826264</v>
      </c>
      <c r="N22" s="47">
        <f>'дод 2'!O57</f>
        <v>0</v>
      </c>
      <c r="O22" s="47">
        <f>'дод 2'!P57</f>
        <v>0</v>
      </c>
      <c r="P22" s="47">
        <f>'дод 2'!Q57</f>
        <v>0</v>
      </c>
      <c r="Q22" s="47">
        <f>'дод 2'!R57</f>
        <v>0</v>
      </c>
      <c r="R22" s="47">
        <f>'дод 2'!S57</f>
        <v>0</v>
      </c>
      <c r="S22" s="47">
        <f>'дод 2'!T57</f>
        <v>0</v>
      </c>
      <c r="T22" s="47">
        <f>'дод 2'!U57</f>
        <v>0</v>
      </c>
      <c r="U22" s="47">
        <f>'дод 2'!V57</f>
        <v>0</v>
      </c>
      <c r="V22" s="47">
        <f>'дод 2'!W57</f>
        <v>0</v>
      </c>
      <c r="W22" s="47">
        <f>'дод 2'!X57</f>
        <v>0</v>
      </c>
      <c r="X22" s="47">
        <f>'дод 2'!Y57</f>
        <v>0</v>
      </c>
      <c r="Y22" s="47">
        <f>'дод 2'!Z57</f>
        <v>0</v>
      </c>
      <c r="Z22" s="109"/>
      <c r="AA22" s="47">
        <f>'дод 2'!AB57</f>
        <v>147079605.56999999</v>
      </c>
      <c r="AB22" s="47">
        <f>'дод 2'!AC57</f>
        <v>440774200</v>
      </c>
      <c r="AC22" s="180"/>
      <c r="AD22" s="176"/>
    </row>
    <row r="23" spans="1:30" s="64" customFormat="1" ht="90" customHeight="1" x14ac:dyDescent="0.25">
      <c r="A23" s="49" t="s">
        <v>359</v>
      </c>
      <c r="B23" s="49" t="s">
        <v>45</v>
      </c>
      <c r="C23" s="50" t="s">
        <v>455</v>
      </c>
      <c r="D23" s="47">
        <f>'дод 2'!E58</f>
        <v>16673800</v>
      </c>
      <c r="E23" s="47">
        <f>'дод 2'!F58</f>
        <v>16673800</v>
      </c>
      <c r="F23" s="47">
        <f>'дод 2'!G58</f>
        <v>13667100</v>
      </c>
      <c r="G23" s="47">
        <f>'дод 2'!H58</f>
        <v>0</v>
      </c>
      <c r="H23" s="47">
        <f>'дод 2'!I58</f>
        <v>0</v>
      </c>
      <c r="I23" s="47">
        <f>'дод 2'!J58</f>
        <v>5698350.3600000003</v>
      </c>
      <c r="J23" s="47">
        <f>'дод 2'!K58</f>
        <v>4695947.7699999996</v>
      </c>
      <c r="K23" s="47">
        <f>'дод 2'!L58</f>
        <v>0</v>
      </c>
      <c r="L23" s="47">
        <f>'дод 2'!M58</f>
        <v>0</v>
      </c>
      <c r="M23" s="109">
        <f t="shared" si="3"/>
        <v>34.175475056675744</v>
      </c>
      <c r="N23" s="47">
        <f>'дод 2'!O58</f>
        <v>0</v>
      </c>
      <c r="O23" s="47">
        <f>'дод 2'!P58</f>
        <v>0</v>
      </c>
      <c r="P23" s="47">
        <f>'дод 2'!Q58</f>
        <v>0</v>
      </c>
      <c r="Q23" s="47">
        <f>'дод 2'!R58</f>
        <v>0</v>
      </c>
      <c r="R23" s="47">
        <f>'дод 2'!S58</f>
        <v>0</v>
      </c>
      <c r="S23" s="47">
        <f>'дод 2'!T58</f>
        <v>0</v>
      </c>
      <c r="T23" s="47">
        <f>'дод 2'!U58</f>
        <v>0</v>
      </c>
      <c r="U23" s="47">
        <f>'дод 2'!V58</f>
        <v>0</v>
      </c>
      <c r="V23" s="47">
        <f>'дод 2'!W58</f>
        <v>0</v>
      </c>
      <c r="W23" s="47">
        <f>'дод 2'!X58</f>
        <v>0</v>
      </c>
      <c r="X23" s="47">
        <f>'дод 2'!Y58</f>
        <v>0</v>
      </c>
      <c r="Y23" s="47">
        <f>'дод 2'!Z58</f>
        <v>0</v>
      </c>
      <c r="Z23" s="109"/>
      <c r="AA23" s="47">
        <f>'дод 2'!AB58</f>
        <v>5698350.3600000003</v>
      </c>
      <c r="AB23" s="47">
        <f>'дод 2'!AC58</f>
        <v>16673800</v>
      </c>
      <c r="AC23" s="180"/>
      <c r="AD23" s="176"/>
    </row>
    <row r="24" spans="1:30" ht="69.75" customHeight="1" x14ac:dyDescent="0.25">
      <c r="A24" s="45">
        <v>1035</v>
      </c>
      <c r="B24" s="45" t="s">
        <v>45</v>
      </c>
      <c r="C24" s="25" t="s">
        <v>457</v>
      </c>
      <c r="D24" s="47">
        <f>'дод 2'!E59</f>
        <v>1743200</v>
      </c>
      <c r="E24" s="47">
        <f>'дод 2'!F59</f>
        <v>1743200</v>
      </c>
      <c r="F24" s="47">
        <f>'дод 2'!G59</f>
        <v>1428900</v>
      </c>
      <c r="G24" s="47">
        <f>'дод 2'!H59</f>
        <v>0</v>
      </c>
      <c r="H24" s="47">
        <f>'дод 2'!I59</f>
        <v>0</v>
      </c>
      <c r="I24" s="47">
        <f>'дод 2'!J59</f>
        <v>653213.44999999995</v>
      </c>
      <c r="J24" s="47">
        <f>'дод 2'!K59</f>
        <v>534232.18999999994</v>
      </c>
      <c r="K24" s="47">
        <f>'дод 2'!L59</f>
        <v>0</v>
      </c>
      <c r="L24" s="47">
        <f>'дод 2'!M59</f>
        <v>0</v>
      </c>
      <c r="M24" s="109">
        <f t="shared" si="3"/>
        <v>37.472088687471313</v>
      </c>
      <c r="N24" s="47">
        <f>'дод 2'!O59</f>
        <v>0</v>
      </c>
      <c r="O24" s="47">
        <f>'дод 2'!P59</f>
        <v>0</v>
      </c>
      <c r="P24" s="47">
        <f>'дод 2'!Q59</f>
        <v>0</v>
      </c>
      <c r="Q24" s="47">
        <f>'дод 2'!R59</f>
        <v>0</v>
      </c>
      <c r="R24" s="47">
        <f>'дод 2'!S59</f>
        <v>0</v>
      </c>
      <c r="S24" s="47">
        <f>'дод 2'!T59</f>
        <v>0</v>
      </c>
      <c r="T24" s="47">
        <f>'дод 2'!U59</f>
        <v>0</v>
      </c>
      <c r="U24" s="47">
        <f>'дод 2'!V59</f>
        <v>0</v>
      </c>
      <c r="V24" s="47">
        <f>'дод 2'!W59</f>
        <v>0</v>
      </c>
      <c r="W24" s="47">
        <f>'дод 2'!X59</f>
        <v>0</v>
      </c>
      <c r="X24" s="47">
        <f>'дод 2'!Y59</f>
        <v>0</v>
      </c>
      <c r="Y24" s="47">
        <f>'дод 2'!Z59</f>
        <v>0</v>
      </c>
      <c r="Z24" s="109"/>
      <c r="AA24" s="47">
        <f>'дод 2'!AB59</f>
        <v>653213.44999999995</v>
      </c>
      <c r="AB24" s="47">
        <f>'дод 2'!AC59</f>
        <v>1743200</v>
      </c>
      <c r="AC24" s="180"/>
      <c r="AD24" s="176"/>
    </row>
    <row r="25" spans="1:30" s="64" customFormat="1" ht="38.25" customHeight="1" x14ac:dyDescent="0.25">
      <c r="A25" s="23" t="s">
        <v>44</v>
      </c>
      <c r="B25" s="23" t="s">
        <v>47</v>
      </c>
      <c r="C25" s="25" t="s">
        <v>269</v>
      </c>
      <c r="D25" s="47">
        <f>'дод 2'!E60</f>
        <v>52411300</v>
      </c>
      <c r="E25" s="47">
        <f>'дод 2'!F60</f>
        <v>52411300</v>
      </c>
      <c r="F25" s="47">
        <f>'дод 2'!G60</f>
        <v>36393800</v>
      </c>
      <c r="G25" s="47">
        <f>'дод 2'!H60</f>
        <v>7256900</v>
      </c>
      <c r="H25" s="47">
        <f>'дод 2'!I60</f>
        <v>0</v>
      </c>
      <c r="I25" s="47">
        <f>'дод 2'!J60</f>
        <v>14139889.25</v>
      </c>
      <c r="J25" s="47">
        <f>'дод 2'!K60</f>
        <v>9354947.9700000007</v>
      </c>
      <c r="K25" s="47">
        <f>'дод 2'!L60</f>
        <v>2675903.0099999998</v>
      </c>
      <c r="L25" s="47">
        <f>'дод 2'!M60</f>
        <v>0</v>
      </c>
      <c r="M25" s="109">
        <f t="shared" si="3"/>
        <v>26.978703542938259</v>
      </c>
      <c r="N25" s="47">
        <f>'дод 2'!O60</f>
        <v>0</v>
      </c>
      <c r="O25" s="47">
        <f>'дод 2'!P60</f>
        <v>0</v>
      </c>
      <c r="P25" s="47">
        <f>'дод 2'!Q60</f>
        <v>0</v>
      </c>
      <c r="Q25" s="47">
        <f>'дод 2'!R60</f>
        <v>0</v>
      </c>
      <c r="R25" s="47">
        <f>'дод 2'!S60</f>
        <v>0</v>
      </c>
      <c r="S25" s="47">
        <f>'дод 2'!T60</f>
        <v>0</v>
      </c>
      <c r="T25" s="47">
        <f>'дод 2'!U60</f>
        <v>93946.49</v>
      </c>
      <c r="U25" s="47">
        <f>'дод 2'!V60</f>
        <v>0</v>
      </c>
      <c r="V25" s="47">
        <f>'дод 2'!W60</f>
        <v>93946.49</v>
      </c>
      <c r="W25" s="47">
        <f>'дод 2'!X60</f>
        <v>74564.320000000007</v>
      </c>
      <c r="X25" s="47">
        <f>'дод 2'!Y60</f>
        <v>0</v>
      </c>
      <c r="Y25" s="47">
        <f>'дод 2'!Z60</f>
        <v>0</v>
      </c>
      <c r="Z25" s="109"/>
      <c r="AA25" s="47">
        <f>'дод 2'!AB60</f>
        <v>14233835.74</v>
      </c>
      <c r="AB25" s="47">
        <f>'дод 2'!AC60</f>
        <v>52411300</v>
      </c>
      <c r="AC25" s="180"/>
      <c r="AD25" s="176"/>
    </row>
    <row r="26" spans="1:30" s="64" customFormat="1" ht="26.25" customHeight="1" x14ac:dyDescent="0.25">
      <c r="A26" s="24">
        <v>1080</v>
      </c>
      <c r="B26" s="23" t="s">
        <v>47</v>
      </c>
      <c r="C26" s="25" t="s">
        <v>302</v>
      </c>
      <c r="D26" s="47">
        <f>'дод 2'!E128</f>
        <v>67530050</v>
      </c>
      <c r="E26" s="47">
        <f>'дод 2'!F128</f>
        <v>67304450</v>
      </c>
      <c r="F26" s="47">
        <f>'дод 2'!G128</f>
        <v>53061100</v>
      </c>
      <c r="G26" s="47">
        <f>'дод 2'!H128</f>
        <v>1723250</v>
      </c>
      <c r="H26" s="47">
        <f>'дод 2'!I128</f>
        <v>225600</v>
      </c>
      <c r="I26" s="47">
        <f>'дод 2'!J128</f>
        <v>18077164.280000001</v>
      </c>
      <c r="J26" s="47">
        <f>'дод 2'!K128</f>
        <v>14015467.130000001</v>
      </c>
      <c r="K26" s="47">
        <f>'дод 2'!L128</f>
        <v>932552.65</v>
      </c>
      <c r="L26" s="47">
        <f>'дод 2'!M128</f>
        <v>0</v>
      </c>
      <c r="M26" s="109">
        <f t="shared" si="3"/>
        <v>26.769066926501612</v>
      </c>
      <c r="N26" s="47">
        <f>'дод 2'!O128</f>
        <v>3701400</v>
      </c>
      <c r="O26" s="47">
        <f>'дод 2'!P128</f>
        <v>0</v>
      </c>
      <c r="P26" s="47">
        <f>'дод 2'!Q128</f>
        <v>3701400</v>
      </c>
      <c r="Q26" s="47">
        <f>'дод 2'!R128</f>
        <v>3029160</v>
      </c>
      <c r="R26" s="47">
        <f>'дод 2'!S128</f>
        <v>0</v>
      </c>
      <c r="S26" s="47">
        <f>'дод 2'!T128</f>
        <v>0</v>
      </c>
      <c r="T26" s="47">
        <f>'дод 2'!U128</f>
        <v>803634.15</v>
      </c>
      <c r="U26" s="47">
        <f>'дод 2'!V128</f>
        <v>0</v>
      </c>
      <c r="V26" s="47">
        <f>'дод 2'!W128</f>
        <v>803634.15</v>
      </c>
      <c r="W26" s="47">
        <f>'дод 2'!X128</f>
        <v>660045.72</v>
      </c>
      <c r="X26" s="47">
        <f>'дод 2'!Y128</f>
        <v>0</v>
      </c>
      <c r="Y26" s="47">
        <f>'дод 2'!Z128</f>
        <v>0</v>
      </c>
      <c r="Z26" s="109">
        <f t="shared" si="6"/>
        <v>21.71162668179608</v>
      </c>
      <c r="AA26" s="47">
        <f>'дод 2'!AB128</f>
        <v>18880798.43</v>
      </c>
      <c r="AB26" s="47">
        <f>'дод 2'!AC128</f>
        <v>71231450</v>
      </c>
      <c r="AC26" s="180"/>
      <c r="AD26" s="176"/>
    </row>
    <row r="27" spans="1:30" s="64" customFormat="1" ht="52.5" customHeight="1" x14ac:dyDescent="0.25">
      <c r="A27" s="24">
        <v>1091</v>
      </c>
      <c r="B27" s="23" t="s">
        <v>310</v>
      </c>
      <c r="C27" s="25" t="s">
        <v>471</v>
      </c>
      <c r="D27" s="47">
        <f>'дод 2'!E61</f>
        <v>169116096.19999999</v>
      </c>
      <c r="E27" s="47">
        <f>'дод 2'!F61</f>
        <v>162090200</v>
      </c>
      <c r="F27" s="47">
        <f>'дод 2'!G61</f>
        <v>85856300</v>
      </c>
      <c r="G27" s="47">
        <f>'дод 2'!H61</f>
        <v>26437600</v>
      </c>
      <c r="H27" s="47">
        <f>'дод 2'!I61</f>
        <v>7025896.1999999993</v>
      </c>
      <c r="I27" s="47">
        <f>'дод 2'!J61</f>
        <v>43080821.75</v>
      </c>
      <c r="J27" s="47">
        <f>'дод 2'!K61</f>
        <v>22577707.23</v>
      </c>
      <c r="K27" s="47">
        <f>'дод 2'!L61</f>
        <v>8715124.6500000004</v>
      </c>
      <c r="L27" s="47">
        <f>'дод 2'!M61</f>
        <v>0</v>
      </c>
      <c r="M27" s="109">
        <f t="shared" si="3"/>
        <v>25.474110813823291</v>
      </c>
      <c r="N27" s="47">
        <f>'дод 2'!O61</f>
        <v>23699590</v>
      </c>
      <c r="O27" s="47">
        <f>'дод 2'!P61</f>
        <v>0</v>
      </c>
      <c r="P27" s="47">
        <f>'дод 2'!Q61</f>
        <v>23372590</v>
      </c>
      <c r="Q27" s="47">
        <f>'дод 2'!R61</f>
        <v>7947140</v>
      </c>
      <c r="R27" s="47">
        <f>'дод 2'!S61</f>
        <v>7612440</v>
      </c>
      <c r="S27" s="47">
        <f>'дод 2'!T61</f>
        <v>327000</v>
      </c>
      <c r="T27" s="47">
        <f>'дод 2'!U61</f>
        <v>7890786.0500000007</v>
      </c>
      <c r="U27" s="47">
        <f>'дод 2'!V61</f>
        <v>0</v>
      </c>
      <c r="V27" s="47">
        <f>'дод 2'!W61</f>
        <v>6836655.9900000002</v>
      </c>
      <c r="W27" s="47">
        <f>'дод 2'!X61</f>
        <v>812595.15</v>
      </c>
      <c r="X27" s="47">
        <f>'дод 2'!Y61</f>
        <v>1506137.28</v>
      </c>
      <c r="Y27" s="47">
        <f>'дод 2'!Z61</f>
        <v>1054130.06</v>
      </c>
      <c r="Z27" s="109">
        <f t="shared" si="6"/>
        <v>33.295031897176287</v>
      </c>
      <c r="AA27" s="47">
        <f>'дод 2'!AB61</f>
        <v>50971607.799999997</v>
      </c>
      <c r="AB27" s="47">
        <f>'дод 2'!AC61</f>
        <v>192815686.19999999</v>
      </c>
      <c r="AC27" s="180"/>
      <c r="AD27" s="176"/>
    </row>
    <row r="28" spans="1:30" s="64" customFormat="1" ht="46.5" customHeight="1" x14ac:dyDescent="0.25">
      <c r="A28" s="51">
        <v>1092</v>
      </c>
      <c r="B28" s="49" t="s">
        <v>310</v>
      </c>
      <c r="C28" s="50" t="s">
        <v>472</v>
      </c>
      <c r="D28" s="47">
        <f>'дод 2'!E62</f>
        <v>17191488</v>
      </c>
      <c r="E28" s="47">
        <f>'дод 2'!F62</f>
        <v>17191488</v>
      </c>
      <c r="F28" s="47">
        <f>'дод 2'!G62</f>
        <v>14091417</v>
      </c>
      <c r="G28" s="47">
        <f>'дод 2'!H62</f>
        <v>0</v>
      </c>
      <c r="H28" s="47">
        <f>'дод 2'!I62</f>
        <v>0</v>
      </c>
      <c r="I28" s="47">
        <f>'дод 2'!J62</f>
        <v>5835494.9800000004</v>
      </c>
      <c r="J28" s="47">
        <f>'дод 2'!K62</f>
        <v>4812057.62</v>
      </c>
      <c r="K28" s="47">
        <f>'дод 2'!L62</f>
        <v>0</v>
      </c>
      <c r="L28" s="47">
        <f>'дод 2'!M62</f>
        <v>0</v>
      </c>
      <c r="M28" s="109">
        <f t="shared" si="3"/>
        <v>33.944094775274834</v>
      </c>
      <c r="N28" s="47">
        <f>'дод 2'!O62</f>
        <v>0</v>
      </c>
      <c r="O28" s="47">
        <f>'дод 2'!P62</f>
        <v>0</v>
      </c>
      <c r="P28" s="47">
        <f>'дод 2'!Q62</f>
        <v>0</v>
      </c>
      <c r="Q28" s="47">
        <f>'дод 2'!R62</f>
        <v>0</v>
      </c>
      <c r="R28" s="47">
        <f>'дод 2'!S62</f>
        <v>0</v>
      </c>
      <c r="S28" s="47">
        <f>'дод 2'!T62</f>
        <v>0</v>
      </c>
      <c r="T28" s="47">
        <f>'дод 2'!U62</f>
        <v>0</v>
      </c>
      <c r="U28" s="47">
        <f>'дод 2'!V62</f>
        <v>0</v>
      </c>
      <c r="V28" s="47">
        <f>'дод 2'!W62</f>
        <v>0</v>
      </c>
      <c r="W28" s="47">
        <f>'дод 2'!X62</f>
        <v>0</v>
      </c>
      <c r="X28" s="47">
        <f>'дод 2'!Y62</f>
        <v>0</v>
      </c>
      <c r="Y28" s="47">
        <f>'дод 2'!Z62</f>
        <v>0</v>
      </c>
      <c r="Z28" s="109"/>
      <c r="AA28" s="47">
        <f>'дод 2'!AB62</f>
        <v>5835494.9800000004</v>
      </c>
      <c r="AB28" s="47">
        <f>'дод 2'!AC62</f>
        <v>17191488</v>
      </c>
      <c r="AC28" s="180"/>
      <c r="AD28" s="176"/>
    </row>
    <row r="29" spans="1:30" s="64" customFormat="1" ht="24.75" customHeight="1" x14ac:dyDescent="0.25">
      <c r="A29" s="23" t="s">
        <v>283</v>
      </c>
      <c r="B29" s="23" t="s">
        <v>48</v>
      </c>
      <c r="C29" s="25" t="s">
        <v>297</v>
      </c>
      <c r="D29" s="47">
        <f>'дод 2'!E63</f>
        <v>14702100</v>
      </c>
      <c r="E29" s="47">
        <f>'дод 2'!F63</f>
        <v>14702100</v>
      </c>
      <c r="F29" s="47">
        <f>'дод 2'!G63</f>
        <v>10357300</v>
      </c>
      <c r="G29" s="47">
        <f>'дод 2'!H63</f>
        <v>1386400</v>
      </c>
      <c r="H29" s="47">
        <f>'дод 2'!I63</f>
        <v>0</v>
      </c>
      <c r="I29" s="47">
        <f>'дод 2'!J63</f>
        <v>3554627.31</v>
      </c>
      <c r="J29" s="47">
        <f>'дод 2'!K63</f>
        <v>2532619.59</v>
      </c>
      <c r="K29" s="47">
        <f>'дод 2'!L63</f>
        <v>400083.31</v>
      </c>
      <c r="L29" s="47">
        <f>'дод 2'!M63</f>
        <v>0</v>
      </c>
      <c r="M29" s="109">
        <f t="shared" si="3"/>
        <v>24.177684208378395</v>
      </c>
      <c r="N29" s="47">
        <f>'дод 2'!O63</f>
        <v>0</v>
      </c>
      <c r="O29" s="47">
        <f>'дод 2'!P63</f>
        <v>0</v>
      </c>
      <c r="P29" s="47">
        <f>'дод 2'!Q63</f>
        <v>0</v>
      </c>
      <c r="Q29" s="47">
        <f>'дод 2'!R63</f>
        <v>0</v>
      </c>
      <c r="R29" s="47">
        <f>'дод 2'!S63</f>
        <v>0</v>
      </c>
      <c r="S29" s="47">
        <f>'дод 2'!T63</f>
        <v>0</v>
      </c>
      <c r="T29" s="47">
        <f>'дод 2'!U63</f>
        <v>0</v>
      </c>
      <c r="U29" s="47">
        <f>'дод 2'!V63</f>
        <v>0</v>
      </c>
      <c r="V29" s="47">
        <f>'дод 2'!W63</f>
        <v>0</v>
      </c>
      <c r="W29" s="47">
        <f>'дод 2'!X63</f>
        <v>0</v>
      </c>
      <c r="X29" s="47">
        <f>'дод 2'!Y63</f>
        <v>0</v>
      </c>
      <c r="Y29" s="47">
        <f>'дод 2'!Z63</f>
        <v>0</v>
      </c>
      <c r="Z29" s="109"/>
      <c r="AA29" s="47">
        <f>'дод 2'!AB63</f>
        <v>3554627.31</v>
      </c>
      <c r="AB29" s="47">
        <f>'дод 2'!AC63</f>
        <v>14702100</v>
      </c>
      <c r="AC29" s="180"/>
      <c r="AD29" s="176"/>
    </row>
    <row r="30" spans="1:30" ht="24.75" customHeight="1" x14ac:dyDescent="0.25">
      <c r="A30" s="23" t="s">
        <v>285</v>
      </c>
      <c r="B30" s="23" t="s">
        <v>48</v>
      </c>
      <c r="C30" s="25" t="s">
        <v>214</v>
      </c>
      <c r="D30" s="47">
        <f>'дод 2'!E64</f>
        <v>146000</v>
      </c>
      <c r="E30" s="47">
        <f>'дод 2'!F64</f>
        <v>146000</v>
      </c>
      <c r="F30" s="47">
        <f>'дод 2'!G64</f>
        <v>0</v>
      </c>
      <c r="G30" s="47">
        <f>'дод 2'!H64</f>
        <v>0</v>
      </c>
      <c r="H30" s="47">
        <f>'дод 2'!I64</f>
        <v>0</v>
      </c>
      <c r="I30" s="47">
        <f>'дод 2'!J64</f>
        <v>29700</v>
      </c>
      <c r="J30" s="47">
        <f>'дод 2'!K64</f>
        <v>0</v>
      </c>
      <c r="K30" s="47">
        <f>'дод 2'!L64</f>
        <v>0</v>
      </c>
      <c r="L30" s="47">
        <f>'дод 2'!M64</f>
        <v>0</v>
      </c>
      <c r="M30" s="109">
        <f t="shared" si="3"/>
        <v>20.342465753424658</v>
      </c>
      <c r="N30" s="47">
        <f>'дод 2'!O64</f>
        <v>0</v>
      </c>
      <c r="O30" s="47">
        <f>'дод 2'!P64</f>
        <v>0</v>
      </c>
      <c r="P30" s="47">
        <f>'дод 2'!Q64</f>
        <v>0</v>
      </c>
      <c r="Q30" s="47">
        <f>'дод 2'!R64</f>
        <v>0</v>
      </c>
      <c r="R30" s="47">
        <f>'дод 2'!S64</f>
        <v>0</v>
      </c>
      <c r="S30" s="47">
        <f>'дод 2'!T64</f>
        <v>0</v>
      </c>
      <c r="T30" s="47">
        <f>'дод 2'!U64</f>
        <v>0</v>
      </c>
      <c r="U30" s="47">
        <f>'дод 2'!V64</f>
        <v>0</v>
      </c>
      <c r="V30" s="47">
        <f>'дод 2'!W64</f>
        <v>0</v>
      </c>
      <c r="W30" s="47">
        <f>'дод 2'!X64</f>
        <v>0</v>
      </c>
      <c r="X30" s="47">
        <f>'дод 2'!Y64</f>
        <v>0</v>
      </c>
      <c r="Y30" s="47">
        <f>'дод 2'!Z64</f>
        <v>0</v>
      </c>
      <c r="Z30" s="109"/>
      <c r="AA30" s="47">
        <f>'дод 2'!AB64</f>
        <v>29700</v>
      </c>
      <c r="AB30" s="47">
        <f>'дод 2'!AC64</f>
        <v>146000</v>
      </c>
      <c r="AC30" s="180"/>
      <c r="AD30" s="176"/>
    </row>
    <row r="31" spans="1:30" ht="32.25" customHeight="1" x14ac:dyDescent="0.25">
      <c r="A31" s="23" t="s">
        <v>287</v>
      </c>
      <c r="B31" s="23" t="s">
        <v>48</v>
      </c>
      <c r="C31" s="25" t="s">
        <v>288</v>
      </c>
      <c r="D31" s="47">
        <f>'дод 2'!E65</f>
        <v>184800</v>
      </c>
      <c r="E31" s="47">
        <f>'дод 2'!F65</f>
        <v>184800</v>
      </c>
      <c r="F31" s="47">
        <f>'дод 2'!G65</f>
        <v>0</v>
      </c>
      <c r="G31" s="47">
        <f>'дод 2'!H65</f>
        <v>135800</v>
      </c>
      <c r="H31" s="47">
        <f>'дод 2'!I65</f>
        <v>0</v>
      </c>
      <c r="I31" s="47">
        <f>'дод 2'!J65</f>
        <v>75629.73</v>
      </c>
      <c r="J31" s="47">
        <f>'дод 2'!K65</f>
        <v>0</v>
      </c>
      <c r="K31" s="47">
        <f>'дод 2'!L65</f>
        <v>73508.13</v>
      </c>
      <c r="L31" s="47">
        <f>'дод 2'!M65</f>
        <v>0</v>
      </c>
      <c r="M31" s="109">
        <f t="shared" si="3"/>
        <v>40.925178571428567</v>
      </c>
      <c r="N31" s="47">
        <f>'дод 2'!O65</f>
        <v>0</v>
      </c>
      <c r="O31" s="47">
        <f>'дод 2'!P65</f>
        <v>0</v>
      </c>
      <c r="P31" s="47">
        <f>'дод 2'!Q65</f>
        <v>0</v>
      </c>
      <c r="Q31" s="47">
        <f>'дод 2'!R65</f>
        <v>0</v>
      </c>
      <c r="R31" s="47">
        <f>'дод 2'!S65</f>
        <v>0</v>
      </c>
      <c r="S31" s="47">
        <f>'дод 2'!T65</f>
        <v>0</v>
      </c>
      <c r="T31" s="47">
        <f>'дод 2'!U65</f>
        <v>0</v>
      </c>
      <c r="U31" s="47">
        <f>'дод 2'!V65</f>
        <v>0</v>
      </c>
      <c r="V31" s="47">
        <f>'дод 2'!W65</f>
        <v>0</v>
      </c>
      <c r="W31" s="47">
        <f>'дод 2'!X65</f>
        <v>0</v>
      </c>
      <c r="X31" s="47">
        <f>'дод 2'!Y65</f>
        <v>0</v>
      </c>
      <c r="Y31" s="47">
        <f>'дод 2'!Z65</f>
        <v>0</v>
      </c>
      <c r="Z31" s="109"/>
      <c r="AA31" s="47">
        <f>'дод 2'!AB65</f>
        <v>75629.73</v>
      </c>
      <c r="AB31" s="47">
        <f>'дод 2'!AC65</f>
        <v>184800</v>
      </c>
      <c r="AC31" s="180"/>
      <c r="AD31" s="176"/>
    </row>
    <row r="32" spans="1:30" ht="45" customHeight="1" x14ac:dyDescent="0.25">
      <c r="A32" s="23" t="s">
        <v>356</v>
      </c>
      <c r="B32" s="23" t="s">
        <v>48</v>
      </c>
      <c r="C32" s="25" t="s">
        <v>453</v>
      </c>
      <c r="D32" s="47">
        <f>'дод 2'!E66</f>
        <v>1625959</v>
      </c>
      <c r="E32" s="47">
        <f>'дод 2'!F66</f>
        <v>1625959</v>
      </c>
      <c r="F32" s="47">
        <f>'дод 2'!G66</f>
        <v>1332753</v>
      </c>
      <c r="G32" s="47">
        <f>'дод 2'!H66</f>
        <v>0</v>
      </c>
      <c r="H32" s="47">
        <f>'дод 2'!I66</f>
        <v>0</v>
      </c>
      <c r="I32" s="47">
        <f>'дод 2'!J66</f>
        <v>454863.28</v>
      </c>
      <c r="J32" s="47">
        <f>'дод 2'!K66</f>
        <v>371771.06</v>
      </c>
      <c r="K32" s="47">
        <f>'дод 2'!L66</f>
        <v>0</v>
      </c>
      <c r="L32" s="47">
        <f>'дод 2'!M66</f>
        <v>0</v>
      </c>
      <c r="M32" s="109">
        <f t="shared" si="3"/>
        <v>27.975076862331711</v>
      </c>
      <c r="N32" s="47">
        <f>'дод 2'!O66</f>
        <v>0</v>
      </c>
      <c r="O32" s="47">
        <f>'дод 2'!P66</f>
        <v>0</v>
      </c>
      <c r="P32" s="47">
        <f>'дод 2'!Q66</f>
        <v>0</v>
      </c>
      <c r="Q32" s="47">
        <f>'дод 2'!R66</f>
        <v>0</v>
      </c>
      <c r="R32" s="47">
        <f>'дод 2'!S66</f>
        <v>0</v>
      </c>
      <c r="S32" s="47">
        <f>'дод 2'!T66</f>
        <v>0</v>
      </c>
      <c r="T32" s="47">
        <f>'дод 2'!U66</f>
        <v>0</v>
      </c>
      <c r="U32" s="47">
        <f>'дод 2'!V66</f>
        <v>0</v>
      </c>
      <c r="V32" s="47">
        <f>'дод 2'!W66</f>
        <v>0</v>
      </c>
      <c r="W32" s="47">
        <f>'дод 2'!X66</f>
        <v>0</v>
      </c>
      <c r="X32" s="47">
        <f>'дод 2'!Y66</f>
        <v>0</v>
      </c>
      <c r="Y32" s="47">
        <f>'дод 2'!Z66</f>
        <v>0</v>
      </c>
      <c r="Z32" s="109"/>
      <c r="AA32" s="47">
        <f>'дод 2'!AB66</f>
        <v>454863.28</v>
      </c>
      <c r="AB32" s="47">
        <f>'дод 2'!AC66</f>
        <v>1625959</v>
      </c>
      <c r="AC32" s="180"/>
      <c r="AD32" s="176"/>
    </row>
    <row r="33" spans="1:30" s="64" customFormat="1" ht="39" customHeight="1" x14ac:dyDescent="0.25">
      <c r="A33" s="23" t="s">
        <v>290</v>
      </c>
      <c r="B33" s="23" t="s">
        <v>48</v>
      </c>
      <c r="C33" s="25" t="s">
        <v>291</v>
      </c>
      <c r="D33" s="47">
        <f>'дод 2'!E67</f>
        <v>4260200</v>
      </c>
      <c r="E33" s="47">
        <f>'дод 2'!F67</f>
        <v>4260200</v>
      </c>
      <c r="F33" s="47">
        <f>'дод 2'!G67</f>
        <v>3066200</v>
      </c>
      <c r="G33" s="47">
        <f>'дод 2'!H67</f>
        <v>340600</v>
      </c>
      <c r="H33" s="47">
        <f>'дод 2'!I67</f>
        <v>0</v>
      </c>
      <c r="I33" s="47">
        <f>'дод 2'!J67</f>
        <v>840510.52</v>
      </c>
      <c r="J33" s="47">
        <f>'дод 2'!K67</f>
        <v>608032.02</v>
      </c>
      <c r="K33" s="47">
        <f>'дод 2'!L67</f>
        <v>94199.86</v>
      </c>
      <c r="L33" s="47">
        <f>'дод 2'!M67</f>
        <v>0</v>
      </c>
      <c r="M33" s="109">
        <f t="shared" si="3"/>
        <v>19.729367635322287</v>
      </c>
      <c r="N33" s="47">
        <f>'дод 2'!O67</f>
        <v>0</v>
      </c>
      <c r="O33" s="47">
        <f>'дод 2'!P67</f>
        <v>0</v>
      </c>
      <c r="P33" s="47">
        <f>'дод 2'!Q67</f>
        <v>0</v>
      </c>
      <c r="Q33" s="47">
        <f>'дод 2'!R67</f>
        <v>0</v>
      </c>
      <c r="R33" s="47">
        <f>'дод 2'!S67</f>
        <v>0</v>
      </c>
      <c r="S33" s="47">
        <f>'дод 2'!T67</f>
        <v>0</v>
      </c>
      <c r="T33" s="47">
        <f>'дод 2'!U67</f>
        <v>0</v>
      </c>
      <c r="U33" s="47">
        <f>'дод 2'!V67</f>
        <v>0</v>
      </c>
      <c r="V33" s="47">
        <f>'дод 2'!W67</f>
        <v>0</v>
      </c>
      <c r="W33" s="47">
        <f>'дод 2'!X67</f>
        <v>0</v>
      </c>
      <c r="X33" s="47">
        <f>'дод 2'!Y67</f>
        <v>0</v>
      </c>
      <c r="Y33" s="47">
        <f>'дод 2'!Z67</f>
        <v>0</v>
      </c>
      <c r="Z33" s="109"/>
      <c r="AA33" s="47">
        <f>'дод 2'!AB67</f>
        <v>840510.52</v>
      </c>
      <c r="AB33" s="47">
        <f>'дод 2'!AC67</f>
        <v>4260200</v>
      </c>
      <c r="AC33" s="180"/>
      <c r="AD33" s="176"/>
    </row>
    <row r="34" spans="1:30" s="64" customFormat="1" ht="88.5" customHeight="1" x14ac:dyDescent="0.25">
      <c r="A34" s="23" t="s">
        <v>372</v>
      </c>
      <c r="B34" s="23" t="s">
        <v>48</v>
      </c>
      <c r="C34" s="28" t="s">
        <v>371</v>
      </c>
      <c r="D34" s="47">
        <f>'дод 2'!E68</f>
        <v>0</v>
      </c>
      <c r="E34" s="47">
        <f>'дод 2'!F68</f>
        <v>0</v>
      </c>
      <c r="F34" s="47">
        <f>'дод 2'!G68</f>
        <v>0</v>
      </c>
      <c r="G34" s="47">
        <f>'дод 2'!H68</f>
        <v>0</v>
      </c>
      <c r="H34" s="47">
        <f>'дод 2'!I68</f>
        <v>0</v>
      </c>
      <c r="I34" s="47">
        <f>'дод 2'!J68</f>
        <v>0</v>
      </c>
      <c r="J34" s="47">
        <f>'дод 2'!K68</f>
        <v>0</v>
      </c>
      <c r="K34" s="47">
        <f>'дод 2'!L68</f>
        <v>0</v>
      </c>
      <c r="L34" s="47">
        <f>'дод 2'!M68</f>
        <v>0</v>
      </c>
      <c r="M34" s="109"/>
      <c r="N34" s="47">
        <f>'дод 2'!O68</f>
        <v>4380000</v>
      </c>
      <c r="O34" s="47">
        <f>'дод 2'!P68</f>
        <v>4380000</v>
      </c>
      <c r="P34" s="47">
        <f>'дод 2'!Q68</f>
        <v>0</v>
      </c>
      <c r="Q34" s="47">
        <f>'дод 2'!R68</f>
        <v>0</v>
      </c>
      <c r="R34" s="47">
        <f>'дод 2'!S68</f>
        <v>0</v>
      </c>
      <c r="S34" s="47">
        <f>'дод 2'!T68</f>
        <v>4380000</v>
      </c>
      <c r="T34" s="47">
        <f>'дод 2'!U68</f>
        <v>0</v>
      </c>
      <c r="U34" s="47">
        <f>'дод 2'!V68</f>
        <v>0</v>
      </c>
      <c r="V34" s="47">
        <f>'дод 2'!W68</f>
        <v>0</v>
      </c>
      <c r="W34" s="47">
        <f>'дод 2'!X68</f>
        <v>0</v>
      </c>
      <c r="X34" s="47">
        <f>'дод 2'!Y68</f>
        <v>0</v>
      </c>
      <c r="Y34" s="47">
        <f>'дод 2'!Z68</f>
        <v>0</v>
      </c>
      <c r="Z34" s="109">
        <f t="shared" si="6"/>
        <v>0</v>
      </c>
      <c r="AA34" s="47">
        <f>'дод 2'!AB68</f>
        <v>0</v>
      </c>
      <c r="AB34" s="47">
        <f>'дод 2'!AC68</f>
        <v>4380000</v>
      </c>
      <c r="AC34" s="180"/>
      <c r="AD34" s="176"/>
    </row>
    <row r="35" spans="1:30" s="78" customFormat="1" ht="90" customHeight="1" x14ac:dyDescent="0.25">
      <c r="A35" s="23" t="s">
        <v>504</v>
      </c>
      <c r="B35" s="23" t="s">
        <v>48</v>
      </c>
      <c r="C35" s="28" t="s">
        <v>505</v>
      </c>
      <c r="D35" s="47">
        <f>'дод 2'!E69</f>
        <v>0</v>
      </c>
      <c r="E35" s="47">
        <f>'дод 2'!F69</f>
        <v>0</v>
      </c>
      <c r="F35" s="47">
        <f>'дод 2'!G69</f>
        <v>0</v>
      </c>
      <c r="G35" s="47">
        <f>'дод 2'!H69</f>
        <v>0</v>
      </c>
      <c r="H35" s="47">
        <f>'дод 2'!I69</f>
        <v>0</v>
      </c>
      <c r="I35" s="47">
        <f>'дод 2'!J69</f>
        <v>0</v>
      </c>
      <c r="J35" s="47">
        <f>'дод 2'!K69</f>
        <v>0</v>
      </c>
      <c r="K35" s="47">
        <f>'дод 2'!L69</f>
        <v>0</v>
      </c>
      <c r="L35" s="47">
        <f>'дод 2'!M69</f>
        <v>0</v>
      </c>
      <c r="M35" s="109"/>
      <c r="N35" s="47">
        <f>'дод 2'!O69</f>
        <v>3459100</v>
      </c>
      <c r="O35" s="47">
        <f>'дод 2'!P69</f>
        <v>3459100</v>
      </c>
      <c r="P35" s="47">
        <f>'дод 2'!Q69</f>
        <v>0</v>
      </c>
      <c r="Q35" s="47">
        <f>'дод 2'!R69</f>
        <v>0</v>
      </c>
      <c r="R35" s="47">
        <f>'дод 2'!S69</f>
        <v>0</v>
      </c>
      <c r="S35" s="47">
        <f>'дод 2'!T69</f>
        <v>3459100</v>
      </c>
      <c r="T35" s="47">
        <f>'дод 2'!U69</f>
        <v>0</v>
      </c>
      <c r="U35" s="47">
        <f>'дод 2'!V69</f>
        <v>0</v>
      </c>
      <c r="V35" s="47">
        <f>'дод 2'!W69</f>
        <v>0</v>
      </c>
      <c r="W35" s="47">
        <f>'дод 2'!X69</f>
        <v>0</v>
      </c>
      <c r="X35" s="47">
        <f>'дод 2'!Y69</f>
        <v>0</v>
      </c>
      <c r="Y35" s="47">
        <f>'дод 2'!Z69</f>
        <v>0</v>
      </c>
      <c r="Z35" s="109">
        <f t="shared" si="6"/>
        <v>0</v>
      </c>
      <c r="AA35" s="47">
        <f>'дод 2'!AB69</f>
        <v>0</v>
      </c>
      <c r="AB35" s="47">
        <f>'дод 2'!AC69</f>
        <v>3459100</v>
      </c>
      <c r="AC35" s="180"/>
      <c r="AD35" s="176"/>
    </row>
    <row r="36" spans="1:30" s="64" customFormat="1" ht="93.75" customHeight="1" x14ac:dyDescent="0.25">
      <c r="A36" s="23" t="s">
        <v>500</v>
      </c>
      <c r="B36" s="23" t="s">
        <v>48</v>
      </c>
      <c r="C36" s="28" t="s">
        <v>501</v>
      </c>
      <c r="D36" s="47">
        <f>'дод 2'!E70</f>
        <v>1448400</v>
      </c>
      <c r="E36" s="47">
        <f>'дод 2'!F70</f>
        <v>1448400</v>
      </c>
      <c r="F36" s="47">
        <f>'дод 2'!G70</f>
        <v>1187213</v>
      </c>
      <c r="G36" s="47">
        <f>'дод 2'!H70</f>
        <v>0</v>
      </c>
      <c r="H36" s="47">
        <f>'дод 2'!I70</f>
        <v>0</v>
      </c>
      <c r="I36" s="47">
        <f>'дод 2'!J70</f>
        <v>716473.59</v>
      </c>
      <c r="J36" s="47">
        <f>'дод 2'!K70</f>
        <v>587273.54</v>
      </c>
      <c r="K36" s="47">
        <f>'дод 2'!L70</f>
        <v>0</v>
      </c>
      <c r="L36" s="47">
        <f>'дод 2'!M70</f>
        <v>0</v>
      </c>
      <c r="M36" s="109">
        <f t="shared" si="3"/>
        <v>49.466555509527751</v>
      </c>
      <c r="N36" s="47">
        <f>'дод 2'!O70</f>
        <v>0</v>
      </c>
      <c r="O36" s="47">
        <f>'дод 2'!P70</f>
        <v>0</v>
      </c>
      <c r="P36" s="47">
        <f>'дод 2'!Q70</f>
        <v>0</v>
      </c>
      <c r="Q36" s="47">
        <f>'дод 2'!R70</f>
        <v>0</v>
      </c>
      <c r="R36" s="47">
        <f>'дод 2'!S70</f>
        <v>0</v>
      </c>
      <c r="S36" s="47">
        <f>'дод 2'!T70</f>
        <v>0</v>
      </c>
      <c r="T36" s="47">
        <f>'дод 2'!U70</f>
        <v>0</v>
      </c>
      <c r="U36" s="47">
        <f>'дод 2'!V70</f>
        <v>0</v>
      </c>
      <c r="V36" s="47">
        <f>'дод 2'!W70</f>
        <v>0</v>
      </c>
      <c r="W36" s="47">
        <f>'дод 2'!X70</f>
        <v>0</v>
      </c>
      <c r="X36" s="47">
        <f>'дод 2'!Y70</f>
        <v>0</v>
      </c>
      <c r="Y36" s="47">
        <f>'дод 2'!Z70</f>
        <v>0</v>
      </c>
      <c r="Z36" s="109"/>
      <c r="AA36" s="47">
        <f>'дод 2'!AB70</f>
        <v>716473.59</v>
      </c>
      <c r="AB36" s="47">
        <f>'дод 2'!AC70</f>
        <v>1448400</v>
      </c>
      <c r="AC36" s="180"/>
      <c r="AD36" s="176"/>
    </row>
    <row r="37" spans="1:30" s="64" customFormat="1" ht="142.5" customHeight="1" x14ac:dyDescent="0.25">
      <c r="A37" s="24">
        <v>1231</v>
      </c>
      <c r="B37" s="23" t="s">
        <v>48</v>
      </c>
      <c r="C37" s="28" t="s">
        <v>398</v>
      </c>
      <c r="D37" s="47">
        <f>'дод 2'!E71</f>
        <v>0</v>
      </c>
      <c r="E37" s="47">
        <f>'дод 2'!F71</f>
        <v>0</v>
      </c>
      <c r="F37" s="47">
        <f>'дод 2'!G71</f>
        <v>0</v>
      </c>
      <c r="G37" s="47">
        <f>'дод 2'!H71</f>
        <v>0</v>
      </c>
      <c r="H37" s="47">
        <f>'дод 2'!I71</f>
        <v>0</v>
      </c>
      <c r="I37" s="47">
        <f>'дод 2'!J71</f>
        <v>0</v>
      </c>
      <c r="J37" s="47">
        <f>'дод 2'!K71</f>
        <v>0</v>
      </c>
      <c r="K37" s="47">
        <f>'дод 2'!L71</f>
        <v>0</v>
      </c>
      <c r="L37" s="47">
        <f>'дод 2'!M71</f>
        <v>0</v>
      </c>
      <c r="M37" s="109"/>
      <c r="N37" s="47">
        <f>'дод 2'!O71</f>
        <v>1051200</v>
      </c>
      <c r="O37" s="47">
        <f>'дод 2'!P71</f>
        <v>1051200</v>
      </c>
      <c r="P37" s="47">
        <f>'дод 2'!Q71</f>
        <v>0</v>
      </c>
      <c r="Q37" s="47">
        <f>'дод 2'!R71</f>
        <v>0</v>
      </c>
      <c r="R37" s="47">
        <f>'дод 2'!S71</f>
        <v>0</v>
      </c>
      <c r="S37" s="47">
        <f>'дод 2'!T71</f>
        <v>1051200</v>
      </c>
      <c r="T37" s="47">
        <f>'дод 2'!U71</f>
        <v>0</v>
      </c>
      <c r="U37" s="47">
        <f>'дод 2'!V71</f>
        <v>0</v>
      </c>
      <c r="V37" s="47">
        <f>'дод 2'!W71</f>
        <v>0</v>
      </c>
      <c r="W37" s="47">
        <f>'дод 2'!X71</f>
        <v>0</v>
      </c>
      <c r="X37" s="47">
        <f>'дод 2'!Y71</f>
        <v>0</v>
      </c>
      <c r="Y37" s="47">
        <f>'дод 2'!Z71</f>
        <v>0</v>
      </c>
      <c r="Z37" s="109">
        <f t="shared" si="6"/>
        <v>0</v>
      </c>
      <c r="AA37" s="47">
        <f>'дод 2'!AB71</f>
        <v>0</v>
      </c>
      <c r="AB37" s="47">
        <f>'дод 2'!AC71</f>
        <v>1051200</v>
      </c>
      <c r="AC37" s="180"/>
      <c r="AD37" s="176"/>
    </row>
    <row r="38" spans="1:30" ht="140.25" customHeight="1" x14ac:dyDescent="0.25">
      <c r="A38" s="24">
        <v>1241</v>
      </c>
      <c r="B38" s="23" t="s">
        <v>48</v>
      </c>
      <c r="C38" s="28" t="s">
        <v>442</v>
      </c>
      <c r="D38" s="47">
        <f>'дод 2'!E72</f>
        <v>0</v>
      </c>
      <c r="E38" s="47">
        <f>'дод 2'!F72</f>
        <v>0</v>
      </c>
      <c r="F38" s="47">
        <f>'дод 2'!G72</f>
        <v>0</v>
      </c>
      <c r="G38" s="47">
        <f>'дод 2'!H72</f>
        <v>0</v>
      </c>
      <c r="H38" s="47">
        <f>'дод 2'!I72</f>
        <v>0</v>
      </c>
      <c r="I38" s="47">
        <f>'дод 2'!J72</f>
        <v>0</v>
      </c>
      <c r="J38" s="47">
        <f>'дод 2'!K72</f>
        <v>0</v>
      </c>
      <c r="K38" s="47">
        <f>'дод 2'!L72</f>
        <v>0</v>
      </c>
      <c r="L38" s="47">
        <f>'дод 2'!M72</f>
        <v>0</v>
      </c>
      <c r="M38" s="109"/>
      <c r="N38" s="47">
        <f>'дод 2'!O72</f>
        <v>11133700</v>
      </c>
      <c r="O38" s="47">
        <f>'дод 2'!P72</f>
        <v>11133700</v>
      </c>
      <c r="P38" s="47">
        <f>'дод 2'!Q72</f>
        <v>0</v>
      </c>
      <c r="Q38" s="47">
        <f>'дод 2'!R72</f>
        <v>0</v>
      </c>
      <c r="R38" s="47">
        <f>'дод 2'!S72</f>
        <v>0</v>
      </c>
      <c r="S38" s="47">
        <f>'дод 2'!T72</f>
        <v>11133700</v>
      </c>
      <c r="T38" s="47">
        <f>'дод 2'!U72</f>
        <v>0</v>
      </c>
      <c r="U38" s="47">
        <f>'дод 2'!V72</f>
        <v>0</v>
      </c>
      <c r="V38" s="47">
        <f>'дод 2'!W72</f>
        <v>0</v>
      </c>
      <c r="W38" s="47">
        <f>'дод 2'!X72</f>
        <v>0</v>
      </c>
      <c r="X38" s="47">
        <f>'дод 2'!Y72</f>
        <v>0</v>
      </c>
      <c r="Y38" s="47">
        <f>'дод 2'!Z72</f>
        <v>0</v>
      </c>
      <c r="Z38" s="109">
        <f t="shared" si="6"/>
        <v>0</v>
      </c>
      <c r="AA38" s="47">
        <f>'дод 2'!AB72</f>
        <v>0</v>
      </c>
      <c r="AB38" s="47">
        <f>'дод 2'!AC72</f>
        <v>11133700</v>
      </c>
      <c r="AC38" s="180"/>
      <c r="AD38" s="176"/>
    </row>
    <row r="39" spans="1:30" ht="126" x14ac:dyDescent="0.25">
      <c r="A39" s="23" t="s">
        <v>384</v>
      </c>
      <c r="B39" s="23" t="s">
        <v>48</v>
      </c>
      <c r="C39" s="28" t="s">
        <v>473</v>
      </c>
      <c r="D39" s="47">
        <f>'дод 2'!E168</f>
        <v>0</v>
      </c>
      <c r="E39" s="47">
        <f>'дод 2'!F168</f>
        <v>0</v>
      </c>
      <c r="F39" s="47">
        <f>'дод 2'!G168</f>
        <v>0</v>
      </c>
      <c r="G39" s="47">
        <f>'дод 2'!H168</f>
        <v>0</v>
      </c>
      <c r="H39" s="47">
        <f>'дод 2'!I168</f>
        <v>0</v>
      </c>
      <c r="I39" s="47">
        <f>'дод 2'!J168</f>
        <v>0</v>
      </c>
      <c r="J39" s="47">
        <f>'дод 2'!K168</f>
        <v>0</v>
      </c>
      <c r="K39" s="47">
        <f>'дод 2'!L168</f>
        <v>0</v>
      </c>
      <c r="L39" s="47">
        <f>'дод 2'!M168</f>
        <v>0</v>
      </c>
      <c r="M39" s="109"/>
      <c r="N39" s="47">
        <f>'дод 2'!O168</f>
        <v>153217517</v>
      </c>
      <c r="O39" s="47">
        <f>'дод 2'!P168</f>
        <v>153217517</v>
      </c>
      <c r="P39" s="47">
        <f>'дод 2'!Q168</f>
        <v>0</v>
      </c>
      <c r="Q39" s="47">
        <f>'дод 2'!R168</f>
        <v>0</v>
      </c>
      <c r="R39" s="47">
        <f>'дод 2'!S168</f>
        <v>0</v>
      </c>
      <c r="S39" s="47">
        <f>'дод 2'!T168</f>
        <v>153217517</v>
      </c>
      <c r="T39" s="47">
        <f>'дод 2'!U168</f>
        <v>1338907</v>
      </c>
      <c r="U39" s="47">
        <f>'дод 2'!V168</f>
        <v>1338907</v>
      </c>
      <c r="V39" s="47">
        <f>'дод 2'!W168</f>
        <v>0</v>
      </c>
      <c r="W39" s="47">
        <f>'дод 2'!X168</f>
        <v>0</v>
      </c>
      <c r="X39" s="47">
        <f>'дод 2'!Y168</f>
        <v>0</v>
      </c>
      <c r="Y39" s="47">
        <f>'дод 2'!Z168</f>
        <v>1338907</v>
      </c>
      <c r="Z39" s="109">
        <f t="shared" si="6"/>
        <v>0.8738602649460766</v>
      </c>
      <c r="AA39" s="47">
        <f>'дод 2'!AB168</f>
        <v>1338907</v>
      </c>
      <c r="AB39" s="47">
        <f>'дод 2'!AC168</f>
        <v>153217517</v>
      </c>
      <c r="AC39" s="181">
        <v>32</v>
      </c>
      <c r="AD39" s="176"/>
    </row>
    <row r="40" spans="1:30" ht="114" customHeight="1" x14ac:dyDescent="0.25">
      <c r="A40" s="23" t="s">
        <v>497</v>
      </c>
      <c r="B40" s="23" t="s">
        <v>48</v>
      </c>
      <c r="C40" s="28" t="s">
        <v>498</v>
      </c>
      <c r="D40" s="47">
        <f>'дод 2'!E169</f>
        <v>0</v>
      </c>
      <c r="E40" s="47">
        <f>'дод 2'!F169</f>
        <v>0</v>
      </c>
      <c r="F40" s="47">
        <f>'дод 2'!G169</f>
        <v>0</v>
      </c>
      <c r="G40" s="47">
        <f>'дод 2'!H169</f>
        <v>0</v>
      </c>
      <c r="H40" s="47">
        <f>'дод 2'!I169</f>
        <v>0</v>
      </c>
      <c r="I40" s="47">
        <f>'дод 2'!J169</f>
        <v>0</v>
      </c>
      <c r="J40" s="47">
        <f>'дод 2'!K169</f>
        <v>0</v>
      </c>
      <c r="K40" s="47">
        <f>'дод 2'!L169</f>
        <v>0</v>
      </c>
      <c r="L40" s="47">
        <f>'дод 2'!M169</f>
        <v>0</v>
      </c>
      <c r="M40" s="109"/>
      <c r="N40" s="47">
        <f>'дод 2'!O169</f>
        <v>350282094</v>
      </c>
      <c r="O40" s="47">
        <f>'дод 2'!P169</f>
        <v>350282094</v>
      </c>
      <c r="P40" s="47">
        <f>'дод 2'!Q169</f>
        <v>0</v>
      </c>
      <c r="Q40" s="47">
        <f>'дод 2'!R169</f>
        <v>0</v>
      </c>
      <c r="R40" s="47">
        <f>'дод 2'!S169</f>
        <v>0</v>
      </c>
      <c r="S40" s="47">
        <f>'дод 2'!T169</f>
        <v>350282094</v>
      </c>
      <c r="T40" s="47">
        <f>'дод 2'!U169</f>
        <v>2847180</v>
      </c>
      <c r="U40" s="47">
        <f>'дод 2'!V169</f>
        <v>2847180</v>
      </c>
      <c r="V40" s="47">
        <f>'дод 2'!W169</f>
        <v>0</v>
      </c>
      <c r="W40" s="47">
        <f>'дод 2'!X169</f>
        <v>0</v>
      </c>
      <c r="X40" s="47">
        <f>'дод 2'!Y169</f>
        <v>0</v>
      </c>
      <c r="Y40" s="47">
        <f>'дод 2'!Z169</f>
        <v>2847180</v>
      </c>
      <c r="Z40" s="109">
        <f t="shared" si="6"/>
        <v>0.81282487708321161</v>
      </c>
      <c r="AA40" s="47">
        <f>'дод 2'!AB169</f>
        <v>2847180</v>
      </c>
      <c r="AB40" s="47">
        <f>'дод 2'!AC169</f>
        <v>350282094</v>
      </c>
      <c r="AC40" s="181"/>
      <c r="AD40" s="176"/>
    </row>
    <row r="41" spans="1:30" ht="78.75" x14ac:dyDescent="0.25">
      <c r="A41" s="23" t="s">
        <v>484</v>
      </c>
      <c r="B41" s="23" t="s">
        <v>48</v>
      </c>
      <c r="C41" s="28" t="s">
        <v>506</v>
      </c>
      <c r="D41" s="47">
        <f>'дод 2'!E73</f>
        <v>0</v>
      </c>
      <c r="E41" s="47">
        <f>'дод 2'!F73</f>
        <v>0</v>
      </c>
      <c r="F41" s="47">
        <f>'дод 2'!G73</f>
        <v>0</v>
      </c>
      <c r="G41" s="47">
        <f>'дод 2'!H73</f>
        <v>0</v>
      </c>
      <c r="H41" s="47">
        <f>'дод 2'!I73</f>
        <v>0</v>
      </c>
      <c r="I41" s="47">
        <f>'дод 2'!J73</f>
        <v>0</v>
      </c>
      <c r="J41" s="47">
        <f>'дод 2'!K73</f>
        <v>0</v>
      </c>
      <c r="K41" s="47">
        <f>'дод 2'!L73</f>
        <v>0</v>
      </c>
      <c r="L41" s="47">
        <f>'дод 2'!M73</f>
        <v>0</v>
      </c>
      <c r="M41" s="109"/>
      <c r="N41" s="47">
        <f>'дод 2'!O73</f>
        <v>1328051.8</v>
      </c>
      <c r="O41" s="47">
        <f>'дод 2'!P73</f>
        <v>0</v>
      </c>
      <c r="P41" s="47">
        <f>'дод 2'!Q73</f>
        <v>1328051.8</v>
      </c>
      <c r="Q41" s="47">
        <f>'дод 2'!R73</f>
        <v>0</v>
      </c>
      <c r="R41" s="47">
        <f>'дод 2'!S73</f>
        <v>0</v>
      </c>
      <c r="S41" s="47">
        <f>'дод 2'!T73</f>
        <v>0</v>
      </c>
      <c r="T41" s="47">
        <f>'дод 2'!U73</f>
        <v>151193.04999999999</v>
      </c>
      <c r="U41" s="47">
        <f>'дод 2'!V73</f>
        <v>0</v>
      </c>
      <c r="V41" s="47">
        <f>'дод 2'!W73</f>
        <v>151193.04999999999</v>
      </c>
      <c r="W41" s="47">
        <f>'дод 2'!X73</f>
        <v>0</v>
      </c>
      <c r="X41" s="47">
        <f>'дод 2'!Y73</f>
        <v>0</v>
      </c>
      <c r="Y41" s="47">
        <f>'дод 2'!Z73</f>
        <v>0</v>
      </c>
      <c r="Z41" s="109">
        <f t="shared" si="6"/>
        <v>11.384574758303854</v>
      </c>
      <c r="AA41" s="47">
        <f>'дод 2'!AB73</f>
        <v>151193.04999999999</v>
      </c>
      <c r="AB41" s="47">
        <f>'дод 2'!AC73</f>
        <v>1328051.8</v>
      </c>
      <c r="AC41" s="181"/>
      <c r="AD41" s="176"/>
    </row>
    <row r="42" spans="1:30" s="79" customFormat="1" ht="49.9" customHeight="1" x14ac:dyDescent="0.25">
      <c r="A42" s="23" t="s">
        <v>375</v>
      </c>
      <c r="B42" s="23" t="s">
        <v>48</v>
      </c>
      <c r="C42" s="28" t="s">
        <v>454</v>
      </c>
      <c r="D42" s="47">
        <f>'дод 2'!E170</f>
        <v>0</v>
      </c>
      <c r="E42" s="47">
        <f>'дод 2'!F170</f>
        <v>0</v>
      </c>
      <c r="F42" s="47">
        <f>'дод 2'!G170</f>
        <v>0</v>
      </c>
      <c r="G42" s="47">
        <f>'дод 2'!H170</f>
        <v>0</v>
      </c>
      <c r="H42" s="47">
        <f>'дод 2'!I170</f>
        <v>0</v>
      </c>
      <c r="I42" s="47">
        <f>'дод 2'!J170</f>
        <v>0</v>
      </c>
      <c r="J42" s="47">
        <f>'дод 2'!K170</f>
        <v>0</v>
      </c>
      <c r="K42" s="47">
        <f>'дод 2'!L170</f>
        <v>0</v>
      </c>
      <c r="L42" s="47">
        <f>'дод 2'!M170</f>
        <v>0</v>
      </c>
      <c r="M42" s="109"/>
      <c r="N42" s="47">
        <f>'дод 2'!O170</f>
        <v>138186479</v>
      </c>
      <c r="O42" s="47">
        <f>'дод 2'!P170</f>
        <v>138186479</v>
      </c>
      <c r="P42" s="47">
        <f>'дод 2'!Q170</f>
        <v>0</v>
      </c>
      <c r="Q42" s="47">
        <f>'дод 2'!R170</f>
        <v>0</v>
      </c>
      <c r="R42" s="47">
        <f>'дод 2'!S170</f>
        <v>0</v>
      </c>
      <c r="S42" s="47">
        <f>'дод 2'!T170</f>
        <v>138186479</v>
      </c>
      <c r="T42" s="47">
        <f>'дод 2'!U170</f>
        <v>0</v>
      </c>
      <c r="U42" s="47">
        <f>'дод 2'!V170</f>
        <v>0</v>
      </c>
      <c r="V42" s="47">
        <f>'дод 2'!W170</f>
        <v>0</v>
      </c>
      <c r="W42" s="47">
        <f>'дод 2'!X170</f>
        <v>0</v>
      </c>
      <c r="X42" s="47">
        <f>'дод 2'!Y170</f>
        <v>0</v>
      </c>
      <c r="Y42" s="47">
        <f>'дод 2'!Z170</f>
        <v>0</v>
      </c>
      <c r="Z42" s="109">
        <f t="shared" si="6"/>
        <v>0</v>
      </c>
      <c r="AA42" s="47">
        <f>'дод 2'!AB170</f>
        <v>0</v>
      </c>
      <c r="AB42" s="47">
        <f>'дод 2'!AC170</f>
        <v>138186479</v>
      </c>
      <c r="AC42" s="181"/>
      <c r="AD42" s="176"/>
    </row>
    <row r="43" spans="1:30" ht="57.75" customHeight="1" x14ac:dyDescent="0.25">
      <c r="A43" s="23" t="s">
        <v>392</v>
      </c>
      <c r="B43" s="23" t="s">
        <v>48</v>
      </c>
      <c r="C43" s="28" t="s">
        <v>438</v>
      </c>
      <c r="D43" s="47">
        <f>'дод 2'!E171+'дод 2'!E74</f>
        <v>15240000</v>
      </c>
      <c r="E43" s="47">
        <f>'дод 2'!F171+'дод 2'!F74</f>
        <v>0</v>
      </c>
      <c r="F43" s="47">
        <f>'дод 2'!G171+'дод 2'!G74</f>
        <v>0</v>
      </c>
      <c r="G43" s="47">
        <f>'дод 2'!H171+'дод 2'!H74</f>
        <v>0</v>
      </c>
      <c r="H43" s="47">
        <f>'дод 2'!I171+'дод 2'!I74</f>
        <v>15240000</v>
      </c>
      <c r="I43" s="47">
        <f>'дод 2'!J171+'дод 2'!J74</f>
        <v>7720368</v>
      </c>
      <c r="J43" s="47">
        <f>'дод 2'!K171+'дод 2'!K74</f>
        <v>0</v>
      </c>
      <c r="K43" s="47">
        <f>'дод 2'!L171+'дод 2'!L74</f>
        <v>0</v>
      </c>
      <c r="L43" s="47">
        <f>'дод 2'!M171+'дод 2'!M74</f>
        <v>7720368</v>
      </c>
      <c r="M43" s="109">
        <f t="shared" si="3"/>
        <v>50.658582677165356</v>
      </c>
      <c r="N43" s="47">
        <f>'дод 2'!O171+'дод 2'!O74</f>
        <v>0</v>
      </c>
      <c r="O43" s="47">
        <f>'дод 2'!P171+'дод 2'!P74</f>
        <v>0</v>
      </c>
      <c r="P43" s="47">
        <f>'дод 2'!Q171+'дод 2'!Q74</f>
        <v>0</v>
      </c>
      <c r="Q43" s="47">
        <f>'дод 2'!R171+'дод 2'!R74</f>
        <v>0</v>
      </c>
      <c r="R43" s="47">
        <f>'дод 2'!S171+'дод 2'!S74</f>
        <v>0</v>
      </c>
      <c r="S43" s="47">
        <f>'дод 2'!T171+'дод 2'!T74</f>
        <v>0</v>
      </c>
      <c r="T43" s="47">
        <f>'дод 2'!U171+'дод 2'!U74</f>
        <v>0</v>
      </c>
      <c r="U43" s="47">
        <f>'дод 2'!V171+'дод 2'!V74</f>
        <v>0</v>
      </c>
      <c r="V43" s="47">
        <f>'дод 2'!W171+'дод 2'!W74</f>
        <v>0</v>
      </c>
      <c r="W43" s="47">
        <f>'дод 2'!X171+'дод 2'!X74</f>
        <v>0</v>
      </c>
      <c r="X43" s="47">
        <f>'дод 2'!Y171+'дод 2'!Y74</f>
        <v>0</v>
      </c>
      <c r="Y43" s="47">
        <f>'дод 2'!Z171+'дод 2'!Z74</f>
        <v>0</v>
      </c>
      <c r="Z43" s="109"/>
      <c r="AA43" s="47">
        <f>'дод 2'!AB171+'дод 2'!AB74</f>
        <v>7720368</v>
      </c>
      <c r="AB43" s="47">
        <f>'дод 2'!AC171+'дод 2'!AC74</f>
        <v>15240000</v>
      </c>
      <c r="AC43" s="181"/>
      <c r="AD43" s="176"/>
    </row>
    <row r="44" spans="1:30" ht="57.75" customHeight="1" x14ac:dyDescent="0.25">
      <c r="A44" s="23" t="s">
        <v>469</v>
      </c>
      <c r="B44" s="23" t="s">
        <v>48</v>
      </c>
      <c r="C44" s="28" t="s">
        <v>470</v>
      </c>
      <c r="D44" s="47">
        <f>'дод 2'!E75</f>
        <v>105127200</v>
      </c>
      <c r="E44" s="47">
        <f>'дод 2'!F75</f>
        <v>105127200</v>
      </c>
      <c r="F44" s="47">
        <f>'дод 2'!G75</f>
        <v>86170200</v>
      </c>
      <c r="G44" s="47">
        <f>'дод 2'!H75</f>
        <v>0</v>
      </c>
      <c r="H44" s="47">
        <f>'дод 2'!I75</f>
        <v>0</v>
      </c>
      <c r="I44" s="47">
        <f>'дод 2'!J75</f>
        <v>45349605.18</v>
      </c>
      <c r="J44" s="47">
        <f>'дод 2'!K75</f>
        <v>37335910.409999996</v>
      </c>
      <c r="K44" s="47">
        <f>'дод 2'!L75</f>
        <v>0</v>
      </c>
      <c r="L44" s="47">
        <f>'дод 2'!M75</f>
        <v>0</v>
      </c>
      <c r="M44" s="109">
        <f t="shared" si="3"/>
        <v>43.137841757413874</v>
      </c>
      <c r="N44" s="47">
        <f>'дод 2'!O75</f>
        <v>0</v>
      </c>
      <c r="O44" s="47">
        <f>'дод 2'!P75</f>
        <v>0</v>
      </c>
      <c r="P44" s="47">
        <f>'дод 2'!Q75</f>
        <v>0</v>
      </c>
      <c r="Q44" s="47">
        <f>'дод 2'!R75</f>
        <v>0</v>
      </c>
      <c r="R44" s="47">
        <f>'дод 2'!S75</f>
        <v>0</v>
      </c>
      <c r="S44" s="47">
        <f>'дод 2'!T75</f>
        <v>0</v>
      </c>
      <c r="T44" s="47">
        <f>'дод 2'!U75</f>
        <v>0</v>
      </c>
      <c r="U44" s="47">
        <f>'дод 2'!V75</f>
        <v>0</v>
      </c>
      <c r="V44" s="47">
        <f>'дод 2'!W75</f>
        <v>0</v>
      </c>
      <c r="W44" s="47">
        <f>'дод 2'!X75</f>
        <v>0</v>
      </c>
      <c r="X44" s="47">
        <f>'дод 2'!Y75</f>
        <v>0</v>
      </c>
      <c r="Y44" s="47">
        <f>'дод 2'!Z75</f>
        <v>0</v>
      </c>
      <c r="Z44" s="109"/>
      <c r="AA44" s="47">
        <f>'дод 2'!AB75</f>
        <v>45349605.18</v>
      </c>
      <c r="AB44" s="47">
        <f>'дод 2'!AC75</f>
        <v>105127200</v>
      </c>
      <c r="AC44" s="181"/>
      <c r="AD44" s="176"/>
    </row>
    <row r="45" spans="1:30" ht="63" x14ac:dyDescent="0.25">
      <c r="A45" s="23" t="s">
        <v>480</v>
      </c>
      <c r="B45" s="23" t="s">
        <v>48</v>
      </c>
      <c r="C45" s="28" t="s">
        <v>481</v>
      </c>
      <c r="D45" s="47">
        <f>'дод 2'!E76</f>
        <v>0</v>
      </c>
      <c r="E45" s="47">
        <f>'дод 2'!F76</f>
        <v>0</v>
      </c>
      <c r="F45" s="47">
        <f>'дод 2'!G76</f>
        <v>0</v>
      </c>
      <c r="G45" s="47">
        <f>'дод 2'!H76</f>
        <v>0</v>
      </c>
      <c r="H45" s="47">
        <f>'дод 2'!I76</f>
        <v>0</v>
      </c>
      <c r="I45" s="47">
        <f>'дод 2'!J76</f>
        <v>0</v>
      </c>
      <c r="J45" s="47">
        <f>'дод 2'!K76</f>
        <v>0</v>
      </c>
      <c r="K45" s="47">
        <f>'дод 2'!L76</f>
        <v>0</v>
      </c>
      <c r="L45" s="47">
        <f>'дод 2'!M76</f>
        <v>0</v>
      </c>
      <c r="M45" s="109"/>
      <c r="N45" s="47">
        <f>'дод 2'!O76</f>
        <v>5037889.5999999996</v>
      </c>
      <c r="O45" s="47">
        <f>'дод 2'!P76</f>
        <v>0</v>
      </c>
      <c r="P45" s="47">
        <f>'дод 2'!Q76</f>
        <v>5037889.5999999996</v>
      </c>
      <c r="Q45" s="47">
        <f>'дод 2'!R76</f>
        <v>0</v>
      </c>
      <c r="R45" s="47">
        <f>'дод 2'!S76</f>
        <v>0</v>
      </c>
      <c r="S45" s="47">
        <f>'дод 2'!T76</f>
        <v>0</v>
      </c>
      <c r="T45" s="47">
        <f>'дод 2'!U76</f>
        <v>1265443.01</v>
      </c>
      <c r="U45" s="47">
        <f>'дод 2'!V76</f>
        <v>0</v>
      </c>
      <c r="V45" s="47">
        <f>'дод 2'!W76</f>
        <v>1265443.01</v>
      </c>
      <c r="W45" s="47">
        <f>'дод 2'!X76</f>
        <v>0</v>
      </c>
      <c r="X45" s="47">
        <f>'дод 2'!Y76</f>
        <v>0</v>
      </c>
      <c r="Y45" s="47">
        <f>'дод 2'!Z76</f>
        <v>0</v>
      </c>
      <c r="Z45" s="109">
        <f t="shared" si="6"/>
        <v>25.118514109558891</v>
      </c>
      <c r="AA45" s="47">
        <f>'дод 2'!AB76</f>
        <v>1265443.01</v>
      </c>
      <c r="AB45" s="47">
        <f>'дод 2'!AC76</f>
        <v>5037889.5999999996</v>
      </c>
      <c r="AC45" s="181"/>
      <c r="AD45" s="176"/>
    </row>
    <row r="46" spans="1:30" ht="52.5" customHeight="1" x14ac:dyDescent="0.25">
      <c r="A46" s="23" t="s">
        <v>461</v>
      </c>
      <c r="B46" s="23" t="s">
        <v>48</v>
      </c>
      <c r="C46" s="70" t="s">
        <v>462</v>
      </c>
      <c r="D46" s="47">
        <f>'дод 2'!E77</f>
        <v>51785700</v>
      </c>
      <c r="E46" s="47">
        <f>'дод 2'!F77</f>
        <v>51785700</v>
      </c>
      <c r="F46" s="47">
        <f>'дод 2'!G77</f>
        <v>0</v>
      </c>
      <c r="G46" s="47">
        <f>'дод 2'!H77</f>
        <v>0</v>
      </c>
      <c r="H46" s="47">
        <f>'дод 2'!I77</f>
        <v>0</v>
      </c>
      <c r="I46" s="47">
        <f>'дод 2'!J77</f>
        <v>5999186.4400000004</v>
      </c>
      <c r="J46" s="47">
        <f>'дод 2'!K77</f>
        <v>0</v>
      </c>
      <c r="K46" s="47">
        <f>'дод 2'!L77</f>
        <v>0</v>
      </c>
      <c r="L46" s="47">
        <f>'дод 2'!M77</f>
        <v>0</v>
      </c>
      <c r="M46" s="109">
        <f t="shared" si="3"/>
        <v>11.584639079900438</v>
      </c>
      <c r="N46" s="47">
        <f>'дод 2'!O77</f>
        <v>0</v>
      </c>
      <c r="O46" s="47">
        <f>'дод 2'!P77</f>
        <v>0</v>
      </c>
      <c r="P46" s="47">
        <f>'дод 2'!Q77</f>
        <v>0</v>
      </c>
      <c r="Q46" s="47">
        <f>'дод 2'!R77</f>
        <v>0</v>
      </c>
      <c r="R46" s="47">
        <f>'дод 2'!S77</f>
        <v>0</v>
      </c>
      <c r="S46" s="47">
        <f>'дод 2'!T77</f>
        <v>0</v>
      </c>
      <c r="T46" s="47">
        <f>'дод 2'!U77</f>
        <v>0</v>
      </c>
      <c r="U46" s="47">
        <f>'дод 2'!V77</f>
        <v>0</v>
      </c>
      <c r="V46" s="47">
        <f>'дод 2'!W77</f>
        <v>0</v>
      </c>
      <c r="W46" s="47">
        <f>'дод 2'!X77</f>
        <v>0</v>
      </c>
      <c r="X46" s="47">
        <f>'дод 2'!Y77</f>
        <v>0</v>
      </c>
      <c r="Y46" s="47">
        <f>'дод 2'!Z77</f>
        <v>0</v>
      </c>
      <c r="Z46" s="109"/>
      <c r="AA46" s="47">
        <f>'дод 2'!AB77</f>
        <v>5999186.4400000004</v>
      </c>
      <c r="AB46" s="47">
        <f>'дод 2'!AC77</f>
        <v>51785700</v>
      </c>
      <c r="AC46" s="181"/>
      <c r="AD46" s="176"/>
    </row>
    <row r="47" spans="1:30" s="77" customFormat="1" ht="21.75" customHeight="1" x14ac:dyDescent="0.25">
      <c r="A47" s="48" t="s">
        <v>49</v>
      </c>
      <c r="B47" s="29"/>
      <c r="C47" s="85" t="s">
        <v>340</v>
      </c>
      <c r="D47" s="44">
        <f>D48+D49+D50+D51+D52+D53+D54</f>
        <v>150339604</v>
      </c>
      <c r="E47" s="44">
        <f t="shared" ref="E47:AA47" si="8">E48+E49+E50+E51+E52+E53+E54</f>
        <v>139260800</v>
      </c>
      <c r="F47" s="44">
        <f t="shared" si="8"/>
        <v>4079400</v>
      </c>
      <c r="G47" s="44">
        <f t="shared" si="8"/>
        <v>178500</v>
      </c>
      <c r="H47" s="44">
        <f t="shared" si="8"/>
        <v>11078804</v>
      </c>
      <c r="I47" s="44">
        <f t="shared" si="8"/>
        <v>38096455.359999999</v>
      </c>
      <c r="J47" s="44">
        <f t="shared" si="8"/>
        <v>891805.06</v>
      </c>
      <c r="K47" s="44">
        <f t="shared" si="8"/>
        <v>62431.65</v>
      </c>
      <c r="L47" s="44">
        <f t="shared" ref="L47" si="9">L48+L49+L50+L51+L52+L53+L54</f>
        <v>0</v>
      </c>
      <c r="M47" s="108">
        <f t="shared" si="3"/>
        <v>25.340265868998831</v>
      </c>
      <c r="N47" s="44">
        <f t="shared" si="8"/>
        <v>11031300</v>
      </c>
      <c r="O47" s="44">
        <f t="shared" si="8"/>
        <v>11031300</v>
      </c>
      <c r="P47" s="44">
        <f t="shared" si="8"/>
        <v>0</v>
      </c>
      <c r="Q47" s="44">
        <f t="shared" si="8"/>
        <v>0</v>
      </c>
      <c r="R47" s="44">
        <f t="shared" si="8"/>
        <v>0</v>
      </c>
      <c r="S47" s="44">
        <f t="shared" si="8"/>
        <v>11031300</v>
      </c>
      <c r="T47" s="44">
        <f t="shared" si="8"/>
        <v>186040.8</v>
      </c>
      <c r="U47" s="44">
        <f t="shared" si="8"/>
        <v>0</v>
      </c>
      <c r="V47" s="44">
        <f t="shared" si="8"/>
        <v>186040.8</v>
      </c>
      <c r="W47" s="44">
        <f t="shared" si="8"/>
        <v>0</v>
      </c>
      <c r="X47" s="44">
        <f t="shared" si="8"/>
        <v>0</v>
      </c>
      <c r="Y47" s="44">
        <f t="shared" si="8"/>
        <v>0</v>
      </c>
      <c r="Z47" s="108">
        <f t="shared" si="6"/>
        <v>1.6864811944195153</v>
      </c>
      <c r="AA47" s="44">
        <f t="shared" si="8"/>
        <v>38282496.159999996</v>
      </c>
      <c r="AB47" s="44">
        <f t="shared" ref="AB47" si="10">AB48+AB49+AB50+AB51+AB52+AB53+AB54</f>
        <v>161370904</v>
      </c>
      <c r="AC47" s="181"/>
      <c r="AD47" s="176"/>
    </row>
    <row r="48" spans="1:30" ht="25.5" customHeight="1" x14ac:dyDescent="0.25">
      <c r="A48" s="45" t="s">
        <v>50</v>
      </c>
      <c r="B48" s="45" t="s">
        <v>51</v>
      </c>
      <c r="C48" s="46" t="s">
        <v>304</v>
      </c>
      <c r="D48" s="47">
        <f>'дод 2'!E87</f>
        <v>88444004</v>
      </c>
      <c r="E48" s="47">
        <f>'дод 2'!F87</f>
        <v>77365200</v>
      </c>
      <c r="F48" s="47">
        <f>'дод 2'!G87</f>
        <v>0</v>
      </c>
      <c r="G48" s="47">
        <f>'дод 2'!H87</f>
        <v>0</v>
      </c>
      <c r="H48" s="47">
        <f>'дод 2'!I87</f>
        <v>11078804</v>
      </c>
      <c r="I48" s="47">
        <f>'дод 2'!J87</f>
        <v>24073540.68</v>
      </c>
      <c r="J48" s="47">
        <f>'дод 2'!K87</f>
        <v>0</v>
      </c>
      <c r="K48" s="47">
        <f>'дод 2'!L87</f>
        <v>0</v>
      </c>
      <c r="L48" s="47">
        <f>'дод 2'!M87</f>
        <v>0</v>
      </c>
      <c r="M48" s="109">
        <f t="shared" si="3"/>
        <v>27.218962949709962</v>
      </c>
      <c r="N48" s="47">
        <f>'дод 2'!O87</f>
        <v>0</v>
      </c>
      <c r="O48" s="47">
        <f>'дод 2'!P87</f>
        <v>0</v>
      </c>
      <c r="P48" s="47">
        <f>'дод 2'!Q87</f>
        <v>0</v>
      </c>
      <c r="Q48" s="47">
        <f>'дод 2'!R87</f>
        <v>0</v>
      </c>
      <c r="R48" s="47">
        <f>'дод 2'!S87</f>
        <v>0</v>
      </c>
      <c r="S48" s="47">
        <f>'дод 2'!T87</f>
        <v>0</v>
      </c>
      <c r="T48" s="47">
        <f>'дод 2'!U87</f>
        <v>0</v>
      </c>
      <c r="U48" s="47">
        <f>'дод 2'!V87</f>
        <v>0</v>
      </c>
      <c r="V48" s="47">
        <f>'дод 2'!W87</f>
        <v>0</v>
      </c>
      <c r="W48" s="47">
        <f>'дод 2'!X87</f>
        <v>0</v>
      </c>
      <c r="X48" s="47">
        <f>'дод 2'!Y87</f>
        <v>0</v>
      </c>
      <c r="Y48" s="47">
        <f>'дод 2'!Z87</f>
        <v>0</v>
      </c>
      <c r="Z48" s="109"/>
      <c r="AA48" s="47">
        <f>'дод 2'!AB87</f>
        <v>24073540.68</v>
      </c>
      <c r="AB48" s="47">
        <f>'дод 2'!AC87</f>
        <v>88444004</v>
      </c>
      <c r="AC48" s="181"/>
      <c r="AD48" s="176"/>
    </row>
    <row r="49" spans="1:30" ht="36.75" customHeight="1" x14ac:dyDescent="0.25">
      <c r="A49" s="45" t="s">
        <v>100</v>
      </c>
      <c r="B49" s="45" t="s">
        <v>52</v>
      </c>
      <c r="C49" s="46" t="s">
        <v>276</v>
      </c>
      <c r="D49" s="47">
        <f>'дод 2'!E88</f>
        <v>6979200</v>
      </c>
      <c r="E49" s="47">
        <f>'дод 2'!F88</f>
        <v>6979200</v>
      </c>
      <c r="F49" s="47">
        <f>'дод 2'!G88</f>
        <v>0</v>
      </c>
      <c r="G49" s="47">
        <f>'дод 2'!H88</f>
        <v>0</v>
      </c>
      <c r="H49" s="47">
        <f>'дод 2'!I88</f>
        <v>0</v>
      </c>
      <c r="I49" s="47">
        <f>'дод 2'!J88</f>
        <v>1940906.58</v>
      </c>
      <c r="J49" s="47">
        <f>'дод 2'!K88</f>
        <v>0</v>
      </c>
      <c r="K49" s="47">
        <f>'дод 2'!L88</f>
        <v>0</v>
      </c>
      <c r="L49" s="47">
        <f>'дод 2'!M88</f>
        <v>0</v>
      </c>
      <c r="M49" s="109">
        <f t="shared" si="3"/>
        <v>27.809871905089413</v>
      </c>
      <c r="N49" s="47">
        <f>'дод 2'!O88</f>
        <v>0</v>
      </c>
      <c r="O49" s="47">
        <f>'дод 2'!P88</f>
        <v>0</v>
      </c>
      <c r="P49" s="47">
        <f>'дод 2'!Q88</f>
        <v>0</v>
      </c>
      <c r="Q49" s="47">
        <f>'дод 2'!R88</f>
        <v>0</v>
      </c>
      <c r="R49" s="47">
        <f>'дод 2'!S88</f>
        <v>0</v>
      </c>
      <c r="S49" s="47">
        <f>'дод 2'!T88</f>
        <v>0</v>
      </c>
      <c r="T49" s="47">
        <f>'дод 2'!U88</f>
        <v>0</v>
      </c>
      <c r="U49" s="47">
        <f>'дод 2'!V88</f>
        <v>0</v>
      </c>
      <c r="V49" s="47">
        <f>'дод 2'!W88</f>
        <v>0</v>
      </c>
      <c r="W49" s="47">
        <f>'дод 2'!X88</f>
        <v>0</v>
      </c>
      <c r="X49" s="47">
        <f>'дод 2'!Y88</f>
        <v>0</v>
      </c>
      <c r="Y49" s="47">
        <f>'дод 2'!Z88</f>
        <v>0</v>
      </c>
      <c r="Z49" s="109"/>
      <c r="AA49" s="47">
        <f>'дод 2'!AB88</f>
        <v>1940906.58</v>
      </c>
      <c r="AB49" s="47">
        <f>'дод 2'!AC88</f>
        <v>6979200</v>
      </c>
      <c r="AC49" s="181"/>
      <c r="AD49" s="176"/>
    </row>
    <row r="50" spans="1:30" ht="19.5" customHeight="1" x14ac:dyDescent="0.25">
      <c r="A50" s="45" t="s">
        <v>101</v>
      </c>
      <c r="B50" s="45" t="s">
        <v>53</v>
      </c>
      <c r="C50" s="46" t="s">
        <v>277</v>
      </c>
      <c r="D50" s="47">
        <f>'дод 2'!E89</f>
        <v>1362400</v>
      </c>
      <c r="E50" s="47">
        <f>'дод 2'!F89</f>
        <v>1362400</v>
      </c>
      <c r="F50" s="47">
        <f>'дод 2'!G89</f>
        <v>0</v>
      </c>
      <c r="G50" s="47">
        <f>'дод 2'!H89</f>
        <v>0</v>
      </c>
      <c r="H50" s="47">
        <f>'дод 2'!I89</f>
        <v>0</v>
      </c>
      <c r="I50" s="47">
        <f>'дод 2'!J89</f>
        <v>486946.86</v>
      </c>
      <c r="J50" s="47">
        <f>'дод 2'!K89</f>
        <v>0</v>
      </c>
      <c r="K50" s="47">
        <f>'дод 2'!L89</f>
        <v>0</v>
      </c>
      <c r="L50" s="47">
        <f>'дод 2'!M89</f>
        <v>0</v>
      </c>
      <c r="M50" s="109">
        <f t="shared" si="3"/>
        <v>35.741842337052262</v>
      </c>
      <c r="N50" s="47">
        <f>'дод 2'!O89</f>
        <v>0</v>
      </c>
      <c r="O50" s="47">
        <f>'дод 2'!P89</f>
        <v>0</v>
      </c>
      <c r="P50" s="47">
        <f>'дод 2'!Q89</f>
        <v>0</v>
      </c>
      <c r="Q50" s="47">
        <f>'дод 2'!R89</f>
        <v>0</v>
      </c>
      <c r="R50" s="47">
        <f>'дод 2'!S89</f>
        <v>0</v>
      </c>
      <c r="S50" s="47">
        <f>'дод 2'!T89</f>
        <v>0</v>
      </c>
      <c r="T50" s="47">
        <f>'дод 2'!U89</f>
        <v>0</v>
      </c>
      <c r="U50" s="47">
        <f>'дод 2'!V89</f>
        <v>0</v>
      </c>
      <c r="V50" s="47">
        <f>'дод 2'!W89</f>
        <v>0</v>
      </c>
      <c r="W50" s="47">
        <f>'дод 2'!X89</f>
        <v>0</v>
      </c>
      <c r="X50" s="47">
        <f>'дод 2'!Y89</f>
        <v>0</v>
      </c>
      <c r="Y50" s="47">
        <f>'дод 2'!Z89</f>
        <v>0</v>
      </c>
      <c r="Z50" s="109"/>
      <c r="AA50" s="47">
        <f>'дод 2'!AB89</f>
        <v>486946.86</v>
      </c>
      <c r="AB50" s="47">
        <f>'дод 2'!AC89</f>
        <v>1362400</v>
      </c>
      <c r="AC50" s="181"/>
      <c r="AD50" s="176"/>
    </row>
    <row r="51" spans="1:30" ht="38.25" customHeight="1" x14ac:dyDescent="0.25">
      <c r="A51" s="45" t="s">
        <v>102</v>
      </c>
      <c r="B51" s="45" t="s">
        <v>235</v>
      </c>
      <c r="C51" s="46" t="s">
        <v>278</v>
      </c>
      <c r="D51" s="47">
        <f>'дод 2'!E90</f>
        <v>6455600</v>
      </c>
      <c r="E51" s="47">
        <f>'дод 2'!F90</f>
        <v>6455600</v>
      </c>
      <c r="F51" s="47">
        <f>'дод 2'!G90</f>
        <v>0</v>
      </c>
      <c r="G51" s="47">
        <f>'дод 2'!H90</f>
        <v>0</v>
      </c>
      <c r="H51" s="47">
        <f>'дод 2'!I90</f>
        <v>0</v>
      </c>
      <c r="I51" s="47">
        <f>'дод 2'!J90</f>
        <v>2155340.54</v>
      </c>
      <c r="J51" s="47">
        <f>'дод 2'!K90</f>
        <v>0</v>
      </c>
      <c r="K51" s="47">
        <f>'дод 2'!L90</f>
        <v>0</v>
      </c>
      <c r="L51" s="47">
        <f>'дод 2'!M90</f>
        <v>0</v>
      </c>
      <c r="M51" s="109">
        <f t="shared" si="3"/>
        <v>33.387145114319353</v>
      </c>
      <c r="N51" s="47">
        <f>'дод 2'!O90</f>
        <v>0</v>
      </c>
      <c r="O51" s="47">
        <f>'дод 2'!P90</f>
        <v>0</v>
      </c>
      <c r="P51" s="47">
        <f>'дод 2'!Q90</f>
        <v>0</v>
      </c>
      <c r="Q51" s="47">
        <f>'дод 2'!R90</f>
        <v>0</v>
      </c>
      <c r="R51" s="47">
        <f>'дод 2'!S90</f>
        <v>0</v>
      </c>
      <c r="S51" s="47">
        <f>'дод 2'!T90</f>
        <v>0</v>
      </c>
      <c r="T51" s="47">
        <f>'дод 2'!U90</f>
        <v>0</v>
      </c>
      <c r="U51" s="47">
        <f>'дод 2'!V90</f>
        <v>0</v>
      </c>
      <c r="V51" s="47">
        <f>'дод 2'!W90</f>
        <v>0</v>
      </c>
      <c r="W51" s="47">
        <f>'дод 2'!X90</f>
        <v>0</v>
      </c>
      <c r="X51" s="47">
        <f>'дод 2'!Y90</f>
        <v>0</v>
      </c>
      <c r="Y51" s="47">
        <f>'дод 2'!Z90</f>
        <v>0</v>
      </c>
      <c r="Z51" s="109"/>
      <c r="AA51" s="47">
        <f>'дод 2'!AB90</f>
        <v>2155340.54</v>
      </c>
      <c r="AB51" s="47">
        <f>'дод 2'!AC90</f>
        <v>6455600</v>
      </c>
      <c r="AC51" s="181"/>
      <c r="AD51" s="176"/>
    </row>
    <row r="52" spans="1:30" ht="31.5" x14ac:dyDescent="0.25">
      <c r="A52" s="45" t="s">
        <v>215</v>
      </c>
      <c r="B52" s="45" t="s">
        <v>54</v>
      </c>
      <c r="C52" s="32" t="s">
        <v>307</v>
      </c>
      <c r="D52" s="47">
        <f>'дод 2'!E91</f>
        <v>5446700</v>
      </c>
      <c r="E52" s="47">
        <f>'дод 2'!F91</f>
        <v>5446700</v>
      </c>
      <c r="F52" s="47">
        <f>'дод 2'!G91</f>
        <v>4079400</v>
      </c>
      <c r="G52" s="47">
        <f>'дод 2'!H91</f>
        <v>178500</v>
      </c>
      <c r="H52" s="47">
        <f>'дод 2'!I91</f>
        <v>0</v>
      </c>
      <c r="I52" s="47">
        <f>'дод 2'!J91</f>
        <v>1204222.78</v>
      </c>
      <c r="J52" s="47">
        <f>'дод 2'!K91</f>
        <v>891805.06</v>
      </c>
      <c r="K52" s="47">
        <f>'дод 2'!L91</f>
        <v>62431.65</v>
      </c>
      <c r="L52" s="47">
        <f>'дод 2'!M91</f>
        <v>0</v>
      </c>
      <c r="M52" s="109">
        <f t="shared" si="3"/>
        <v>22.109218058641012</v>
      </c>
      <c r="N52" s="47">
        <f>'дод 2'!O91</f>
        <v>0</v>
      </c>
      <c r="O52" s="47">
        <f>'дод 2'!P91</f>
        <v>0</v>
      </c>
      <c r="P52" s="47">
        <f>'дод 2'!Q91</f>
        <v>0</v>
      </c>
      <c r="Q52" s="47">
        <f>'дод 2'!R91</f>
        <v>0</v>
      </c>
      <c r="R52" s="47">
        <f>'дод 2'!S91</f>
        <v>0</v>
      </c>
      <c r="S52" s="47">
        <f>'дод 2'!T91</f>
        <v>0</v>
      </c>
      <c r="T52" s="47">
        <f>'дод 2'!U91</f>
        <v>0</v>
      </c>
      <c r="U52" s="47">
        <f>'дод 2'!V91</f>
        <v>0</v>
      </c>
      <c r="V52" s="47">
        <f>'дод 2'!W91</f>
        <v>0</v>
      </c>
      <c r="W52" s="47">
        <f>'дод 2'!X91</f>
        <v>0</v>
      </c>
      <c r="X52" s="47">
        <f>'дод 2'!Y91</f>
        <v>0</v>
      </c>
      <c r="Y52" s="47">
        <f>'дод 2'!Z91</f>
        <v>0</v>
      </c>
      <c r="Z52" s="109"/>
      <c r="AA52" s="47">
        <f>'дод 2'!AB91</f>
        <v>1204222.78</v>
      </c>
      <c r="AB52" s="47">
        <f>'дод 2'!AC91</f>
        <v>5446700</v>
      </c>
      <c r="AC52" s="181"/>
    </row>
    <row r="53" spans="1:30" ht="27" customHeight="1" x14ac:dyDescent="0.25">
      <c r="A53" s="45" t="s">
        <v>216</v>
      </c>
      <c r="B53" s="45" t="s">
        <v>54</v>
      </c>
      <c r="C53" s="32" t="s">
        <v>308</v>
      </c>
      <c r="D53" s="47">
        <f>'дод 2'!E92</f>
        <v>41651700</v>
      </c>
      <c r="E53" s="47">
        <f>'дод 2'!F92</f>
        <v>41651700</v>
      </c>
      <c r="F53" s="47">
        <f>'дод 2'!G92</f>
        <v>0</v>
      </c>
      <c r="G53" s="47">
        <f>'дод 2'!H92</f>
        <v>0</v>
      </c>
      <c r="H53" s="47">
        <f>'дод 2'!I92</f>
        <v>0</v>
      </c>
      <c r="I53" s="47">
        <f>'дод 2'!J92</f>
        <v>8235497.9199999999</v>
      </c>
      <c r="J53" s="47">
        <f>'дод 2'!K92</f>
        <v>0</v>
      </c>
      <c r="K53" s="47">
        <f>'дод 2'!L92</f>
        <v>0</v>
      </c>
      <c r="L53" s="47">
        <f>'дод 2'!M92</f>
        <v>0</v>
      </c>
      <c r="M53" s="109">
        <f t="shared" si="3"/>
        <v>19.772297217160403</v>
      </c>
      <c r="N53" s="47">
        <f>'дод 2'!O92</f>
        <v>0</v>
      </c>
      <c r="O53" s="47">
        <f>'дод 2'!P92</f>
        <v>0</v>
      </c>
      <c r="P53" s="47">
        <f>'дод 2'!Q92</f>
        <v>0</v>
      </c>
      <c r="Q53" s="47">
        <f>'дод 2'!R92</f>
        <v>0</v>
      </c>
      <c r="R53" s="47">
        <f>'дод 2'!S92</f>
        <v>0</v>
      </c>
      <c r="S53" s="47">
        <f>'дод 2'!T92</f>
        <v>0</v>
      </c>
      <c r="T53" s="47">
        <f>'дод 2'!U92</f>
        <v>186040.8</v>
      </c>
      <c r="U53" s="47">
        <f>'дод 2'!V92</f>
        <v>0</v>
      </c>
      <c r="V53" s="47">
        <f>'дод 2'!W92</f>
        <v>186040.8</v>
      </c>
      <c r="W53" s="47">
        <f>'дод 2'!X92</f>
        <v>0</v>
      </c>
      <c r="X53" s="47">
        <f>'дод 2'!Y92</f>
        <v>0</v>
      </c>
      <c r="Y53" s="47">
        <f>'дод 2'!Z92</f>
        <v>0</v>
      </c>
      <c r="Z53" s="109"/>
      <c r="AA53" s="47">
        <f>'дод 2'!AB92</f>
        <v>8421538.7200000007</v>
      </c>
      <c r="AB53" s="47">
        <f>'дод 2'!AC92</f>
        <v>41651700</v>
      </c>
      <c r="AC53" s="181"/>
    </row>
    <row r="54" spans="1:30" s="79" customFormat="1" ht="61.5" customHeight="1" x14ac:dyDescent="0.25">
      <c r="A54" s="45">
        <v>2170</v>
      </c>
      <c r="B54" s="45" t="s">
        <v>54</v>
      </c>
      <c r="C54" s="32" t="s">
        <v>426</v>
      </c>
      <c r="D54" s="47">
        <f>'дод 2'!E93</f>
        <v>0</v>
      </c>
      <c r="E54" s="47">
        <f>'дод 2'!F93</f>
        <v>0</v>
      </c>
      <c r="F54" s="47">
        <f>'дод 2'!G93</f>
        <v>0</v>
      </c>
      <c r="G54" s="47">
        <f>'дод 2'!H93</f>
        <v>0</v>
      </c>
      <c r="H54" s="47">
        <f>'дод 2'!I93</f>
        <v>0</v>
      </c>
      <c r="I54" s="47">
        <f>'дод 2'!J93</f>
        <v>0</v>
      </c>
      <c r="J54" s="47">
        <f>'дод 2'!K93</f>
        <v>0</v>
      </c>
      <c r="K54" s="47">
        <f>'дод 2'!L93</f>
        <v>0</v>
      </c>
      <c r="L54" s="47">
        <f>'дод 2'!M93</f>
        <v>0</v>
      </c>
      <c r="M54" s="109"/>
      <c r="N54" s="47">
        <f>'дод 2'!O93</f>
        <v>11031300</v>
      </c>
      <c r="O54" s="47">
        <f>'дод 2'!P93</f>
        <v>11031300</v>
      </c>
      <c r="P54" s="47">
        <f>'дод 2'!Q93</f>
        <v>0</v>
      </c>
      <c r="Q54" s="47">
        <f>'дод 2'!R93</f>
        <v>0</v>
      </c>
      <c r="R54" s="47">
        <f>'дод 2'!S93</f>
        <v>0</v>
      </c>
      <c r="S54" s="47">
        <f>'дод 2'!T93</f>
        <v>11031300</v>
      </c>
      <c r="T54" s="47">
        <f>'дод 2'!U93</f>
        <v>0</v>
      </c>
      <c r="U54" s="47">
        <f>'дод 2'!V93</f>
        <v>0</v>
      </c>
      <c r="V54" s="47">
        <f>'дод 2'!W93</f>
        <v>0</v>
      </c>
      <c r="W54" s="47">
        <f>'дод 2'!X93</f>
        <v>0</v>
      </c>
      <c r="X54" s="47">
        <f>'дод 2'!Y93</f>
        <v>0</v>
      </c>
      <c r="Y54" s="47">
        <f>'дод 2'!Z93</f>
        <v>0</v>
      </c>
      <c r="Z54" s="109">
        <f t="shared" si="6"/>
        <v>0</v>
      </c>
      <c r="AA54" s="47">
        <f>'дод 2'!AB93</f>
        <v>0</v>
      </c>
      <c r="AB54" s="47">
        <f>'дод 2'!AC93</f>
        <v>11031300</v>
      </c>
      <c r="AC54" s="181"/>
    </row>
    <row r="55" spans="1:30" s="63" customFormat="1" ht="23.25" customHeight="1" x14ac:dyDescent="0.25">
      <c r="A55" s="48" t="s">
        <v>55</v>
      </c>
      <c r="B55" s="52"/>
      <c r="C55" s="53" t="s">
        <v>458</v>
      </c>
      <c r="D55" s="44">
        <f>D56+D57+D58+D59+D60+D63+D64+D66+D67+D70+D72+D73+D75+D76+D77+D78+D68+D69+D61+D71+D62+D65+D74</f>
        <v>349577245.94</v>
      </c>
      <c r="E55" s="44">
        <f t="shared" ref="E55:AA55" si="11">E56+E57+E58+E59+E60+E63+E64+E66+E67+E70+E72+E73+E75+E76+E77+E78+E68+E69+E61+E71+E62+E65+E74</f>
        <v>348326139.94</v>
      </c>
      <c r="F55" s="44">
        <f t="shared" si="11"/>
        <v>43035385</v>
      </c>
      <c r="G55" s="44">
        <f t="shared" si="11"/>
        <v>3074811</v>
      </c>
      <c r="H55" s="44">
        <f t="shared" si="11"/>
        <v>1251106</v>
      </c>
      <c r="I55" s="44">
        <f t="shared" si="11"/>
        <v>87550997.019999996</v>
      </c>
      <c r="J55" s="44">
        <f t="shared" si="11"/>
        <v>10200841.73</v>
      </c>
      <c r="K55" s="44">
        <f t="shared" si="11"/>
        <v>1044308.07</v>
      </c>
      <c r="L55" s="44">
        <f t="shared" ref="L55" si="12">L56+L57+L58+L59+L60+L63+L64+L66+L67+L70+L72+L73+L75+L76+L77+L78+L68+L69+L61+L71+L62+L65+L74</f>
        <v>0</v>
      </c>
      <c r="M55" s="108">
        <f t="shared" si="3"/>
        <v>25.04482143412357</v>
      </c>
      <c r="N55" s="44">
        <f t="shared" si="11"/>
        <v>68600</v>
      </c>
      <c r="O55" s="44">
        <f t="shared" si="11"/>
        <v>0</v>
      </c>
      <c r="P55" s="44">
        <f t="shared" si="11"/>
        <v>68600</v>
      </c>
      <c r="Q55" s="44">
        <f t="shared" si="11"/>
        <v>50000</v>
      </c>
      <c r="R55" s="44">
        <f t="shared" si="11"/>
        <v>3810</v>
      </c>
      <c r="S55" s="44">
        <f t="shared" si="11"/>
        <v>0</v>
      </c>
      <c r="T55" s="44">
        <f t="shared" si="11"/>
        <v>4167971.61</v>
      </c>
      <c r="U55" s="44">
        <f t="shared" si="11"/>
        <v>0</v>
      </c>
      <c r="V55" s="44">
        <f t="shared" si="11"/>
        <v>3918431.58</v>
      </c>
      <c r="W55" s="44">
        <f t="shared" si="11"/>
        <v>3543.26</v>
      </c>
      <c r="X55" s="44">
        <f t="shared" si="11"/>
        <v>0</v>
      </c>
      <c r="Y55" s="44">
        <f t="shared" si="11"/>
        <v>249540.03</v>
      </c>
      <c r="Z55" s="108" t="s">
        <v>521</v>
      </c>
      <c r="AA55" s="44">
        <f t="shared" si="11"/>
        <v>91718968.63000001</v>
      </c>
      <c r="AB55" s="44">
        <f t="shared" ref="AB55" si="13">AB56+AB57+AB58+AB59+AB60+AB63+AB64+AB66+AB67+AB70+AB72+AB73+AB75+AB76+AB77+AB78+AB68+AB69+AB61+AB71+AB62+AB65+AB74</f>
        <v>349645845.94</v>
      </c>
      <c r="AC55" s="181"/>
    </row>
    <row r="56" spans="1:30" ht="38.25" customHeight="1" x14ac:dyDescent="0.25">
      <c r="A56" s="45" t="s">
        <v>84</v>
      </c>
      <c r="B56" s="45" t="s">
        <v>43</v>
      </c>
      <c r="C56" s="32" t="s">
        <v>103</v>
      </c>
      <c r="D56" s="47">
        <f>'дод 2'!E101</f>
        <v>528188</v>
      </c>
      <c r="E56" s="47">
        <f>'дод 2'!F101</f>
        <v>528188</v>
      </c>
      <c r="F56" s="47">
        <f>'дод 2'!G101</f>
        <v>0</v>
      </c>
      <c r="G56" s="47">
        <f>'дод 2'!H101</f>
        <v>0</v>
      </c>
      <c r="H56" s="47">
        <f>'дод 2'!I101</f>
        <v>0</v>
      </c>
      <c r="I56" s="47">
        <f>'дод 2'!J101</f>
        <v>4300</v>
      </c>
      <c r="J56" s="47">
        <f>'дод 2'!K101</f>
        <v>0</v>
      </c>
      <c r="K56" s="47">
        <f>'дод 2'!L101</f>
        <v>0</v>
      </c>
      <c r="L56" s="47">
        <f>'дод 2'!M101</f>
        <v>0</v>
      </c>
      <c r="M56" s="109">
        <f t="shared" si="3"/>
        <v>0.81410406900573273</v>
      </c>
      <c r="N56" s="47">
        <f>'дод 2'!O101</f>
        <v>0</v>
      </c>
      <c r="O56" s="47">
        <f>'дод 2'!P101</f>
        <v>0</v>
      </c>
      <c r="P56" s="47">
        <f>'дод 2'!Q101</f>
        <v>0</v>
      </c>
      <c r="Q56" s="47">
        <f>'дод 2'!R101</f>
        <v>0</v>
      </c>
      <c r="R56" s="47">
        <f>'дод 2'!S101</f>
        <v>0</v>
      </c>
      <c r="S56" s="47">
        <f>'дод 2'!T101</f>
        <v>0</v>
      </c>
      <c r="T56" s="47">
        <f>'дод 2'!U101</f>
        <v>0</v>
      </c>
      <c r="U56" s="47">
        <f>'дод 2'!V101</f>
        <v>0</v>
      </c>
      <c r="V56" s="47">
        <f>'дод 2'!W101</f>
        <v>0</v>
      </c>
      <c r="W56" s="47">
        <f>'дод 2'!X101</f>
        <v>0</v>
      </c>
      <c r="X56" s="47">
        <f>'дод 2'!Y101</f>
        <v>0</v>
      </c>
      <c r="Y56" s="47">
        <f>'дод 2'!Z101</f>
        <v>0</v>
      </c>
      <c r="Z56" s="109"/>
      <c r="AA56" s="47">
        <f>'дод 2'!AB101</f>
        <v>4300</v>
      </c>
      <c r="AB56" s="47">
        <f>'дод 2'!AC101</f>
        <v>528188</v>
      </c>
      <c r="AC56" s="181"/>
    </row>
    <row r="57" spans="1:30" ht="36" customHeight="1" x14ac:dyDescent="0.25">
      <c r="A57" s="45" t="s">
        <v>104</v>
      </c>
      <c r="B57" s="45" t="s">
        <v>44</v>
      </c>
      <c r="C57" s="32" t="s">
        <v>267</v>
      </c>
      <c r="D57" s="47">
        <f>'дод 2'!E102</f>
        <v>400000</v>
      </c>
      <c r="E57" s="47">
        <f>'дод 2'!F102</f>
        <v>400000</v>
      </c>
      <c r="F57" s="47">
        <f>'дод 2'!G102</f>
        <v>0</v>
      </c>
      <c r="G57" s="47">
        <f>'дод 2'!H102</f>
        <v>0</v>
      </c>
      <c r="H57" s="47">
        <f>'дод 2'!I102</f>
        <v>0</v>
      </c>
      <c r="I57" s="47">
        <f>'дод 2'!J102</f>
        <v>60430.43</v>
      </c>
      <c r="J57" s="47">
        <f>'дод 2'!K102</f>
        <v>0</v>
      </c>
      <c r="K57" s="47">
        <f>'дод 2'!L102</f>
        <v>0</v>
      </c>
      <c r="L57" s="47">
        <f>'дод 2'!M102</f>
        <v>0</v>
      </c>
      <c r="M57" s="109">
        <f t="shared" si="3"/>
        <v>15.1076075</v>
      </c>
      <c r="N57" s="47">
        <f>'дод 2'!O102</f>
        <v>0</v>
      </c>
      <c r="O57" s="47">
        <f>'дод 2'!P102</f>
        <v>0</v>
      </c>
      <c r="P57" s="47">
        <f>'дод 2'!Q102</f>
        <v>0</v>
      </c>
      <c r="Q57" s="47">
        <f>'дод 2'!R102</f>
        <v>0</v>
      </c>
      <c r="R57" s="47">
        <f>'дод 2'!S102</f>
        <v>0</v>
      </c>
      <c r="S57" s="47">
        <f>'дод 2'!T102</f>
        <v>0</v>
      </c>
      <c r="T57" s="47">
        <f>'дод 2'!U102</f>
        <v>0</v>
      </c>
      <c r="U57" s="47">
        <f>'дод 2'!V102</f>
        <v>0</v>
      </c>
      <c r="V57" s="47">
        <f>'дод 2'!W102</f>
        <v>0</v>
      </c>
      <c r="W57" s="47">
        <f>'дод 2'!X102</f>
        <v>0</v>
      </c>
      <c r="X57" s="47">
        <f>'дод 2'!Y102</f>
        <v>0</v>
      </c>
      <c r="Y57" s="47">
        <f>'дод 2'!Z102</f>
        <v>0</v>
      </c>
      <c r="Z57" s="109"/>
      <c r="AA57" s="47">
        <f>'дод 2'!AB102</f>
        <v>60430.43</v>
      </c>
      <c r="AB57" s="47">
        <f>'дод 2'!AC102</f>
        <v>400000</v>
      </c>
      <c r="AC57" s="181"/>
    </row>
    <row r="58" spans="1:30" ht="38.25" customHeight="1" x14ac:dyDescent="0.25">
      <c r="A58" s="45" t="s">
        <v>85</v>
      </c>
      <c r="B58" s="45" t="s">
        <v>44</v>
      </c>
      <c r="C58" s="32" t="s">
        <v>272</v>
      </c>
      <c r="D58" s="47">
        <f>'дод 2'!E103+'дод 2'!E19</f>
        <v>29422823.940000001</v>
      </c>
      <c r="E58" s="47">
        <f>'дод 2'!F103+'дод 2'!F19</f>
        <v>29422823.940000001</v>
      </c>
      <c r="F58" s="47">
        <f>'дод 2'!G103+'дод 2'!G19</f>
        <v>0</v>
      </c>
      <c r="G58" s="47">
        <f>'дод 2'!H103+'дод 2'!H19</f>
        <v>0</v>
      </c>
      <c r="H58" s="47">
        <f>'дод 2'!I103+'дод 2'!I19</f>
        <v>0</v>
      </c>
      <c r="I58" s="47">
        <f>'дод 2'!J103+'дод 2'!J19</f>
        <v>5942487.5499999998</v>
      </c>
      <c r="J58" s="47">
        <f>'дод 2'!K103+'дод 2'!K19</f>
        <v>0</v>
      </c>
      <c r="K58" s="47">
        <f>'дод 2'!L103+'дод 2'!L19</f>
        <v>0</v>
      </c>
      <c r="L58" s="47">
        <f>'дод 2'!M103+'дод 2'!M19</f>
        <v>0</v>
      </c>
      <c r="M58" s="109">
        <f t="shared" si="3"/>
        <v>20.196863367425632</v>
      </c>
      <c r="N58" s="47">
        <f>'дод 2'!O103+'дод 2'!O19</f>
        <v>0</v>
      </c>
      <c r="O58" s="47">
        <f>'дод 2'!P103+'дод 2'!P19</f>
        <v>0</v>
      </c>
      <c r="P58" s="47">
        <f>'дод 2'!Q103+'дод 2'!Q19</f>
        <v>0</v>
      </c>
      <c r="Q58" s="47">
        <f>'дод 2'!R103+'дод 2'!R19</f>
        <v>0</v>
      </c>
      <c r="R58" s="47">
        <f>'дод 2'!S103+'дод 2'!S19</f>
        <v>0</v>
      </c>
      <c r="S58" s="47">
        <f>'дод 2'!T103+'дод 2'!T19</f>
        <v>0</v>
      </c>
      <c r="T58" s="47">
        <f>'дод 2'!U103+'дод 2'!U19</f>
        <v>0</v>
      </c>
      <c r="U58" s="47">
        <f>'дод 2'!V103+'дод 2'!V19</f>
        <v>0</v>
      </c>
      <c r="V58" s="47">
        <f>'дод 2'!W103+'дод 2'!W19</f>
        <v>0</v>
      </c>
      <c r="W58" s="47">
        <f>'дод 2'!X103+'дод 2'!X19</f>
        <v>0</v>
      </c>
      <c r="X58" s="47">
        <f>'дод 2'!Y103+'дод 2'!Y19</f>
        <v>0</v>
      </c>
      <c r="Y58" s="47">
        <f>'дод 2'!Z103+'дод 2'!Z19</f>
        <v>0</v>
      </c>
      <c r="Z58" s="109"/>
      <c r="AA58" s="47">
        <f>'дод 2'!AB103+'дод 2'!AB19</f>
        <v>5942487.5499999998</v>
      </c>
      <c r="AB58" s="47">
        <f>'дод 2'!AC103+'дод 2'!AC19</f>
        <v>29422823.940000001</v>
      </c>
      <c r="AC58" s="181"/>
    </row>
    <row r="59" spans="1:30" ht="47.25" customHeight="1" x14ac:dyDescent="0.25">
      <c r="A59" s="45" t="s">
        <v>241</v>
      </c>
      <c r="B59" s="45" t="s">
        <v>44</v>
      </c>
      <c r="C59" s="32" t="s">
        <v>240</v>
      </c>
      <c r="D59" s="47">
        <f>'дод 2'!E104</f>
        <v>1000000</v>
      </c>
      <c r="E59" s="47">
        <f>'дод 2'!F104</f>
        <v>1000000</v>
      </c>
      <c r="F59" s="47">
        <f>'дод 2'!G104</f>
        <v>0</v>
      </c>
      <c r="G59" s="47">
        <f>'дод 2'!H104</f>
        <v>0</v>
      </c>
      <c r="H59" s="47">
        <f>'дод 2'!I104</f>
        <v>0</v>
      </c>
      <c r="I59" s="47">
        <f>'дод 2'!J104</f>
        <v>166666</v>
      </c>
      <c r="J59" s="47">
        <f>'дод 2'!K104</f>
        <v>0</v>
      </c>
      <c r="K59" s="47">
        <f>'дод 2'!L104</f>
        <v>0</v>
      </c>
      <c r="L59" s="47">
        <f>'дод 2'!M104</f>
        <v>0</v>
      </c>
      <c r="M59" s="109">
        <f t="shared" si="3"/>
        <v>16.666600000000003</v>
      </c>
      <c r="N59" s="47">
        <f>'дод 2'!O104</f>
        <v>0</v>
      </c>
      <c r="O59" s="47">
        <f>'дод 2'!P104</f>
        <v>0</v>
      </c>
      <c r="P59" s="47">
        <f>'дод 2'!Q104</f>
        <v>0</v>
      </c>
      <c r="Q59" s="47">
        <f>'дод 2'!R104</f>
        <v>0</v>
      </c>
      <c r="R59" s="47">
        <f>'дод 2'!S104</f>
        <v>0</v>
      </c>
      <c r="S59" s="47">
        <f>'дод 2'!T104</f>
        <v>0</v>
      </c>
      <c r="T59" s="47">
        <f>'дод 2'!U104</f>
        <v>0</v>
      </c>
      <c r="U59" s="47">
        <f>'дод 2'!V104</f>
        <v>0</v>
      </c>
      <c r="V59" s="47">
        <f>'дод 2'!W104</f>
        <v>0</v>
      </c>
      <c r="W59" s="47">
        <f>'дод 2'!X104</f>
        <v>0</v>
      </c>
      <c r="X59" s="47">
        <f>'дод 2'!Y104</f>
        <v>0</v>
      </c>
      <c r="Y59" s="47">
        <f>'дод 2'!Z104</f>
        <v>0</v>
      </c>
      <c r="Z59" s="109"/>
      <c r="AA59" s="47">
        <f>'дод 2'!AB104</f>
        <v>166666</v>
      </c>
      <c r="AB59" s="47">
        <f>'дод 2'!AC104</f>
        <v>1000000</v>
      </c>
      <c r="AC59" s="181"/>
    </row>
    <row r="60" spans="1:30" ht="36.75" customHeight="1" x14ac:dyDescent="0.25">
      <c r="A60" s="45" t="s">
        <v>105</v>
      </c>
      <c r="B60" s="45" t="s">
        <v>44</v>
      </c>
      <c r="C60" s="32" t="s">
        <v>17</v>
      </c>
      <c r="D60" s="47">
        <f>'дод 2'!E105+'дод 2'!E20</f>
        <v>52677300</v>
      </c>
      <c r="E60" s="47">
        <f>'дод 2'!F105+'дод 2'!F20</f>
        <v>52677300</v>
      </c>
      <c r="F60" s="47">
        <f>'дод 2'!G105+'дод 2'!G20</f>
        <v>0</v>
      </c>
      <c r="G60" s="47">
        <f>'дод 2'!H105+'дод 2'!H20</f>
        <v>0</v>
      </c>
      <c r="H60" s="47">
        <f>'дод 2'!I105+'дод 2'!I20</f>
        <v>0</v>
      </c>
      <c r="I60" s="47">
        <f>'дод 2'!J105+'дод 2'!J20</f>
        <v>5782324.7000000002</v>
      </c>
      <c r="J60" s="47">
        <f>'дод 2'!K105+'дод 2'!K20</f>
        <v>0</v>
      </c>
      <c r="K60" s="47">
        <f>'дод 2'!L105+'дод 2'!L20</f>
        <v>0</v>
      </c>
      <c r="L60" s="47">
        <f>'дод 2'!M105+'дод 2'!M20</f>
        <v>0</v>
      </c>
      <c r="M60" s="109">
        <f t="shared" si="3"/>
        <v>10.97688131320322</v>
      </c>
      <c r="N60" s="47">
        <f>'дод 2'!O105+'дод 2'!O20</f>
        <v>0</v>
      </c>
      <c r="O60" s="47">
        <f>'дод 2'!P105+'дод 2'!P20</f>
        <v>0</v>
      </c>
      <c r="P60" s="47">
        <f>'дод 2'!Q105+'дод 2'!Q20</f>
        <v>0</v>
      </c>
      <c r="Q60" s="47">
        <f>'дод 2'!R105+'дод 2'!R20</f>
        <v>0</v>
      </c>
      <c r="R60" s="47">
        <f>'дод 2'!S105+'дод 2'!S20</f>
        <v>0</v>
      </c>
      <c r="S60" s="47">
        <f>'дод 2'!T105+'дод 2'!T20</f>
        <v>0</v>
      </c>
      <c r="T60" s="47">
        <f>'дод 2'!U105+'дод 2'!U20</f>
        <v>0</v>
      </c>
      <c r="U60" s="47">
        <f>'дод 2'!V105+'дод 2'!V20</f>
        <v>0</v>
      </c>
      <c r="V60" s="47">
        <f>'дод 2'!W105+'дод 2'!W20</f>
        <v>0</v>
      </c>
      <c r="W60" s="47">
        <f>'дод 2'!X105+'дод 2'!X20</f>
        <v>0</v>
      </c>
      <c r="X60" s="47">
        <f>'дод 2'!Y105+'дод 2'!Y20</f>
        <v>0</v>
      </c>
      <c r="Y60" s="47">
        <f>'дод 2'!Z105+'дод 2'!Z20</f>
        <v>0</v>
      </c>
      <c r="Z60" s="109"/>
      <c r="AA60" s="47">
        <f>'дод 2'!AB105+'дод 2'!AB20</f>
        <v>5782324.7000000002</v>
      </c>
      <c r="AB60" s="47">
        <f>'дод 2'!AC105+'дод 2'!AC20</f>
        <v>52677300</v>
      </c>
      <c r="AC60" s="181"/>
    </row>
    <row r="61" spans="1:30" ht="40.5" customHeight="1" x14ac:dyDescent="0.25">
      <c r="A61" s="45" t="s">
        <v>365</v>
      </c>
      <c r="B61" s="45" t="s">
        <v>44</v>
      </c>
      <c r="C61" s="32" t="s">
        <v>485</v>
      </c>
      <c r="D61" s="47">
        <f>'дод 2'!E106</f>
        <v>939700</v>
      </c>
      <c r="E61" s="47">
        <f>'дод 2'!F106</f>
        <v>939700</v>
      </c>
      <c r="F61" s="47">
        <f>'дод 2'!G106</f>
        <v>0</v>
      </c>
      <c r="G61" s="47">
        <f>'дод 2'!H106</f>
        <v>0</v>
      </c>
      <c r="H61" s="47">
        <f>'дод 2'!I106</f>
        <v>0</v>
      </c>
      <c r="I61" s="47">
        <f>'дод 2'!J106</f>
        <v>30315</v>
      </c>
      <c r="J61" s="47">
        <f>'дод 2'!K106</f>
        <v>0</v>
      </c>
      <c r="K61" s="47">
        <f>'дод 2'!L106</f>
        <v>0</v>
      </c>
      <c r="L61" s="47">
        <f>'дод 2'!M106</f>
        <v>0</v>
      </c>
      <c r="M61" s="109">
        <f t="shared" si="3"/>
        <v>3.2260295839097584</v>
      </c>
      <c r="N61" s="47">
        <f>'дод 2'!O106</f>
        <v>0</v>
      </c>
      <c r="O61" s="47">
        <f>'дод 2'!P106</f>
        <v>0</v>
      </c>
      <c r="P61" s="47">
        <f>'дод 2'!Q106</f>
        <v>0</v>
      </c>
      <c r="Q61" s="47">
        <f>'дод 2'!R106</f>
        <v>0</v>
      </c>
      <c r="R61" s="47">
        <f>'дод 2'!S106</f>
        <v>0</v>
      </c>
      <c r="S61" s="47">
        <f>'дод 2'!T106</f>
        <v>0</v>
      </c>
      <c r="T61" s="47">
        <f>'дод 2'!U106</f>
        <v>0</v>
      </c>
      <c r="U61" s="47">
        <f>'дод 2'!V106</f>
        <v>0</v>
      </c>
      <c r="V61" s="47">
        <f>'дод 2'!W106</f>
        <v>0</v>
      </c>
      <c r="W61" s="47">
        <f>'дод 2'!X106</f>
        <v>0</v>
      </c>
      <c r="X61" s="47">
        <f>'дод 2'!Y106</f>
        <v>0</v>
      </c>
      <c r="Y61" s="47">
        <f>'дод 2'!Z106</f>
        <v>0</v>
      </c>
      <c r="Z61" s="109"/>
      <c r="AA61" s="47">
        <f>'дод 2'!AB106</f>
        <v>30315</v>
      </c>
      <c r="AB61" s="47">
        <f>'дод 2'!AC106</f>
        <v>939700</v>
      </c>
      <c r="AC61" s="181"/>
    </row>
    <row r="62" spans="1:30" ht="39" customHeight="1" x14ac:dyDescent="0.25">
      <c r="A62" s="45" t="s">
        <v>366</v>
      </c>
      <c r="B62" s="45" t="s">
        <v>43</v>
      </c>
      <c r="C62" s="32" t="s">
        <v>486</v>
      </c>
      <c r="D62" s="47">
        <f>'дод 2'!E107</f>
        <v>136000</v>
      </c>
      <c r="E62" s="47">
        <f>'дод 2'!F107</f>
        <v>136000</v>
      </c>
      <c r="F62" s="47">
        <f>'дод 2'!G107</f>
        <v>0</v>
      </c>
      <c r="G62" s="47">
        <f>'дод 2'!H107</f>
        <v>0</v>
      </c>
      <c r="H62" s="47">
        <f>'дод 2'!I107</f>
        <v>0</v>
      </c>
      <c r="I62" s="47">
        <f>'дод 2'!J107</f>
        <v>46722.98</v>
      </c>
      <c r="J62" s="47">
        <f>'дод 2'!K107</f>
        <v>0</v>
      </c>
      <c r="K62" s="47">
        <f>'дод 2'!L107</f>
        <v>0</v>
      </c>
      <c r="L62" s="47">
        <f>'дод 2'!M107</f>
        <v>0</v>
      </c>
      <c r="M62" s="109">
        <f t="shared" si="3"/>
        <v>34.355132352941183</v>
      </c>
      <c r="N62" s="47">
        <f>'дод 2'!O107</f>
        <v>0</v>
      </c>
      <c r="O62" s="47">
        <f>'дод 2'!P107</f>
        <v>0</v>
      </c>
      <c r="P62" s="47">
        <f>'дод 2'!Q107</f>
        <v>0</v>
      </c>
      <c r="Q62" s="47">
        <f>'дод 2'!R107</f>
        <v>0</v>
      </c>
      <c r="R62" s="47">
        <f>'дод 2'!S107</f>
        <v>0</v>
      </c>
      <c r="S62" s="47">
        <f>'дод 2'!T107</f>
        <v>0</v>
      </c>
      <c r="T62" s="47">
        <f>'дод 2'!U107</f>
        <v>0</v>
      </c>
      <c r="U62" s="47">
        <f>'дод 2'!V107</f>
        <v>0</v>
      </c>
      <c r="V62" s="47">
        <f>'дод 2'!W107</f>
        <v>0</v>
      </c>
      <c r="W62" s="47">
        <f>'дод 2'!X107</f>
        <v>0</v>
      </c>
      <c r="X62" s="47">
        <f>'дод 2'!Y107</f>
        <v>0</v>
      </c>
      <c r="Y62" s="47">
        <f>'дод 2'!Z107</f>
        <v>0</v>
      </c>
      <c r="Z62" s="109"/>
      <c r="AA62" s="47">
        <f>'дод 2'!AB107</f>
        <v>46722.98</v>
      </c>
      <c r="AB62" s="47">
        <f>'дод 2'!AC107</f>
        <v>136000</v>
      </c>
      <c r="AC62" s="181"/>
    </row>
    <row r="63" spans="1:30" ht="47.25" x14ac:dyDescent="0.25">
      <c r="A63" s="45" t="s">
        <v>87</v>
      </c>
      <c r="B63" s="45" t="s">
        <v>41</v>
      </c>
      <c r="C63" s="32" t="s">
        <v>25</v>
      </c>
      <c r="D63" s="47">
        <f>'дод 2'!E108</f>
        <v>31160300</v>
      </c>
      <c r="E63" s="47">
        <f>'дод 2'!F108</f>
        <v>31160300</v>
      </c>
      <c r="F63" s="47">
        <f>'дод 2'!G108</f>
        <v>23174400</v>
      </c>
      <c r="G63" s="47">
        <f>'дод 2'!H108</f>
        <v>1287500</v>
      </c>
      <c r="H63" s="47">
        <f>'дод 2'!I108</f>
        <v>0</v>
      </c>
      <c r="I63" s="47">
        <f>'дод 2'!J108</f>
        <v>8616235.5299999993</v>
      </c>
      <c r="J63" s="47">
        <f>'дод 2'!K108</f>
        <v>6485324.4800000004</v>
      </c>
      <c r="K63" s="47">
        <f>'дод 2'!L108</f>
        <v>525892.37</v>
      </c>
      <c r="L63" s="47">
        <f>'дод 2'!M108</f>
        <v>0</v>
      </c>
      <c r="M63" s="109">
        <f t="shared" si="3"/>
        <v>27.65132405657198</v>
      </c>
      <c r="N63" s="47">
        <f>'дод 2'!O108</f>
        <v>58600</v>
      </c>
      <c r="O63" s="47">
        <f>'дод 2'!P108</f>
        <v>0</v>
      </c>
      <c r="P63" s="47">
        <f>'дод 2'!Q108</f>
        <v>58600</v>
      </c>
      <c r="Q63" s="47">
        <f>'дод 2'!R108</f>
        <v>48000</v>
      </c>
      <c r="R63" s="47">
        <f>'дод 2'!S108</f>
        <v>0</v>
      </c>
      <c r="S63" s="47">
        <f>'дод 2'!T108</f>
        <v>0</v>
      </c>
      <c r="T63" s="47">
        <f>'дод 2'!U108</f>
        <v>2972260.61</v>
      </c>
      <c r="U63" s="47">
        <f>'дод 2'!V108</f>
        <v>0</v>
      </c>
      <c r="V63" s="47">
        <f>'дод 2'!W108</f>
        <v>2870920.58</v>
      </c>
      <c r="W63" s="47">
        <f>'дод 2'!X108</f>
        <v>3543.26</v>
      </c>
      <c r="X63" s="47">
        <f>'дод 2'!Y108</f>
        <v>0</v>
      </c>
      <c r="Y63" s="47">
        <f>'дод 2'!Z108</f>
        <v>101340.03</v>
      </c>
      <c r="Z63" s="109" t="s">
        <v>516</v>
      </c>
      <c r="AA63" s="47">
        <f>'дод 2'!AB108</f>
        <v>11588496.139999999</v>
      </c>
      <c r="AB63" s="47">
        <f>'дод 2'!AC108</f>
        <v>31218900</v>
      </c>
      <c r="AC63" s="181"/>
    </row>
    <row r="64" spans="1:30" s="64" customFormat="1" ht="37.5" customHeight="1" x14ac:dyDescent="0.25">
      <c r="A64" s="45" t="s">
        <v>88</v>
      </c>
      <c r="B64" s="45" t="s">
        <v>86</v>
      </c>
      <c r="C64" s="32" t="s">
        <v>26</v>
      </c>
      <c r="D64" s="47">
        <f>'дод 2'!E123</f>
        <v>613900</v>
      </c>
      <c r="E64" s="47">
        <f>'дод 2'!F123</f>
        <v>613900</v>
      </c>
      <c r="F64" s="47">
        <f>'дод 2'!G123</f>
        <v>0</v>
      </c>
      <c r="G64" s="47">
        <f>'дод 2'!H123</f>
        <v>0</v>
      </c>
      <c r="H64" s="47">
        <f>'дод 2'!I123</f>
        <v>0</v>
      </c>
      <c r="I64" s="47">
        <f>'дод 2'!J123</f>
        <v>0</v>
      </c>
      <c r="J64" s="47">
        <f>'дод 2'!K123</f>
        <v>0</v>
      </c>
      <c r="K64" s="47">
        <f>'дод 2'!L123</f>
        <v>0</v>
      </c>
      <c r="L64" s="47">
        <f>'дод 2'!M123</f>
        <v>0</v>
      </c>
      <c r="M64" s="109">
        <f t="shared" si="3"/>
        <v>0</v>
      </c>
      <c r="N64" s="47">
        <f>'дод 2'!O123</f>
        <v>0</v>
      </c>
      <c r="O64" s="47">
        <f>'дод 2'!P123</f>
        <v>0</v>
      </c>
      <c r="P64" s="47">
        <f>'дод 2'!Q123</f>
        <v>0</v>
      </c>
      <c r="Q64" s="47">
        <f>'дод 2'!R123</f>
        <v>0</v>
      </c>
      <c r="R64" s="47">
        <f>'дод 2'!S123</f>
        <v>0</v>
      </c>
      <c r="S64" s="47">
        <f>'дод 2'!T123</f>
        <v>0</v>
      </c>
      <c r="T64" s="47">
        <f>'дод 2'!U123</f>
        <v>0</v>
      </c>
      <c r="U64" s="47">
        <f>'дод 2'!V123</f>
        <v>0</v>
      </c>
      <c r="V64" s="47">
        <f>'дод 2'!W123</f>
        <v>0</v>
      </c>
      <c r="W64" s="47">
        <f>'дод 2'!X123</f>
        <v>0</v>
      </c>
      <c r="X64" s="47">
        <f>'дод 2'!Y123</f>
        <v>0</v>
      </c>
      <c r="Y64" s="47">
        <f>'дод 2'!Z123</f>
        <v>0</v>
      </c>
      <c r="Z64" s="109"/>
      <c r="AA64" s="47">
        <f>'дод 2'!AB123</f>
        <v>0</v>
      </c>
      <c r="AB64" s="47">
        <f>'дод 2'!AC123</f>
        <v>613900</v>
      </c>
      <c r="AC64" s="181"/>
    </row>
    <row r="65" spans="1:29" s="64" customFormat="1" ht="47.25" x14ac:dyDescent="0.25">
      <c r="A65" s="45">
        <v>3114</v>
      </c>
      <c r="B65" s="45">
        <v>1040</v>
      </c>
      <c r="C65" s="32" t="s">
        <v>374</v>
      </c>
      <c r="D65" s="47">
        <f>'дод 2'!E124</f>
        <v>490300</v>
      </c>
      <c r="E65" s="47">
        <f>'дод 2'!F124</f>
        <v>490300</v>
      </c>
      <c r="F65" s="47">
        <f>'дод 2'!G124</f>
        <v>0</v>
      </c>
      <c r="G65" s="47">
        <f>'дод 2'!H124</f>
        <v>67611</v>
      </c>
      <c r="H65" s="47">
        <f>'дод 2'!I124</f>
        <v>0</v>
      </c>
      <c r="I65" s="47">
        <f>'дод 2'!J124</f>
        <v>71360.63</v>
      </c>
      <c r="J65" s="47">
        <f>'дод 2'!K124</f>
        <v>0</v>
      </c>
      <c r="K65" s="47">
        <f>'дод 2'!L124</f>
        <v>17633.47</v>
      </c>
      <c r="L65" s="47">
        <f>'дод 2'!M124</f>
        <v>0</v>
      </c>
      <c r="M65" s="109">
        <f t="shared" si="3"/>
        <v>14.554482969610444</v>
      </c>
      <c r="N65" s="47">
        <f>'дод 2'!O124</f>
        <v>0</v>
      </c>
      <c r="O65" s="47">
        <f>'дод 2'!P124</f>
        <v>0</v>
      </c>
      <c r="P65" s="47">
        <f>'дод 2'!Q124</f>
        <v>0</v>
      </c>
      <c r="Q65" s="47">
        <f>'дод 2'!R124</f>
        <v>0</v>
      </c>
      <c r="R65" s="47">
        <f>'дод 2'!S124</f>
        <v>0</v>
      </c>
      <c r="S65" s="47">
        <f>'дод 2'!T124</f>
        <v>0</v>
      </c>
      <c r="T65" s="47">
        <f>'дод 2'!U124</f>
        <v>0</v>
      </c>
      <c r="U65" s="47">
        <f>'дод 2'!V124</f>
        <v>0</v>
      </c>
      <c r="V65" s="47">
        <f>'дод 2'!W124</f>
        <v>0</v>
      </c>
      <c r="W65" s="47">
        <f>'дод 2'!X124</f>
        <v>0</v>
      </c>
      <c r="X65" s="47">
        <f>'дод 2'!Y124</f>
        <v>0</v>
      </c>
      <c r="Y65" s="47">
        <f>'дод 2'!Z124</f>
        <v>0</v>
      </c>
      <c r="Z65" s="109"/>
      <c r="AA65" s="47">
        <f>'дод 2'!AB124</f>
        <v>71360.63</v>
      </c>
      <c r="AB65" s="47">
        <f>'дод 2'!AC124</f>
        <v>490300</v>
      </c>
      <c r="AC65" s="181"/>
    </row>
    <row r="66" spans="1:29" s="64" customFormat="1" ht="64.5" customHeight="1" x14ac:dyDescent="0.25">
      <c r="A66" s="45" t="s">
        <v>106</v>
      </c>
      <c r="B66" s="45" t="s">
        <v>86</v>
      </c>
      <c r="C66" s="86" t="s">
        <v>429</v>
      </c>
      <c r="D66" s="47">
        <f>'дод 2'!E109</f>
        <v>7202790</v>
      </c>
      <c r="E66" s="47">
        <f>'дод 2'!F109</f>
        <v>7177790</v>
      </c>
      <c r="F66" s="47">
        <f>'дод 2'!G109</f>
        <v>4996100</v>
      </c>
      <c r="G66" s="47">
        <f>'дод 2'!H109</f>
        <v>417300</v>
      </c>
      <c r="H66" s="47">
        <f>'дод 2'!I109</f>
        <v>25000</v>
      </c>
      <c r="I66" s="47">
        <f>'дод 2'!J109</f>
        <v>1791869.07</v>
      </c>
      <c r="J66" s="47">
        <f>'дод 2'!K109</f>
        <v>1325338.1000000001</v>
      </c>
      <c r="K66" s="47">
        <f>'дод 2'!L109</f>
        <v>116636.6</v>
      </c>
      <c r="L66" s="47">
        <f>'дод 2'!M109</f>
        <v>0</v>
      </c>
      <c r="M66" s="109">
        <f t="shared" si="3"/>
        <v>24.877430412381869</v>
      </c>
      <c r="N66" s="47">
        <f>'дод 2'!O109</f>
        <v>0</v>
      </c>
      <c r="O66" s="47">
        <f>'дод 2'!P109</f>
        <v>0</v>
      </c>
      <c r="P66" s="47">
        <f>'дод 2'!Q109</f>
        <v>0</v>
      </c>
      <c r="Q66" s="47">
        <f>'дод 2'!R109</f>
        <v>0</v>
      </c>
      <c r="R66" s="47">
        <f>'дод 2'!S109</f>
        <v>0</v>
      </c>
      <c r="S66" s="47">
        <f>'дод 2'!T109</f>
        <v>0</v>
      </c>
      <c r="T66" s="47">
        <f>'дод 2'!U109</f>
        <v>1195711</v>
      </c>
      <c r="U66" s="47">
        <f>'дод 2'!V109</f>
        <v>0</v>
      </c>
      <c r="V66" s="47">
        <f>'дод 2'!W109</f>
        <v>1047511</v>
      </c>
      <c r="W66" s="47">
        <f>'дод 2'!X109</f>
        <v>0</v>
      </c>
      <c r="X66" s="47">
        <f>'дод 2'!Y109</f>
        <v>0</v>
      </c>
      <c r="Y66" s="47">
        <f>'дод 2'!Z109</f>
        <v>148200</v>
      </c>
      <c r="Z66" s="109"/>
      <c r="AA66" s="47">
        <f>'дод 2'!AB109</f>
        <v>2987580.0700000003</v>
      </c>
      <c r="AB66" s="47">
        <f>'дод 2'!AC109</f>
        <v>7202790</v>
      </c>
      <c r="AC66" s="181"/>
    </row>
    <row r="67" spans="1:29" s="64" customFormat="1" ht="44.65" customHeight="1" x14ac:dyDescent="0.25">
      <c r="A67" s="45" t="s">
        <v>91</v>
      </c>
      <c r="B67" s="45" t="s">
        <v>86</v>
      </c>
      <c r="C67" s="32" t="s">
        <v>253</v>
      </c>
      <c r="D67" s="47">
        <f>'дод 2'!E21</f>
        <v>410000</v>
      </c>
      <c r="E67" s="47">
        <f>'дод 2'!F21</f>
        <v>410000</v>
      </c>
      <c r="F67" s="47">
        <f>'дод 2'!G21</f>
        <v>0</v>
      </c>
      <c r="G67" s="47">
        <f>'дод 2'!H21</f>
        <v>0</v>
      </c>
      <c r="H67" s="47">
        <f>'дод 2'!I21</f>
        <v>0</v>
      </c>
      <c r="I67" s="47">
        <f>'дод 2'!J21</f>
        <v>4500</v>
      </c>
      <c r="J67" s="47">
        <f>'дод 2'!K21</f>
        <v>0</v>
      </c>
      <c r="K67" s="47">
        <f>'дод 2'!L21</f>
        <v>0</v>
      </c>
      <c r="L67" s="47">
        <f>'дод 2'!M21</f>
        <v>0</v>
      </c>
      <c r="M67" s="109">
        <f t="shared" si="3"/>
        <v>1.097560975609756</v>
      </c>
      <c r="N67" s="47">
        <f>'дод 2'!O21</f>
        <v>0</v>
      </c>
      <c r="O67" s="47">
        <f>'дод 2'!P21</f>
        <v>0</v>
      </c>
      <c r="P67" s="47">
        <f>'дод 2'!Q21</f>
        <v>0</v>
      </c>
      <c r="Q67" s="47">
        <f>'дод 2'!R21</f>
        <v>0</v>
      </c>
      <c r="R67" s="47">
        <f>'дод 2'!S21</f>
        <v>0</v>
      </c>
      <c r="S67" s="47">
        <f>'дод 2'!T21</f>
        <v>0</v>
      </c>
      <c r="T67" s="47">
        <f>'дод 2'!U21</f>
        <v>0</v>
      </c>
      <c r="U67" s="47">
        <f>'дод 2'!V21</f>
        <v>0</v>
      </c>
      <c r="V67" s="47">
        <f>'дод 2'!W21</f>
        <v>0</v>
      </c>
      <c r="W67" s="47">
        <f>'дод 2'!X21</f>
        <v>0</v>
      </c>
      <c r="X67" s="47">
        <f>'дод 2'!Y21</f>
        <v>0</v>
      </c>
      <c r="Y67" s="47">
        <f>'дод 2'!Z21</f>
        <v>0</v>
      </c>
      <c r="Z67" s="109"/>
      <c r="AA67" s="47">
        <f>'дод 2'!AB21</f>
        <v>4500</v>
      </c>
      <c r="AB67" s="47">
        <f>'дод 2'!AC21</f>
        <v>410000</v>
      </c>
      <c r="AC67" s="181"/>
    </row>
    <row r="68" spans="1:29" s="64" customFormat="1" ht="47.25" x14ac:dyDescent="0.25">
      <c r="A68" s="45">
        <v>3133</v>
      </c>
      <c r="B68" s="45">
        <v>1040</v>
      </c>
      <c r="C68" s="32" t="s">
        <v>368</v>
      </c>
      <c r="D68" s="47">
        <f>'дод 2'!E22</f>
        <v>6033800</v>
      </c>
      <c r="E68" s="47">
        <f>'дод 2'!F22</f>
        <v>6033800</v>
      </c>
      <c r="F68" s="47">
        <f>'дод 2'!G22</f>
        <v>3646600</v>
      </c>
      <c r="G68" s="47">
        <f>'дод 2'!H22</f>
        <v>780600</v>
      </c>
      <c r="H68" s="47">
        <f>'дод 2'!I22</f>
        <v>0</v>
      </c>
      <c r="I68" s="47">
        <f>'дод 2'!J22</f>
        <v>1326254.19</v>
      </c>
      <c r="J68" s="47">
        <f>'дод 2'!K22</f>
        <v>781687.22</v>
      </c>
      <c r="K68" s="47">
        <f>'дод 2'!L22</f>
        <v>224444.49</v>
      </c>
      <c r="L68" s="47">
        <f>'дод 2'!M22</f>
        <v>0</v>
      </c>
      <c r="M68" s="109">
        <f t="shared" si="3"/>
        <v>21.980413503927874</v>
      </c>
      <c r="N68" s="47">
        <f>'дод 2'!O22</f>
        <v>10000</v>
      </c>
      <c r="O68" s="47">
        <f>'дод 2'!P22</f>
        <v>0</v>
      </c>
      <c r="P68" s="47">
        <f>'дод 2'!Q22</f>
        <v>10000</v>
      </c>
      <c r="Q68" s="47">
        <f>'дод 2'!R22</f>
        <v>2000</v>
      </c>
      <c r="R68" s="47">
        <f>'дод 2'!S22</f>
        <v>3810</v>
      </c>
      <c r="S68" s="47">
        <f>'дод 2'!T22</f>
        <v>0</v>
      </c>
      <c r="T68" s="47">
        <f>'дод 2'!U22</f>
        <v>0</v>
      </c>
      <c r="U68" s="47">
        <f>'дод 2'!V22</f>
        <v>0</v>
      </c>
      <c r="V68" s="47">
        <f>'дод 2'!W22</f>
        <v>0</v>
      </c>
      <c r="W68" s="47">
        <f>'дод 2'!X22</f>
        <v>0</v>
      </c>
      <c r="X68" s="47">
        <f>'дод 2'!Y22</f>
        <v>0</v>
      </c>
      <c r="Y68" s="47">
        <f>'дод 2'!Z22</f>
        <v>0</v>
      </c>
      <c r="Z68" s="109">
        <f t="shared" si="6"/>
        <v>0</v>
      </c>
      <c r="AA68" s="47">
        <f>'дод 2'!AB22</f>
        <v>1326254.19</v>
      </c>
      <c r="AB68" s="47">
        <f>'дод 2'!AC22</f>
        <v>6043800</v>
      </c>
      <c r="AC68" s="181"/>
    </row>
    <row r="69" spans="1:29" s="65" customFormat="1" ht="63" x14ac:dyDescent="0.25">
      <c r="A69" s="45">
        <v>3140</v>
      </c>
      <c r="B69" s="45">
        <v>1040</v>
      </c>
      <c r="C69" s="32" t="s">
        <v>342</v>
      </c>
      <c r="D69" s="47">
        <f>'дод 2'!E110</f>
        <v>2198000</v>
      </c>
      <c r="E69" s="47">
        <f>'дод 2'!F110</f>
        <v>2198000</v>
      </c>
      <c r="F69" s="47">
        <f>'дод 2'!G110</f>
        <v>0</v>
      </c>
      <c r="G69" s="47">
        <f>'дод 2'!H110</f>
        <v>0</v>
      </c>
      <c r="H69" s="47">
        <f>'дод 2'!I110</f>
        <v>0</v>
      </c>
      <c r="I69" s="47">
        <f>'дод 2'!J110</f>
        <v>0</v>
      </c>
      <c r="J69" s="47">
        <f>'дод 2'!K110</f>
        <v>0</v>
      </c>
      <c r="K69" s="47">
        <f>'дод 2'!L110</f>
        <v>0</v>
      </c>
      <c r="L69" s="47">
        <f>'дод 2'!M110</f>
        <v>0</v>
      </c>
      <c r="M69" s="109">
        <f t="shared" si="3"/>
        <v>0</v>
      </c>
      <c r="N69" s="47">
        <f>'дод 2'!O110</f>
        <v>0</v>
      </c>
      <c r="O69" s="47">
        <f>'дод 2'!P110</f>
        <v>0</v>
      </c>
      <c r="P69" s="47">
        <f>'дод 2'!Q110</f>
        <v>0</v>
      </c>
      <c r="Q69" s="47">
        <f>'дод 2'!R110</f>
        <v>0</v>
      </c>
      <c r="R69" s="47">
        <f>'дод 2'!S110</f>
        <v>0</v>
      </c>
      <c r="S69" s="47">
        <f>'дод 2'!T110</f>
        <v>0</v>
      </c>
      <c r="T69" s="47">
        <f>'дод 2'!U110</f>
        <v>0</v>
      </c>
      <c r="U69" s="47">
        <f>'дод 2'!V110</f>
        <v>0</v>
      </c>
      <c r="V69" s="47">
        <f>'дод 2'!W110</f>
        <v>0</v>
      </c>
      <c r="W69" s="47">
        <f>'дод 2'!X110</f>
        <v>0</v>
      </c>
      <c r="X69" s="47">
        <f>'дод 2'!Y110</f>
        <v>0</v>
      </c>
      <c r="Y69" s="47">
        <f>'дод 2'!Z110</f>
        <v>0</v>
      </c>
      <c r="Z69" s="109"/>
      <c r="AA69" s="47">
        <f>'дод 2'!AB110</f>
        <v>0</v>
      </c>
      <c r="AB69" s="47">
        <f>'дод 2'!AC110</f>
        <v>2198000</v>
      </c>
      <c r="AC69" s="181"/>
    </row>
    <row r="70" spans="1:29" ht="73.5" customHeight="1" x14ac:dyDescent="0.25">
      <c r="A70" s="45" t="s">
        <v>92</v>
      </c>
      <c r="B70" s="45">
        <v>1010</v>
      </c>
      <c r="C70" s="32" t="s">
        <v>446</v>
      </c>
      <c r="D70" s="47">
        <f>'дод 2'!E111</f>
        <v>21632200</v>
      </c>
      <c r="E70" s="47">
        <f>'дод 2'!F111</f>
        <v>21632200</v>
      </c>
      <c r="F70" s="47">
        <f>'дод 2'!G111</f>
        <v>0</v>
      </c>
      <c r="G70" s="47">
        <f>'дод 2'!H111</f>
        <v>0</v>
      </c>
      <c r="H70" s="47">
        <f>'дод 2'!I111</f>
        <v>0</v>
      </c>
      <c r="I70" s="47">
        <f>'дод 2'!J111</f>
        <v>3692258.33</v>
      </c>
      <c r="J70" s="47">
        <f>'дод 2'!K111</f>
        <v>0</v>
      </c>
      <c r="K70" s="47">
        <f>'дод 2'!L111</f>
        <v>0</v>
      </c>
      <c r="L70" s="47">
        <f>'дод 2'!M111</f>
        <v>0</v>
      </c>
      <c r="M70" s="109">
        <f t="shared" si="3"/>
        <v>17.068344088904507</v>
      </c>
      <c r="N70" s="47">
        <f>'дод 2'!O111</f>
        <v>0</v>
      </c>
      <c r="O70" s="47">
        <f>'дод 2'!P111</f>
        <v>0</v>
      </c>
      <c r="P70" s="47">
        <f>'дод 2'!Q111</f>
        <v>0</v>
      </c>
      <c r="Q70" s="47">
        <f>'дод 2'!R111</f>
        <v>0</v>
      </c>
      <c r="R70" s="47">
        <f>'дод 2'!S111</f>
        <v>0</v>
      </c>
      <c r="S70" s="47">
        <f>'дод 2'!T111</f>
        <v>0</v>
      </c>
      <c r="T70" s="47">
        <f>'дод 2'!U111</f>
        <v>0</v>
      </c>
      <c r="U70" s="47">
        <f>'дод 2'!V111</f>
        <v>0</v>
      </c>
      <c r="V70" s="47">
        <f>'дод 2'!W111</f>
        <v>0</v>
      </c>
      <c r="W70" s="47">
        <f>'дод 2'!X111</f>
        <v>0</v>
      </c>
      <c r="X70" s="47">
        <f>'дод 2'!Y111</f>
        <v>0</v>
      </c>
      <c r="Y70" s="47">
        <f>'дод 2'!Z111</f>
        <v>0</v>
      </c>
      <c r="Z70" s="109"/>
      <c r="AA70" s="47">
        <f>'дод 2'!AB111</f>
        <v>3692258.33</v>
      </c>
      <c r="AB70" s="47">
        <f>'дод 2'!AC111</f>
        <v>21632200</v>
      </c>
      <c r="AC70" s="181"/>
    </row>
    <row r="71" spans="1:29" ht="59.25" customHeight="1" x14ac:dyDescent="0.25">
      <c r="A71" s="45" t="s">
        <v>367</v>
      </c>
      <c r="B71" s="45">
        <v>1010</v>
      </c>
      <c r="C71" s="32" t="s">
        <v>459</v>
      </c>
      <c r="D71" s="47">
        <f>'дод 2'!E112</f>
        <v>217535</v>
      </c>
      <c r="E71" s="47">
        <f>'дод 2'!F112</f>
        <v>217535</v>
      </c>
      <c r="F71" s="47">
        <f>'дод 2'!G112</f>
        <v>0</v>
      </c>
      <c r="G71" s="47">
        <f>'дод 2'!H112</f>
        <v>0</v>
      </c>
      <c r="H71" s="47">
        <f>'дод 2'!I112</f>
        <v>0</v>
      </c>
      <c r="I71" s="47">
        <f>'дод 2'!J112</f>
        <v>80846.47</v>
      </c>
      <c r="J71" s="47">
        <f>'дод 2'!K112</f>
        <v>0</v>
      </c>
      <c r="K71" s="47">
        <f>'дод 2'!L112</f>
        <v>0</v>
      </c>
      <c r="L71" s="47">
        <f>'дод 2'!M112</f>
        <v>0</v>
      </c>
      <c r="M71" s="109">
        <f t="shared" si="3"/>
        <v>37.164810260417866</v>
      </c>
      <c r="N71" s="47">
        <f>'дод 2'!O112</f>
        <v>0</v>
      </c>
      <c r="O71" s="47">
        <f>'дод 2'!P112</f>
        <v>0</v>
      </c>
      <c r="P71" s="47">
        <f>'дод 2'!Q112</f>
        <v>0</v>
      </c>
      <c r="Q71" s="47">
        <f>'дод 2'!R112</f>
        <v>0</v>
      </c>
      <c r="R71" s="47">
        <f>'дод 2'!S112</f>
        <v>0</v>
      </c>
      <c r="S71" s="47">
        <f>'дод 2'!T112</f>
        <v>0</v>
      </c>
      <c r="T71" s="47">
        <f>'дод 2'!U112</f>
        <v>0</v>
      </c>
      <c r="U71" s="47">
        <f>'дод 2'!V112</f>
        <v>0</v>
      </c>
      <c r="V71" s="47">
        <f>'дод 2'!W112</f>
        <v>0</v>
      </c>
      <c r="W71" s="47">
        <f>'дод 2'!X112</f>
        <v>0</v>
      </c>
      <c r="X71" s="47">
        <f>'дод 2'!Y112</f>
        <v>0</v>
      </c>
      <c r="Y71" s="47">
        <f>'дод 2'!Z112</f>
        <v>0</v>
      </c>
      <c r="Z71" s="109"/>
      <c r="AA71" s="47">
        <f>'дод 2'!AB112</f>
        <v>80846.47</v>
      </c>
      <c r="AB71" s="47">
        <f>'дод 2'!AC112</f>
        <v>217535</v>
      </c>
      <c r="AC71" s="181"/>
    </row>
    <row r="72" spans="1:29" s="64" customFormat="1" ht="26.25" customHeight="1" x14ac:dyDescent="0.25">
      <c r="A72" s="45" t="s">
        <v>217</v>
      </c>
      <c r="B72" s="45" t="s">
        <v>43</v>
      </c>
      <c r="C72" s="32" t="s">
        <v>16</v>
      </c>
      <c r="D72" s="47">
        <f>'дод 2'!E113</f>
        <v>42409750</v>
      </c>
      <c r="E72" s="47">
        <f>'дод 2'!F113</f>
        <v>42409750</v>
      </c>
      <c r="F72" s="47">
        <f>'дод 2'!G113</f>
        <v>0</v>
      </c>
      <c r="G72" s="47">
        <f>'дод 2'!H113</f>
        <v>0</v>
      </c>
      <c r="H72" s="47">
        <f>'дод 2'!I113</f>
        <v>0</v>
      </c>
      <c r="I72" s="47">
        <f>'дод 2'!J113</f>
        <v>8395634.9900000002</v>
      </c>
      <c r="J72" s="47">
        <f>'дод 2'!K113</f>
        <v>0</v>
      </c>
      <c r="K72" s="47">
        <f>'дод 2'!L113</f>
        <v>0</v>
      </c>
      <c r="L72" s="47">
        <f>'дод 2'!M113</f>
        <v>0</v>
      </c>
      <c r="M72" s="109">
        <f t="shared" si="3"/>
        <v>19.796473664664376</v>
      </c>
      <c r="N72" s="47">
        <f>'дод 2'!O113</f>
        <v>0</v>
      </c>
      <c r="O72" s="47">
        <f>'дод 2'!P113</f>
        <v>0</v>
      </c>
      <c r="P72" s="47">
        <f>'дод 2'!Q113</f>
        <v>0</v>
      </c>
      <c r="Q72" s="47">
        <f>'дод 2'!R113</f>
        <v>0</v>
      </c>
      <c r="R72" s="47">
        <f>'дод 2'!S113</f>
        <v>0</v>
      </c>
      <c r="S72" s="47">
        <f>'дод 2'!T113</f>
        <v>0</v>
      </c>
      <c r="T72" s="47">
        <f>'дод 2'!U113</f>
        <v>0</v>
      </c>
      <c r="U72" s="47">
        <f>'дод 2'!V113</f>
        <v>0</v>
      </c>
      <c r="V72" s="47">
        <f>'дод 2'!W113</f>
        <v>0</v>
      </c>
      <c r="W72" s="47">
        <f>'дод 2'!X113</f>
        <v>0</v>
      </c>
      <c r="X72" s="47">
        <f>'дод 2'!Y113</f>
        <v>0</v>
      </c>
      <c r="Y72" s="47">
        <f>'дод 2'!Z113</f>
        <v>0</v>
      </c>
      <c r="Z72" s="109"/>
      <c r="AA72" s="47">
        <f>'дод 2'!AB113</f>
        <v>8395634.9900000002</v>
      </c>
      <c r="AB72" s="47">
        <f>'дод 2'!AC113</f>
        <v>42409750</v>
      </c>
      <c r="AC72" s="181"/>
    </row>
    <row r="73" spans="1:29" s="64" customFormat="1" ht="57" customHeight="1" x14ac:dyDescent="0.25">
      <c r="A73" s="45" t="s">
        <v>218</v>
      </c>
      <c r="B73" s="45" t="s">
        <v>43</v>
      </c>
      <c r="C73" s="25" t="s">
        <v>295</v>
      </c>
      <c r="D73" s="47">
        <f>'дод 2'!E114</f>
        <v>2212100</v>
      </c>
      <c r="E73" s="47">
        <f>'дод 2'!F114</f>
        <v>2212100</v>
      </c>
      <c r="F73" s="47">
        <f>'дод 2'!G114</f>
        <v>0</v>
      </c>
      <c r="G73" s="47">
        <f>'дод 2'!H114</f>
        <v>0</v>
      </c>
      <c r="H73" s="47">
        <f>'дод 2'!I114</f>
        <v>0</v>
      </c>
      <c r="I73" s="47">
        <f>'дод 2'!J114</f>
        <v>164716.47</v>
      </c>
      <c r="J73" s="47">
        <f>'дод 2'!K114</f>
        <v>0</v>
      </c>
      <c r="K73" s="47">
        <f>'дод 2'!L114</f>
        <v>0</v>
      </c>
      <c r="L73" s="47">
        <f>'дод 2'!M114</f>
        <v>0</v>
      </c>
      <c r="M73" s="109">
        <f t="shared" si="3"/>
        <v>7.4461584015189182</v>
      </c>
      <c r="N73" s="47">
        <f>'дод 2'!O114</f>
        <v>0</v>
      </c>
      <c r="O73" s="47">
        <f>'дод 2'!P114</f>
        <v>0</v>
      </c>
      <c r="P73" s="47">
        <f>'дод 2'!Q114</f>
        <v>0</v>
      </c>
      <c r="Q73" s="47">
        <f>'дод 2'!R114</f>
        <v>0</v>
      </c>
      <c r="R73" s="47">
        <f>'дод 2'!S114</f>
        <v>0</v>
      </c>
      <c r="S73" s="47">
        <f>'дод 2'!T114</f>
        <v>0</v>
      </c>
      <c r="T73" s="47">
        <f>'дод 2'!U114</f>
        <v>0</v>
      </c>
      <c r="U73" s="47">
        <f>'дод 2'!V114</f>
        <v>0</v>
      </c>
      <c r="V73" s="47">
        <f>'дод 2'!W114</f>
        <v>0</v>
      </c>
      <c r="W73" s="47">
        <f>'дод 2'!X114</f>
        <v>0</v>
      </c>
      <c r="X73" s="47">
        <f>'дод 2'!Y114</f>
        <v>0</v>
      </c>
      <c r="Y73" s="47">
        <f>'дод 2'!Z114</f>
        <v>0</v>
      </c>
      <c r="Z73" s="109"/>
      <c r="AA73" s="47">
        <f>'дод 2'!AB114</f>
        <v>164716.47</v>
      </c>
      <c r="AB73" s="47">
        <f>'дод 2'!AC114</f>
        <v>2212100</v>
      </c>
      <c r="AC73" s="181"/>
    </row>
    <row r="74" spans="1:29" s="64" customFormat="1" ht="66.75" customHeight="1" x14ac:dyDescent="0.25">
      <c r="A74" s="45">
        <v>3193</v>
      </c>
      <c r="B74" s="45">
        <v>1030</v>
      </c>
      <c r="C74" s="25" t="s">
        <v>478</v>
      </c>
      <c r="D74" s="47">
        <f>'дод 2'!E94+'дод 2'!E115</f>
        <v>5700107</v>
      </c>
      <c r="E74" s="47">
        <f>'дод 2'!F94+'дод 2'!F115</f>
        <v>5700107</v>
      </c>
      <c r="F74" s="47">
        <f>'дод 2'!G94+'дод 2'!G115</f>
        <v>3687825</v>
      </c>
      <c r="G74" s="47">
        <f>'дод 2'!H94+'дод 2'!H115</f>
        <v>0</v>
      </c>
      <c r="H74" s="47">
        <f>'дод 2'!I94+'дод 2'!I115</f>
        <v>0</v>
      </c>
      <c r="I74" s="47">
        <f>'дод 2'!J94+'дод 2'!J115</f>
        <v>589664.53</v>
      </c>
      <c r="J74" s="47">
        <f>'дод 2'!K94+'дод 2'!K115</f>
        <v>410465.11</v>
      </c>
      <c r="K74" s="47">
        <f>'дод 2'!L94+'дод 2'!L115</f>
        <v>0</v>
      </c>
      <c r="L74" s="47">
        <f>'дод 2'!M94+'дод 2'!M115</f>
        <v>0</v>
      </c>
      <c r="M74" s="109">
        <f t="shared" si="3"/>
        <v>10.344797562572071</v>
      </c>
      <c r="N74" s="47">
        <f>'дод 2'!O94+'дод 2'!O115</f>
        <v>0</v>
      </c>
      <c r="O74" s="47">
        <f>'дод 2'!P94+'дод 2'!P115</f>
        <v>0</v>
      </c>
      <c r="P74" s="47">
        <f>'дод 2'!Q94+'дод 2'!Q115</f>
        <v>0</v>
      </c>
      <c r="Q74" s="47">
        <f>'дод 2'!R94+'дод 2'!R115</f>
        <v>0</v>
      </c>
      <c r="R74" s="47">
        <f>'дод 2'!S94+'дод 2'!S115</f>
        <v>0</v>
      </c>
      <c r="S74" s="47">
        <f>'дод 2'!T94+'дод 2'!T115</f>
        <v>0</v>
      </c>
      <c r="T74" s="47">
        <f>'дод 2'!U94+'дод 2'!U115</f>
        <v>0</v>
      </c>
      <c r="U74" s="47">
        <f>'дод 2'!V94+'дод 2'!V115</f>
        <v>0</v>
      </c>
      <c r="V74" s="47">
        <f>'дод 2'!W94+'дод 2'!W115</f>
        <v>0</v>
      </c>
      <c r="W74" s="47">
        <f>'дод 2'!X94+'дод 2'!X115</f>
        <v>0</v>
      </c>
      <c r="X74" s="47">
        <f>'дод 2'!Y94+'дод 2'!Y115</f>
        <v>0</v>
      </c>
      <c r="Y74" s="47">
        <f>'дод 2'!Z94+'дод 2'!Z115</f>
        <v>0</v>
      </c>
      <c r="Z74" s="109"/>
      <c r="AA74" s="47">
        <f>'дод 2'!AB94+'дод 2'!AB115</f>
        <v>589664.53</v>
      </c>
      <c r="AB74" s="47">
        <f>'дод 2'!AC94+'дод 2'!AC115</f>
        <v>5700107</v>
      </c>
      <c r="AC74" s="181"/>
    </row>
    <row r="75" spans="1:29" ht="40.5" customHeight="1" x14ac:dyDescent="0.25">
      <c r="A75" s="45" t="s">
        <v>89</v>
      </c>
      <c r="B75" s="45" t="s">
        <v>46</v>
      </c>
      <c r="C75" s="32" t="s">
        <v>254</v>
      </c>
      <c r="D75" s="47">
        <f>'дод 2'!E116</f>
        <v>117600</v>
      </c>
      <c r="E75" s="47">
        <f>'дод 2'!F116</f>
        <v>117600</v>
      </c>
      <c r="F75" s="47">
        <f>'дод 2'!G116</f>
        <v>0</v>
      </c>
      <c r="G75" s="47">
        <f>'дод 2'!H116</f>
        <v>0</v>
      </c>
      <c r="H75" s="47">
        <f>'дод 2'!I116</f>
        <v>0</v>
      </c>
      <c r="I75" s="47">
        <f>'дод 2'!J116</f>
        <v>19805</v>
      </c>
      <c r="J75" s="47">
        <f>'дод 2'!K116</f>
        <v>0</v>
      </c>
      <c r="K75" s="47">
        <f>'дод 2'!L116</f>
        <v>0</v>
      </c>
      <c r="L75" s="47">
        <f>'дод 2'!M116</f>
        <v>0</v>
      </c>
      <c r="M75" s="109">
        <f t="shared" si="3"/>
        <v>16.840986394557824</v>
      </c>
      <c r="N75" s="47">
        <f>'дод 2'!O116</f>
        <v>0</v>
      </c>
      <c r="O75" s="47">
        <f>'дод 2'!P116</f>
        <v>0</v>
      </c>
      <c r="P75" s="47">
        <f>'дод 2'!Q116</f>
        <v>0</v>
      </c>
      <c r="Q75" s="47">
        <f>'дод 2'!R116</f>
        <v>0</v>
      </c>
      <c r="R75" s="47">
        <f>'дод 2'!S116</f>
        <v>0</v>
      </c>
      <c r="S75" s="47">
        <f>'дод 2'!T116</f>
        <v>0</v>
      </c>
      <c r="T75" s="47">
        <f>'дод 2'!U116</f>
        <v>0</v>
      </c>
      <c r="U75" s="47">
        <f>'дод 2'!V116</f>
        <v>0</v>
      </c>
      <c r="V75" s="47">
        <f>'дод 2'!W116</f>
        <v>0</v>
      </c>
      <c r="W75" s="47">
        <f>'дод 2'!X116</f>
        <v>0</v>
      </c>
      <c r="X75" s="47">
        <f>'дод 2'!Y116</f>
        <v>0</v>
      </c>
      <c r="Y75" s="47">
        <f>'дод 2'!Z116</f>
        <v>0</v>
      </c>
      <c r="Z75" s="109"/>
      <c r="AA75" s="47">
        <f>'дод 2'!AB116</f>
        <v>19805</v>
      </c>
      <c r="AB75" s="47">
        <f>'дод 2'!AC116</f>
        <v>117600</v>
      </c>
      <c r="AC75" s="181"/>
    </row>
    <row r="76" spans="1:29" ht="25.5" customHeight="1" x14ac:dyDescent="0.25">
      <c r="A76" s="45" t="s">
        <v>219</v>
      </c>
      <c r="B76" s="45" t="s">
        <v>90</v>
      </c>
      <c r="C76" s="32" t="s">
        <v>31</v>
      </c>
      <c r="D76" s="47">
        <f>'дод 2'!E139</f>
        <v>50000</v>
      </c>
      <c r="E76" s="47">
        <f>'дод 2'!F139</f>
        <v>50000</v>
      </c>
      <c r="F76" s="47">
        <f>'дод 2'!G139</f>
        <v>0</v>
      </c>
      <c r="G76" s="47">
        <f>'дод 2'!H139</f>
        <v>0</v>
      </c>
      <c r="H76" s="47">
        <f>'дод 2'!I139</f>
        <v>0</v>
      </c>
      <c r="I76" s="47">
        <f>'дод 2'!J139</f>
        <v>0</v>
      </c>
      <c r="J76" s="47">
        <f>'дод 2'!K139</f>
        <v>0</v>
      </c>
      <c r="K76" s="47">
        <f>'дод 2'!L139</f>
        <v>0</v>
      </c>
      <c r="L76" s="47">
        <f>'дод 2'!M139</f>
        <v>0</v>
      </c>
      <c r="M76" s="109">
        <f t="shared" si="3"/>
        <v>0</v>
      </c>
      <c r="N76" s="47">
        <f>'дод 2'!O139</f>
        <v>0</v>
      </c>
      <c r="O76" s="47">
        <f>'дод 2'!P139</f>
        <v>0</v>
      </c>
      <c r="P76" s="47">
        <f>'дод 2'!Q139</f>
        <v>0</v>
      </c>
      <c r="Q76" s="47">
        <f>'дод 2'!R139</f>
        <v>0</v>
      </c>
      <c r="R76" s="47">
        <f>'дод 2'!S139</f>
        <v>0</v>
      </c>
      <c r="S76" s="47">
        <f>'дод 2'!T139</f>
        <v>0</v>
      </c>
      <c r="T76" s="47">
        <f>'дод 2'!U139</f>
        <v>0</v>
      </c>
      <c r="U76" s="47">
        <f>'дод 2'!V139</f>
        <v>0</v>
      </c>
      <c r="V76" s="47">
        <f>'дод 2'!W139</f>
        <v>0</v>
      </c>
      <c r="W76" s="47">
        <f>'дод 2'!X139</f>
        <v>0</v>
      </c>
      <c r="X76" s="47">
        <f>'дод 2'!Y139</f>
        <v>0</v>
      </c>
      <c r="Y76" s="47">
        <f>'дод 2'!Z139</f>
        <v>0</v>
      </c>
      <c r="Z76" s="109"/>
      <c r="AA76" s="47">
        <f>'дод 2'!AB139</f>
        <v>0</v>
      </c>
      <c r="AB76" s="47">
        <f>'дод 2'!AC139</f>
        <v>50000</v>
      </c>
      <c r="AC76" s="181"/>
    </row>
    <row r="77" spans="1:29" s="64" customFormat="1" ht="47.25" x14ac:dyDescent="0.25">
      <c r="A77" s="45" t="s">
        <v>220</v>
      </c>
      <c r="B77" s="45" t="s">
        <v>46</v>
      </c>
      <c r="C77" s="32" t="s">
        <v>382</v>
      </c>
      <c r="D77" s="47">
        <f>'дод 2'!E117</f>
        <v>12863312</v>
      </c>
      <c r="E77" s="47">
        <f>'дод 2'!F117</f>
        <v>11637206</v>
      </c>
      <c r="F77" s="47">
        <f>'дод 2'!G117</f>
        <v>7530460</v>
      </c>
      <c r="G77" s="47">
        <f>'дод 2'!H117</f>
        <v>521800</v>
      </c>
      <c r="H77" s="47">
        <f>'дод 2'!I117</f>
        <v>1226106</v>
      </c>
      <c r="I77" s="47">
        <f>'дод 2'!J117</f>
        <v>1801026.5600000001</v>
      </c>
      <c r="J77" s="47">
        <f>'дод 2'!K117</f>
        <v>1198026.82</v>
      </c>
      <c r="K77" s="47">
        <f>'дод 2'!L117</f>
        <v>159701.14000000001</v>
      </c>
      <c r="L77" s="47">
        <f>'дод 2'!M117</f>
        <v>0</v>
      </c>
      <c r="M77" s="109">
        <f t="shared" si="3"/>
        <v>14.001266236875853</v>
      </c>
      <c r="N77" s="47">
        <f>'дод 2'!O117</f>
        <v>0</v>
      </c>
      <c r="O77" s="47">
        <f>'дод 2'!P117</f>
        <v>0</v>
      </c>
      <c r="P77" s="47">
        <f>'дод 2'!Q117</f>
        <v>0</v>
      </c>
      <c r="Q77" s="47">
        <f>'дод 2'!R117</f>
        <v>0</v>
      </c>
      <c r="R77" s="47">
        <f>'дод 2'!S117</f>
        <v>0</v>
      </c>
      <c r="S77" s="47">
        <f>'дод 2'!T117</f>
        <v>0</v>
      </c>
      <c r="T77" s="47">
        <f>'дод 2'!U117</f>
        <v>0</v>
      </c>
      <c r="U77" s="47">
        <f>'дод 2'!V117</f>
        <v>0</v>
      </c>
      <c r="V77" s="47">
        <f>'дод 2'!W117</f>
        <v>0</v>
      </c>
      <c r="W77" s="47">
        <f>'дод 2'!X117</f>
        <v>0</v>
      </c>
      <c r="X77" s="47">
        <f>'дод 2'!Y117</f>
        <v>0</v>
      </c>
      <c r="Y77" s="47">
        <f>'дод 2'!Z117</f>
        <v>0</v>
      </c>
      <c r="Z77" s="109"/>
      <c r="AA77" s="47">
        <f>'дод 2'!AB117</f>
        <v>1801026.5600000001</v>
      </c>
      <c r="AB77" s="47">
        <f>'дод 2'!AC117</f>
        <v>12863312</v>
      </c>
      <c r="AC77" s="181">
        <v>33</v>
      </c>
    </row>
    <row r="78" spans="1:29" s="64" customFormat="1" ht="31.5" customHeight="1" x14ac:dyDescent="0.25">
      <c r="A78" s="45" t="s">
        <v>221</v>
      </c>
      <c r="B78" s="45" t="s">
        <v>46</v>
      </c>
      <c r="C78" s="32" t="s">
        <v>474</v>
      </c>
      <c r="D78" s="47">
        <f>'дод 2'!E23+'дод 2'!E78+'дод 2'!E118</f>
        <v>131161540</v>
      </c>
      <c r="E78" s="47">
        <f>'дод 2'!F23+'дод 2'!F78+'дод 2'!F118</f>
        <v>131161540</v>
      </c>
      <c r="F78" s="47">
        <f>'дод 2'!G23+'дод 2'!G78+'дод 2'!G118</f>
        <v>0</v>
      </c>
      <c r="G78" s="47">
        <f>'дод 2'!H23+'дод 2'!H78+'дод 2'!H118</f>
        <v>0</v>
      </c>
      <c r="H78" s="47">
        <f>'дод 2'!I23+'дод 2'!I78+'дод 2'!I118</f>
        <v>0</v>
      </c>
      <c r="I78" s="47">
        <f>'дод 2'!J23+'дод 2'!J78+'дод 2'!J118</f>
        <v>48963578.590000004</v>
      </c>
      <c r="J78" s="47">
        <f>'дод 2'!K23+'дод 2'!K78+'дод 2'!K118</f>
        <v>0</v>
      </c>
      <c r="K78" s="47">
        <f>'дод 2'!L23+'дод 2'!L78+'дод 2'!L118</f>
        <v>0</v>
      </c>
      <c r="L78" s="47">
        <f>'дод 2'!M23+'дод 2'!M78+'дод 2'!M118</f>
        <v>0</v>
      </c>
      <c r="M78" s="109">
        <f t="shared" si="3"/>
        <v>37.330743897944473</v>
      </c>
      <c r="N78" s="47">
        <f>'дод 2'!O23+'дод 2'!O78+'дод 2'!O118</f>
        <v>0</v>
      </c>
      <c r="O78" s="47">
        <f>'дод 2'!P23+'дод 2'!P78+'дод 2'!P118</f>
        <v>0</v>
      </c>
      <c r="P78" s="47">
        <f>'дод 2'!Q23+'дод 2'!Q78+'дод 2'!Q118</f>
        <v>0</v>
      </c>
      <c r="Q78" s="47">
        <f>'дод 2'!R23+'дод 2'!R78+'дод 2'!R118</f>
        <v>0</v>
      </c>
      <c r="R78" s="47">
        <f>'дод 2'!S23+'дод 2'!S78+'дод 2'!S118</f>
        <v>0</v>
      </c>
      <c r="S78" s="47">
        <f>'дод 2'!T23+'дод 2'!T78+'дод 2'!T118</f>
        <v>0</v>
      </c>
      <c r="T78" s="47">
        <f>'дод 2'!U23+'дод 2'!U78+'дод 2'!U118</f>
        <v>0</v>
      </c>
      <c r="U78" s="47">
        <f>'дод 2'!V23+'дод 2'!V78+'дод 2'!V118</f>
        <v>0</v>
      </c>
      <c r="V78" s="47">
        <f>'дод 2'!W23+'дод 2'!W78+'дод 2'!W118</f>
        <v>0</v>
      </c>
      <c r="W78" s="47">
        <f>'дод 2'!X23+'дод 2'!X78+'дод 2'!X118</f>
        <v>0</v>
      </c>
      <c r="X78" s="47">
        <f>'дод 2'!Y23+'дод 2'!Y78+'дод 2'!Y118</f>
        <v>0</v>
      </c>
      <c r="Y78" s="47">
        <f>'дод 2'!Z23+'дод 2'!Z78+'дод 2'!Z118</f>
        <v>0</v>
      </c>
      <c r="Z78" s="109"/>
      <c r="AA78" s="47">
        <f>'дод 2'!AB23+'дод 2'!AB78+'дод 2'!AB118</f>
        <v>48963578.590000004</v>
      </c>
      <c r="AB78" s="47">
        <f>'дод 2'!AC23+'дод 2'!AC78+'дод 2'!AC118</f>
        <v>131161540</v>
      </c>
      <c r="AC78" s="181"/>
    </row>
    <row r="79" spans="1:29" s="63" customFormat="1" ht="21.75" customHeight="1" x14ac:dyDescent="0.25">
      <c r="A79" s="48" t="s">
        <v>60</v>
      </c>
      <c r="B79" s="52"/>
      <c r="C79" s="53" t="s">
        <v>61</v>
      </c>
      <c r="D79" s="44">
        <f>D80+D81+D82+D83</f>
        <v>42156120</v>
      </c>
      <c r="E79" s="44">
        <f t="shared" ref="E79:AA79" si="14">E80+E81+E82+E83</f>
        <v>42086120</v>
      </c>
      <c r="F79" s="44">
        <f t="shared" si="14"/>
        <v>29062300</v>
      </c>
      <c r="G79" s="44">
        <f t="shared" si="14"/>
        <v>3862460</v>
      </c>
      <c r="H79" s="44">
        <f t="shared" si="14"/>
        <v>70000</v>
      </c>
      <c r="I79" s="44">
        <f t="shared" si="14"/>
        <v>9295001.0299999993</v>
      </c>
      <c r="J79" s="44">
        <f t="shared" si="14"/>
        <v>6262246.6600000001</v>
      </c>
      <c r="K79" s="44">
        <f t="shared" si="14"/>
        <v>1418669.42</v>
      </c>
      <c r="L79" s="44">
        <f t="shared" ref="L79" si="15">L80+L81+L82+L83</f>
        <v>58100</v>
      </c>
      <c r="M79" s="108">
        <f t="shared" ref="M79:M142" si="16">I79/D79*100</f>
        <v>22.048995566954453</v>
      </c>
      <c r="N79" s="44">
        <f t="shared" si="14"/>
        <v>7700</v>
      </c>
      <c r="O79" s="44">
        <f t="shared" si="14"/>
        <v>0</v>
      </c>
      <c r="P79" s="44">
        <f t="shared" si="14"/>
        <v>7700</v>
      </c>
      <c r="Q79" s="44">
        <f t="shared" si="14"/>
        <v>0</v>
      </c>
      <c r="R79" s="44">
        <f t="shared" si="14"/>
        <v>0</v>
      </c>
      <c r="S79" s="44">
        <f t="shared" si="14"/>
        <v>0</v>
      </c>
      <c r="T79" s="44">
        <f t="shared" si="14"/>
        <v>98499.71</v>
      </c>
      <c r="U79" s="44">
        <f t="shared" si="14"/>
        <v>0</v>
      </c>
      <c r="V79" s="44">
        <f t="shared" si="14"/>
        <v>100.14</v>
      </c>
      <c r="W79" s="44">
        <f t="shared" si="14"/>
        <v>0</v>
      </c>
      <c r="X79" s="44">
        <f t="shared" si="14"/>
        <v>0</v>
      </c>
      <c r="Y79" s="44">
        <f t="shared" si="14"/>
        <v>98399.57</v>
      </c>
      <c r="Z79" s="108" t="s">
        <v>515</v>
      </c>
      <c r="AA79" s="44">
        <f t="shared" si="14"/>
        <v>9393500.7400000002</v>
      </c>
      <c r="AB79" s="44">
        <f t="shared" ref="AB79" si="17">AB80+AB81+AB82+AB83</f>
        <v>42163820</v>
      </c>
      <c r="AC79" s="181"/>
    </row>
    <row r="80" spans="1:29" ht="22.5" customHeight="1" x14ac:dyDescent="0.25">
      <c r="A80" s="45" t="s">
        <v>62</v>
      </c>
      <c r="B80" s="45" t="s">
        <v>63</v>
      </c>
      <c r="C80" s="32" t="s">
        <v>13</v>
      </c>
      <c r="D80" s="47">
        <f>'дод 2'!E129</f>
        <v>28771850</v>
      </c>
      <c r="E80" s="47">
        <f>'дод 2'!F129</f>
        <v>28771850</v>
      </c>
      <c r="F80" s="47">
        <f>'дод 2'!G129</f>
        <v>20115000</v>
      </c>
      <c r="G80" s="47">
        <f>'дод 2'!H129</f>
        <v>3138350</v>
      </c>
      <c r="H80" s="47">
        <f>'дод 2'!I129</f>
        <v>0</v>
      </c>
      <c r="I80" s="47">
        <f>'дод 2'!J129</f>
        <v>6654804.2199999997</v>
      </c>
      <c r="J80" s="47">
        <f>'дод 2'!K129</f>
        <v>4370296.9000000004</v>
      </c>
      <c r="K80" s="47">
        <f>'дод 2'!L129</f>
        <v>1229541.8799999999</v>
      </c>
      <c r="L80" s="47">
        <f>'дод 2'!M129</f>
        <v>0</v>
      </c>
      <c r="M80" s="109">
        <f t="shared" si="16"/>
        <v>23.129566642395258</v>
      </c>
      <c r="N80" s="47">
        <f>'дод 2'!O129</f>
        <v>7700</v>
      </c>
      <c r="O80" s="47">
        <f>'дод 2'!P129</f>
        <v>0</v>
      </c>
      <c r="P80" s="47">
        <f>'дод 2'!Q129</f>
        <v>7700</v>
      </c>
      <c r="Q80" s="47">
        <f>'дод 2'!R129</f>
        <v>0</v>
      </c>
      <c r="R80" s="47">
        <f>'дод 2'!S129</f>
        <v>0</v>
      </c>
      <c r="S80" s="47">
        <f>'дод 2'!T129</f>
        <v>0</v>
      </c>
      <c r="T80" s="47">
        <f>'дод 2'!U129</f>
        <v>98499.71</v>
      </c>
      <c r="U80" s="47">
        <f>'дод 2'!V129</f>
        <v>0</v>
      </c>
      <c r="V80" s="47">
        <f>'дод 2'!W129</f>
        <v>100.14</v>
      </c>
      <c r="W80" s="47">
        <f>'дод 2'!X129</f>
        <v>0</v>
      </c>
      <c r="X80" s="47">
        <f>'дод 2'!Y129</f>
        <v>0</v>
      </c>
      <c r="Y80" s="47">
        <f>'дод 2'!Z129</f>
        <v>98399.57</v>
      </c>
      <c r="Z80" s="109" t="s">
        <v>515</v>
      </c>
      <c r="AA80" s="47">
        <f>'дод 2'!AB129</f>
        <v>6753303.9299999997</v>
      </c>
      <c r="AB80" s="47">
        <f>'дод 2'!AC129</f>
        <v>28779550</v>
      </c>
      <c r="AC80" s="181"/>
    </row>
    <row r="81" spans="1:29" ht="33.75" customHeight="1" x14ac:dyDescent="0.25">
      <c r="A81" s="45" t="s">
        <v>237</v>
      </c>
      <c r="B81" s="45" t="s">
        <v>238</v>
      </c>
      <c r="C81" s="32" t="s">
        <v>239</v>
      </c>
      <c r="D81" s="47">
        <f>'дод 2'!E130</f>
        <v>5542210</v>
      </c>
      <c r="E81" s="47">
        <f>'дод 2'!F130</f>
        <v>5542210</v>
      </c>
      <c r="F81" s="47">
        <f>'дод 2'!G130</f>
        <v>3804000</v>
      </c>
      <c r="G81" s="47">
        <f>'дод 2'!H130</f>
        <v>323510</v>
      </c>
      <c r="H81" s="47">
        <f>'дод 2'!I130</f>
        <v>0</v>
      </c>
      <c r="I81" s="47">
        <f>'дод 2'!J130</f>
        <v>953551.98</v>
      </c>
      <c r="J81" s="47">
        <f>'дод 2'!K130</f>
        <v>735407.87</v>
      </c>
      <c r="K81" s="47">
        <f>'дод 2'!L130</f>
        <v>44095.1</v>
      </c>
      <c r="L81" s="47">
        <f>'дод 2'!M130</f>
        <v>0</v>
      </c>
      <c r="M81" s="109">
        <f t="shared" si="16"/>
        <v>17.205266130298202</v>
      </c>
      <c r="N81" s="47">
        <f>'дод 2'!O130</f>
        <v>0</v>
      </c>
      <c r="O81" s="47">
        <f>'дод 2'!P130</f>
        <v>0</v>
      </c>
      <c r="P81" s="47">
        <f>'дод 2'!Q130</f>
        <v>0</v>
      </c>
      <c r="Q81" s="47">
        <f>'дод 2'!R130</f>
        <v>0</v>
      </c>
      <c r="R81" s="47">
        <f>'дод 2'!S130</f>
        <v>0</v>
      </c>
      <c r="S81" s="47">
        <f>'дод 2'!T130</f>
        <v>0</v>
      </c>
      <c r="T81" s="47">
        <f>'дод 2'!U130</f>
        <v>0</v>
      </c>
      <c r="U81" s="47">
        <f>'дод 2'!V130</f>
        <v>0</v>
      </c>
      <c r="V81" s="47">
        <f>'дод 2'!W130</f>
        <v>0</v>
      </c>
      <c r="W81" s="47">
        <f>'дод 2'!X130</f>
        <v>0</v>
      </c>
      <c r="X81" s="47">
        <f>'дод 2'!Y130</f>
        <v>0</v>
      </c>
      <c r="Y81" s="47">
        <f>'дод 2'!Z130</f>
        <v>0</v>
      </c>
      <c r="Z81" s="109"/>
      <c r="AA81" s="47">
        <f>'дод 2'!AB130</f>
        <v>953551.98</v>
      </c>
      <c r="AB81" s="47">
        <f>'дод 2'!AC130</f>
        <v>5542210</v>
      </c>
      <c r="AC81" s="181"/>
    </row>
    <row r="82" spans="1:29" s="64" customFormat="1" ht="33.75" customHeight="1" x14ac:dyDescent="0.25">
      <c r="A82" s="45" t="s">
        <v>222</v>
      </c>
      <c r="B82" s="45" t="s">
        <v>64</v>
      </c>
      <c r="C82" s="32" t="s">
        <v>255</v>
      </c>
      <c r="D82" s="47">
        <f>'дод 2'!E24+'дод 2'!E131</f>
        <v>7442060</v>
      </c>
      <c r="E82" s="47">
        <f>'дод 2'!F24+'дод 2'!F131</f>
        <v>7372060</v>
      </c>
      <c r="F82" s="47">
        <f>'дод 2'!G24+'дод 2'!G131</f>
        <v>5143300</v>
      </c>
      <c r="G82" s="47">
        <f>'дод 2'!H24+'дод 2'!H131</f>
        <v>400600</v>
      </c>
      <c r="H82" s="47">
        <f>'дод 2'!I24+'дод 2'!I131</f>
        <v>70000</v>
      </c>
      <c r="I82" s="47">
        <f>'дод 2'!J24+'дод 2'!J131</f>
        <v>1642666.83</v>
      </c>
      <c r="J82" s="47">
        <f>'дод 2'!K24+'дод 2'!K131</f>
        <v>1156541.8899999999</v>
      </c>
      <c r="K82" s="47">
        <f>'дод 2'!L24+'дод 2'!L131</f>
        <v>145032.44</v>
      </c>
      <c r="L82" s="47">
        <f>'дод 2'!M24+'дод 2'!M131</f>
        <v>58100</v>
      </c>
      <c r="M82" s="109">
        <f t="shared" si="16"/>
        <v>22.072743702684473</v>
      </c>
      <c r="N82" s="47">
        <f>'дод 2'!O24+'дод 2'!O131</f>
        <v>0</v>
      </c>
      <c r="O82" s="47">
        <f>'дод 2'!P24+'дод 2'!P131</f>
        <v>0</v>
      </c>
      <c r="P82" s="47">
        <f>'дод 2'!Q24+'дод 2'!Q131</f>
        <v>0</v>
      </c>
      <c r="Q82" s="47">
        <f>'дод 2'!R24+'дод 2'!R131</f>
        <v>0</v>
      </c>
      <c r="R82" s="47">
        <f>'дод 2'!S24+'дод 2'!S131</f>
        <v>0</v>
      </c>
      <c r="S82" s="47">
        <f>'дод 2'!T24+'дод 2'!T131</f>
        <v>0</v>
      </c>
      <c r="T82" s="47">
        <f>'дод 2'!U24+'дод 2'!U131</f>
        <v>0</v>
      </c>
      <c r="U82" s="47">
        <f>'дод 2'!V24+'дод 2'!V131</f>
        <v>0</v>
      </c>
      <c r="V82" s="47">
        <f>'дод 2'!W24+'дод 2'!W131</f>
        <v>0</v>
      </c>
      <c r="W82" s="47">
        <f>'дод 2'!X24+'дод 2'!X131</f>
        <v>0</v>
      </c>
      <c r="X82" s="47">
        <f>'дод 2'!Y24+'дод 2'!Y131</f>
        <v>0</v>
      </c>
      <c r="Y82" s="47">
        <f>'дод 2'!Z24+'дод 2'!Z131</f>
        <v>0</v>
      </c>
      <c r="Z82" s="109"/>
      <c r="AA82" s="47">
        <f>'дод 2'!AB24+'дод 2'!AB131</f>
        <v>1642666.83</v>
      </c>
      <c r="AB82" s="47">
        <f>'дод 2'!AC24+'дод 2'!AC131</f>
        <v>7442060</v>
      </c>
      <c r="AC82" s="181"/>
    </row>
    <row r="83" spans="1:29" s="64" customFormat="1" ht="22.5" customHeight="1" x14ac:dyDescent="0.25">
      <c r="A83" s="45" t="s">
        <v>223</v>
      </c>
      <c r="B83" s="45" t="s">
        <v>64</v>
      </c>
      <c r="C83" s="32" t="s">
        <v>224</v>
      </c>
      <c r="D83" s="47">
        <f>'дод 2'!E132</f>
        <v>400000</v>
      </c>
      <c r="E83" s="47">
        <f>'дод 2'!F132</f>
        <v>400000</v>
      </c>
      <c r="F83" s="47">
        <f>'дод 2'!G132</f>
        <v>0</v>
      </c>
      <c r="G83" s="47">
        <f>'дод 2'!H132</f>
        <v>0</v>
      </c>
      <c r="H83" s="47">
        <f>'дод 2'!I132</f>
        <v>0</v>
      </c>
      <c r="I83" s="47">
        <f>'дод 2'!J132</f>
        <v>43978</v>
      </c>
      <c r="J83" s="47">
        <f>'дод 2'!K132</f>
        <v>0</v>
      </c>
      <c r="K83" s="47">
        <f>'дод 2'!L132</f>
        <v>0</v>
      </c>
      <c r="L83" s="47">
        <f>'дод 2'!M132</f>
        <v>0</v>
      </c>
      <c r="M83" s="109">
        <f t="shared" si="16"/>
        <v>10.9945</v>
      </c>
      <c r="N83" s="47">
        <f>'дод 2'!O132</f>
        <v>0</v>
      </c>
      <c r="O83" s="47">
        <f>'дод 2'!P132</f>
        <v>0</v>
      </c>
      <c r="P83" s="47">
        <f>'дод 2'!Q132</f>
        <v>0</v>
      </c>
      <c r="Q83" s="47">
        <f>'дод 2'!R132</f>
        <v>0</v>
      </c>
      <c r="R83" s="47">
        <f>'дод 2'!S132</f>
        <v>0</v>
      </c>
      <c r="S83" s="47">
        <f>'дод 2'!T132</f>
        <v>0</v>
      </c>
      <c r="T83" s="47">
        <f>'дод 2'!U132</f>
        <v>0</v>
      </c>
      <c r="U83" s="47">
        <f>'дод 2'!V132</f>
        <v>0</v>
      </c>
      <c r="V83" s="47">
        <f>'дод 2'!W132</f>
        <v>0</v>
      </c>
      <c r="W83" s="47">
        <f>'дод 2'!X132</f>
        <v>0</v>
      </c>
      <c r="X83" s="47">
        <f>'дод 2'!Y132</f>
        <v>0</v>
      </c>
      <c r="Y83" s="47">
        <f>'дод 2'!Z132</f>
        <v>0</v>
      </c>
      <c r="Z83" s="109"/>
      <c r="AA83" s="47">
        <f>'дод 2'!AB132</f>
        <v>43978</v>
      </c>
      <c r="AB83" s="47">
        <f>'дод 2'!AC132</f>
        <v>400000</v>
      </c>
      <c r="AC83" s="181"/>
    </row>
    <row r="84" spans="1:29" s="63" customFormat="1" ht="23.25" customHeight="1" x14ac:dyDescent="0.25">
      <c r="A84" s="48" t="s">
        <v>65</v>
      </c>
      <c r="B84" s="52"/>
      <c r="C84" s="53" t="s">
        <v>305</v>
      </c>
      <c r="D84" s="44">
        <f>D85+D86+D88+D89+D90+D91+D87</f>
        <v>95362526</v>
      </c>
      <c r="E84" s="44">
        <f t="shared" ref="E84:AA84" si="18">E85+E86+E88+E89+E90+E91+E87</f>
        <v>95362526</v>
      </c>
      <c r="F84" s="44">
        <f t="shared" si="18"/>
        <v>37187000</v>
      </c>
      <c r="G84" s="44">
        <f t="shared" si="18"/>
        <v>3409210</v>
      </c>
      <c r="H84" s="44">
        <f t="shared" si="18"/>
        <v>0</v>
      </c>
      <c r="I84" s="44">
        <f t="shared" si="18"/>
        <v>21269904.409999996</v>
      </c>
      <c r="J84" s="44">
        <f t="shared" si="18"/>
        <v>8677065.9199999999</v>
      </c>
      <c r="K84" s="44">
        <f t="shared" si="18"/>
        <v>1111881.3800000001</v>
      </c>
      <c r="L84" s="44">
        <f t="shared" ref="L84" si="19">L85+L86+L88+L89+L90+L91+L87</f>
        <v>0</v>
      </c>
      <c r="M84" s="108">
        <f t="shared" si="16"/>
        <v>22.304258603636399</v>
      </c>
      <c r="N84" s="44">
        <f t="shared" si="18"/>
        <v>615600</v>
      </c>
      <c r="O84" s="44">
        <f t="shared" si="18"/>
        <v>0</v>
      </c>
      <c r="P84" s="44">
        <f t="shared" si="18"/>
        <v>615600</v>
      </c>
      <c r="Q84" s="44">
        <f t="shared" si="18"/>
        <v>371472</v>
      </c>
      <c r="R84" s="44">
        <f t="shared" si="18"/>
        <v>48438</v>
      </c>
      <c r="S84" s="44">
        <f t="shared" si="18"/>
        <v>0</v>
      </c>
      <c r="T84" s="44">
        <f t="shared" si="18"/>
        <v>155126.20000000001</v>
      </c>
      <c r="U84" s="44">
        <f t="shared" si="18"/>
        <v>0</v>
      </c>
      <c r="V84" s="44">
        <f t="shared" si="18"/>
        <v>155126.20000000001</v>
      </c>
      <c r="W84" s="44">
        <f t="shared" si="18"/>
        <v>96912.36</v>
      </c>
      <c r="X84" s="44">
        <f t="shared" si="18"/>
        <v>1171.58</v>
      </c>
      <c r="Y84" s="44">
        <f t="shared" si="18"/>
        <v>0</v>
      </c>
      <c r="Z84" s="108">
        <f t="shared" ref="Z84:Z137" si="20">T84/N84*100</f>
        <v>25.199187784275505</v>
      </c>
      <c r="AA84" s="44">
        <f t="shared" si="18"/>
        <v>21425030.609999999</v>
      </c>
      <c r="AB84" s="44">
        <f t="shared" ref="AB84" si="21">AB85+AB86+AB88+AB89+AB90+AB91+AB87</f>
        <v>95978126</v>
      </c>
      <c r="AC84" s="181"/>
    </row>
    <row r="85" spans="1:29" s="64" customFormat="1" ht="37.5" customHeight="1" x14ac:dyDescent="0.25">
      <c r="A85" s="45" t="s">
        <v>66</v>
      </c>
      <c r="B85" s="45" t="s">
        <v>67</v>
      </c>
      <c r="C85" s="32" t="s">
        <v>18</v>
      </c>
      <c r="D85" s="47">
        <f>'дод 2'!E25</f>
        <v>1264000</v>
      </c>
      <c r="E85" s="47">
        <f>'дод 2'!F25</f>
        <v>1264000</v>
      </c>
      <c r="F85" s="47">
        <f>'дод 2'!G25</f>
        <v>0</v>
      </c>
      <c r="G85" s="47">
        <f>'дод 2'!H25</f>
        <v>0</v>
      </c>
      <c r="H85" s="47">
        <f>'дод 2'!I25</f>
        <v>0</v>
      </c>
      <c r="I85" s="47">
        <f>'дод 2'!J25</f>
        <v>115528.8</v>
      </c>
      <c r="J85" s="47">
        <f>'дод 2'!K25</f>
        <v>0</v>
      </c>
      <c r="K85" s="47">
        <f>'дод 2'!L25</f>
        <v>0</v>
      </c>
      <c r="L85" s="47">
        <f>'дод 2'!M25</f>
        <v>0</v>
      </c>
      <c r="M85" s="109">
        <f t="shared" si="16"/>
        <v>9.1399367088607608</v>
      </c>
      <c r="N85" s="47">
        <f>'дод 2'!O25</f>
        <v>0</v>
      </c>
      <c r="O85" s="47">
        <f>'дод 2'!P25</f>
        <v>0</v>
      </c>
      <c r="P85" s="47">
        <f>'дод 2'!Q25</f>
        <v>0</v>
      </c>
      <c r="Q85" s="47">
        <f>'дод 2'!R25</f>
        <v>0</v>
      </c>
      <c r="R85" s="47">
        <f>'дод 2'!S25</f>
        <v>0</v>
      </c>
      <c r="S85" s="47">
        <f>'дод 2'!T25</f>
        <v>0</v>
      </c>
      <c r="T85" s="47">
        <f>'дод 2'!U25</f>
        <v>0</v>
      </c>
      <c r="U85" s="47">
        <f>'дод 2'!V25</f>
        <v>0</v>
      </c>
      <c r="V85" s="47">
        <f>'дод 2'!W25</f>
        <v>0</v>
      </c>
      <c r="W85" s="47">
        <f>'дод 2'!X25</f>
        <v>0</v>
      </c>
      <c r="X85" s="47">
        <f>'дод 2'!Y25</f>
        <v>0</v>
      </c>
      <c r="Y85" s="47">
        <f>'дод 2'!Z25</f>
        <v>0</v>
      </c>
      <c r="Z85" s="109"/>
      <c r="AA85" s="47">
        <f>'дод 2'!AB25</f>
        <v>115528.8</v>
      </c>
      <c r="AB85" s="47">
        <f>'дод 2'!AC25</f>
        <v>1264000</v>
      </c>
      <c r="AC85" s="181"/>
    </row>
    <row r="86" spans="1:29" s="64" customFormat="1" ht="34.5" customHeight="1" x14ac:dyDescent="0.25">
      <c r="A86" s="45" t="s">
        <v>68</v>
      </c>
      <c r="B86" s="45" t="s">
        <v>67</v>
      </c>
      <c r="C86" s="32" t="s">
        <v>14</v>
      </c>
      <c r="D86" s="47">
        <f>'дод 2'!E26</f>
        <v>1264000</v>
      </c>
      <c r="E86" s="47">
        <f>'дод 2'!F26</f>
        <v>1264000</v>
      </c>
      <c r="F86" s="47">
        <f>'дод 2'!G26</f>
        <v>0</v>
      </c>
      <c r="G86" s="47">
        <f>'дод 2'!H26</f>
        <v>0</v>
      </c>
      <c r="H86" s="47">
        <f>'дод 2'!I26</f>
        <v>0</v>
      </c>
      <c r="I86" s="47">
        <f>'дод 2'!J26</f>
        <v>122255.13</v>
      </c>
      <c r="J86" s="47">
        <f>'дод 2'!K26</f>
        <v>0</v>
      </c>
      <c r="K86" s="47">
        <f>'дод 2'!L26</f>
        <v>0</v>
      </c>
      <c r="L86" s="47">
        <f>'дод 2'!M26</f>
        <v>0</v>
      </c>
      <c r="M86" s="109">
        <f t="shared" si="16"/>
        <v>9.6720830696202533</v>
      </c>
      <c r="N86" s="47">
        <f>'дод 2'!O26</f>
        <v>0</v>
      </c>
      <c r="O86" s="47">
        <f>'дод 2'!P26</f>
        <v>0</v>
      </c>
      <c r="P86" s="47">
        <f>'дод 2'!Q26</f>
        <v>0</v>
      </c>
      <c r="Q86" s="47">
        <f>'дод 2'!R26</f>
        <v>0</v>
      </c>
      <c r="R86" s="47">
        <f>'дод 2'!S26</f>
        <v>0</v>
      </c>
      <c r="S86" s="47">
        <f>'дод 2'!T26</f>
        <v>0</v>
      </c>
      <c r="T86" s="47">
        <f>'дод 2'!U26</f>
        <v>0</v>
      </c>
      <c r="U86" s="47">
        <f>'дод 2'!V26</f>
        <v>0</v>
      </c>
      <c r="V86" s="47">
        <f>'дод 2'!W26</f>
        <v>0</v>
      </c>
      <c r="W86" s="47">
        <f>'дод 2'!X26</f>
        <v>0</v>
      </c>
      <c r="X86" s="47">
        <f>'дод 2'!Y26</f>
        <v>0</v>
      </c>
      <c r="Y86" s="47">
        <f>'дод 2'!Z26</f>
        <v>0</v>
      </c>
      <c r="Z86" s="109"/>
      <c r="AA86" s="47">
        <f>'дод 2'!AB26</f>
        <v>122255.13</v>
      </c>
      <c r="AB86" s="47">
        <f>'дод 2'!AC26</f>
        <v>1264000</v>
      </c>
      <c r="AC86" s="181"/>
    </row>
    <row r="87" spans="1:29" s="64" customFormat="1" ht="34.5" customHeight="1" x14ac:dyDescent="0.25">
      <c r="A87" s="45">
        <v>5022</v>
      </c>
      <c r="B87" s="45" t="s">
        <v>67</v>
      </c>
      <c r="C87" s="32" t="s">
        <v>395</v>
      </c>
      <c r="D87" s="47">
        <f>'дод 2'!E27</f>
        <v>300000</v>
      </c>
      <c r="E87" s="47">
        <f>'дод 2'!F27</f>
        <v>300000</v>
      </c>
      <c r="F87" s="47">
        <f>'дод 2'!G27</f>
        <v>0</v>
      </c>
      <c r="G87" s="47">
        <f>'дод 2'!H27</f>
        <v>0</v>
      </c>
      <c r="H87" s="47">
        <f>'дод 2'!I27</f>
        <v>0</v>
      </c>
      <c r="I87" s="47">
        <f>'дод 2'!J27</f>
        <v>0</v>
      </c>
      <c r="J87" s="47">
        <f>'дод 2'!K27</f>
        <v>0</v>
      </c>
      <c r="K87" s="47">
        <f>'дод 2'!L27</f>
        <v>0</v>
      </c>
      <c r="L87" s="47">
        <f>'дод 2'!M27</f>
        <v>0</v>
      </c>
      <c r="M87" s="109">
        <f t="shared" si="16"/>
        <v>0</v>
      </c>
      <c r="N87" s="47">
        <f>'дод 2'!O27</f>
        <v>0</v>
      </c>
      <c r="O87" s="47">
        <f>'дод 2'!P27</f>
        <v>0</v>
      </c>
      <c r="P87" s="47">
        <f>'дод 2'!Q27</f>
        <v>0</v>
      </c>
      <c r="Q87" s="47">
        <f>'дод 2'!R27</f>
        <v>0</v>
      </c>
      <c r="R87" s="47">
        <f>'дод 2'!S27</f>
        <v>0</v>
      </c>
      <c r="S87" s="47">
        <f>'дод 2'!T27</f>
        <v>0</v>
      </c>
      <c r="T87" s="47">
        <f>'дод 2'!U27</f>
        <v>0</v>
      </c>
      <c r="U87" s="47">
        <f>'дод 2'!V27</f>
        <v>0</v>
      </c>
      <c r="V87" s="47">
        <f>'дод 2'!W27</f>
        <v>0</v>
      </c>
      <c r="W87" s="47">
        <f>'дод 2'!X27</f>
        <v>0</v>
      </c>
      <c r="X87" s="47">
        <f>'дод 2'!Y27</f>
        <v>0</v>
      </c>
      <c r="Y87" s="47">
        <f>'дод 2'!Z27</f>
        <v>0</v>
      </c>
      <c r="Z87" s="109"/>
      <c r="AA87" s="47">
        <f>'дод 2'!AB27</f>
        <v>0</v>
      </c>
      <c r="AB87" s="47">
        <f>'дод 2'!AC27</f>
        <v>300000</v>
      </c>
      <c r="AC87" s="181"/>
    </row>
    <row r="88" spans="1:29" s="64" customFormat="1" ht="47.25" x14ac:dyDescent="0.25">
      <c r="A88" s="45" t="s">
        <v>97</v>
      </c>
      <c r="B88" s="45" t="s">
        <v>67</v>
      </c>
      <c r="C88" s="32" t="s">
        <v>369</v>
      </c>
      <c r="D88" s="47">
        <f>'дод 2'!E28+'дод 2'!E79</f>
        <v>43713300</v>
      </c>
      <c r="E88" s="47">
        <f>'дод 2'!F28+'дод 2'!F79</f>
        <v>43713300</v>
      </c>
      <c r="F88" s="47">
        <f>'дод 2'!G28+'дод 2'!G79</f>
        <v>31573000</v>
      </c>
      <c r="G88" s="47">
        <f>'дод 2'!H28+'дод 2'!H79</f>
        <v>2441410</v>
      </c>
      <c r="H88" s="47">
        <f>'дод 2'!I28+'дод 2'!I79</f>
        <v>0</v>
      </c>
      <c r="I88" s="47">
        <f>'дод 2'!J28+'дод 2'!J79</f>
        <v>10124127.789999999</v>
      </c>
      <c r="J88" s="47">
        <f>'дод 2'!K28+'дод 2'!K79</f>
        <v>7361050.1900000004</v>
      </c>
      <c r="K88" s="47">
        <f>'дод 2'!L28+'дод 2'!L79</f>
        <v>816998.3</v>
      </c>
      <c r="L88" s="47">
        <f>'дод 2'!M28+'дод 2'!M79</f>
        <v>0</v>
      </c>
      <c r="M88" s="109">
        <f t="shared" si="16"/>
        <v>23.160291696119941</v>
      </c>
      <c r="N88" s="47">
        <f>'дод 2'!O28+'дод 2'!O79</f>
        <v>0</v>
      </c>
      <c r="O88" s="47">
        <f>'дод 2'!P28+'дод 2'!P79</f>
        <v>0</v>
      </c>
      <c r="P88" s="47">
        <f>'дод 2'!Q28+'дод 2'!Q79</f>
        <v>0</v>
      </c>
      <c r="Q88" s="47">
        <f>'дод 2'!R28+'дод 2'!R79</f>
        <v>0</v>
      </c>
      <c r="R88" s="47">
        <f>'дод 2'!S28+'дод 2'!S79</f>
        <v>0</v>
      </c>
      <c r="S88" s="47">
        <f>'дод 2'!T28+'дод 2'!T79</f>
        <v>0</v>
      </c>
      <c r="T88" s="47">
        <f>'дод 2'!U28+'дод 2'!U79</f>
        <v>0</v>
      </c>
      <c r="U88" s="47">
        <f>'дод 2'!V28+'дод 2'!V79</f>
        <v>0</v>
      </c>
      <c r="V88" s="47">
        <f>'дод 2'!W28+'дод 2'!W79</f>
        <v>0</v>
      </c>
      <c r="W88" s="47">
        <f>'дод 2'!X28+'дод 2'!X79</f>
        <v>0</v>
      </c>
      <c r="X88" s="47">
        <f>'дод 2'!Y28+'дод 2'!Y79</f>
        <v>0</v>
      </c>
      <c r="Y88" s="47">
        <f>'дод 2'!Z28+'дод 2'!Z79</f>
        <v>0</v>
      </c>
      <c r="Z88" s="109"/>
      <c r="AA88" s="47">
        <f>'дод 2'!AB28+'дод 2'!AB79</f>
        <v>10124127.789999999</v>
      </c>
      <c r="AB88" s="47">
        <f>'дод 2'!AC28+'дод 2'!AC79</f>
        <v>43713300</v>
      </c>
      <c r="AC88" s="181"/>
    </row>
    <row r="89" spans="1:29" s="64" customFormat="1" ht="38.25" customHeight="1" x14ac:dyDescent="0.25">
      <c r="A89" s="45" t="s">
        <v>98</v>
      </c>
      <c r="B89" s="45" t="s">
        <v>67</v>
      </c>
      <c r="C89" s="32" t="s">
        <v>19</v>
      </c>
      <c r="D89" s="47">
        <f>'дод 2'!E29</f>
        <v>22028100</v>
      </c>
      <c r="E89" s="47">
        <f>'дод 2'!F29</f>
        <v>22028100</v>
      </c>
      <c r="F89" s="47">
        <f>'дод 2'!G29</f>
        <v>0</v>
      </c>
      <c r="G89" s="47">
        <f>'дод 2'!H29</f>
        <v>0</v>
      </c>
      <c r="H89" s="47">
        <f>'дод 2'!I29</f>
        <v>0</v>
      </c>
      <c r="I89" s="47">
        <f>'дод 2'!J29</f>
        <v>5046731.88</v>
      </c>
      <c r="J89" s="47">
        <f>'дод 2'!K29</f>
        <v>0</v>
      </c>
      <c r="K89" s="47">
        <f>'дод 2'!L29</f>
        <v>0</v>
      </c>
      <c r="L89" s="47">
        <f>'дод 2'!M29</f>
        <v>0</v>
      </c>
      <c r="M89" s="109">
        <f t="shared" si="16"/>
        <v>22.910427499421193</v>
      </c>
      <c r="N89" s="47">
        <f>'дод 2'!O29</f>
        <v>0</v>
      </c>
      <c r="O89" s="47">
        <f>'дод 2'!P29</f>
        <v>0</v>
      </c>
      <c r="P89" s="47">
        <f>'дод 2'!Q29</f>
        <v>0</v>
      </c>
      <c r="Q89" s="47">
        <f>'дод 2'!R29</f>
        <v>0</v>
      </c>
      <c r="R89" s="47">
        <f>'дод 2'!S29</f>
        <v>0</v>
      </c>
      <c r="S89" s="47">
        <f>'дод 2'!T29</f>
        <v>0</v>
      </c>
      <c r="T89" s="47">
        <f>'дод 2'!U29</f>
        <v>0</v>
      </c>
      <c r="U89" s="47">
        <f>'дод 2'!V29</f>
        <v>0</v>
      </c>
      <c r="V89" s="47">
        <f>'дод 2'!W29</f>
        <v>0</v>
      </c>
      <c r="W89" s="47">
        <f>'дод 2'!X29</f>
        <v>0</v>
      </c>
      <c r="X89" s="47">
        <f>'дод 2'!Y29</f>
        <v>0</v>
      </c>
      <c r="Y89" s="47">
        <f>'дод 2'!Z29</f>
        <v>0</v>
      </c>
      <c r="Z89" s="109"/>
      <c r="AA89" s="47">
        <f>'дод 2'!AB29</f>
        <v>5046731.88</v>
      </c>
      <c r="AB89" s="47">
        <f>'дод 2'!AC29</f>
        <v>22028100</v>
      </c>
      <c r="AC89" s="181"/>
    </row>
    <row r="90" spans="1:29" s="64" customFormat="1" ht="51.75" customHeight="1" x14ac:dyDescent="0.25">
      <c r="A90" s="45" t="s">
        <v>94</v>
      </c>
      <c r="B90" s="45" t="s">
        <v>67</v>
      </c>
      <c r="C90" s="32" t="s">
        <v>475</v>
      </c>
      <c r="D90" s="47">
        <f>'дод 2'!E30</f>
        <v>10594726</v>
      </c>
      <c r="E90" s="47">
        <f>'дод 2'!F30</f>
        <v>10594726</v>
      </c>
      <c r="F90" s="47">
        <f>'дод 2'!G30</f>
        <v>5614000</v>
      </c>
      <c r="G90" s="47">
        <f>'дод 2'!H30</f>
        <v>967800</v>
      </c>
      <c r="H90" s="47">
        <f>'дод 2'!I30</f>
        <v>0</v>
      </c>
      <c r="I90" s="47">
        <f>'дод 2'!J30</f>
        <v>2199758.2400000002</v>
      </c>
      <c r="J90" s="47">
        <f>'дод 2'!K30</f>
        <v>1316015.73</v>
      </c>
      <c r="K90" s="47">
        <f>'дод 2'!L30</f>
        <v>294883.08</v>
      </c>
      <c r="L90" s="47">
        <f>'дод 2'!M30</f>
        <v>0</v>
      </c>
      <c r="M90" s="109">
        <f t="shared" si="16"/>
        <v>20.762766682215286</v>
      </c>
      <c r="N90" s="47">
        <f>'дод 2'!O30</f>
        <v>615600</v>
      </c>
      <c r="O90" s="47">
        <f>'дод 2'!P30</f>
        <v>0</v>
      </c>
      <c r="P90" s="47">
        <f>'дод 2'!Q30</f>
        <v>615600</v>
      </c>
      <c r="Q90" s="47">
        <f>'дод 2'!R30</f>
        <v>371472</v>
      </c>
      <c r="R90" s="47">
        <f>'дод 2'!S30</f>
        <v>48438</v>
      </c>
      <c r="S90" s="47">
        <f>'дод 2'!T30</f>
        <v>0</v>
      </c>
      <c r="T90" s="47">
        <f>'дод 2'!U30</f>
        <v>155126.20000000001</v>
      </c>
      <c r="U90" s="47">
        <f>'дод 2'!V30</f>
        <v>0</v>
      </c>
      <c r="V90" s="47">
        <f>'дод 2'!W30</f>
        <v>155126.20000000001</v>
      </c>
      <c r="W90" s="47">
        <f>'дод 2'!X30</f>
        <v>96912.36</v>
      </c>
      <c r="X90" s="47">
        <f>'дод 2'!Y30</f>
        <v>1171.58</v>
      </c>
      <c r="Y90" s="47">
        <f>'дод 2'!Z30</f>
        <v>0</v>
      </c>
      <c r="Z90" s="109">
        <f t="shared" si="20"/>
        <v>25.199187784275505</v>
      </c>
      <c r="AA90" s="47">
        <f>'дод 2'!AB30</f>
        <v>2354884.4400000004</v>
      </c>
      <c r="AB90" s="47">
        <f>'дод 2'!AC30</f>
        <v>11210326</v>
      </c>
      <c r="AC90" s="181"/>
    </row>
    <row r="91" spans="1:29" s="64" customFormat="1" ht="38.25" customHeight="1" x14ac:dyDescent="0.25">
      <c r="A91" s="45" t="s">
        <v>96</v>
      </c>
      <c r="B91" s="45" t="s">
        <v>67</v>
      </c>
      <c r="C91" s="32" t="s">
        <v>95</v>
      </c>
      <c r="D91" s="47">
        <f>'дод 2'!E31</f>
        <v>16198400</v>
      </c>
      <c r="E91" s="47">
        <f>'дод 2'!F31</f>
        <v>16198400</v>
      </c>
      <c r="F91" s="47">
        <f>'дод 2'!G31</f>
        <v>0</v>
      </c>
      <c r="G91" s="47">
        <f>'дод 2'!H31</f>
        <v>0</v>
      </c>
      <c r="H91" s="47">
        <f>'дод 2'!I31</f>
        <v>0</v>
      </c>
      <c r="I91" s="47">
        <f>'дод 2'!J31</f>
        <v>3661502.57</v>
      </c>
      <c r="J91" s="47">
        <f>'дод 2'!K31</f>
        <v>0</v>
      </c>
      <c r="K91" s="47">
        <f>'дод 2'!L31</f>
        <v>0</v>
      </c>
      <c r="L91" s="47">
        <f>'дод 2'!M31</f>
        <v>0</v>
      </c>
      <c r="M91" s="109">
        <f t="shared" si="16"/>
        <v>22.604100219774793</v>
      </c>
      <c r="N91" s="47">
        <f>'дод 2'!O31</f>
        <v>0</v>
      </c>
      <c r="O91" s="47">
        <f>'дод 2'!P31</f>
        <v>0</v>
      </c>
      <c r="P91" s="47">
        <f>'дод 2'!Q31</f>
        <v>0</v>
      </c>
      <c r="Q91" s="47">
        <f>'дод 2'!R31</f>
        <v>0</v>
      </c>
      <c r="R91" s="47">
        <f>'дод 2'!S31</f>
        <v>0</v>
      </c>
      <c r="S91" s="47">
        <f>'дод 2'!T31</f>
        <v>0</v>
      </c>
      <c r="T91" s="47">
        <f>'дод 2'!U31</f>
        <v>0</v>
      </c>
      <c r="U91" s="47">
        <f>'дод 2'!V31</f>
        <v>0</v>
      </c>
      <c r="V91" s="47">
        <f>'дод 2'!W31</f>
        <v>0</v>
      </c>
      <c r="W91" s="47">
        <f>'дод 2'!X31</f>
        <v>0</v>
      </c>
      <c r="X91" s="47">
        <f>'дод 2'!Y31</f>
        <v>0</v>
      </c>
      <c r="Y91" s="47">
        <f>'дод 2'!Z31</f>
        <v>0</v>
      </c>
      <c r="Z91" s="109"/>
      <c r="AA91" s="47">
        <f>'дод 2'!AB31</f>
        <v>3661502.57</v>
      </c>
      <c r="AB91" s="47">
        <f>'дод 2'!AC31</f>
        <v>16198400</v>
      </c>
      <c r="AC91" s="181"/>
    </row>
    <row r="92" spans="1:29" s="77" customFormat="1" ht="23.25" customHeight="1" x14ac:dyDescent="0.25">
      <c r="A92" s="48" t="s">
        <v>56</v>
      </c>
      <c r="B92" s="52"/>
      <c r="C92" s="53" t="s">
        <v>445</v>
      </c>
      <c r="D92" s="44">
        <f>D93+D96+D97+D98+D101+D102+D100+D94+D103+D95+D99</f>
        <v>476677378</v>
      </c>
      <c r="E92" s="44">
        <f t="shared" ref="E92:AA92" si="22">E93+E96+E97+E98+E101+E102+E100+E94+E103+E95+E99</f>
        <v>310448095</v>
      </c>
      <c r="F92" s="44">
        <f t="shared" si="22"/>
        <v>0</v>
      </c>
      <c r="G92" s="44">
        <f t="shared" si="22"/>
        <v>40201040</v>
      </c>
      <c r="H92" s="44">
        <f t="shared" si="22"/>
        <v>166229283</v>
      </c>
      <c r="I92" s="44">
        <f t="shared" si="22"/>
        <v>84891987.340000004</v>
      </c>
      <c r="J92" s="44">
        <f t="shared" si="22"/>
        <v>0</v>
      </c>
      <c r="K92" s="44">
        <f t="shared" si="22"/>
        <v>4133837.94</v>
      </c>
      <c r="L92" s="44">
        <f t="shared" ref="L92" si="23">L93+L96+L97+L98+L101+L102+L100+L94+L103+L95+L99</f>
        <v>43729300.170000002</v>
      </c>
      <c r="M92" s="108">
        <f t="shared" si="16"/>
        <v>17.809107639255327</v>
      </c>
      <c r="N92" s="44">
        <f t="shared" si="22"/>
        <v>158367001</v>
      </c>
      <c r="O92" s="44">
        <f t="shared" si="22"/>
        <v>157958901</v>
      </c>
      <c r="P92" s="44">
        <f t="shared" si="22"/>
        <v>0</v>
      </c>
      <c r="Q92" s="44">
        <f t="shared" si="22"/>
        <v>0</v>
      </c>
      <c r="R92" s="44">
        <f t="shared" si="22"/>
        <v>0</v>
      </c>
      <c r="S92" s="44">
        <f t="shared" si="22"/>
        <v>158367001</v>
      </c>
      <c r="T92" s="44">
        <f t="shared" si="22"/>
        <v>23401707.539999999</v>
      </c>
      <c r="U92" s="44">
        <f t="shared" si="22"/>
        <v>2464453</v>
      </c>
      <c r="V92" s="44">
        <f t="shared" si="22"/>
        <v>275121.74</v>
      </c>
      <c r="W92" s="44">
        <f t="shared" si="22"/>
        <v>0</v>
      </c>
      <c r="X92" s="44">
        <f t="shared" si="22"/>
        <v>0</v>
      </c>
      <c r="Y92" s="44">
        <f t="shared" si="22"/>
        <v>23126585.800000001</v>
      </c>
      <c r="Z92" s="108">
        <f t="shared" si="20"/>
        <v>14.776883689298378</v>
      </c>
      <c r="AA92" s="44">
        <f t="shared" si="22"/>
        <v>108293694.88</v>
      </c>
      <c r="AB92" s="44">
        <f t="shared" ref="AB92" si="24">AB93+AB96+AB97+AB98+AB101+AB102+AB100+AB94+AB103+AB95+AB99</f>
        <v>635044379</v>
      </c>
      <c r="AC92" s="181"/>
    </row>
    <row r="93" spans="1:29" s="64" customFormat="1" ht="31.5" customHeight="1" x14ac:dyDescent="0.25">
      <c r="A93" s="45" t="s">
        <v>107</v>
      </c>
      <c r="B93" s="45" t="s">
        <v>59</v>
      </c>
      <c r="C93" s="32" t="s">
        <v>120</v>
      </c>
      <c r="D93" s="47">
        <f>'дод 2'!E140</f>
        <v>101050000</v>
      </c>
      <c r="E93" s="47">
        <f>'дод 2'!F140</f>
        <v>1050000</v>
      </c>
      <c r="F93" s="47">
        <f>'дод 2'!G140</f>
        <v>0</v>
      </c>
      <c r="G93" s="47">
        <f>'дод 2'!H140</f>
        <v>0</v>
      </c>
      <c r="H93" s="47">
        <f>'дод 2'!I140</f>
        <v>100000000</v>
      </c>
      <c r="I93" s="47">
        <f>'дод 2'!J140</f>
        <v>42342793.399999999</v>
      </c>
      <c r="J93" s="47">
        <f>'дод 2'!K140</f>
        <v>0</v>
      </c>
      <c r="K93" s="47">
        <f>'дод 2'!L140</f>
        <v>0</v>
      </c>
      <c r="L93" s="47">
        <f>'дод 2'!M140</f>
        <v>42221654.600000001</v>
      </c>
      <c r="M93" s="109">
        <f t="shared" si="16"/>
        <v>41.902813854527459</v>
      </c>
      <c r="N93" s="47">
        <f>'дод 2'!O140</f>
        <v>0</v>
      </c>
      <c r="O93" s="47">
        <f>'дод 2'!P140</f>
        <v>0</v>
      </c>
      <c r="P93" s="47">
        <f>'дод 2'!Q140</f>
        <v>0</v>
      </c>
      <c r="Q93" s="47">
        <f>'дод 2'!R140</f>
        <v>0</v>
      </c>
      <c r="R93" s="47">
        <f>'дод 2'!S140</f>
        <v>0</v>
      </c>
      <c r="S93" s="47">
        <f>'дод 2'!T140</f>
        <v>0</v>
      </c>
      <c r="T93" s="47">
        <f>'дод 2'!U140</f>
        <v>0</v>
      </c>
      <c r="U93" s="47">
        <f>'дод 2'!V140</f>
        <v>0</v>
      </c>
      <c r="V93" s="47">
        <f>'дод 2'!W140</f>
        <v>0</v>
      </c>
      <c r="W93" s="47">
        <f>'дод 2'!X140</f>
        <v>0</v>
      </c>
      <c r="X93" s="47">
        <f>'дод 2'!Y140</f>
        <v>0</v>
      </c>
      <c r="Y93" s="47">
        <f>'дод 2'!Z140</f>
        <v>0</v>
      </c>
      <c r="Z93" s="109"/>
      <c r="AA93" s="47">
        <f>'дод 2'!AB140</f>
        <v>42342793.399999999</v>
      </c>
      <c r="AB93" s="47">
        <f>'дод 2'!AC140</f>
        <v>101050000</v>
      </c>
      <c r="AC93" s="181"/>
    </row>
    <row r="94" spans="1:29" s="64" customFormat="1" ht="22.5" customHeight="1" x14ac:dyDescent="0.25">
      <c r="A94" s="45">
        <v>6014</v>
      </c>
      <c r="B94" s="54" t="s">
        <v>59</v>
      </c>
      <c r="C94" s="32" t="s">
        <v>343</v>
      </c>
      <c r="D94" s="47">
        <f>'дод 2'!E141</f>
        <v>7200000</v>
      </c>
      <c r="E94" s="47">
        <f>'дод 2'!F141</f>
        <v>7200000</v>
      </c>
      <c r="F94" s="47">
        <f>'дод 2'!G141</f>
        <v>0</v>
      </c>
      <c r="G94" s="47">
        <f>'дод 2'!H141</f>
        <v>0</v>
      </c>
      <c r="H94" s="47">
        <f>'дод 2'!I141</f>
        <v>0</v>
      </c>
      <c r="I94" s="47">
        <f>'дод 2'!J141</f>
        <v>0</v>
      </c>
      <c r="J94" s="47">
        <f>'дод 2'!K141</f>
        <v>0</v>
      </c>
      <c r="K94" s="47">
        <f>'дод 2'!L141</f>
        <v>0</v>
      </c>
      <c r="L94" s="47">
        <f>'дод 2'!M141</f>
        <v>0</v>
      </c>
      <c r="M94" s="109">
        <f t="shared" si="16"/>
        <v>0</v>
      </c>
      <c r="N94" s="47">
        <f>'дод 2'!O141</f>
        <v>0</v>
      </c>
      <c r="O94" s="47">
        <f>'дод 2'!P141</f>
        <v>0</v>
      </c>
      <c r="P94" s="47">
        <f>'дод 2'!Q141</f>
        <v>0</v>
      </c>
      <c r="Q94" s="47">
        <f>'дод 2'!R141</f>
        <v>0</v>
      </c>
      <c r="R94" s="47">
        <f>'дод 2'!S141</f>
        <v>0</v>
      </c>
      <c r="S94" s="47">
        <f>'дод 2'!T141</f>
        <v>0</v>
      </c>
      <c r="T94" s="47">
        <f>'дод 2'!U141</f>
        <v>0</v>
      </c>
      <c r="U94" s="47">
        <f>'дод 2'!V141</f>
        <v>0</v>
      </c>
      <c r="V94" s="47">
        <f>'дод 2'!W141</f>
        <v>0</v>
      </c>
      <c r="W94" s="47">
        <f>'дод 2'!X141</f>
        <v>0</v>
      </c>
      <c r="X94" s="47">
        <f>'дод 2'!Y141</f>
        <v>0</v>
      </c>
      <c r="Y94" s="47">
        <f>'дод 2'!Z141</f>
        <v>0</v>
      </c>
      <c r="Z94" s="109"/>
      <c r="AA94" s="47">
        <f>'дод 2'!AB141</f>
        <v>0</v>
      </c>
      <c r="AB94" s="47">
        <f>'дод 2'!AC141</f>
        <v>7200000</v>
      </c>
      <c r="AC94" s="181"/>
    </row>
    <row r="95" spans="1:29" s="64" customFormat="1" ht="22.5" customHeight="1" x14ac:dyDescent="0.25">
      <c r="A95" s="45">
        <v>6015</v>
      </c>
      <c r="B95" s="54" t="s">
        <v>59</v>
      </c>
      <c r="C95" s="32" t="s">
        <v>403</v>
      </c>
      <c r="D95" s="47">
        <f>'дод 2'!E142</f>
        <v>2000000</v>
      </c>
      <c r="E95" s="47">
        <f>'дод 2'!F142</f>
        <v>0</v>
      </c>
      <c r="F95" s="47">
        <f>'дод 2'!G142</f>
        <v>0</v>
      </c>
      <c r="G95" s="47">
        <f>'дод 2'!H142</f>
        <v>0</v>
      </c>
      <c r="H95" s="47">
        <f>'дод 2'!I142</f>
        <v>2000000</v>
      </c>
      <c r="I95" s="47">
        <f>'дод 2'!J142</f>
        <v>0</v>
      </c>
      <c r="J95" s="47">
        <f>'дод 2'!K142</f>
        <v>0</v>
      </c>
      <c r="K95" s="47">
        <f>'дод 2'!L142</f>
        <v>0</v>
      </c>
      <c r="L95" s="47">
        <f>'дод 2'!M142</f>
        <v>0</v>
      </c>
      <c r="M95" s="109">
        <f t="shared" si="16"/>
        <v>0</v>
      </c>
      <c r="N95" s="47">
        <f>'дод 2'!O142</f>
        <v>0</v>
      </c>
      <c r="O95" s="47">
        <f>'дод 2'!P142</f>
        <v>0</v>
      </c>
      <c r="P95" s="47">
        <f>'дод 2'!Q142</f>
        <v>0</v>
      </c>
      <c r="Q95" s="47">
        <f>'дод 2'!R142</f>
        <v>0</v>
      </c>
      <c r="R95" s="47">
        <f>'дод 2'!S142</f>
        <v>0</v>
      </c>
      <c r="S95" s="47">
        <f>'дод 2'!T142</f>
        <v>0</v>
      </c>
      <c r="T95" s="47">
        <f>'дод 2'!U142</f>
        <v>0</v>
      </c>
      <c r="U95" s="47">
        <f>'дод 2'!V142</f>
        <v>0</v>
      </c>
      <c r="V95" s="47">
        <f>'дод 2'!W142</f>
        <v>0</v>
      </c>
      <c r="W95" s="47">
        <f>'дод 2'!X142</f>
        <v>0</v>
      </c>
      <c r="X95" s="47">
        <f>'дод 2'!Y142</f>
        <v>0</v>
      </c>
      <c r="Y95" s="47">
        <f>'дод 2'!Z142</f>
        <v>0</v>
      </c>
      <c r="Z95" s="109"/>
      <c r="AA95" s="47">
        <f>'дод 2'!AB142</f>
        <v>0</v>
      </c>
      <c r="AB95" s="47">
        <f>'дод 2'!AC142</f>
        <v>2000000</v>
      </c>
      <c r="AC95" s="181"/>
    </row>
    <row r="96" spans="1:29" s="64" customFormat="1" ht="33" customHeight="1" x14ac:dyDescent="0.25">
      <c r="A96" s="45" t="s">
        <v>207</v>
      </c>
      <c r="B96" s="45" t="s">
        <v>59</v>
      </c>
      <c r="C96" s="32" t="s">
        <v>256</v>
      </c>
      <c r="D96" s="47">
        <f>'дод 2'!E143</f>
        <v>600000</v>
      </c>
      <c r="E96" s="47">
        <f>'дод 2'!F143</f>
        <v>600000</v>
      </c>
      <c r="F96" s="47">
        <f>'дод 2'!G143</f>
        <v>0</v>
      </c>
      <c r="G96" s="47">
        <f>'дод 2'!H143</f>
        <v>0</v>
      </c>
      <c r="H96" s="47">
        <f>'дод 2'!I143</f>
        <v>0</v>
      </c>
      <c r="I96" s="47">
        <f>'дод 2'!J143</f>
        <v>148166.79999999999</v>
      </c>
      <c r="J96" s="47">
        <f>'дод 2'!K143</f>
        <v>0</v>
      </c>
      <c r="K96" s="47">
        <f>'дод 2'!L143</f>
        <v>0</v>
      </c>
      <c r="L96" s="47">
        <f>'дод 2'!M143</f>
        <v>0</v>
      </c>
      <c r="M96" s="109">
        <f t="shared" si="16"/>
        <v>24.694466666666663</v>
      </c>
      <c r="N96" s="47">
        <f>'дод 2'!O143</f>
        <v>0</v>
      </c>
      <c r="O96" s="47">
        <f>'дод 2'!P143</f>
        <v>0</v>
      </c>
      <c r="P96" s="47">
        <f>'дод 2'!Q143</f>
        <v>0</v>
      </c>
      <c r="Q96" s="47">
        <f>'дод 2'!R143</f>
        <v>0</v>
      </c>
      <c r="R96" s="47">
        <f>'дод 2'!S143</f>
        <v>0</v>
      </c>
      <c r="S96" s="47">
        <f>'дод 2'!T143</f>
        <v>0</v>
      </c>
      <c r="T96" s="47">
        <f>'дод 2'!U143</f>
        <v>0</v>
      </c>
      <c r="U96" s="47">
        <f>'дод 2'!V143</f>
        <v>0</v>
      </c>
      <c r="V96" s="47">
        <f>'дод 2'!W143</f>
        <v>0</v>
      </c>
      <c r="W96" s="47">
        <f>'дод 2'!X143</f>
        <v>0</v>
      </c>
      <c r="X96" s="47">
        <f>'дод 2'!Y143</f>
        <v>0</v>
      </c>
      <c r="Y96" s="47">
        <f>'дод 2'!Z143</f>
        <v>0</v>
      </c>
      <c r="Z96" s="109"/>
      <c r="AA96" s="47">
        <f>'дод 2'!AB143</f>
        <v>148166.79999999999</v>
      </c>
      <c r="AB96" s="47">
        <f>'дод 2'!AC143</f>
        <v>600000</v>
      </c>
      <c r="AC96" s="181"/>
    </row>
    <row r="97" spans="1:29" s="64" customFormat="1" ht="53.25" customHeight="1" x14ac:dyDescent="0.25">
      <c r="A97" s="45" t="s">
        <v>58</v>
      </c>
      <c r="B97" s="45" t="s">
        <v>59</v>
      </c>
      <c r="C97" s="32" t="s">
        <v>110</v>
      </c>
      <c r="D97" s="47">
        <f>'дод 2'!E144</f>
        <v>7873235</v>
      </c>
      <c r="E97" s="47">
        <f>'дод 2'!F144</f>
        <v>0</v>
      </c>
      <c r="F97" s="47">
        <f>'дод 2'!G144</f>
        <v>0</v>
      </c>
      <c r="G97" s="47">
        <f>'дод 2'!H144</f>
        <v>0</v>
      </c>
      <c r="H97" s="47">
        <f>'дод 2'!I144</f>
        <v>7873235</v>
      </c>
      <c r="I97" s="47">
        <f>'дод 2'!J144</f>
        <v>471160.57</v>
      </c>
      <c r="J97" s="47">
        <f>'дод 2'!K144</f>
        <v>0</v>
      </c>
      <c r="K97" s="47">
        <f>'дод 2'!L144</f>
        <v>0</v>
      </c>
      <c r="L97" s="47">
        <f>'дод 2'!M144</f>
        <v>471160.57</v>
      </c>
      <c r="M97" s="109">
        <f t="shared" si="16"/>
        <v>5.9843326155004899</v>
      </c>
      <c r="N97" s="47">
        <f>'дод 2'!O144</f>
        <v>0</v>
      </c>
      <c r="O97" s="47">
        <f>'дод 2'!P144</f>
        <v>0</v>
      </c>
      <c r="P97" s="47">
        <f>'дод 2'!Q144</f>
        <v>0</v>
      </c>
      <c r="Q97" s="47">
        <f>'дод 2'!R144</f>
        <v>0</v>
      </c>
      <c r="R97" s="47">
        <f>'дод 2'!S144</f>
        <v>0</v>
      </c>
      <c r="S97" s="47">
        <f>'дод 2'!T144</f>
        <v>0</v>
      </c>
      <c r="T97" s="47">
        <f>'дод 2'!U144</f>
        <v>0</v>
      </c>
      <c r="U97" s="47">
        <f>'дод 2'!V144</f>
        <v>0</v>
      </c>
      <c r="V97" s="47">
        <f>'дод 2'!W144</f>
        <v>0</v>
      </c>
      <c r="W97" s="47">
        <f>'дод 2'!X144</f>
        <v>0</v>
      </c>
      <c r="X97" s="47">
        <f>'дод 2'!Y144</f>
        <v>0</v>
      </c>
      <c r="Y97" s="47">
        <f>'дод 2'!Z144</f>
        <v>0</v>
      </c>
      <c r="Z97" s="109"/>
      <c r="AA97" s="47">
        <f>'дод 2'!AB144</f>
        <v>471160.57</v>
      </c>
      <c r="AB97" s="47">
        <f>'дод 2'!AC144</f>
        <v>7873235</v>
      </c>
      <c r="AC97" s="181"/>
    </row>
    <row r="98" spans="1:29" ht="24" customHeight="1" x14ac:dyDescent="0.25">
      <c r="A98" s="45" t="s">
        <v>108</v>
      </c>
      <c r="B98" s="45" t="s">
        <v>59</v>
      </c>
      <c r="C98" s="32" t="s">
        <v>109</v>
      </c>
      <c r="D98" s="47">
        <f>'дод 2'!E145+'дод 2'!E172</f>
        <v>316446063</v>
      </c>
      <c r="E98" s="47">
        <f>'дод 2'!F145+'дод 2'!F172</f>
        <v>295855195</v>
      </c>
      <c r="F98" s="47">
        <f>'дод 2'!G145+'дод 2'!G172</f>
        <v>0</v>
      </c>
      <c r="G98" s="47">
        <f>'дод 2'!H145+'дод 2'!H172</f>
        <v>40200000</v>
      </c>
      <c r="H98" s="47">
        <f>'дод 2'!I145+'дод 2'!I172</f>
        <v>20590868</v>
      </c>
      <c r="I98" s="47">
        <f>'дод 2'!J145+'дод 2'!J172</f>
        <v>40706156.280000001</v>
      </c>
      <c r="J98" s="47">
        <f>'дод 2'!K145+'дод 2'!K172</f>
        <v>0</v>
      </c>
      <c r="K98" s="47">
        <f>'дод 2'!L145+'дод 2'!L172</f>
        <v>4133687.82</v>
      </c>
      <c r="L98" s="47">
        <f>'дод 2'!M145+'дод 2'!M172</f>
        <v>0</v>
      </c>
      <c r="M98" s="109">
        <f t="shared" si="16"/>
        <v>12.863536962379591</v>
      </c>
      <c r="N98" s="47">
        <f>'дод 2'!O145+'дод 2'!O172</f>
        <v>0</v>
      </c>
      <c r="O98" s="47">
        <f>'дод 2'!P145+'дод 2'!P172</f>
        <v>0</v>
      </c>
      <c r="P98" s="47">
        <f>'дод 2'!Q145+'дод 2'!Q172</f>
        <v>0</v>
      </c>
      <c r="Q98" s="47">
        <f>'дод 2'!R145+'дод 2'!R172</f>
        <v>0</v>
      </c>
      <c r="R98" s="47">
        <f>'дод 2'!S145+'дод 2'!S172</f>
        <v>0</v>
      </c>
      <c r="S98" s="47">
        <f>'дод 2'!T145+'дод 2'!T172</f>
        <v>0</v>
      </c>
      <c r="T98" s="47">
        <f>'дод 2'!U145+'дод 2'!U172</f>
        <v>0</v>
      </c>
      <c r="U98" s="47">
        <f>'дод 2'!V145+'дод 2'!V172</f>
        <v>0</v>
      </c>
      <c r="V98" s="47">
        <f>'дод 2'!W145+'дод 2'!W172</f>
        <v>0</v>
      </c>
      <c r="W98" s="47">
        <f>'дод 2'!X145+'дод 2'!X172</f>
        <v>0</v>
      </c>
      <c r="X98" s="47">
        <f>'дод 2'!Y145+'дод 2'!Y172</f>
        <v>0</v>
      </c>
      <c r="Y98" s="47">
        <f>'дод 2'!Z145+'дод 2'!Z172</f>
        <v>0</v>
      </c>
      <c r="Z98" s="109"/>
      <c r="AA98" s="47">
        <f>'дод 2'!AB145+'дод 2'!AB172</f>
        <v>40706156.280000001</v>
      </c>
      <c r="AB98" s="47">
        <f>'дод 2'!AC145+'дод 2'!AC172</f>
        <v>316446063</v>
      </c>
      <c r="AC98" s="181"/>
    </row>
    <row r="99" spans="1:29" ht="56.25" customHeight="1" x14ac:dyDescent="0.25">
      <c r="A99" s="45">
        <v>6081</v>
      </c>
      <c r="B99" s="54" t="s">
        <v>57</v>
      </c>
      <c r="C99" s="32" t="s">
        <v>495</v>
      </c>
      <c r="D99" s="47">
        <f>'дод 2'!E173</f>
        <v>0</v>
      </c>
      <c r="E99" s="47">
        <f>'дод 2'!F173</f>
        <v>0</v>
      </c>
      <c r="F99" s="47">
        <f>'дод 2'!G173</f>
        <v>0</v>
      </c>
      <c r="G99" s="47">
        <f>'дод 2'!H173</f>
        <v>0</v>
      </c>
      <c r="H99" s="47">
        <f>'дод 2'!I173</f>
        <v>0</v>
      </c>
      <c r="I99" s="47">
        <f>'дод 2'!J173</f>
        <v>0</v>
      </c>
      <c r="J99" s="47">
        <f>'дод 2'!K173</f>
        <v>0</v>
      </c>
      <c r="K99" s="47">
        <f>'дод 2'!L173</f>
        <v>0</v>
      </c>
      <c r="L99" s="47">
        <f>'дод 2'!M173</f>
        <v>0</v>
      </c>
      <c r="M99" s="109"/>
      <c r="N99" s="47">
        <f>'дод 2'!O173</f>
        <v>120000000</v>
      </c>
      <c r="O99" s="47">
        <f>'дод 2'!P173</f>
        <v>120000000</v>
      </c>
      <c r="P99" s="47">
        <f>'дод 2'!Q173</f>
        <v>0</v>
      </c>
      <c r="Q99" s="47">
        <f>'дод 2'!R173</f>
        <v>0</v>
      </c>
      <c r="R99" s="47">
        <f>'дод 2'!S173</f>
        <v>0</v>
      </c>
      <c r="S99" s="47">
        <f>'дод 2'!T173</f>
        <v>120000000</v>
      </c>
      <c r="T99" s="47">
        <f>'дод 2'!U173</f>
        <v>2464453</v>
      </c>
      <c r="U99" s="47">
        <f>'дод 2'!V173</f>
        <v>2464453</v>
      </c>
      <c r="V99" s="47">
        <f>'дод 2'!W173</f>
        <v>0</v>
      </c>
      <c r="W99" s="47">
        <f>'дод 2'!X173</f>
        <v>0</v>
      </c>
      <c r="X99" s="47">
        <f>'дод 2'!Y173</f>
        <v>0</v>
      </c>
      <c r="Y99" s="47">
        <f>'дод 2'!Z173</f>
        <v>2464453</v>
      </c>
      <c r="Z99" s="109">
        <f t="shared" si="20"/>
        <v>2.0537108333333336</v>
      </c>
      <c r="AA99" s="47">
        <f>'дод 2'!AB173</f>
        <v>2464453</v>
      </c>
      <c r="AB99" s="47">
        <f>'дод 2'!AC173</f>
        <v>120000000</v>
      </c>
      <c r="AC99" s="181"/>
    </row>
    <row r="100" spans="1:29" ht="47.25" x14ac:dyDescent="0.25">
      <c r="A100" s="45">
        <v>6084</v>
      </c>
      <c r="B100" s="54" t="s">
        <v>57</v>
      </c>
      <c r="C100" s="32" t="s">
        <v>390</v>
      </c>
      <c r="D100" s="47">
        <f>'дод 2'!E174</f>
        <v>0</v>
      </c>
      <c r="E100" s="47">
        <f>'дод 2'!F174</f>
        <v>0</v>
      </c>
      <c r="F100" s="47">
        <f>'дод 2'!G174</f>
        <v>0</v>
      </c>
      <c r="G100" s="47">
        <f>'дод 2'!H174</f>
        <v>0</v>
      </c>
      <c r="H100" s="47">
        <f>'дод 2'!I174</f>
        <v>0</v>
      </c>
      <c r="I100" s="47">
        <f>'дод 2'!J174</f>
        <v>0</v>
      </c>
      <c r="J100" s="47">
        <f>'дод 2'!K174</f>
        <v>0</v>
      </c>
      <c r="K100" s="47">
        <f>'дод 2'!L174</f>
        <v>0</v>
      </c>
      <c r="L100" s="47">
        <f>'дод 2'!M174</f>
        <v>0</v>
      </c>
      <c r="M100" s="109"/>
      <c r="N100" s="47">
        <f>'дод 2'!O174</f>
        <v>408100</v>
      </c>
      <c r="O100" s="47">
        <f>'дод 2'!P174</f>
        <v>0</v>
      </c>
      <c r="P100" s="47">
        <f>'дод 2'!Q174</f>
        <v>0</v>
      </c>
      <c r="Q100" s="47">
        <f>'дод 2'!R174</f>
        <v>0</v>
      </c>
      <c r="R100" s="47">
        <f>'дод 2'!S174</f>
        <v>0</v>
      </c>
      <c r="S100" s="47">
        <f>'дод 2'!T174</f>
        <v>408100</v>
      </c>
      <c r="T100" s="47">
        <f>'дод 2'!U174</f>
        <v>68067.89</v>
      </c>
      <c r="U100" s="47">
        <f>'дод 2'!V174</f>
        <v>0</v>
      </c>
      <c r="V100" s="47">
        <f>'дод 2'!W174</f>
        <v>0</v>
      </c>
      <c r="W100" s="47">
        <f>'дод 2'!X174</f>
        <v>0</v>
      </c>
      <c r="X100" s="47">
        <f>'дод 2'!Y174</f>
        <v>0</v>
      </c>
      <c r="Y100" s="47">
        <f>'дод 2'!Z174</f>
        <v>68067.89</v>
      </c>
      <c r="Z100" s="109">
        <f t="shared" si="20"/>
        <v>16.679218328840971</v>
      </c>
      <c r="AA100" s="47">
        <f>'дод 2'!AB174</f>
        <v>68067.89</v>
      </c>
      <c r="AB100" s="47">
        <f>'дод 2'!AC174</f>
        <v>408100</v>
      </c>
      <c r="AC100" s="181"/>
    </row>
    <row r="101" spans="1:29" s="79" customFormat="1" ht="21.75" customHeight="1" x14ac:dyDescent="0.25">
      <c r="A101" s="45" t="s">
        <v>115</v>
      </c>
      <c r="B101" s="24" t="s">
        <v>234</v>
      </c>
      <c r="C101" s="32" t="s">
        <v>116</v>
      </c>
      <c r="D101" s="47">
        <f>'дод 2'!E146</f>
        <v>3546280</v>
      </c>
      <c r="E101" s="47">
        <f>'дод 2'!F146</f>
        <v>1742900</v>
      </c>
      <c r="F101" s="47">
        <f>'дод 2'!G146</f>
        <v>0</v>
      </c>
      <c r="G101" s="47">
        <f>'дод 2'!H146</f>
        <v>1040</v>
      </c>
      <c r="H101" s="47">
        <f>'дод 2'!I146</f>
        <v>1803380</v>
      </c>
      <c r="I101" s="47">
        <f>'дод 2'!J146</f>
        <v>306625.28999999998</v>
      </c>
      <c r="J101" s="47">
        <f>'дод 2'!K146</f>
        <v>0</v>
      </c>
      <c r="K101" s="47">
        <f>'дод 2'!L146</f>
        <v>150.12</v>
      </c>
      <c r="L101" s="47">
        <f>'дод 2'!M146</f>
        <v>119400</v>
      </c>
      <c r="M101" s="109">
        <f t="shared" si="16"/>
        <v>8.6463925578352523</v>
      </c>
      <c r="N101" s="47">
        <f>'дод 2'!O146</f>
        <v>0</v>
      </c>
      <c r="O101" s="47">
        <f>'дод 2'!P146</f>
        <v>0</v>
      </c>
      <c r="P101" s="47">
        <f>'дод 2'!Q146</f>
        <v>0</v>
      </c>
      <c r="Q101" s="47">
        <f>'дод 2'!R146</f>
        <v>0</v>
      </c>
      <c r="R101" s="47">
        <f>'дод 2'!S146</f>
        <v>0</v>
      </c>
      <c r="S101" s="47">
        <f>'дод 2'!T146</f>
        <v>0</v>
      </c>
      <c r="T101" s="47">
        <f>'дод 2'!U146</f>
        <v>20594064.91</v>
      </c>
      <c r="U101" s="47">
        <f>'дод 2'!V146</f>
        <v>0</v>
      </c>
      <c r="V101" s="47">
        <f>'дод 2'!W146</f>
        <v>0</v>
      </c>
      <c r="W101" s="47">
        <f>'дод 2'!X146</f>
        <v>0</v>
      </c>
      <c r="X101" s="47">
        <f>'дод 2'!Y146</f>
        <v>0</v>
      </c>
      <c r="Y101" s="47">
        <f>'дод 2'!Z146</f>
        <v>20594064.91</v>
      </c>
      <c r="Z101" s="109"/>
      <c r="AA101" s="47">
        <f>'дод 2'!AB146</f>
        <v>20900690.199999999</v>
      </c>
      <c r="AB101" s="47">
        <f>'дод 2'!AC146</f>
        <v>3546280</v>
      </c>
      <c r="AC101" s="181"/>
    </row>
    <row r="102" spans="1:29" ht="57" customHeight="1" x14ac:dyDescent="0.25">
      <c r="A102" s="45">
        <v>6091</v>
      </c>
      <c r="B102" s="54" t="s">
        <v>234</v>
      </c>
      <c r="C102" s="46" t="s">
        <v>427</v>
      </c>
      <c r="D102" s="47">
        <f>'дод 2'!E147+'дод 2'!E175</f>
        <v>0</v>
      </c>
      <c r="E102" s="47">
        <f>'дод 2'!F147+'дод 2'!F175</f>
        <v>0</v>
      </c>
      <c r="F102" s="47">
        <f>'дод 2'!G147+'дод 2'!G175</f>
        <v>0</v>
      </c>
      <c r="G102" s="47">
        <f>'дод 2'!H147+'дод 2'!H175</f>
        <v>0</v>
      </c>
      <c r="H102" s="47">
        <f>'дод 2'!I147+'дод 2'!I175</f>
        <v>0</v>
      </c>
      <c r="I102" s="47">
        <f>'дод 2'!J147+'дод 2'!J175</f>
        <v>0</v>
      </c>
      <c r="J102" s="47">
        <f>'дод 2'!K147+'дод 2'!K175</f>
        <v>0</v>
      </c>
      <c r="K102" s="47">
        <f>'дод 2'!L147+'дод 2'!L175</f>
        <v>0</v>
      </c>
      <c r="L102" s="47">
        <f>'дод 2'!M147+'дод 2'!M175</f>
        <v>0</v>
      </c>
      <c r="M102" s="109"/>
      <c r="N102" s="47">
        <f>'дод 2'!O147+'дод 2'!O175</f>
        <v>37958901</v>
      </c>
      <c r="O102" s="47">
        <f>'дод 2'!P147+'дод 2'!P175</f>
        <v>37958901</v>
      </c>
      <c r="P102" s="47">
        <f>'дод 2'!Q147+'дод 2'!Q175</f>
        <v>0</v>
      </c>
      <c r="Q102" s="47">
        <f>'дод 2'!R147+'дод 2'!R175</f>
        <v>0</v>
      </c>
      <c r="R102" s="47">
        <f>'дод 2'!S147+'дод 2'!S175</f>
        <v>0</v>
      </c>
      <c r="S102" s="47">
        <f>'дод 2'!T147+'дод 2'!T175</f>
        <v>37958901</v>
      </c>
      <c r="T102" s="47">
        <f>'дод 2'!U147+'дод 2'!U175</f>
        <v>0</v>
      </c>
      <c r="U102" s="47">
        <f>'дод 2'!V147+'дод 2'!V175</f>
        <v>0</v>
      </c>
      <c r="V102" s="47">
        <f>'дод 2'!W147+'дод 2'!W175</f>
        <v>0</v>
      </c>
      <c r="W102" s="47">
        <f>'дод 2'!X147+'дод 2'!X175</f>
        <v>0</v>
      </c>
      <c r="X102" s="47">
        <f>'дод 2'!Y147+'дод 2'!Y175</f>
        <v>0</v>
      </c>
      <c r="Y102" s="47">
        <f>'дод 2'!Z147+'дод 2'!Z175</f>
        <v>0</v>
      </c>
      <c r="Z102" s="109">
        <f t="shared" si="20"/>
        <v>0</v>
      </c>
      <c r="AA102" s="47">
        <f>'дод 2'!AB147+'дод 2'!AB175</f>
        <v>0</v>
      </c>
      <c r="AB102" s="47">
        <f>'дод 2'!AC147+'дод 2'!AC175</f>
        <v>37958901</v>
      </c>
      <c r="AC102" s="181"/>
    </row>
    <row r="103" spans="1:29" ht="55.15" customHeight="1" x14ac:dyDescent="0.25">
      <c r="A103" s="45">
        <v>6092</v>
      </c>
      <c r="B103" s="54" t="s">
        <v>57</v>
      </c>
      <c r="C103" s="69" t="s">
        <v>430</v>
      </c>
      <c r="D103" s="47">
        <f>'дод 2'!E148+'дод 2'!E176</f>
        <v>37961800</v>
      </c>
      <c r="E103" s="47">
        <f>'дод 2'!F148+'дод 2'!F176</f>
        <v>4000000</v>
      </c>
      <c r="F103" s="47">
        <f>'дод 2'!G148+'дод 2'!G176</f>
        <v>0</v>
      </c>
      <c r="G103" s="47">
        <f>'дод 2'!H148+'дод 2'!H176</f>
        <v>0</v>
      </c>
      <c r="H103" s="47">
        <f>'дод 2'!I148+'дод 2'!I176</f>
        <v>33961800</v>
      </c>
      <c r="I103" s="47">
        <f>'дод 2'!J148+'дод 2'!J176</f>
        <v>917085</v>
      </c>
      <c r="J103" s="47">
        <f>'дод 2'!K148+'дод 2'!K176</f>
        <v>0</v>
      </c>
      <c r="K103" s="47">
        <f>'дод 2'!L148+'дод 2'!L176</f>
        <v>0</v>
      </c>
      <c r="L103" s="47">
        <f>'дод 2'!M148+'дод 2'!M176</f>
        <v>917085</v>
      </c>
      <c r="M103" s="109">
        <f t="shared" si="16"/>
        <v>2.4158101038412299</v>
      </c>
      <c r="N103" s="47">
        <f>'дод 2'!O148+'дод 2'!O176</f>
        <v>0</v>
      </c>
      <c r="O103" s="47">
        <f>'дод 2'!P148+'дод 2'!P176</f>
        <v>0</v>
      </c>
      <c r="P103" s="47">
        <f>'дод 2'!Q148+'дод 2'!Q176</f>
        <v>0</v>
      </c>
      <c r="Q103" s="47">
        <f>'дод 2'!R148+'дод 2'!R176</f>
        <v>0</v>
      </c>
      <c r="R103" s="47">
        <f>'дод 2'!S148+'дод 2'!S176</f>
        <v>0</v>
      </c>
      <c r="S103" s="47">
        <f>'дод 2'!T148+'дод 2'!T176</f>
        <v>0</v>
      </c>
      <c r="T103" s="47">
        <f>'дод 2'!U148+'дод 2'!U176</f>
        <v>275121.74</v>
      </c>
      <c r="U103" s="47">
        <f>'дод 2'!V148+'дод 2'!V176</f>
        <v>0</v>
      </c>
      <c r="V103" s="47">
        <f>'дод 2'!W148+'дод 2'!W176</f>
        <v>275121.74</v>
      </c>
      <c r="W103" s="47">
        <f>'дод 2'!X148+'дод 2'!X176</f>
        <v>0</v>
      </c>
      <c r="X103" s="47">
        <f>'дод 2'!Y148+'дод 2'!Y176</f>
        <v>0</v>
      </c>
      <c r="Y103" s="47">
        <f>'дод 2'!Z148+'дод 2'!Z176</f>
        <v>0</v>
      </c>
      <c r="Z103" s="109"/>
      <c r="AA103" s="47">
        <f>'дод 2'!AB148+'дод 2'!AB176</f>
        <v>1192206.74</v>
      </c>
      <c r="AB103" s="47">
        <f>'дод 2'!AC148+'дод 2'!AC176</f>
        <v>37961800</v>
      </c>
      <c r="AC103" s="181"/>
    </row>
    <row r="104" spans="1:29" s="77" customFormat="1" ht="27.75" customHeight="1" x14ac:dyDescent="0.25">
      <c r="A104" s="48" t="s">
        <v>111</v>
      </c>
      <c r="B104" s="52"/>
      <c r="C104" s="53" t="s">
        <v>444</v>
      </c>
      <c r="D104" s="44">
        <f t="shared" ref="D104:AB104" si="25">D105+D107+D111+D117+D119</f>
        <v>154165472</v>
      </c>
      <c r="E104" s="44">
        <f t="shared" ref="E104:AA104" si="26">E105+E107+E111+E117+E119</f>
        <v>11957472</v>
      </c>
      <c r="F104" s="44">
        <f t="shared" si="26"/>
        <v>0</v>
      </c>
      <c r="G104" s="44">
        <f t="shared" si="26"/>
        <v>65500</v>
      </c>
      <c r="H104" s="44">
        <f t="shared" si="26"/>
        <v>142208000</v>
      </c>
      <c r="I104" s="44">
        <f t="shared" si="26"/>
        <v>28426222.859999999</v>
      </c>
      <c r="J104" s="44">
        <f t="shared" si="26"/>
        <v>0</v>
      </c>
      <c r="K104" s="44">
        <f t="shared" si="26"/>
        <v>9127.7999999999993</v>
      </c>
      <c r="L104" s="44">
        <f t="shared" ref="L104" si="27">L105+L107+L111+L117+L119</f>
        <v>27785500</v>
      </c>
      <c r="M104" s="108">
        <f t="shared" si="16"/>
        <v>18.438773929871925</v>
      </c>
      <c r="N104" s="44">
        <f t="shared" si="26"/>
        <v>178552818.59999999</v>
      </c>
      <c r="O104" s="44">
        <f t="shared" si="26"/>
        <v>165924642</v>
      </c>
      <c r="P104" s="44">
        <f t="shared" si="26"/>
        <v>2598176.6</v>
      </c>
      <c r="Q104" s="44">
        <f t="shared" si="26"/>
        <v>0</v>
      </c>
      <c r="R104" s="44">
        <f t="shared" si="26"/>
        <v>0</v>
      </c>
      <c r="S104" s="44">
        <f t="shared" si="26"/>
        <v>175954642</v>
      </c>
      <c r="T104" s="44">
        <f t="shared" si="26"/>
        <v>444421.54000000004</v>
      </c>
      <c r="U104" s="44">
        <f t="shared" si="26"/>
        <v>244421.54</v>
      </c>
      <c r="V104" s="44">
        <f t="shared" si="26"/>
        <v>200000</v>
      </c>
      <c r="W104" s="44">
        <f t="shared" si="26"/>
        <v>0</v>
      </c>
      <c r="X104" s="44">
        <f t="shared" si="26"/>
        <v>0</v>
      </c>
      <c r="Y104" s="44">
        <f t="shared" si="26"/>
        <v>244421.54</v>
      </c>
      <c r="Z104" s="108">
        <f t="shared" si="20"/>
        <v>0.24890200193120898</v>
      </c>
      <c r="AA104" s="44">
        <f t="shared" si="26"/>
        <v>28870644.399999999</v>
      </c>
      <c r="AB104" s="44">
        <f t="shared" si="25"/>
        <v>332718290.60000002</v>
      </c>
      <c r="AC104" s="181"/>
    </row>
    <row r="105" spans="1:29" s="63" customFormat="1" ht="23.25" customHeight="1" x14ac:dyDescent="0.25">
      <c r="A105" s="48" t="s">
        <v>117</v>
      </c>
      <c r="B105" s="52"/>
      <c r="C105" s="53" t="s">
        <v>118</v>
      </c>
      <c r="D105" s="44">
        <f t="shared" ref="D105:AB105" si="28">D106</f>
        <v>1300000</v>
      </c>
      <c r="E105" s="44">
        <f t="shared" si="28"/>
        <v>1300000</v>
      </c>
      <c r="F105" s="44">
        <f t="shared" si="28"/>
        <v>0</v>
      </c>
      <c r="G105" s="44">
        <f t="shared" si="28"/>
        <v>0</v>
      </c>
      <c r="H105" s="44">
        <f t="shared" si="28"/>
        <v>0</v>
      </c>
      <c r="I105" s="44">
        <f t="shared" si="28"/>
        <v>0</v>
      </c>
      <c r="J105" s="44">
        <f t="shared" si="28"/>
        <v>0</v>
      </c>
      <c r="K105" s="44">
        <f t="shared" si="28"/>
        <v>0</v>
      </c>
      <c r="L105" s="44">
        <f t="shared" si="28"/>
        <v>0</v>
      </c>
      <c r="M105" s="108">
        <f t="shared" si="16"/>
        <v>0</v>
      </c>
      <c r="N105" s="44">
        <f t="shared" si="28"/>
        <v>0</v>
      </c>
      <c r="O105" s="44">
        <f t="shared" si="28"/>
        <v>0</v>
      </c>
      <c r="P105" s="44">
        <f t="shared" si="28"/>
        <v>0</v>
      </c>
      <c r="Q105" s="44">
        <f t="shared" si="28"/>
        <v>0</v>
      </c>
      <c r="R105" s="44">
        <f t="shared" si="28"/>
        <v>0</v>
      </c>
      <c r="S105" s="44">
        <f t="shared" si="28"/>
        <v>0</v>
      </c>
      <c r="T105" s="44">
        <f t="shared" si="28"/>
        <v>0</v>
      </c>
      <c r="U105" s="44">
        <f t="shared" si="28"/>
        <v>0</v>
      </c>
      <c r="V105" s="44">
        <f t="shared" si="28"/>
        <v>0</v>
      </c>
      <c r="W105" s="44">
        <f t="shared" si="28"/>
        <v>0</v>
      </c>
      <c r="X105" s="44">
        <f t="shared" si="28"/>
        <v>0</v>
      </c>
      <c r="Y105" s="44">
        <f t="shared" si="28"/>
        <v>0</v>
      </c>
      <c r="Z105" s="108"/>
      <c r="AA105" s="44">
        <f t="shared" si="28"/>
        <v>0</v>
      </c>
      <c r="AB105" s="44">
        <f t="shared" si="28"/>
        <v>1300000</v>
      </c>
      <c r="AC105" s="181"/>
    </row>
    <row r="106" spans="1:29" ht="29.25" customHeight="1" x14ac:dyDescent="0.25">
      <c r="A106" s="45" t="s">
        <v>112</v>
      </c>
      <c r="B106" s="45" t="s">
        <v>70</v>
      </c>
      <c r="C106" s="32" t="s">
        <v>257</v>
      </c>
      <c r="D106" s="47">
        <f>'дод 2'!E202</f>
        <v>1300000</v>
      </c>
      <c r="E106" s="47">
        <f>'дод 2'!F202</f>
        <v>1300000</v>
      </c>
      <c r="F106" s="47">
        <f>'дод 2'!G202</f>
        <v>0</v>
      </c>
      <c r="G106" s="47">
        <f>'дод 2'!H202</f>
        <v>0</v>
      </c>
      <c r="H106" s="47">
        <f>'дод 2'!I202</f>
        <v>0</v>
      </c>
      <c r="I106" s="47">
        <f>'дод 2'!J202</f>
        <v>0</v>
      </c>
      <c r="J106" s="47">
        <f>'дод 2'!K202</f>
        <v>0</v>
      </c>
      <c r="K106" s="47">
        <f>'дод 2'!L202</f>
        <v>0</v>
      </c>
      <c r="L106" s="47">
        <f>'дод 2'!M202</f>
        <v>0</v>
      </c>
      <c r="M106" s="109">
        <f t="shared" si="16"/>
        <v>0</v>
      </c>
      <c r="N106" s="47">
        <f>'дод 2'!O202</f>
        <v>0</v>
      </c>
      <c r="O106" s="47">
        <f>'дод 2'!P202</f>
        <v>0</v>
      </c>
      <c r="P106" s="47">
        <f>'дод 2'!Q202</f>
        <v>0</v>
      </c>
      <c r="Q106" s="47">
        <f>'дод 2'!R202</f>
        <v>0</v>
      </c>
      <c r="R106" s="47">
        <f>'дод 2'!S202</f>
        <v>0</v>
      </c>
      <c r="S106" s="47">
        <f>'дод 2'!T202</f>
        <v>0</v>
      </c>
      <c r="T106" s="47">
        <f>'дод 2'!U202</f>
        <v>0</v>
      </c>
      <c r="U106" s="47">
        <f>'дод 2'!V202</f>
        <v>0</v>
      </c>
      <c r="V106" s="47">
        <f>'дод 2'!W202</f>
        <v>0</v>
      </c>
      <c r="W106" s="47">
        <f>'дод 2'!X202</f>
        <v>0</v>
      </c>
      <c r="X106" s="47">
        <f>'дод 2'!Y202</f>
        <v>0</v>
      </c>
      <c r="Y106" s="47">
        <f>'дод 2'!Z202</f>
        <v>0</v>
      </c>
      <c r="Z106" s="109"/>
      <c r="AA106" s="47">
        <f>'дод 2'!AB202</f>
        <v>0</v>
      </c>
      <c r="AB106" s="47">
        <f>'дод 2'!AC202</f>
        <v>1300000</v>
      </c>
      <c r="AC106" s="181"/>
    </row>
    <row r="107" spans="1:29" s="77" customFormat="1" ht="35.25" customHeight="1" x14ac:dyDescent="0.25">
      <c r="A107" s="48" t="s">
        <v>83</v>
      </c>
      <c r="B107" s="48"/>
      <c r="C107" s="87" t="s">
        <v>476</v>
      </c>
      <c r="D107" s="44">
        <f>D108+D110+D109</f>
        <v>0</v>
      </c>
      <c r="E107" s="44">
        <f t="shared" ref="E107:AA107" si="29">E108+E110+E109</f>
        <v>0</v>
      </c>
      <c r="F107" s="44">
        <f t="shared" si="29"/>
        <v>0</v>
      </c>
      <c r="G107" s="44">
        <f t="shared" si="29"/>
        <v>0</v>
      </c>
      <c r="H107" s="44">
        <f t="shared" si="29"/>
        <v>0</v>
      </c>
      <c r="I107" s="44">
        <f t="shared" si="29"/>
        <v>0</v>
      </c>
      <c r="J107" s="44">
        <f t="shared" si="29"/>
        <v>0</v>
      </c>
      <c r="K107" s="44">
        <f t="shared" si="29"/>
        <v>0</v>
      </c>
      <c r="L107" s="44">
        <f t="shared" ref="L107" si="30">L108+L110+L109</f>
        <v>0</v>
      </c>
      <c r="M107" s="108"/>
      <c r="N107" s="44">
        <f t="shared" si="29"/>
        <v>163082294</v>
      </c>
      <c r="O107" s="44">
        <f t="shared" si="29"/>
        <v>153082294</v>
      </c>
      <c r="P107" s="44">
        <f t="shared" si="29"/>
        <v>0</v>
      </c>
      <c r="Q107" s="44">
        <f t="shared" si="29"/>
        <v>0</v>
      </c>
      <c r="R107" s="44">
        <f t="shared" si="29"/>
        <v>0</v>
      </c>
      <c r="S107" s="44">
        <f t="shared" si="29"/>
        <v>163082294</v>
      </c>
      <c r="T107" s="44">
        <f t="shared" si="29"/>
        <v>234421.54</v>
      </c>
      <c r="U107" s="44">
        <f t="shared" si="29"/>
        <v>234421.54</v>
      </c>
      <c r="V107" s="44">
        <f t="shared" si="29"/>
        <v>0</v>
      </c>
      <c r="W107" s="44">
        <f t="shared" si="29"/>
        <v>0</v>
      </c>
      <c r="X107" s="44">
        <f t="shared" si="29"/>
        <v>0</v>
      </c>
      <c r="Y107" s="44">
        <f t="shared" si="29"/>
        <v>234421.54</v>
      </c>
      <c r="Z107" s="108">
        <f t="shared" si="20"/>
        <v>0.14374432334144135</v>
      </c>
      <c r="AA107" s="44">
        <f t="shared" si="29"/>
        <v>234421.54</v>
      </c>
      <c r="AB107" s="44">
        <f t="shared" ref="AB107" si="31">AB108+AB110+AB109</f>
        <v>163082294</v>
      </c>
      <c r="AC107" s="181"/>
    </row>
    <row r="108" spans="1:29" s="79" customFormat="1" ht="47.25" x14ac:dyDescent="0.25">
      <c r="A108" s="45" t="s">
        <v>213</v>
      </c>
      <c r="B108" s="23" t="s">
        <v>69</v>
      </c>
      <c r="C108" s="46" t="s">
        <v>428</v>
      </c>
      <c r="D108" s="47">
        <f>'дод 2'!E149+'дод 2'!E177</f>
        <v>0</v>
      </c>
      <c r="E108" s="47">
        <f>'дод 2'!F149+'дод 2'!F177</f>
        <v>0</v>
      </c>
      <c r="F108" s="47">
        <f>'дод 2'!G149+'дод 2'!G177</f>
        <v>0</v>
      </c>
      <c r="G108" s="47">
        <f>'дод 2'!H149+'дод 2'!H177</f>
        <v>0</v>
      </c>
      <c r="H108" s="47">
        <f>'дод 2'!I149+'дод 2'!I177</f>
        <v>0</v>
      </c>
      <c r="I108" s="47">
        <f>'дод 2'!J149+'дод 2'!J177</f>
        <v>0</v>
      </c>
      <c r="J108" s="47">
        <f>'дод 2'!K149+'дод 2'!K177</f>
        <v>0</v>
      </c>
      <c r="K108" s="47">
        <f>'дод 2'!L149+'дод 2'!L177</f>
        <v>0</v>
      </c>
      <c r="L108" s="47">
        <f>'дод 2'!M149+'дод 2'!M177</f>
        <v>0</v>
      </c>
      <c r="M108" s="109"/>
      <c r="N108" s="47">
        <f>'дод 2'!O149+'дод 2'!O177</f>
        <v>116886400</v>
      </c>
      <c r="O108" s="47">
        <f>'дод 2'!P149+'дод 2'!P177</f>
        <v>116886400</v>
      </c>
      <c r="P108" s="47">
        <f>'дод 2'!Q149+'дод 2'!Q177</f>
        <v>0</v>
      </c>
      <c r="Q108" s="47">
        <f>'дод 2'!R149+'дод 2'!R177</f>
        <v>0</v>
      </c>
      <c r="R108" s="47">
        <f>'дод 2'!S149+'дод 2'!S177</f>
        <v>0</v>
      </c>
      <c r="S108" s="47">
        <f>'дод 2'!T149+'дод 2'!T177</f>
        <v>116886400</v>
      </c>
      <c r="T108" s="47">
        <f>'дод 2'!U149+'дод 2'!U177</f>
        <v>234421.54</v>
      </c>
      <c r="U108" s="47">
        <f>'дод 2'!V149+'дод 2'!V177</f>
        <v>234421.54</v>
      </c>
      <c r="V108" s="47">
        <f>'дод 2'!W149+'дод 2'!W177</f>
        <v>0</v>
      </c>
      <c r="W108" s="47">
        <f>'дод 2'!X149+'дод 2'!X177</f>
        <v>0</v>
      </c>
      <c r="X108" s="47">
        <f>'дод 2'!Y149+'дод 2'!Y177</f>
        <v>0</v>
      </c>
      <c r="Y108" s="47">
        <f>'дод 2'!Z149+'дод 2'!Z177</f>
        <v>234421.54</v>
      </c>
      <c r="Z108" s="109">
        <f t="shared" si="20"/>
        <v>0.20055501752128563</v>
      </c>
      <c r="AA108" s="47">
        <f>'дод 2'!AB149+'дод 2'!AB177</f>
        <v>234421.54</v>
      </c>
      <c r="AB108" s="47">
        <f>'дод 2'!AC149+'дод 2'!AC177</f>
        <v>116886400</v>
      </c>
      <c r="AC108" s="181"/>
    </row>
    <row r="109" spans="1:29" ht="37.5" customHeight="1" x14ac:dyDescent="0.25">
      <c r="A109" s="24">
        <v>7351</v>
      </c>
      <c r="B109" s="23" t="s">
        <v>93</v>
      </c>
      <c r="C109" s="28" t="s">
        <v>423</v>
      </c>
      <c r="D109" s="47">
        <f>'дод 2'!E182</f>
        <v>0</v>
      </c>
      <c r="E109" s="47">
        <f>'дод 2'!F182</f>
        <v>0</v>
      </c>
      <c r="F109" s="47">
        <f>'дод 2'!G182</f>
        <v>0</v>
      </c>
      <c r="G109" s="47">
        <f>'дод 2'!H182</f>
        <v>0</v>
      </c>
      <c r="H109" s="47">
        <f>'дод 2'!I182</f>
        <v>0</v>
      </c>
      <c r="I109" s="47">
        <f>'дод 2'!J182</f>
        <v>0</v>
      </c>
      <c r="J109" s="47">
        <f>'дод 2'!K182</f>
        <v>0</v>
      </c>
      <c r="K109" s="47">
        <f>'дод 2'!L182</f>
        <v>0</v>
      </c>
      <c r="L109" s="47">
        <f>'дод 2'!M182</f>
        <v>0</v>
      </c>
      <c r="M109" s="109"/>
      <c r="N109" s="47">
        <f>'дод 2'!O182</f>
        <v>2000000</v>
      </c>
      <c r="O109" s="47">
        <f>'дод 2'!P182</f>
        <v>2000000</v>
      </c>
      <c r="P109" s="47">
        <f>'дод 2'!Q182</f>
        <v>0</v>
      </c>
      <c r="Q109" s="47">
        <f>'дод 2'!R182</f>
        <v>0</v>
      </c>
      <c r="R109" s="47">
        <f>'дод 2'!S182</f>
        <v>0</v>
      </c>
      <c r="S109" s="47">
        <f>'дод 2'!T182</f>
        <v>2000000</v>
      </c>
      <c r="T109" s="47">
        <f>'дод 2'!U182</f>
        <v>0</v>
      </c>
      <c r="U109" s="47">
        <f>'дод 2'!V182</f>
        <v>0</v>
      </c>
      <c r="V109" s="47">
        <f>'дод 2'!W182</f>
        <v>0</v>
      </c>
      <c r="W109" s="47">
        <f>'дод 2'!X182</f>
        <v>0</v>
      </c>
      <c r="X109" s="47">
        <f>'дод 2'!Y182</f>
        <v>0</v>
      </c>
      <c r="Y109" s="47">
        <f>'дод 2'!Z182</f>
        <v>0</v>
      </c>
      <c r="Z109" s="109">
        <f t="shared" si="20"/>
        <v>0</v>
      </c>
      <c r="AA109" s="47">
        <f>'дод 2'!AB182</f>
        <v>0</v>
      </c>
      <c r="AB109" s="47">
        <f>'дод 2'!AC182</f>
        <v>2000000</v>
      </c>
      <c r="AC109" s="181"/>
    </row>
    <row r="110" spans="1:29" ht="35.85" customHeight="1" x14ac:dyDescent="0.25">
      <c r="A110" s="45">
        <f>'дод 2'!B150</f>
        <v>7367</v>
      </c>
      <c r="B110" s="45" t="str">
        <f>'дод 2'!C150</f>
        <v>0490</v>
      </c>
      <c r="C110" s="32" t="s">
        <v>436</v>
      </c>
      <c r="D110" s="47">
        <f>'дод 2'!E150</f>
        <v>0</v>
      </c>
      <c r="E110" s="47">
        <f>'дод 2'!F150</f>
        <v>0</v>
      </c>
      <c r="F110" s="47">
        <f>'дод 2'!G150</f>
        <v>0</v>
      </c>
      <c r="G110" s="47">
        <f>'дод 2'!H150</f>
        <v>0</v>
      </c>
      <c r="H110" s="47">
        <f>'дод 2'!I150</f>
        <v>0</v>
      </c>
      <c r="I110" s="47">
        <f>'дод 2'!J150</f>
        <v>0</v>
      </c>
      <c r="J110" s="47">
        <f>'дод 2'!K150</f>
        <v>0</v>
      </c>
      <c r="K110" s="47">
        <f>'дод 2'!L150</f>
        <v>0</v>
      </c>
      <c r="L110" s="47">
        <f>'дод 2'!M150</f>
        <v>0</v>
      </c>
      <c r="M110" s="109"/>
      <c r="N110" s="47">
        <f>'дод 2'!O150</f>
        <v>44195894</v>
      </c>
      <c r="O110" s="47">
        <f>'дод 2'!P150</f>
        <v>34195894</v>
      </c>
      <c r="P110" s="47">
        <f>'дод 2'!Q150</f>
        <v>0</v>
      </c>
      <c r="Q110" s="47">
        <f>'дод 2'!R150</f>
        <v>0</v>
      </c>
      <c r="R110" s="47">
        <f>'дод 2'!S150</f>
        <v>0</v>
      </c>
      <c r="S110" s="47">
        <f>'дод 2'!T150</f>
        <v>44195894</v>
      </c>
      <c r="T110" s="47">
        <f>'дод 2'!U150</f>
        <v>0</v>
      </c>
      <c r="U110" s="47">
        <f>'дод 2'!V150</f>
        <v>0</v>
      </c>
      <c r="V110" s="47">
        <f>'дод 2'!W150</f>
        <v>0</v>
      </c>
      <c r="W110" s="47">
        <f>'дод 2'!X150</f>
        <v>0</v>
      </c>
      <c r="X110" s="47">
        <f>'дод 2'!Y150</f>
        <v>0</v>
      </c>
      <c r="Y110" s="47">
        <f>'дод 2'!Z150</f>
        <v>0</v>
      </c>
      <c r="Z110" s="109">
        <f t="shared" si="20"/>
        <v>0</v>
      </c>
      <c r="AA110" s="47">
        <f>'дод 2'!AB150</f>
        <v>0</v>
      </c>
      <c r="AB110" s="47">
        <f>'дод 2'!AC150</f>
        <v>44195894</v>
      </c>
      <c r="AC110" s="181"/>
    </row>
    <row r="111" spans="1:29" s="63" customFormat="1" ht="34.5" customHeight="1" x14ac:dyDescent="0.25">
      <c r="A111" s="48" t="s">
        <v>72</v>
      </c>
      <c r="B111" s="52"/>
      <c r="C111" s="53" t="s">
        <v>306</v>
      </c>
      <c r="D111" s="44">
        <f>D112+D115+D116+D114+D113</f>
        <v>138598600</v>
      </c>
      <c r="E111" s="44">
        <f t="shared" ref="E111:AA111" si="32">E112+E115+E116+E114+E113</f>
        <v>198600</v>
      </c>
      <c r="F111" s="44">
        <f t="shared" si="32"/>
        <v>0</v>
      </c>
      <c r="G111" s="44">
        <f t="shared" si="32"/>
        <v>0</v>
      </c>
      <c r="H111" s="44">
        <f t="shared" si="32"/>
        <v>138400000</v>
      </c>
      <c r="I111" s="44">
        <f t="shared" si="32"/>
        <v>27781000</v>
      </c>
      <c r="J111" s="44">
        <f t="shared" si="32"/>
        <v>0</v>
      </c>
      <c r="K111" s="44">
        <f t="shared" si="32"/>
        <v>0</v>
      </c>
      <c r="L111" s="44">
        <f t="shared" ref="L111" si="33">L112+L115+L116+L114+L113</f>
        <v>27781000</v>
      </c>
      <c r="M111" s="108">
        <f t="shared" si="16"/>
        <v>20.044214010819733</v>
      </c>
      <c r="N111" s="44">
        <f t="shared" si="32"/>
        <v>0</v>
      </c>
      <c r="O111" s="44">
        <f t="shared" si="32"/>
        <v>0</v>
      </c>
      <c r="P111" s="44">
        <f t="shared" si="32"/>
        <v>0</v>
      </c>
      <c r="Q111" s="44">
        <f t="shared" si="32"/>
        <v>0</v>
      </c>
      <c r="R111" s="44">
        <f t="shared" si="32"/>
        <v>0</v>
      </c>
      <c r="S111" s="44">
        <f t="shared" si="32"/>
        <v>0</v>
      </c>
      <c r="T111" s="44">
        <f t="shared" si="32"/>
        <v>0</v>
      </c>
      <c r="U111" s="44">
        <f t="shared" si="32"/>
        <v>0</v>
      </c>
      <c r="V111" s="44">
        <f t="shared" si="32"/>
        <v>0</v>
      </c>
      <c r="W111" s="44">
        <f t="shared" si="32"/>
        <v>0</v>
      </c>
      <c r="X111" s="44">
        <f t="shared" si="32"/>
        <v>0</v>
      </c>
      <c r="Y111" s="44">
        <f t="shared" si="32"/>
        <v>0</v>
      </c>
      <c r="Z111" s="108"/>
      <c r="AA111" s="44">
        <f t="shared" si="32"/>
        <v>27781000</v>
      </c>
      <c r="AB111" s="44">
        <f t="shared" ref="AB111" si="34">AB112+AB115+AB116+AB114+AB113</f>
        <v>138598600</v>
      </c>
      <c r="AC111" s="181"/>
    </row>
    <row r="112" spans="1:29" s="64" customFormat="1" ht="18.75" customHeight="1" x14ac:dyDescent="0.25">
      <c r="A112" s="45" t="s">
        <v>1</v>
      </c>
      <c r="B112" s="45" t="s">
        <v>71</v>
      </c>
      <c r="C112" s="32" t="s">
        <v>30</v>
      </c>
      <c r="D112" s="47">
        <f>'дод 2'!E151+'дод 2'!E32</f>
        <v>45672000</v>
      </c>
      <c r="E112" s="47">
        <f>'дод 2'!F151+'дод 2'!F32</f>
        <v>0</v>
      </c>
      <c r="F112" s="47">
        <f>'дод 2'!G151+'дод 2'!G32</f>
        <v>0</v>
      </c>
      <c r="G112" s="47">
        <f>'дод 2'!H151+'дод 2'!H32</f>
        <v>0</v>
      </c>
      <c r="H112" s="47">
        <f>'дод 2'!I151+'дод 2'!I32</f>
        <v>45672000</v>
      </c>
      <c r="I112" s="47">
        <f>'дод 2'!J151+'дод 2'!J32</f>
        <v>9204000</v>
      </c>
      <c r="J112" s="47">
        <f>'дод 2'!K151+'дод 2'!K32</f>
        <v>0</v>
      </c>
      <c r="K112" s="47">
        <f>'дод 2'!L151+'дод 2'!L32</f>
        <v>0</v>
      </c>
      <c r="L112" s="47">
        <f>'дод 2'!M151+'дод 2'!M32</f>
        <v>9204000</v>
      </c>
      <c r="M112" s="109">
        <f t="shared" si="16"/>
        <v>20.152390961639515</v>
      </c>
      <c r="N112" s="47">
        <f>'дод 2'!O151+'дод 2'!O32</f>
        <v>0</v>
      </c>
      <c r="O112" s="47">
        <f>'дод 2'!P151+'дод 2'!P32</f>
        <v>0</v>
      </c>
      <c r="P112" s="47">
        <f>'дод 2'!Q151+'дод 2'!Q32</f>
        <v>0</v>
      </c>
      <c r="Q112" s="47">
        <f>'дод 2'!R151+'дод 2'!R32</f>
        <v>0</v>
      </c>
      <c r="R112" s="47">
        <f>'дод 2'!S151+'дод 2'!S32</f>
        <v>0</v>
      </c>
      <c r="S112" s="47">
        <f>'дод 2'!T151+'дод 2'!T32</f>
        <v>0</v>
      </c>
      <c r="T112" s="47">
        <f>'дод 2'!U151+'дод 2'!U32</f>
        <v>0</v>
      </c>
      <c r="U112" s="47">
        <f>'дод 2'!V151+'дод 2'!V32</f>
        <v>0</v>
      </c>
      <c r="V112" s="47">
        <f>'дод 2'!W151+'дод 2'!W32</f>
        <v>0</v>
      </c>
      <c r="W112" s="47">
        <f>'дод 2'!X151+'дод 2'!X32</f>
        <v>0</v>
      </c>
      <c r="X112" s="47">
        <f>'дод 2'!Y151+'дод 2'!Y32</f>
        <v>0</v>
      </c>
      <c r="Y112" s="47">
        <f>'дод 2'!Z151+'дод 2'!Z32</f>
        <v>0</v>
      </c>
      <c r="Z112" s="109"/>
      <c r="AA112" s="47">
        <f>'дод 2'!AB151+'дод 2'!AB32</f>
        <v>9204000</v>
      </c>
      <c r="AB112" s="47">
        <f>'дод 2'!AC151+'дод 2'!AC32</f>
        <v>45672000</v>
      </c>
      <c r="AC112" s="181"/>
    </row>
    <row r="113" spans="1:29" s="64" customFormat="1" ht="18.75" hidden="1" customHeight="1" x14ac:dyDescent="0.25">
      <c r="A113" s="45">
        <v>7413</v>
      </c>
      <c r="B113" s="45" t="s">
        <v>71</v>
      </c>
      <c r="C113" s="32" t="s">
        <v>400</v>
      </c>
      <c r="D113" s="47">
        <f>'дод 2'!E152+'дод 2'!E33</f>
        <v>0</v>
      </c>
      <c r="E113" s="47">
        <f>'дод 2'!F152+'дод 2'!F33</f>
        <v>0</v>
      </c>
      <c r="F113" s="47">
        <f>'дод 2'!G152+'дод 2'!G33</f>
        <v>0</v>
      </c>
      <c r="G113" s="47">
        <f>'дод 2'!H152+'дод 2'!H33</f>
        <v>0</v>
      </c>
      <c r="H113" s="47">
        <f>'дод 2'!I152+'дод 2'!I33</f>
        <v>0</v>
      </c>
      <c r="I113" s="47">
        <f>'дод 2'!J152+'дод 2'!J33</f>
        <v>0</v>
      </c>
      <c r="J113" s="47">
        <f>'дод 2'!K152+'дод 2'!K33</f>
        <v>0</v>
      </c>
      <c r="K113" s="47">
        <f>'дод 2'!L152+'дод 2'!L33</f>
        <v>0</v>
      </c>
      <c r="L113" s="47">
        <f>'дод 2'!M152+'дод 2'!M33</f>
        <v>0</v>
      </c>
      <c r="M113" s="109" t="e">
        <f t="shared" si="16"/>
        <v>#DIV/0!</v>
      </c>
      <c r="N113" s="47">
        <f>'дод 2'!O152+'дод 2'!O33</f>
        <v>0</v>
      </c>
      <c r="O113" s="47">
        <f>'дод 2'!P152+'дод 2'!P33</f>
        <v>0</v>
      </c>
      <c r="P113" s="47">
        <f>'дод 2'!Q152+'дод 2'!Q33</f>
        <v>0</v>
      </c>
      <c r="Q113" s="47">
        <f>'дод 2'!R152+'дод 2'!R33</f>
        <v>0</v>
      </c>
      <c r="R113" s="47">
        <f>'дод 2'!S152+'дод 2'!S33</f>
        <v>0</v>
      </c>
      <c r="S113" s="47">
        <f>'дод 2'!T152+'дод 2'!T33</f>
        <v>0</v>
      </c>
      <c r="T113" s="47">
        <f>'дод 2'!U152+'дод 2'!U33</f>
        <v>0</v>
      </c>
      <c r="U113" s="47">
        <f>'дод 2'!V152+'дод 2'!V33</f>
        <v>0</v>
      </c>
      <c r="V113" s="47">
        <f>'дод 2'!W152+'дод 2'!W33</f>
        <v>0</v>
      </c>
      <c r="W113" s="47">
        <f>'дод 2'!X152+'дод 2'!X33</f>
        <v>0</v>
      </c>
      <c r="X113" s="47">
        <f>'дод 2'!Y152+'дод 2'!Y33</f>
        <v>0</v>
      </c>
      <c r="Y113" s="47">
        <f>'дод 2'!Z152+'дод 2'!Z33</f>
        <v>0</v>
      </c>
      <c r="Z113" s="109"/>
      <c r="AA113" s="47">
        <f>'дод 2'!AB152+'дод 2'!AB33</f>
        <v>0</v>
      </c>
      <c r="AB113" s="47">
        <f>'дод 2'!AC152+'дод 2'!AC33</f>
        <v>0</v>
      </c>
      <c r="AC113" s="181"/>
    </row>
    <row r="114" spans="1:29" s="64" customFormat="1" ht="31.5" x14ac:dyDescent="0.25">
      <c r="A114" s="45">
        <v>7422</v>
      </c>
      <c r="B114" s="54" t="s">
        <v>380</v>
      </c>
      <c r="C114" s="32" t="s">
        <v>379</v>
      </c>
      <c r="D114" s="47">
        <f>'дод 2'!E153+'дод 2'!E34</f>
        <v>92728000</v>
      </c>
      <c r="E114" s="47">
        <f>'дод 2'!F153+'дод 2'!F34</f>
        <v>0</v>
      </c>
      <c r="F114" s="47">
        <f>'дод 2'!G153+'дод 2'!G34</f>
        <v>0</v>
      </c>
      <c r="G114" s="47">
        <f>'дод 2'!H153+'дод 2'!H34</f>
        <v>0</v>
      </c>
      <c r="H114" s="47">
        <f>'дод 2'!I153+'дод 2'!I34</f>
        <v>92728000</v>
      </c>
      <c r="I114" s="47">
        <f>'дод 2'!J153+'дод 2'!J34</f>
        <v>18577000</v>
      </c>
      <c r="J114" s="47">
        <f>'дод 2'!K153+'дод 2'!K34</f>
        <v>0</v>
      </c>
      <c r="K114" s="47">
        <f>'дод 2'!L153+'дод 2'!L34</f>
        <v>0</v>
      </c>
      <c r="L114" s="47">
        <f>'дод 2'!M153+'дод 2'!M34</f>
        <v>18577000</v>
      </c>
      <c r="M114" s="109">
        <f t="shared" si="16"/>
        <v>20.033862479509963</v>
      </c>
      <c r="N114" s="47">
        <f>'дод 2'!O153+'дод 2'!O34</f>
        <v>0</v>
      </c>
      <c r="O114" s="47">
        <f>'дод 2'!P153+'дод 2'!P34</f>
        <v>0</v>
      </c>
      <c r="P114" s="47">
        <f>'дод 2'!Q153+'дод 2'!Q34</f>
        <v>0</v>
      </c>
      <c r="Q114" s="47">
        <f>'дод 2'!R153+'дод 2'!R34</f>
        <v>0</v>
      </c>
      <c r="R114" s="47">
        <f>'дод 2'!S153+'дод 2'!S34</f>
        <v>0</v>
      </c>
      <c r="S114" s="47">
        <f>'дод 2'!T153+'дод 2'!T34</f>
        <v>0</v>
      </c>
      <c r="T114" s="47">
        <f>'дод 2'!U153+'дод 2'!U34</f>
        <v>0</v>
      </c>
      <c r="U114" s="47">
        <f>'дод 2'!V153+'дод 2'!V34</f>
        <v>0</v>
      </c>
      <c r="V114" s="47">
        <f>'дод 2'!W153+'дод 2'!W34</f>
        <v>0</v>
      </c>
      <c r="W114" s="47">
        <f>'дод 2'!X153+'дод 2'!X34</f>
        <v>0</v>
      </c>
      <c r="X114" s="47">
        <f>'дод 2'!Y153+'дод 2'!Y34</f>
        <v>0</v>
      </c>
      <c r="Y114" s="47">
        <f>'дод 2'!Z153+'дод 2'!Z34</f>
        <v>0</v>
      </c>
      <c r="Z114" s="109"/>
      <c r="AA114" s="47">
        <f>'дод 2'!AB153+'дод 2'!AB34</f>
        <v>18577000</v>
      </c>
      <c r="AB114" s="47">
        <f>'дод 2'!AC153+'дод 2'!AC34</f>
        <v>92728000</v>
      </c>
      <c r="AC114" s="181"/>
    </row>
    <row r="115" spans="1:29" s="64" customFormat="1" ht="21" hidden="1" customHeight="1" x14ac:dyDescent="0.25">
      <c r="A115" s="24">
        <v>7426</v>
      </c>
      <c r="B115" s="23" t="s">
        <v>352</v>
      </c>
      <c r="C115" s="28" t="s">
        <v>351</v>
      </c>
      <c r="D115" s="47">
        <f>'дод 2'!E154+'дод 2'!E35</f>
        <v>0</v>
      </c>
      <c r="E115" s="47">
        <f>'дод 2'!F154+'дод 2'!F35</f>
        <v>0</v>
      </c>
      <c r="F115" s="47">
        <f>'дод 2'!G154+'дод 2'!G35</f>
        <v>0</v>
      </c>
      <c r="G115" s="47">
        <f>'дод 2'!H154+'дод 2'!H35</f>
        <v>0</v>
      </c>
      <c r="H115" s="47">
        <f>'дод 2'!I154+'дод 2'!I35</f>
        <v>0</v>
      </c>
      <c r="I115" s="47">
        <f>'дод 2'!J154+'дод 2'!J35</f>
        <v>0</v>
      </c>
      <c r="J115" s="47">
        <f>'дод 2'!K154+'дод 2'!K35</f>
        <v>0</v>
      </c>
      <c r="K115" s="47">
        <f>'дод 2'!L154+'дод 2'!L35</f>
        <v>0</v>
      </c>
      <c r="L115" s="47">
        <f>'дод 2'!M154+'дод 2'!M35</f>
        <v>0</v>
      </c>
      <c r="M115" s="109" t="e">
        <f t="shared" si="16"/>
        <v>#DIV/0!</v>
      </c>
      <c r="N115" s="47">
        <f>'дод 2'!O154+'дод 2'!O35</f>
        <v>0</v>
      </c>
      <c r="O115" s="47">
        <f>'дод 2'!P154+'дод 2'!P35</f>
        <v>0</v>
      </c>
      <c r="P115" s="47">
        <f>'дод 2'!Q154+'дод 2'!Q35</f>
        <v>0</v>
      </c>
      <c r="Q115" s="47">
        <f>'дод 2'!R154+'дод 2'!R35</f>
        <v>0</v>
      </c>
      <c r="R115" s="47">
        <f>'дод 2'!S154+'дод 2'!S35</f>
        <v>0</v>
      </c>
      <c r="S115" s="47">
        <f>'дод 2'!T154+'дод 2'!T35</f>
        <v>0</v>
      </c>
      <c r="T115" s="47">
        <f>'дод 2'!U154+'дод 2'!U35</f>
        <v>0</v>
      </c>
      <c r="U115" s="47">
        <f>'дод 2'!V154+'дод 2'!V35</f>
        <v>0</v>
      </c>
      <c r="V115" s="47">
        <f>'дод 2'!W154+'дод 2'!W35</f>
        <v>0</v>
      </c>
      <c r="W115" s="47">
        <f>'дод 2'!X154+'дод 2'!X35</f>
        <v>0</v>
      </c>
      <c r="X115" s="47">
        <f>'дод 2'!Y154+'дод 2'!Y35</f>
        <v>0</v>
      </c>
      <c r="Y115" s="47">
        <f>'дод 2'!Z154+'дод 2'!Z35</f>
        <v>0</v>
      </c>
      <c r="Z115" s="109"/>
      <c r="AA115" s="47">
        <f>'дод 2'!AB154+'дод 2'!AB35</f>
        <v>0</v>
      </c>
      <c r="AB115" s="47">
        <f>'дод 2'!AC154+'дод 2'!AC35</f>
        <v>0</v>
      </c>
      <c r="AC115" s="181"/>
    </row>
    <row r="116" spans="1:29" s="64" customFormat="1" ht="19.5" customHeight="1" x14ac:dyDescent="0.25">
      <c r="A116" s="24">
        <v>7450</v>
      </c>
      <c r="B116" s="23" t="s">
        <v>348</v>
      </c>
      <c r="C116" s="32" t="s">
        <v>349</v>
      </c>
      <c r="D116" s="47">
        <f>'дод 2'!E155+'дод 2'!E36</f>
        <v>198600</v>
      </c>
      <c r="E116" s="47">
        <f>'дод 2'!F155+'дод 2'!F36</f>
        <v>198600</v>
      </c>
      <c r="F116" s="47">
        <f>'дод 2'!G155+'дод 2'!G36</f>
        <v>0</v>
      </c>
      <c r="G116" s="47">
        <f>'дод 2'!H155+'дод 2'!H36</f>
        <v>0</v>
      </c>
      <c r="H116" s="47">
        <f>'дод 2'!I155+'дод 2'!I36</f>
        <v>0</v>
      </c>
      <c r="I116" s="47">
        <f>'дод 2'!J155+'дод 2'!J36</f>
        <v>0</v>
      </c>
      <c r="J116" s="47">
        <f>'дод 2'!K155+'дод 2'!K36</f>
        <v>0</v>
      </c>
      <c r="K116" s="47">
        <f>'дод 2'!L155+'дод 2'!L36</f>
        <v>0</v>
      </c>
      <c r="L116" s="47">
        <f>'дод 2'!M155+'дод 2'!M36</f>
        <v>0</v>
      </c>
      <c r="M116" s="109">
        <f t="shared" si="16"/>
        <v>0</v>
      </c>
      <c r="N116" s="47">
        <f>'дод 2'!O155+'дод 2'!O36</f>
        <v>0</v>
      </c>
      <c r="O116" s="47">
        <f>'дод 2'!P155+'дод 2'!P36</f>
        <v>0</v>
      </c>
      <c r="P116" s="47">
        <f>'дод 2'!Q155+'дод 2'!Q36</f>
        <v>0</v>
      </c>
      <c r="Q116" s="47">
        <f>'дод 2'!R155+'дод 2'!R36</f>
        <v>0</v>
      </c>
      <c r="R116" s="47">
        <f>'дод 2'!S155+'дод 2'!S36</f>
        <v>0</v>
      </c>
      <c r="S116" s="47">
        <f>'дод 2'!T155+'дод 2'!T36</f>
        <v>0</v>
      </c>
      <c r="T116" s="47">
        <f>'дод 2'!U155+'дод 2'!U36</f>
        <v>0</v>
      </c>
      <c r="U116" s="47">
        <f>'дод 2'!V155+'дод 2'!V36</f>
        <v>0</v>
      </c>
      <c r="V116" s="47">
        <f>'дод 2'!W155+'дод 2'!W36</f>
        <v>0</v>
      </c>
      <c r="W116" s="47">
        <f>'дод 2'!X155+'дод 2'!X36</f>
        <v>0</v>
      </c>
      <c r="X116" s="47">
        <f>'дод 2'!Y155+'дод 2'!Y36</f>
        <v>0</v>
      </c>
      <c r="Y116" s="47">
        <f>'дод 2'!Z155+'дод 2'!Z36</f>
        <v>0</v>
      </c>
      <c r="Z116" s="109"/>
      <c r="AA116" s="47">
        <f>'дод 2'!AB155+'дод 2'!AB36</f>
        <v>0</v>
      </c>
      <c r="AB116" s="47">
        <f>'дод 2'!AC155+'дод 2'!AC36</f>
        <v>198600</v>
      </c>
      <c r="AC116" s="181"/>
    </row>
    <row r="117" spans="1:29" s="63" customFormat="1" ht="21" customHeight="1" x14ac:dyDescent="0.25">
      <c r="A117" s="29" t="s">
        <v>189</v>
      </c>
      <c r="B117" s="52"/>
      <c r="C117" s="53" t="s">
        <v>190</v>
      </c>
      <c r="D117" s="44">
        <f>D118</f>
        <v>4840290</v>
      </c>
      <c r="E117" s="44">
        <f t="shared" ref="E117:AA117" si="35">E118</f>
        <v>3940290</v>
      </c>
      <c r="F117" s="44">
        <f t="shared" si="35"/>
        <v>0</v>
      </c>
      <c r="G117" s="44">
        <f t="shared" si="35"/>
        <v>65500</v>
      </c>
      <c r="H117" s="44">
        <f t="shared" si="35"/>
        <v>900000</v>
      </c>
      <c r="I117" s="44">
        <f t="shared" si="35"/>
        <v>105859.75</v>
      </c>
      <c r="J117" s="44">
        <f t="shared" si="35"/>
        <v>0</v>
      </c>
      <c r="K117" s="44">
        <f t="shared" si="35"/>
        <v>9127.7999999999993</v>
      </c>
      <c r="L117" s="44">
        <f t="shared" si="35"/>
        <v>0</v>
      </c>
      <c r="M117" s="108">
        <f t="shared" si="16"/>
        <v>2.1870538748711339</v>
      </c>
      <c r="N117" s="44">
        <f t="shared" si="35"/>
        <v>0</v>
      </c>
      <c r="O117" s="44">
        <f t="shared" si="35"/>
        <v>0</v>
      </c>
      <c r="P117" s="44">
        <f t="shared" si="35"/>
        <v>0</v>
      </c>
      <c r="Q117" s="44">
        <f t="shared" si="35"/>
        <v>0</v>
      </c>
      <c r="R117" s="44">
        <f t="shared" si="35"/>
        <v>0</v>
      </c>
      <c r="S117" s="44">
        <f t="shared" si="35"/>
        <v>0</v>
      </c>
      <c r="T117" s="44">
        <f t="shared" si="35"/>
        <v>0</v>
      </c>
      <c r="U117" s="44">
        <f t="shared" si="35"/>
        <v>0</v>
      </c>
      <c r="V117" s="44">
        <f t="shared" si="35"/>
        <v>0</v>
      </c>
      <c r="W117" s="44">
        <f t="shared" si="35"/>
        <v>0</v>
      </c>
      <c r="X117" s="44">
        <f t="shared" si="35"/>
        <v>0</v>
      </c>
      <c r="Y117" s="44">
        <f t="shared" si="35"/>
        <v>0</v>
      </c>
      <c r="Z117" s="108"/>
      <c r="AA117" s="44">
        <f t="shared" si="35"/>
        <v>105859.75</v>
      </c>
      <c r="AB117" s="44">
        <f t="shared" ref="AB117" si="36">AB118</f>
        <v>4840290</v>
      </c>
      <c r="AC117" s="181"/>
    </row>
    <row r="118" spans="1:29" ht="24" customHeight="1" x14ac:dyDescent="0.25">
      <c r="A118" s="45" t="s">
        <v>187</v>
      </c>
      <c r="B118" s="45" t="s">
        <v>188</v>
      </c>
      <c r="C118" s="33" t="s">
        <v>186</v>
      </c>
      <c r="D118" s="47">
        <f>'дод 2'!E37</f>
        <v>4840290</v>
      </c>
      <c r="E118" s="47">
        <f>'дод 2'!F37</f>
        <v>3940290</v>
      </c>
      <c r="F118" s="47">
        <f>'дод 2'!G37</f>
        <v>0</v>
      </c>
      <c r="G118" s="47">
        <f>'дод 2'!H37</f>
        <v>65500</v>
      </c>
      <c r="H118" s="47">
        <f>'дод 2'!I37</f>
        <v>900000</v>
      </c>
      <c r="I118" s="47">
        <f>'дод 2'!J37</f>
        <v>105859.75</v>
      </c>
      <c r="J118" s="47">
        <f>'дод 2'!K37</f>
        <v>0</v>
      </c>
      <c r="K118" s="47">
        <f>'дод 2'!L37</f>
        <v>9127.7999999999993</v>
      </c>
      <c r="L118" s="47">
        <f>'дод 2'!M37</f>
        <v>0</v>
      </c>
      <c r="M118" s="109">
        <f t="shared" si="16"/>
        <v>2.1870538748711339</v>
      </c>
      <c r="N118" s="47">
        <f>'дод 2'!O37</f>
        <v>0</v>
      </c>
      <c r="O118" s="47">
        <f>'дод 2'!P37</f>
        <v>0</v>
      </c>
      <c r="P118" s="47">
        <f>'дод 2'!Q37</f>
        <v>0</v>
      </c>
      <c r="Q118" s="47">
        <f>'дод 2'!R37</f>
        <v>0</v>
      </c>
      <c r="R118" s="47">
        <f>'дод 2'!S37</f>
        <v>0</v>
      </c>
      <c r="S118" s="47">
        <f>'дод 2'!T37</f>
        <v>0</v>
      </c>
      <c r="T118" s="47">
        <f>'дод 2'!U37</f>
        <v>0</v>
      </c>
      <c r="U118" s="47">
        <f>'дод 2'!V37</f>
        <v>0</v>
      </c>
      <c r="V118" s="47">
        <f>'дод 2'!W37</f>
        <v>0</v>
      </c>
      <c r="W118" s="47">
        <f>'дод 2'!X37</f>
        <v>0</v>
      </c>
      <c r="X118" s="47">
        <f>'дод 2'!Y37</f>
        <v>0</v>
      </c>
      <c r="Y118" s="47">
        <f>'дод 2'!Z37</f>
        <v>0</v>
      </c>
      <c r="Z118" s="109"/>
      <c r="AA118" s="47">
        <f>'дод 2'!AB37</f>
        <v>105859.75</v>
      </c>
      <c r="AB118" s="47">
        <f>'дод 2'!AC37</f>
        <v>4840290</v>
      </c>
      <c r="AC118" s="181"/>
    </row>
    <row r="119" spans="1:29" s="63" customFormat="1" ht="36.75" customHeight="1" x14ac:dyDescent="0.25">
      <c r="A119" s="48" t="s">
        <v>75</v>
      </c>
      <c r="B119" s="52"/>
      <c r="C119" s="53" t="s">
        <v>439</v>
      </c>
      <c r="D119" s="44">
        <f t="shared" ref="D119:AB119" si="37">D120+D121+D122+D123+D124+D125+D126+D127</f>
        <v>9426582</v>
      </c>
      <c r="E119" s="44">
        <f t="shared" ref="E119:AA119" si="38">E120+E121+E122+E123+E124+E125+E126+E127</f>
        <v>6518582</v>
      </c>
      <c r="F119" s="44">
        <f t="shared" si="38"/>
        <v>0</v>
      </c>
      <c r="G119" s="44">
        <f t="shared" si="38"/>
        <v>0</v>
      </c>
      <c r="H119" s="44">
        <f t="shared" si="38"/>
        <v>2908000</v>
      </c>
      <c r="I119" s="44">
        <f t="shared" si="38"/>
        <v>539363.11</v>
      </c>
      <c r="J119" s="44">
        <f t="shared" si="38"/>
        <v>0</v>
      </c>
      <c r="K119" s="44">
        <f t="shared" si="38"/>
        <v>0</v>
      </c>
      <c r="L119" s="44">
        <f t="shared" ref="L119" si="39">L120+L121+L122+L123+L124+L125+L126+L127</f>
        <v>4500</v>
      </c>
      <c r="M119" s="108">
        <f t="shared" si="16"/>
        <v>5.7217251173330901</v>
      </c>
      <c r="N119" s="44">
        <f t="shared" si="38"/>
        <v>15470524.6</v>
      </c>
      <c r="O119" s="44">
        <f t="shared" si="38"/>
        <v>12842348</v>
      </c>
      <c r="P119" s="44">
        <f t="shared" si="38"/>
        <v>2598176.6</v>
      </c>
      <c r="Q119" s="44">
        <f t="shared" si="38"/>
        <v>0</v>
      </c>
      <c r="R119" s="44">
        <f t="shared" si="38"/>
        <v>0</v>
      </c>
      <c r="S119" s="44">
        <f t="shared" si="38"/>
        <v>12872348</v>
      </c>
      <c r="T119" s="44">
        <f t="shared" si="38"/>
        <v>210000</v>
      </c>
      <c r="U119" s="44">
        <f t="shared" si="38"/>
        <v>10000</v>
      </c>
      <c r="V119" s="44">
        <f t="shared" si="38"/>
        <v>200000</v>
      </c>
      <c r="W119" s="44">
        <f t="shared" si="38"/>
        <v>0</v>
      </c>
      <c r="X119" s="44">
        <f t="shared" si="38"/>
        <v>0</v>
      </c>
      <c r="Y119" s="44">
        <f t="shared" si="38"/>
        <v>10000</v>
      </c>
      <c r="Z119" s="108">
        <f t="shared" si="20"/>
        <v>1.3574200321558585</v>
      </c>
      <c r="AA119" s="44">
        <f t="shared" si="38"/>
        <v>749363.11</v>
      </c>
      <c r="AB119" s="44">
        <f t="shared" si="37"/>
        <v>24897106.600000001</v>
      </c>
      <c r="AC119" s="181"/>
    </row>
    <row r="120" spans="1:29" ht="29.25" customHeight="1" x14ac:dyDescent="0.25">
      <c r="A120" s="45" t="s">
        <v>2</v>
      </c>
      <c r="B120" s="45" t="s">
        <v>74</v>
      </c>
      <c r="C120" s="32" t="s">
        <v>20</v>
      </c>
      <c r="D120" s="47">
        <f>'дод 2'!E190</f>
        <v>630000</v>
      </c>
      <c r="E120" s="47">
        <f>'дод 2'!F190</f>
        <v>30000</v>
      </c>
      <c r="F120" s="47">
        <f>'дод 2'!G190</f>
        <v>0</v>
      </c>
      <c r="G120" s="47">
        <f>'дод 2'!H190</f>
        <v>0</v>
      </c>
      <c r="H120" s="47">
        <f>'дод 2'!I190</f>
        <v>600000</v>
      </c>
      <c r="I120" s="47">
        <f>'дод 2'!J190</f>
        <v>0</v>
      </c>
      <c r="J120" s="47">
        <f>'дод 2'!K190</f>
        <v>0</v>
      </c>
      <c r="K120" s="47">
        <f>'дод 2'!L190</f>
        <v>0</v>
      </c>
      <c r="L120" s="47">
        <f>'дод 2'!M190</f>
        <v>0</v>
      </c>
      <c r="M120" s="109">
        <f t="shared" si="16"/>
        <v>0</v>
      </c>
      <c r="N120" s="47">
        <f>'дод 2'!O190</f>
        <v>0</v>
      </c>
      <c r="O120" s="47">
        <f>'дод 2'!P190</f>
        <v>0</v>
      </c>
      <c r="P120" s="47">
        <f>'дод 2'!Q190</f>
        <v>0</v>
      </c>
      <c r="Q120" s="47">
        <f>'дод 2'!R190</f>
        <v>0</v>
      </c>
      <c r="R120" s="47">
        <f>'дод 2'!S190</f>
        <v>0</v>
      </c>
      <c r="S120" s="47">
        <f>'дод 2'!T190</f>
        <v>0</v>
      </c>
      <c r="T120" s="47">
        <f>'дод 2'!U190</f>
        <v>0</v>
      </c>
      <c r="U120" s="47">
        <f>'дод 2'!V190</f>
        <v>0</v>
      </c>
      <c r="V120" s="47">
        <f>'дод 2'!W190</f>
        <v>0</v>
      </c>
      <c r="W120" s="47">
        <f>'дод 2'!X190</f>
        <v>0</v>
      </c>
      <c r="X120" s="47">
        <f>'дод 2'!Y190</f>
        <v>0</v>
      </c>
      <c r="Y120" s="47">
        <f>'дод 2'!Z190</f>
        <v>0</v>
      </c>
      <c r="Z120" s="109"/>
      <c r="AA120" s="47">
        <f>'дод 2'!AB190</f>
        <v>0</v>
      </c>
      <c r="AB120" s="47">
        <f>'дод 2'!AC190</f>
        <v>630000</v>
      </c>
      <c r="AC120" s="181"/>
    </row>
    <row r="121" spans="1:29" ht="29.25" customHeight="1" x14ac:dyDescent="0.25">
      <c r="A121" s="45" t="s">
        <v>0</v>
      </c>
      <c r="B121" s="45" t="s">
        <v>73</v>
      </c>
      <c r="C121" s="32" t="s">
        <v>274</v>
      </c>
      <c r="D121" s="47">
        <f>'дод 2'!E156+'дод 2'!E178+'дод 2'!E38+'дод 2'!E80+'дод 2'!E95</f>
        <v>4255500</v>
      </c>
      <c r="E121" s="47">
        <f>'дод 2'!F156+'дод 2'!F178+'дод 2'!F38+'дод 2'!F80+'дод 2'!F95</f>
        <v>1947500</v>
      </c>
      <c r="F121" s="47">
        <f>'дод 2'!G156+'дод 2'!G178+'дод 2'!G38+'дод 2'!G80+'дод 2'!G95</f>
        <v>0</v>
      </c>
      <c r="G121" s="47">
        <f>'дод 2'!H156+'дод 2'!H178+'дод 2'!H38+'дод 2'!H80+'дод 2'!H95</f>
        <v>0</v>
      </c>
      <c r="H121" s="47">
        <f>'дод 2'!I156+'дод 2'!I178+'дод 2'!I38+'дод 2'!I80+'дод 2'!I95</f>
        <v>2308000</v>
      </c>
      <c r="I121" s="47">
        <f>'дод 2'!J156+'дод 2'!J178+'дод 2'!J38+'дод 2'!J80+'дод 2'!J95</f>
        <v>95440</v>
      </c>
      <c r="J121" s="47">
        <f>'дод 2'!K156+'дод 2'!K178+'дод 2'!K38+'дод 2'!K80+'дод 2'!K95</f>
        <v>0</v>
      </c>
      <c r="K121" s="47">
        <f>'дод 2'!L156+'дод 2'!L178+'дод 2'!L38+'дод 2'!L80+'дод 2'!L95</f>
        <v>0</v>
      </c>
      <c r="L121" s="47">
        <f>'дод 2'!M156+'дод 2'!M178+'дод 2'!M38+'дод 2'!M80+'дод 2'!M95</f>
        <v>4500</v>
      </c>
      <c r="M121" s="109">
        <f t="shared" si="16"/>
        <v>2.2427446833509577</v>
      </c>
      <c r="N121" s="47">
        <f>'дод 2'!O156+'дод 2'!O178+'дод 2'!O38+'дод 2'!O80+'дод 2'!O95</f>
        <v>0</v>
      </c>
      <c r="O121" s="47">
        <f>'дод 2'!P156+'дод 2'!P178+'дод 2'!P38+'дод 2'!P80+'дод 2'!P95</f>
        <v>0</v>
      </c>
      <c r="P121" s="47">
        <f>'дод 2'!Q156+'дод 2'!Q178+'дод 2'!Q38+'дод 2'!Q80+'дод 2'!Q95</f>
        <v>0</v>
      </c>
      <c r="Q121" s="47">
        <f>'дод 2'!R156+'дод 2'!R178+'дод 2'!R38+'дод 2'!R80+'дод 2'!R95</f>
        <v>0</v>
      </c>
      <c r="R121" s="47">
        <f>'дод 2'!S156+'дод 2'!S178+'дод 2'!S38+'дод 2'!S80+'дод 2'!S95</f>
        <v>0</v>
      </c>
      <c r="S121" s="47">
        <f>'дод 2'!T156+'дод 2'!T178+'дод 2'!T38+'дод 2'!T80+'дод 2'!T95</f>
        <v>0</v>
      </c>
      <c r="T121" s="47">
        <f>'дод 2'!U156+'дод 2'!U178+'дод 2'!U38+'дод 2'!U80+'дод 2'!U95</f>
        <v>0</v>
      </c>
      <c r="U121" s="47">
        <f>'дод 2'!V156+'дод 2'!V178+'дод 2'!V38+'дод 2'!V80+'дод 2'!V95</f>
        <v>0</v>
      </c>
      <c r="V121" s="47">
        <f>'дод 2'!W156+'дод 2'!W178+'дод 2'!W38+'дод 2'!W80+'дод 2'!W95</f>
        <v>0</v>
      </c>
      <c r="W121" s="47">
        <f>'дод 2'!X156+'дод 2'!X178+'дод 2'!X38+'дод 2'!X80+'дод 2'!X95</f>
        <v>0</v>
      </c>
      <c r="X121" s="47">
        <f>'дод 2'!Y156+'дод 2'!Y178+'дод 2'!Y38+'дод 2'!Y80+'дод 2'!Y95</f>
        <v>0</v>
      </c>
      <c r="Y121" s="47">
        <f>'дод 2'!Z156+'дод 2'!Z178+'дод 2'!Z38+'дод 2'!Z80+'дод 2'!Z95</f>
        <v>0</v>
      </c>
      <c r="Z121" s="109"/>
      <c r="AA121" s="47">
        <f>'дод 2'!AB156+'дод 2'!AB178+'дод 2'!AB38+'дод 2'!AB80+'дод 2'!AB95</f>
        <v>95440</v>
      </c>
      <c r="AB121" s="47">
        <f>'дод 2'!AC156+'дод 2'!AC178+'дод 2'!AC38+'дод 2'!AC80+'дод 2'!AC95</f>
        <v>4255500</v>
      </c>
      <c r="AC121" s="181"/>
    </row>
    <row r="122" spans="1:29" ht="33.75" customHeight="1" x14ac:dyDescent="0.25">
      <c r="A122" s="45" t="s">
        <v>209</v>
      </c>
      <c r="B122" s="45" t="s">
        <v>69</v>
      </c>
      <c r="C122" s="32" t="s">
        <v>258</v>
      </c>
      <c r="D122" s="47">
        <f>'дод 2'!E203</f>
        <v>0</v>
      </c>
      <c r="E122" s="47">
        <f>'дод 2'!F203</f>
        <v>0</v>
      </c>
      <c r="F122" s="47">
        <f>'дод 2'!G203</f>
        <v>0</v>
      </c>
      <c r="G122" s="47">
        <f>'дод 2'!H203</f>
        <v>0</v>
      </c>
      <c r="H122" s="47">
        <f>'дод 2'!I203</f>
        <v>0</v>
      </c>
      <c r="I122" s="47">
        <f>'дод 2'!J203</f>
        <v>0</v>
      </c>
      <c r="J122" s="47">
        <f>'дод 2'!K203</f>
        <v>0</v>
      </c>
      <c r="K122" s="47">
        <f>'дод 2'!L203</f>
        <v>0</v>
      </c>
      <c r="L122" s="47">
        <f>'дод 2'!M203</f>
        <v>0</v>
      </c>
      <c r="M122" s="109"/>
      <c r="N122" s="47">
        <f>'дод 2'!O203</f>
        <v>50000</v>
      </c>
      <c r="O122" s="47">
        <f>'дод 2'!P203</f>
        <v>50000</v>
      </c>
      <c r="P122" s="47">
        <f>'дод 2'!Q203</f>
        <v>0</v>
      </c>
      <c r="Q122" s="47">
        <f>'дод 2'!R203</f>
        <v>0</v>
      </c>
      <c r="R122" s="47">
        <f>'дод 2'!S203</f>
        <v>0</v>
      </c>
      <c r="S122" s="47">
        <f>'дод 2'!T203</f>
        <v>50000</v>
      </c>
      <c r="T122" s="47">
        <f>'дод 2'!U203</f>
        <v>0</v>
      </c>
      <c r="U122" s="47">
        <f>'дод 2'!V203</f>
        <v>0</v>
      </c>
      <c r="V122" s="47">
        <f>'дод 2'!W203</f>
        <v>0</v>
      </c>
      <c r="W122" s="47">
        <f>'дод 2'!X203</f>
        <v>0</v>
      </c>
      <c r="X122" s="47">
        <f>'дод 2'!Y203</f>
        <v>0</v>
      </c>
      <c r="Y122" s="47">
        <f>'дод 2'!Z203</f>
        <v>0</v>
      </c>
      <c r="Z122" s="109">
        <f t="shared" si="20"/>
        <v>0</v>
      </c>
      <c r="AA122" s="47">
        <f>'дод 2'!AB203</f>
        <v>0</v>
      </c>
      <c r="AB122" s="47">
        <f>'дод 2'!AC203</f>
        <v>50000</v>
      </c>
      <c r="AC122" s="181"/>
    </row>
    <row r="123" spans="1:29" ht="54" customHeight="1" x14ac:dyDescent="0.25">
      <c r="A123" s="45" t="s">
        <v>210</v>
      </c>
      <c r="B123" s="45" t="s">
        <v>69</v>
      </c>
      <c r="C123" s="32" t="s">
        <v>211</v>
      </c>
      <c r="D123" s="47">
        <f>'дод 2'!E204</f>
        <v>0</v>
      </c>
      <c r="E123" s="47">
        <f>'дод 2'!F204</f>
        <v>0</v>
      </c>
      <c r="F123" s="47">
        <f>'дод 2'!G204</f>
        <v>0</v>
      </c>
      <c r="G123" s="47">
        <f>'дод 2'!H204</f>
        <v>0</v>
      </c>
      <c r="H123" s="47">
        <f>'дод 2'!I204</f>
        <v>0</v>
      </c>
      <c r="I123" s="47">
        <f>'дод 2'!J204</f>
        <v>0</v>
      </c>
      <c r="J123" s="47">
        <f>'дод 2'!K204</f>
        <v>0</v>
      </c>
      <c r="K123" s="47">
        <f>'дод 2'!L204</f>
        <v>0</v>
      </c>
      <c r="L123" s="47">
        <f>'дод 2'!M204</f>
        <v>0</v>
      </c>
      <c r="M123" s="109"/>
      <c r="N123" s="47">
        <f>'дод 2'!O204</f>
        <v>50000</v>
      </c>
      <c r="O123" s="47">
        <f>'дод 2'!P204</f>
        <v>50000</v>
      </c>
      <c r="P123" s="47">
        <f>'дод 2'!Q204</f>
        <v>0</v>
      </c>
      <c r="Q123" s="47">
        <f>'дод 2'!R204</f>
        <v>0</v>
      </c>
      <c r="R123" s="47">
        <f>'дод 2'!S204</f>
        <v>0</v>
      </c>
      <c r="S123" s="47">
        <f>'дод 2'!T204</f>
        <v>50000</v>
      </c>
      <c r="T123" s="47">
        <f>'дод 2'!U204</f>
        <v>10000</v>
      </c>
      <c r="U123" s="47">
        <f>'дод 2'!V204</f>
        <v>10000</v>
      </c>
      <c r="V123" s="47">
        <f>'дод 2'!W204</f>
        <v>0</v>
      </c>
      <c r="W123" s="47">
        <f>'дод 2'!X204</f>
        <v>0</v>
      </c>
      <c r="X123" s="47">
        <f>'дод 2'!Y204</f>
        <v>0</v>
      </c>
      <c r="Y123" s="47">
        <f>'дод 2'!Z204</f>
        <v>10000</v>
      </c>
      <c r="Z123" s="109">
        <f t="shared" si="20"/>
        <v>20</v>
      </c>
      <c r="AA123" s="47">
        <f>'дод 2'!AB204</f>
        <v>10000</v>
      </c>
      <c r="AB123" s="47">
        <f>'дод 2'!AC204</f>
        <v>50000</v>
      </c>
      <c r="AC123" s="181"/>
    </row>
    <row r="124" spans="1:29" ht="35.25" customHeight="1" x14ac:dyDescent="0.25">
      <c r="A124" s="45" t="s">
        <v>3</v>
      </c>
      <c r="B124" s="45" t="s">
        <v>69</v>
      </c>
      <c r="C124" s="32" t="s">
        <v>443</v>
      </c>
      <c r="D124" s="47">
        <f>'дод 2'!E157</f>
        <v>0</v>
      </c>
      <c r="E124" s="47">
        <f>'дод 2'!F157</f>
        <v>0</v>
      </c>
      <c r="F124" s="47">
        <f>'дод 2'!G157</f>
        <v>0</v>
      </c>
      <c r="G124" s="47">
        <f>'дод 2'!H157</f>
        <v>0</v>
      </c>
      <c r="H124" s="47">
        <f>'дод 2'!I157</f>
        <v>0</v>
      </c>
      <c r="I124" s="47">
        <f>'дод 2'!J157</f>
        <v>0</v>
      </c>
      <c r="J124" s="47">
        <f>'дод 2'!K157</f>
        <v>0</v>
      </c>
      <c r="K124" s="47">
        <f>'дод 2'!L157</f>
        <v>0</v>
      </c>
      <c r="L124" s="47">
        <f>'дод 2'!M157</f>
        <v>0</v>
      </c>
      <c r="M124" s="109"/>
      <c r="N124" s="47">
        <f>'дод 2'!O157</f>
        <v>12742348</v>
      </c>
      <c r="O124" s="47">
        <f>'дод 2'!P157</f>
        <v>12742348</v>
      </c>
      <c r="P124" s="47">
        <f>'дод 2'!Q157</f>
        <v>0</v>
      </c>
      <c r="Q124" s="47">
        <f>'дод 2'!R157</f>
        <v>0</v>
      </c>
      <c r="R124" s="47">
        <f>'дод 2'!S157</f>
        <v>0</v>
      </c>
      <c r="S124" s="47">
        <f>'дод 2'!T157</f>
        <v>12742348</v>
      </c>
      <c r="T124" s="47">
        <f>'дод 2'!U157</f>
        <v>0</v>
      </c>
      <c r="U124" s="47">
        <f>'дод 2'!V157</f>
        <v>0</v>
      </c>
      <c r="V124" s="47">
        <f>'дод 2'!W157</f>
        <v>0</v>
      </c>
      <c r="W124" s="47">
        <f>'дод 2'!X157</f>
        <v>0</v>
      </c>
      <c r="X124" s="47">
        <f>'дод 2'!Y157</f>
        <v>0</v>
      </c>
      <c r="Y124" s="47">
        <f>'дод 2'!Z157</f>
        <v>0</v>
      </c>
      <c r="Z124" s="109">
        <f t="shared" si="20"/>
        <v>0</v>
      </c>
      <c r="AA124" s="47">
        <f>'дод 2'!AB157</f>
        <v>0</v>
      </c>
      <c r="AB124" s="47">
        <f>'дод 2'!AC157</f>
        <v>12742348</v>
      </c>
      <c r="AC124" s="181"/>
    </row>
    <row r="125" spans="1:29" ht="33.75" customHeight="1" x14ac:dyDescent="0.25">
      <c r="A125" s="45" t="s">
        <v>200</v>
      </c>
      <c r="B125" s="45" t="s">
        <v>69</v>
      </c>
      <c r="C125" s="32" t="s">
        <v>201</v>
      </c>
      <c r="D125" s="47">
        <f>'дод 2'!E39</f>
        <v>469382</v>
      </c>
      <c r="E125" s="47">
        <f>'дод 2'!F39</f>
        <v>469382</v>
      </c>
      <c r="F125" s="47">
        <f>'дод 2'!G39</f>
        <v>0</v>
      </c>
      <c r="G125" s="47">
        <f>'дод 2'!H39</f>
        <v>0</v>
      </c>
      <c r="H125" s="47">
        <f>'дод 2'!I39</f>
        <v>0</v>
      </c>
      <c r="I125" s="47">
        <f>'дод 2'!J39</f>
        <v>0</v>
      </c>
      <c r="J125" s="47">
        <f>'дод 2'!K39</f>
        <v>0</v>
      </c>
      <c r="K125" s="47">
        <f>'дод 2'!L39</f>
        <v>0</v>
      </c>
      <c r="L125" s="47">
        <f>'дод 2'!M39</f>
        <v>0</v>
      </c>
      <c r="M125" s="109">
        <f t="shared" si="16"/>
        <v>0</v>
      </c>
      <c r="N125" s="47">
        <f>'дод 2'!O39</f>
        <v>0</v>
      </c>
      <c r="O125" s="47">
        <f>'дод 2'!P39</f>
        <v>0</v>
      </c>
      <c r="P125" s="47">
        <f>'дод 2'!Q39</f>
        <v>0</v>
      </c>
      <c r="Q125" s="47">
        <f>'дод 2'!R39</f>
        <v>0</v>
      </c>
      <c r="R125" s="47">
        <f>'дод 2'!S39</f>
        <v>0</v>
      </c>
      <c r="S125" s="47">
        <f>'дод 2'!T39</f>
        <v>0</v>
      </c>
      <c r="T125" s="47">
        <f>'дод 2'!U39</f>
        <v>0</v>
      </c>
      <c r="U125" s="47">
        <f>'дод 2'!V39</f>
        <v>0</v>
      </c>
      <c r="V125" s="47">
        <f>'дод 2'!W39</f>
        <v>0</v>
      </c>
      <c r="W125" s="47">
        <f>'дод 2'!X39</f>
        <v>0</v>
      </c>
      <c r="X125" s="47">
        <f>'дод 2'!Y39</f>
        <v>0</v>
      </c>
      <c r="Y125" s="47">
        <f>'дод 2'!Z39</f>
        <v>0</v>
      </c>
      <c r="Z125" s="109"/>
      <c r="AA125" s="47">
        <f>'дод 2'!AB39</f>
        <v>0</v>
      </c>
      <c r="AB125" s="47">
        <f>'дод 2'!AC39</f>
        <v>469382</v>
      </c>
      <c r="AC125" s="181"/>
    </row>
    <row r="126" spans="1:29" s="64" customFormat="1" ht="94.5" x14ac:dyDescent="0.25">
      <c r="A126" s="45" t="s">
        <v>225</v>
      </c>
      <c r="B126" s="45" t="s">
        <v>69</v>
      </c>
      <c r="C126" s="32" t="s">
        <v>236</v>
      </c>
      <c r="D126" s="47">
        <f>'дод 2'!E40+'дод 2'!E158+'дод 2'!E183</f>
        <v>0</v>
      </c>
      <c r="E126" s="47">
        <f>'дод 2'!F40+'дод 2'!F158+'дод 2'!F183</f>
        <v>0</v>
      </c>
      <c r="F126" s="47">
        <f>'дод 2'!G40+'дод 2'!G158+'дод 2'!G183</f>
        <v>0</v>
      </c>
      <c r="G126" s="47">
        <f>'дод 2'!H40+'дод 2'!H158+'дод 2'!H183</f>
        <v>0</v>
      </c>
      <c r="H126" s="47">
        <f>'дод 2'!I40+'дод 2'!I158+'дод 2'!I183</f>
        <v>0</v>
      </c>
      <c r="I126" s="47">
        <f>'дод 2'!J40+'дод 2'!J158+'дод 2'!J183</f>
        <v>0</v>
      </c>
      <c r="J126" s="47">
        <f>'дод 2'!K40+'дод 2'!K158+'дод 2'!K183</f>
        <v>0</v>
      </c>
      <c r="K126" s="47">
        <f>'дод 2'!L40+'дод 2'!L158+'дод 2'!L183</f>
        <v>0</v>
      </c>
      <c r="L126" s="47">
        <f>'дод 2'!M40+'дод 2'!M158+'дод 2'!M183</f>
        <v>0</v>
      </c>
      <c r="M126" s="109"/>
      <c r="N126" s="47">
        <f>'дод 2'!O40+'дод 2'!O158+'дод 2'!O183</f>
        <v>2628176.6</v>
      </c>
      <c r="O126" s="47">
        <f>'дод 2'!P40+'дод 2'!P158+'дод 2'!P183</f>
        <v>0</v>
      </c>
      <c r="P126" s="47">
        <f>'дод 2'!Q40+'дод 2'!Q158+'дод 2'!Q183</f>
        <v>2598176.6</v>
      </c>
      <c r="Q126" s="47">
        <f>'дод 2'!R40+'дод 2'!R158+'дод 2'!R183</f>
        <v>0</v>
      </c>
      <c r="R126" s="47">
        <f>'дод 2'!S40+'дод 2'!S158+'дод 2'!S183</f>
        <v>0</v>
      </c>
      <c r="S126" s="47">
        <f>'дод 2'!T40+'дод 2'!T158+'дод 2'!T183</f>
        <v>30000</v>
      </c>
      <c r="T126" s="47">
        <f>'дод 2'!U40+'дод 2'!U158+'дод 2'!U183</f>
        <v>200000</v>
      </c>
      <c r="U126" s="47">
        <f>'дод 2'!V40+'дод 2'!V158+'дод 2'!V183</f>
        <v>0</v>
      </c>
      <c r="V126" s="47">
        <f>'дод 2'!W40+'дод 2'!W158+'дод 2'!W183</f>
        <v>200000</v>
      </c>
      <c r="W126" s="47">
        <f>'дод 2'!X40+'дод 2'!X158+'дод 2'!X183</f>
        <v>0</v>
      </c>
      <c r="X126" s="47">
        <f>'дод 2'!Y40+'дод 2'!Y158+'дод 2'!Y183</f>
        <v>0</v>
      </c>
      <c r="Y126" s="47">
        <f>'дод 2'!Z40+'дод 2'!Z158+'дод 2'!Z183</f>
        <v>0</v>
      </c>
      <c r="Z126" s="109">
        <f t="shared" si="20"/>
        <v>7.6098386995759713</v>
      </c>
      <c r="AA126" s="47">
        <f>'дод 2'!AB40+'дод 2'!AB158+'дод 2'!AB183</f>
        <v>200000</v>
      </c>
      <c r="AB126" s="47">
        <f>'дод 2'!AC40+'дод 2'!AC158+'дод 2'!AC183</f>
        <v>2628176.6</v>
      </c>
      <c r="AC126" s="181"/>
    </row>
    <row r="127" spans="1:29" s="64" customFormat="1" ht="23.25" customHeight="1" x14ac:dyDescent="0.25">
      <c r="A127" s="45" t="s">
        <v>191</v>
      </c>
      <c r="B127" s="45" t="s">
        <v>69</v>
      </c>
      <c r="C127" s="32" t="s">
        <v>15</v>
      </c>
      <c r="D127" s="47">
        <f>'дод 2'!E41+'дод 2'!E198+'дод 2'!E205+'дод 2'!E194</f>
        <v>4071700</v>
      </c>
      <c r="E127" s="47">
        <f>'дод 2'!F41+'дод 2'!F198+'дод 2'!F205+'дод 2'!F194</f>
        <v>4071700</v>
      </c>
      <c r="F127" s="47">
        <f>'дод 2'!G41+'дод 2'!G198+'дод 2'!G205+'дод 2'!G194</f>
        <v>0</v>
      </c>
      <c r="G127" s="47">
        <f>'дод 2'!H41+'дод 2'!H198+'дод 2'!H205+'дод 2'!H194</f>
        <v>0</v>
      </c>
      <c r="H127" s="47">
        <f>'дод 2'!I41+'дод 2'!I198+'дод 2'!I205+'дод 2'!I194</f>
        <v>0</v>
      </c>
      <c r="I127" s="47">
        <f>'дод 2'!J41+'дод 2'!J198+'дод 2'!J205+'дод 2'!J194</f>
        <v>443923.11</v>
      </c>
      <c r="J127" s="47">
        <f>'дод 2'!K41+'дод 2'!K198+'дод 2'!K205+'дод 2'!K194</f>
        <v>0</v>
      </c>
      <c r="K127" s="47">
        <f>'дод 2'!L41+'дод 2'!L198+'дод 2'!L205+'дод 2'!L194</f>
        <v>0</v>
      </c>
      <c r="L127" s="47">
        <f>'дод 2'!M41+'дод 2'!M198+'дод 2'!M205+'дод 2'!M194</f>
        <v>0</v>
      </c>
      <c r="M127" s="109">
        <f t="shared" si="16"/>
        <v>10.902647788393054</v>
      </c>
      <c r="N127" s="47">
        <f>'дод 2'!O41+'дод 2'!O198+'дод 2'!O205+'дод 2'!O194</f>
        <v>0</v>
      </c>
      <c r="O127" s="47">
        <f>'дод 2'!P41+'дод 2'!P198+'дод 2'!P205+'дод 2'!P194</f>
        <v>0</v>
      </c>
      <c r="P127" s="47">
        <f>'дод 2'!Q41+'дод 2'!Q198+'дод 2'!Q205+'дод 2'!Q194</f>
        <v>0</v>
      </c>
      <c r="Q127" s="47">
        <f>'дод 2'!R41+'дод 2'!R198+'дод 2'!R205+'дод 2'!R194</f>
        <v>0</v>
      </c>
      <c r="R127" s="47">
        <f>'дод 2'!S41+'дод 2'!S198+'дод 2'!S205+'дод 2'!S194</f>
        <v>0</v>
      </c>
      <c r="S127" s="47">
        <f>'дод 2'!T41+'дод 2'!T198+'дод 2'!T205+'дод 2'!T194</f>
        <v>0</v>
      </c>
      <c r="T127" s="47">
        <f>'дод 2'!U41+'дод 2'!U198+'дод 2'!U205+'дод 2'!U194</f>
        <v>0</v>
      </c>
      <c r="U127" s="47">
        <f>'дод 2'!V41+'дод 2'!V198+'дод 2'!V205+'дод 2'!V194</f>
        <v>0</v>
      </c>
      <c r="V127" s="47">
        <f>'дод 2'!W41+'дод 2'!W198+'дод 2'!W205+'дод 2'!W194</f>
        <v>0</v>
      </c>
      <c r="W127" s="47">
        <f>'дод 2'!X41+'дод 2'!X198+'дод 2'!X205+'дод 2'!X194</f>
        <v>0</v>
      </c>
      <c r="X127" s="47">
        <f>'дод 2'!Y41+'дод 2'!Y198+'дод 2'!Y205+'дод 2'!Y194</f>
        <v>0</v>
      </c>
      <c r="Y127" s="47">
        <f>'дод 2'!Z41+'дод 2'!Z198+'дод 2'!Z205+'дод 2'!Z194</f>
        <v>0</v>
      </c>
      <c r="Z127" s="109"/>
      <c r="AA127" s="47">
        <f>'дод 2'!AB41+'дод 2'!AB198+'дод 2'!AB205+'дод 2'!AB194</f>
        <v>443923.11</v>
      </c>
      <c r="AB127" s="47">
        <f>'дод 2'!AC41+'дод 2'!AC198+'дод 2'!AC205+'дод 2'!AC194</f>
        <v>4071700</v>
      </c>
      <c r="AC127" s="181"/>
    </row>
    <row r="128" spans="1:29" s="63" customFormat="1" ht="23.25" customHeight="1" x14ac:dyDescent="0.25">
      <c r="A128" s="48" t="s">
        <v>80</v>
      </c>
      <c r="B128" s="29"/>
      <c r="C128" s="53" t="s">
        <v>435</v>
      </c>
      <c r="D128" s="44">
        <f t="shared" ref="D128:AB128" si="40">D129+D132+D135+D138+D139</f>
        <v>787539494</v>
      </c>
      <c r="E128" s="44">
        <f t="shared" ref="E128:AA128" si="41">E129+E132+E135+E138+E139</f>
        <v>59908240</v>
      </c>
      <c r="F128" s="44">
        <f t="shared" si="41"/>
        <v>4324500</v>
      </c>
      <c r="G128" s="44">
        <f t="shared" si="41"/>
        <v>7091960</v>
      </c>
      <c r="H128" s="44">
        <f t="shared" si="41"/>
        <v>80053762</v>
      </c>
      <c r="I128" s="44">
        <f t="shared" si="41"/>
        <v>40582371.540000007</v>
      </c>
      <c r="J128" s="44">
        <f t="shared" si="41"/>
        <v>970339.38</v>
      </c>
      <c r="K128" s="44">
        <f t="shared" si="41"/>
        <v>1415804.9500000002</v>
      </c>
      <c r="L128" s="44">
        <f t="shared" ref="L128" si="42">L129+L132+L135+L138+L139</f>
        <v>24130370</v>
      </c>
      <c r="M128" s="108">
        <f t="shared" si="16"/>
        <v>5.1530585893385057</v>
      </c>
      <c r="N128" s="44">
        <f t="shared" si="41"/>
        <v>3037200</v>
      </c>
      <c r="O128" s="44">
        <f t="shared" si="41"/>
        <v>0</v>
      </c>
      <c r="P128" s="44">
        <f t="shared" si="41"/>
        <v>2787200</v>
      </c>
      <c r="Q128" s="44">
        <f t="shared" si="41"/>
        <v>0</v>
      </c>
      <c r="R128" s="44">
        <f t="shared" si="41"/>
        <v>1500</v>
      </c>
      <c r="S128" s="44">
        <f t="shared" si="41"/>
        <v>250000</v>
      </c>
      <c r="T128" s="44">
        <f t="shared" si="41"/>
        <v>284370.82</v>
      </c>
      <c r="U128" s="44">
        <f t="shared" si="41"/>
        <v>0</v>
      </c>
      <c r="V128" s="44">
        <f t="shared" si="41"/>
        <v>108882.81999999999</v>
      </c>
      <c r="W128" s="44">
        <f t="shared" si="41"/>
        <v>0</v>
      </c>
      <c r="X128" s="44">
        <f t="shared" si="41"/>
        <v>0</v>
      </c>
      <c r="Y128" s="44">
        <f t="shared" si="41"/>
        <v>175488</v>
      </c>
      <c r="Z128" s="108">
        <f t="shared" si="20"/>
        <v>9.3629270380613718</v>
      </c>
      <c r="AA128" s="44">
        <f t="shared" si="41"/>
        <v>40866742.359999999</v>
      </c>
      <c r="AB128" s="44">
        <f t="shared" si="40"/>
        <v>790576694</v>
      </c>
      <c r="AC128" s="181"/>
    </row>
    <row r="129" spans="1:29" s="63" customFormat="1" ht="39.75" customHeight="1" x14ac:dyDescent="0.25">
      <c r="A129" s="48" t="s">
        <v>82</v>
      </c>
      <c r="B129" s="29"/>
      <c r="C129" s="53" t="s">
        <v>434</v>
      </c>
      <c r="D129" s="44">
        <f t="shared" ref="D129:AB129" si="43">D130+D131</f>
        <v>106469342</v>
      </c>
      <c r="E129" s="44">
        <f t="shared" ref="E129:AA129" si="44">E130+E131</f>
        <v>26415580</v>
      </c>
      <c r="F129" s="44">
        <f t="shared" si="44"/>
        <v>4324500</v>
      </c>
      <c r="G129" s="44">
        <f t="shared" si="44"/>
        <v>2133160</v>
      </c>
      <c r="H129" s="44">
        <f t="shared" si="44"/>
        <v>80053762</v>
      </c>
      <c r="I129" s="44">
        <f t="shared" si="44"/>
        <v>30876512.610000003</v>
      </c>
      <c r="J129" s="44">
        <f t="shared" si="44"/>
        <v>970339.38</v>
      </c>
      <c r="K129" s="44">
        <f t="shared" si="44"/>
        <v>86264.31</v>
      </c>
      <c r="L129" s="44">
        <f t="shared" ref="L129" si="45">L130+L131</f>
        <v>24130370</v>
      </c>
      <c r="M129" s="108">
        <f t="shared" si="16"/>
        <v>29.000378916589909</v>
      </c>
      <c r="N129" s="44">
        <f t="shared" si="44"/>
        <v>7500</v>
      </c>
      <c r="O129" s="44">
        <f t="shared" si="44"/>
        <v>0</v>
      </c>
      <c r="P129" s="44">
        <f t="shared" si="44"/>
        <v>7500</v>
      </c>
      <c r="Q129" s="44">
        <f t="shared" si="44"/>
        <v>0</v>
      </c>
      <c r="R129" s="44">
        <f t="shared" si="44"/>
        <v>1500</v>
      </c>
      <c r="S129" s="44">
        <f t="shared" si="44"/>
        <v>0</v>
      </c>
      <c r="T129" s="44">
        <f t="shared" si="44"/>
        <v>175488</v>
      </c>
      <c r="U129" s="44">
        <f t="shared" si="44"/>
        <v>0</v>
      </c>
      <c r="V129" s="44">
        <f t="shared" si="44"/>
        <v>0</v>
      </c>
      <c r="W129" s="44">
        <f t="shared" si="44"/>
        <v>0</v>
      </c>
      <c r="X129" s="44">
        <f t="shared" si="44"/>
        <v>0</v>
      </c>
      <c r="Y129" s="44">
        <f t="shared" si="44"/>
        <v>175488</v>
      </c>
      <c r="Z129" s="108" t="s">
        <v>519</v>
      </c>
      <c r="AA129" s="44">
        <f t="shared" si="44"/>
        <v>31052000.610000003</v>
      </c>
      <c r="AB129" s="44">
        <f t="shared" si="43"/>
        <v>106476842</v>
      </c>
      <c r="AC129" s="181"/>
    </row>
    <row r="130" spans="1:29" s="77" customFormat="1" ht="36.75" customHeight="1" x14ac:dyDescent="0.25">
      <c r="A130" s="45" t="s">
        <v>5</v>
      </c>
      <c r="B130" s="45" t="s">
        <v>76</v>
      </c>
      <c r="C130" s="32" t="s">
        <v>339</v>
      </c>
      <c r="D130" s="47">
        <f>'дод 2'!E42+'дод 2'!E159+'дод 2'!E81+'дод 2'!E133+'дод 2'!E96</f>
        <v>100204342</v>
      </c>
      <c r="E130" s="47">
        <f>'дод 2'!F42+'дод 2'!F159+'дод 2'!F81+'дод 2'!F133+'дод 2'!F96</f>
        <v>20420580</v>
      </c>
      <c r="F130" s="47">
        <f>'дод 2'!G42+'дод 2'!G159+'дод 2'!G81+'дод 2'!G133+'дод 2'!G96</f>
        <v>0</v>
      </c>
      <c r="G130" s="47">
        <f>'дод 2'!H42+'дод 2'!H159+'дод 2'!H81+'дод 2'!H133+'дод 2'!H96</f>
        <v>2010660</v>
      </c>
      <c r="H130" s="47">
        <f>'дод 2'!I42+'дод 2'!I159+'дод 2'!I81+'дод 2'!I133+'дод 2'!I96</f>
        <v>79783762</v>
      </c>
      <c r="I130" s="47">
        <f>'дод 2'!J42+'дод 2'!J159+'дод 2'!J81+'дод 2'!J133+'дод 2'!J96</f>
        <v>29602030.420000002</v>
      </c>
      <c r="J130" s="47">
        <f>'дод 2'!K42+'дод 2'!K159+'дод 2'!K81+'дод 2'!K133+'дод 2'!K96</f>
        <v>0</v>
      </c>
      <c r="K130" s="47">
        <f>'дод 2'!L42+'дод 2'!L159+'дод 2'!L81+'дод 2'!L133+'дод 2'!L96</f>
        <v>75476</v>
      </c>
      <c r="L130" s="47">
        <f>'дод 2'!M42+'дод 2'!M159+'дод 2'!M81+'дод 2'!M133+'дод 2'!M96</f>
        <v>24130370</v>
      </c>
      <c r="M130" s="109">
        <f t="shared" si="16"/>
        <v>29.541664392147798</v>
      </c>
      <c r="N130" s="47">
        <f>'дод 2'!O42+'дод 2'!O159+'дод 2'!O81+'дод 2'!O133+'дод 2'!O96</f>
        <v>0</v>
      </c>
      <c r="O130" s="47">
        <f>'дод 2'!P42+'дод 2'!P159+'дод 2'!P81+'дод 2'!P133+'дод 2'!P96</f>
        <v>0</v>
      </c>
      <c r="P130" s="47">
        <f>'дод 2'!Q42+'дод 2'!Q159+'дод 2'!Q81+'дод 2'!Q133+'дод 2'!Q96</f>
        <v>0</v>
      </c>
      <c r="Q130" s="47">
        <f>'дод 2'!R42+'дод 2'!R159+'дод 2'!R81+'дод 2'!R133+'дод 2'!R96</f>
        <v>0</v>
      </c>
      <c r="R130" s="47">
        <f>'дод 2'!S42+'дод 2'!S159+'дод 2'!S81+'дод 2'!S133+'дод 2'!S96</f>
        <v>0</v>
      </c>
      <c r="S130" s="47">
        <f>'дод 2'!T42+'дод 2'!T159+'дод 2'!T81+'дод 2'!T133+'дод 2'!T96</f>
        <v>0</v>
      </c>
      <c r="T130" s="47">
        <f>'дод 2'!U42+'дод 2'!U159+'дод 2'!U81+'дод 2'!U133+'дод 2'!U96</f>
        <v>0</v>
      </c>
      <c r="U130" s="47">
        <f>'дод 2'!V42+'дод 2'!V159+'дод 2'!V81+'дод 2'!V133+'дод 2'!V96</f>
        <v>0</v>
      </c>
      <c r="V130" s="47">
        <f>'дод 2'!W42+'дод 2'!W159+'дод 2'!W81+'дод 2'!W133+'дод 2'!W96</f>
        <v>0</v>
      </c>
      <c r="W130" s="47">
        <f>'дод 2'!X42+'дод 2'!X159+'дод 2'!X81+'дод 2'!X133+'дод 2'!X96</f>
        <v>0</v>
      </c>
      <c r="X130" s="47">
        <f>'дод 2'!Y42+'дод 2'!Y159+'дод 2'!Y81+'дод 2'!Y133+'дод 2'!Y96</f>
        <v>0</v>
      </c>
      <c r="Y130" s="47">
        <f>'дод 2'!Z42+'дод 2'!Z159+'дод 2'!Z81+'дод 2'!Z133+'дод 2'!Z96</f>
        <v>0</v>
      </c>
      <c r="Z130" s="109"/>
      <c r="AA130" s="47">
        <f>'дод 2'!AB42+'дод 2'!AB159+'дод 2'!AB81+'дод 2'!AB133+'дод 2'!AB96</f>
        <v>29602030.420000002</v>
      </c>
      <c r="AB130" s="47">
        <f>'дод 2'!AC42+'дод 2'!AC159+'дод 2'!AC81+'дод 2'!AC133+'дод 2'!AC96</f>
        <v>100204342</v>
      </c>
      <c r="AC130" s="181"/>
    </row>
    <row r="131" spans="1:29" ht="21" customHeight="1" x14ac:dyDescent="0.25">
      <c r="A131" s="45" t="s">
        <v>121</v>
      </c>
      <c r="B131" s="24" t="s">
        <v>76</v>
      </c>
      <c r="C131" s="32" t="s">
        <v>433</v>
      </c>
      <c r="D131" s="47">
        <f>'дод 2'!E43</f>
        <v>6265000</v>
      </c>
      <c r="E131" s="47">
        <f>'дод 2'!F43</f>
        <v>5995000</v>
      </c>
      <c r="F131" s="47">
        <f>'дод 2'!G43</f>
        <v>4324500</v>
      </c>
      <c r="G131" s="47">
        <f>'дод 2'!H43</f>
        <v>122500</v>
      </c>
      <c r="H131" s="47">
        <f>'дод 2'!I43</f>
        <v>270000</v>
      </c>
      <c r="I131" s="47">
        <f>'дод 2'!J43</f>
        <v>1274482.19</v>
      </c>
      <c r="J131" s="47">
        <f>'дод 2'!K43</f>
        <v>970339.38</v>
      </c>
      <c r="K131" s="47">
        <f>'дод 2'!L43</f>
        <v>10788.31</v>
      </c>
      <c r="L131" s="47">
        <f>'дод 2'!M43</f>
        <v>0</v>
      </c>
      <c r="M131" s="109">
        <f t="shared" si="16"/>
        <v>20.342892098962491</v>
      </c>
      <c r="N131" s="47">
        <f>'дод 2'!O43</f>
        <v>7500</v>
      </c>
      <c r="O131" s="47">
        <f>'дод 2'!P43</f>
        <v>0</v>
      </c>
      <c r="P131" s="47">
        <f>'дод 2'!Q43</f>
        <v>7500</v>
      </c>
      <c r="Q131" s="47">
        <f>'дод 2'!R43</f>
        <v>0</v>
      </c>
      <c r="R131" s="47">
        <f>'дод 2'!S43</f>
        <v>1500</v>
      </c>
      <c r="S131" s="47">
        <f>'дод 2'!T43</f>
        <v>0</v>
      </c>
      <c r="T131" s="47">
        <f>'дод 2'!U43</f>
        <v>175488</v>
      </c>
      <c r="U131" s="47">
        <f>'дод 2'!V43</f>
        <v>0</v>
      </c>
      <c r="V131" s="47">
        <f>'дод 2'!W43</f>
        <v>0</v>
      </c>
      <c r="W131" s="47">
        <f>'дод 2'!X43</f>
        <v>0</v>
      </c>
      <c r="X131" s="47">
        <f>'дод 2'!Y43</f>
        <v>0</v>
      </c>
      <c r="Y131" s="47">
        <f>'дод 2'!Z43</f>
        <v>175488</v>
      </c>
      <c r="Z131" s="109" t="s">
        <v>519</v>
      </c>
      <c r="AA131" s="47">
        <f>'дод 2'!AB43</f>
        <v>1449970.19</v>
      </c>
      <c r="AB131" s="47">
        <f>'дод 2'!AC43</f>
        <v>6272500</v>
      </c>
      <c r="AC131" s="181"/>
    </row>
    <row r="132" spans="1:29" s="63" customFormat="1" ht="23.25" customHeight="1" x14ac:dyDescent="0.25">
      <c r="A132" s="48" t="s">
        <v>202</v>
      </c>
      <c r="B132" s="48"/>
      <c r="C132" s="55" t="s">
        <v>203</v>
      </c>
      <c r="D132" s="44">
        <f>D133+D134</f>
        <v>27649600</v>
      </c>
      <c r="E132" s="44">
        <f t="shared" ref="E132:AA132" si="46">E133+E134</f>
        <v>27649600</v>
      </c>
      <c r="F132" s="44">
        <f t="shared" si="46"/>
        <v>0</v>
      </c>
      <c r="G132" s="44">
        <f t="shared" si="46"/>
        <v>4958800</v>
      </c>
      <c r="H132" s="44">
        <f t="shared" si="46"/>
        <v>0</v>
      </c>
      <c r="I132" s="44">
        <f t="shared" si="46"/>
        <v>9705858.9299999997</v>
      </c>
      <c r="J132" s="44">
        <f t="shared" si="46"/>
        <v>0</v>
      </c>
      <c r="K132" s="44">
        <f t="shared" si="46"/>
        <v>1329540.6400000001</v>
      </c>
      <c r="L132" s="44">
        <f t="shared" ref="L132" si="47">L133+L134</f>
        <v>0</v>
      </c>
      <c r="M132" s="108">
        <f t="shared" si="16"/>
        <v>35.103071762340143</v>
      </c>
      <c r="N132" s="44">
        <f t="shared" si="46"/>
        <v>0</v>
      </c>
      <c r="O132" s="44">
        <f t="shared" si="46"/>
        <v>0</v>
      </c>
      <c r="P132" s="44">
        <f t="shared" si="46"/>
        <v>0</v>
      </c>
      <c r="Q132" s="44">
        <f t="shared" si="46"/>
        <v>0</v>
      </c>
      <c r="R132" s="44">
        <f t="shared" si="46"/>
        <v>0</v>
      </c>
      <c r="S132" s="44">
        <f t="shared" si="46"/>
        <v>0</v>
      </c>
      <c r="T132" s="44">
        <f t="shared" si="46"/>
        <v>35698.81</v>
      </c>
      <c r="U132" s="44">
        <f t="shared" si="46"/>
        <v>0</v>
      </c>
      <c r="V132" s="44">
        <f t="shared" si="46"/>
        <v>35698.81</v>
      </c>
      <c r="W132" s="44">
        <f t="shared" si="46"/>
        <v>0</v>
      </c>
      <c r="X132" s="44">
        <f t="shared" si="46"/>
        <v>0</v>
      </c>
      <c r="Y132" s="44">
        <f t="shared" si="46"/>
        <v>0</v>
      </c>
      <c r="Z132" s="108"/>
      <c r="AA132" s="44">
        <f t="shared" si="46"/>
        <v>9741557.7399999984</v>
      </c>
      <c r="AB132" s="44">
        <f t="shared" ref="AB132" si="48">AB133+AB134</f>
        <v>27649600</v>
      </c>
      <c r="AC132" s="180">
        <v>34</v>
      </c>
    </row>
    <row r="133" spans="1:29" ht="22.5" customHeight="1" x14ac:dyDescent="0.25">
      <c r="A133" s="45" t="s">
        <v>196</v>
      </c>
      <c r="B133" s="24" t="s">
        <v>197</v>
      </c>
      <c r="C133" s="32" t="s">
        <v>198</v>
      </c>
      <c r="D133" s="47">
        <f>'дод 2'!E44</f>
        <v>899000</v>
      </c>
      <c r="E133" s="47">
        <f>'дод 2'!F44</f>
        <v>899000</v>
      </c>
      <c r="F133" s="47">
        <f>'дод 2'!G44</f>
        <v>0</v>
      </c>
      <c r="G133" s="47">
        <f>'дод 2'!H44</f>
        <v>762800</v>
      </c>
      <c r="H133" s="47">
        <f>'дод 2'!I44</f>
        <v>0</v>
      </c>
      <c r="I133" s="47">
        <f>'дод 2'!J44</f>
        <v>317058.27</v>
      </c>
      <c r="J133" s="47">
        <f>'дод 2'!K44</f>
        <v>0</v>
      </c>
      <c r="K133" s="47">
        <f>'дод 2'!L44</f>
        <v>303512.87</v>
      </c>
      <c r="L133" s="47">
        <f>'дод 2'!M44</f>
        <v>0</v>
      </c>
      <c r="M133" s="109">
        <f t="shared" si="16"/>
        <v>35.267883203559514</v>
      </c>
      <c r="N133" s="47">
        <f>'дод 2'!O44</f>
        <v>0</v>
      </c>
      <c r="O133" s="47">
        <f>'дод 2'!P44</f>
        <v>0</v>
      </c>
      <c r="P133" s="47">
        <f>'дод 2'!Q44</f>
        <v>0</v>
      </c>
      <c r="Q133" s="47">
        <f>'дод 2'!R44</f>
        <v>0</v>
      </c>
      <c r="R133" s="47">
        <f>'дод 2'!S44</f>
        <v>0</v>
      </c>
      <c r="S133" s="47">
        <f>'дод 2'!T44</f>
        <v>0</v>
      </c>
      <c r="T133" s="47">
        <f>'дод 2'!U44</f>
        <v>0</v>
      </c>
      <c r="U133" s="47">
        <f>'дод 2'!V44</f>
        <v>0</v>
      </c>
      <c r="V133" s="47">
        <f>'дод 2'!W44</f>
        <v>0</v>
      </c>
      <c r="W133" s="47">
        <f>'дод 2'!X44</f>
        <v>0</v>
      </c>
      <c r="X133" s="47">
        <f>'дод 2'!Y44</f>
        <v>0</v>
      </c>
      <c r="Y133" s="47">
        <f>'дод 2'!Z44</f>
        <v>0</v>
      </c>
      <c r="Z133" s="109"/>
      <c r="AA133" s="47">
        <f>'дод 2'!AB44</f>
        <v>317058.27</v>
      </c>
      <c r="AB133" s="47">
        <f>'дод 2'!AC44</f>
        <v>899000</v>
      </c>
      <c r="AC133" s="180"/>
    </row>
    <row r="134" spans="1:29" s="79" customFormat="1" ht="22.5" customHeight="1" x14ac:dyDescent="0.25">
      <c r="A134" s="45">
        <v>8240</v>
      </c>
      <c r="B134" s="24" t="s">
        <v>197</v>
      </c>
      <c r="C134" s="32" t="s">
        <v>313</v>
      </c>
      <c r="D134" s="47">
        <f>'дод 2'!E45+'дод 2'!E160+'дод 2'!E82</f>
        <v>26750600</v>
      </c>
      <c r="E134" s="47">
        <f>'дод 2'!F45+'дод 2'!F160+'дод 2'!F82</f>
        <v>26750600</v>
      </c>
      <c r="F134" s="47">
        <f>'дод 2'!G45+'дод 2'!G160+'дод 2'!G82</f>
        <v>0</v>
      </c>
      <c r="G134" s="47">
        <f>'дод 2'!H45+'дод 2'!H160+'дод 2'!H82</f>
        <v>4196000</v>
      </c>
      <c r="H134" s="47">
        <f>'дод 2'!I45+'дод 2'!I160+'дод 2'!I82</f>
        <v>0</v>
      </c>
      <c r="I134" s="47">
        <f>'дод 2'!J45+'дод 2'!J160+'дод 2'!J82</f>
        <v>9388800.6600000001</v>
      </c>
      <c r="J134" s="47">
        <f>'дод 2'!K45+'дод 2'!K160+'дод 2'!K82</f>
        <v>0</v>
      </c>
      <c r="K134" s="47">
        <f>'дод 2'!L45+'дод 2'!L160+'дод 2'!L82</f>
        <v>1026027.77</v>
      </c>
      <c r="L134" s="47">
        <f>'дод 2'!M45+'дод 2'!M160+'дод 2'!M82</f>
        <v>0</v>
      </c>
      <c r="M134" s="109">
        <f t="shared" si="16"/>
        <v>35.097532989914242</v>
      </c>
      <c r="N134" s="47">
        <f>'дод 2'!O45+'дод 2'!O160+'дод 2'!O82</f>
        <v>0</v>
      </c>
      <c r="O134" s="47">
        <f>'дод 2'!P45+'дод 2'!P160+'дод 2'!P82</f>
        <v>0</v>
      </c>
      <c r="P134" s="47">
        <f>'дод 2'!Q45+'дод 2'!Q160+'дод 2'!Q82</f>
        <v>0</v>
      </c>
      <c r="Q134" s="47">
        <f>'дод 2'!R45+'дод 2'!R160+'дод 2'!R82</f>
        <v>0</v>
      </c>
      <c r="R134" s="47">
        <f>'дод 2'!S45+'дод 2'!S160+'дод 2'!S82</f>
        <v>0</v>
      </c>
      <c r="S134" s="47">
        <f>'дод 2'!T45+'дод 2'!T160+'дод 2'!T82</f>
        <v>0</v>
      </c>
      <c r="T134" s="47">
        <f>'дод 2'!U45+'дод 2'!U160+'дод 2'!U82</f>
        <v>35698.81</v>
      </c>
      <c r="U134" s="47">
        <f>'дод 2'!V45+'дод 2'!V160+'дод 2'!V82</f>
        <v>0</v>
      </c>
      <c r="V134" s="47">
        <f>'дод 2'!W45+'дод 2'!W160+'дод 2'!W82</f>
        <v>35698.81</v>
      </c>
      <c r="W134" s="47">
        <f>'дод 2'!X45+'дод 2'!X160+'дод 2'!X82</f>
        <v>0</v>
      </c>
      <c r="X134" s="47">
        <f>'дод 2'!Y45+'дод 2'!Y160+'дод 2'!Y82</f>
        <v>0</v>
      </c>
      <c r="Y134" s="47">
        <f>'дод 2'!Z45+'дод 2'!Z160+'дод 2'!Z82</f>
        <v>0</v>
      </c>
      <c r="Z134" s="109"/>
      <c r="AA134" s="47">
        <f>'дод 2'!AB45+'дод 2'!AB160+'дод 2'!AB82</f>
        <v>9424499.4699999988</v>
      </c>
      <c r="AB134" s="47">
        <f>'дод 2'!AC45+'дод 2'!AC160+'дод 2'!AC82</f>
        <v>26750600</v>
      </c>
      <c r="AC134" s="180"/>
    </row>
    <row r="135" spans="1:29" s="63" customFormat="1" ht="22.5" customHeight="1" x14ac:dyDescent="0.25">
      <c r="A135" s="48" t="s">
        <v>4</v>
      </c>
      <c r="B135" s="29"/>
      <c r="C135" s="53" t="s">
        <v>6</v>
      </c>
      <c r="D135" s="44">
        <f>D137+D136</f>
        <v>68300</v>
      </c>
      <c r="E135" s="44">
        <f t="shared" ref="E135:AA135" si="49">E137+E136</f>
        <v>68300</v>
      </c>
      <c r="F135" s="44">
        <f t="shared" si="49"/>
        <v>0</v>
      </c>
      <c r="G135" s="44">
        <f t="shared" si="49"/>
        <v>0</v>
      </c>
      <c r="H135" s="44">
        <f t="shared" si="49"/>
        <v>0</v>
      </c>
      <c r="I135" s="44">
        <f t="shared" si="49"/>
        <v>0</v>
      </c>
      <c r="J135" s="44">
        <f t="shared" si="49"/>
        <v>0</v>
      </c>
      <c r="K135" s="44">
        <f t="shared" si="49"/>
        <v>0</v>
      </c>
      <c r="L135" s="44">
        <f t="shared" ref="L135" si="50">L137+L136</f>
        <v>0</v>
      </c>
      <c r="M135" s="108">
        <f t="shared" si="16"/>
        <v>0</v>
      </c>
      <c r="N135" s="44">
        <f t="shared" si="49"/>
        <v>3029700</v>
      </c>
      <c r="O135" s="44">
        <f t="shared" si="49"/>
        <v>0</v>
      </c>
      <c r="P135" s="44">
        <f t="shared" si="49"/>
        <v>2779700</v>
      </c>
      <c r="Q135" s="44">
        <f t="shared" si="49"/>
        <v>0</v>
      </c>
      <c r="R135" s="44">
        <f t="shared" si="49"/>
        <v>0</v>
      </c>
      <c r="S135" s="44">
        <f t="shared" si="49"/>
        <v>250000</v>
      </c>
      <c r="T135" s="44">
        <f t="shared" si="49"/>
        <v>73184.009999999995</v>
      </c>
      <c r="U135" s="44">
        <f t="shared" si="49"/>
        <v>0</v>
      </c>
      <c r="V135" s="44">
        <f t="shared" si="49"/>
        <v>73184.009999999995</v>
      </c>
      <c r="W135" s="44">
        <f t="shared" si="49"/>
        <v>0</v>
      </c>
      <c r="X135" s="44">
        <f t="shared" si="49"/>
        <v>0</v>
      </c>
      <c r="Y135" s="44">
        <f t="shared" si="49"/>
        <v>0</v>
      </c>
      <c r="Z135" s="108">
        <f t="shared" si="20"/>
        <v>2.4155530250519854</v>
      </c>
      <c r="AA135" s="44">
        <f t="shared" si="49"/>
        <v>73184.009999999995</v>
      </c>
      <c r="AB135" s="44">
        <f t="shared" ref="AB135" si="51">AB137+AB136</f>
        <v>3098000</v>
      </c>
      <c r="AC135" s="180"/>
    </row>
    <row r="136" spans="1:29" s="63" customFormat="1" ht="33.75" customHeight="1" x14ac:dyDescent="0.25">
      <c r="A136" s="45">
        <v>8330</v>
      </c>
      <c r="B136" s="54" t="s">
        <v>78</v>
      </c>
      <c r="C136" s="32" t="s">
        <v>260</v>
      </c>
      <c r="D136" s="47">
        <f>'дод 2'!E46</f>
        <v>68300</v>
      </c>
      <c r="E136" s="47">
        <f>'дод 2'!F46</f>
        <v>68300</v>
      </c>
      <c r="F136" s="47">
        <f>'дод 2'!G46</f>
        <v>0</v>
      </c>
      <c r="G136" s="47">
        <f>'дод 2'!H46</f>
        <v>0</v>
      </c>
      <c r="H136" s="47">
        <f>'дод 2'!I46</f>
        <v>0</v>
      </c>
      <c r="I136" s="47">
        <f>'дод 2'!J46</f>
        <v>0</v>
      </c>
      <c r="J136" s="47">
        <f>'дод 2'!K46</f>
        <v>0</v>
      </c>
      <c r="K136" s="47">
        <f>'дод 2'!L46</f>
        <v>0</v>
      </c>
      <c r="L136" s="47">
        <f>'дод 2'!M46</f>
        <v>0</v>
      </c>
      <c r="M136" s="109">
        <f t="shared" si="16"/>
        <v>0</v>
      </c>
      <c r="N136" s="47">
        <f>'дод 2'!O46</f>
        <v>0</v>
      </c>
      <c r="O136" s="47">
        <f>'дод 2'!P46</f>
        <v>0</v>
      </c>
      <c r="P136" s="47">
        <f>'дод 2'!Q46</f>
        <v>0</v>
      </c>
      <c r="Q136" s="47">
        <f>'дод 2'!R46</f>
        <v>0</v>
      </c>
      <c r="R136" s="47">
        <f>'дод 2'!S46</f>
        <v>0</v>
      </c>
      <c r="S136" s="47">
        <f>'дод 2'!T46</f>
        <v>0</v>
      </c>
      <c r="T136" s="47">
        <f>'дод 2'!U46</f>
        <v>0</v>
      </c>
      <c r="U136" s="47">
        <f>'дод 2'!V46</f>
        <v>0</v>
      </c>
      <c r="V136" s="47">
        <f>'дод 2'!W46</f>
        <v>0</v>
      </c>
      <c r="W136" s="47">
        <f>'дод 2'!X46</f>
        <v>0</v>
      </c>
      <c r="X136" s="47">
        <f>'дод 2'!Y46</f>
        <v>0</v>
      </c>
      <c r="Y136" s="47">
        <f>'дод 2'!Z46</f>
        <v>0</v>
      </c>
      <c r="Z136" s="109"/>
      <c r="AA136" s="47">
        <f>'дод 2'!AB46</f>
        <v>0</v>
      </c>
      <c r="AB136" s="47">
        <f>'дод 2'!AC46</f>
        <v>68300</v>
      </c>
      <c r="AC136" s="180"/>
    </row>
    <row r="137" spans="1:29" s="63" customFormat="1" ht="24.75" customHeight="1" x14ac:dyDescent="0.25">
      <c r="A137" s="45" t="s">
        <v>7</v>
      </c>
      <c r="B137" s="45" t="s">
        <v>78</v>
      </c>
      <c r="C137" s="32" t="s">
        <v>8</v>
      </c>
      <c r="D137" s="47">
        <f>'дод 2'!E47+'дод 2'!E83+'дод 2'!E161+'дод 2'!E134</f>
        <v>0</v>
      </c>
      <c r="E137" s="47">
        <f>'дод 2'!F47+'дод 2'!F83+'дод 2'!F161+'дод 2'!F134</f>
        <v>0</v>
      </c>
      <c r="F137" s="47">
        <f>'дод 2'!G47+'дод 2'!G83+'дод 2'!G161+'дод 2'!G134</f>
        <v>0</v>
      </c>
      <c r="G137" s="47">
        <f>'дод 2'!H47+'дод 2'!H83+'дод 2'!H161+'дод 2'!H134</f>
        <v>0</v>
      </c>
      <c r="H137" s="47">
        <f>'дод 2'!I47+'дод 2'!I83+'дод 2'!I161+'дод 2'!I134</f>
        <v>0</v>
      </c>
      <c r="I137" s="47">
        <f>'дод 2'!J47+'дод 2'!J83+'дод 2'!J161+'дод 2'!J134</f>
        <v>0</v>
      </c>
      <c r="J137" s="47">
        <f>'дод 2'!K47+'дод 2'!K83+'дод 2'!K161+'дод 2'!K134</f>
        <v>0</v>
      </c>
      <c r="K137" s="47">
        <f>'дод 2'!L47+'дод 2'!L83+'дод 2'!L161+'дод 2'!L134</f>
        <v>0</v>
      </c>
      <c r="L137" s="47">
        <f>'дод 2'!M47+'дод 2'!M83+'дод 2'!M161+'дод 2'!M134</f>
        <v>0</v>
      </c>
      <c r="M137" s="109"/>
      <c r="N137" s="47">
        <f>'дод 2'!O47+'дод 2'!O83+'дод 2'!O161+'дод 2'!O134</f>
        <v>3029700</v>
      </c>
      <c r="O137" s="47">
        <f>'дод 2'!P47+'дод 2'!P83+'дод 2'!P161+'дод 2'!P134</f>
        <v>0</v>
      </c>
      <c r="P137" s="47">
        <f>'дод 2'!Q47+'дод 2'!Q83+'дод 2'!Q161+'дод 2'!Q134</f>
        <v>2779700</v>
      </c>
      <c r="Q137" s="47">
        <f>'дод 2'!R47+'дод 2'!R83+'дод 2'!R161+'дод 2'!R134</f>
        <v>0</v>
      </c>
      <c r="R137" s="47">
        <f>'дод 2'!S47+'дод 2'!S83+'дод 2'!S161+'дод 2'!S134</f>
        <v>0</v>
      </c>
      <c r="S137" s="47">
        <f>'дод 2'!T47+'дод 2'!T83+'дод 2'!T161+'дод 2'!T134</f>
        <v>250000</v>
      </c>
      <c r="T137" s="47">
        <f>'дод 2'!U47+'дод 2'!U83+'дод 2'!U161+'дод 2'!U134</f>
        <v>73184.009999999995</v>
      </c>
      <c r="U137" s="47">
        <f>'дод 2'!V47+'дод 2'!V83+'дод 2'!V161+'дод 2'!V134</f>
        <v>0</v>
      </c>
      <c r="V137" s="47">
        <f>'дод 2'!W47+'дод 2'!W83+'дод 2'!W161+'дод 2'!W134</f>
        <v>73184.009999999995</v>
      </c>
      <c r="W137" s="47">
        <f>'дод 2'!X47+'дод 2'!X83+'дод 2'!X161+'дод 2'!X134</f>
        <v>0</v>
      </c>
      <c r="X137" s="47">
        <f>'дод 2'!Y47+'дод 2'!Y83+'дод 2'!Y161+'дод 2'!Y134</f>
        <v>0</v>
      </c>
      <c r="Y137" s="47">
        <f>'дод 2'!Z47+'дод 2'!Z83+'дод 2'!Z161+'дод 2'!Z134</f>
        <v>0</v>
      </c>
      <c r="Z137" s="109">
        <f t="shared" si="20"/>
        <v>2.4155530250519854</v>
      </c>
      <c r="AA137" s="47">
        <f>'дод 2'!AB47+'дод 2'!AB83+'дод 2'!AB161+'дод 2'!AB134</f>
        <v>73184.009999999995</v>
      </c>
      <c r="AB137" s="47">
        <f>'дод 2'!AC47+'дод 2'!AC83+'дод 2'!AC161+'дод 2'!AC134</f>
        <v>3029700</v>
      </c>
      <c r="AC137" s="180"/>
    </row>
    <row r="138" spans="1:29" s="63" customFormat="1" ht="26.25" customHeight="1" x14ac:dyDescent="0.25">
      <c r="A138" s="48" t="s">
        <v>81</v>
      </c>
      <c r="B138" s="48" t="s">
        <v>77</v>
      </c>
      <c r="C138" s="53" t="s">
        <v>9</v>
      </c>
      <c r="D138" s="44">
        <f>'дод 2'!E209</f>
        <v>5774760</v>
      </c>
      <c r="E138" s="44">
        <f>'дод 2'!F209</f>
        <v>5774760</v>
      </c>
      <c r="F138" s="44">
        <f>'дод 2'!G209</f>
        <v>0</v>
      </c>
      <c r="G138" s="44">
        <f>'дод 2'!H209</f>
        <v>0</v>
      </c>
      <c r="H138" s="44">
        <f>'дод 2'!I209</f>
        <v>0</v>
      </c>
      <c r="I138" s="44">
        <f>'дод 2'!J209</f>
        <v>0</v>
      </c>
      <c r="J138" s="44">
        <f>'дод 2'!K209</f>
        <v>0</v>
      </c>
      <c r="K138" s="44">
        <f>'дод 2'!L209</f>
        <v>0</v>
      </c>
      <c r="L138" s="44">
        <f>'дод 2'!M209</f>
        <v>0</v>
      </c>
      <c r="M138" s="108">
        <f t="shared" si="16"/>
        <v>0</v>
      </c>
      <c r="N138" s="44">
        <f>'дод 2'!O209</f>
        <v>0</v>
      </c>
      <c r="O138" s="44">
        <f>'дод 2'!P209</f>
        <v>0</v>
      </c>
      <c r="P138" s="44">
        <f>'дод 2'!Q209</f>
        <v>0</v>
      </c>
      <c r="Q138" s="44">
        <f>'дод 2'!R209</f>
        <v>0</v>
      </c>
      <c r="R138" s="44">
        <f>'дод 2'!S209</f>
        <v>0</v>
      </c>
      <c r="S138" s="44">
        <f>'дод 2'!T209</f>
        <v>0</v>
      </c>
      <c r="T138" s="44">
        <f>'дод 2'!U209</f>
        <v>0</v>
      </c>
      <c r="U138" s="44">
        <f>'дод 2'!V209</f>
        <v>0</v>
      </c>
      <c r="V138" s="44">
        <f>'дод 2'!W209</f>
        <v>0</v>
      </c>
      <c r="W138" s="44">
        <f>'дод 2'!X209</f>
        <v>0</v>
      </c>
      <c r="X138" s="44">
        <f>'дод 2'!Y209</f>
        <v>0</v>
      </c>
      <c r="Y138" s="44">
        <f>'дод 2'!Z209</f>
        <v>0</v>
      </c>
      <c r="Z138" s="108"/>
      <c r="AA138" s="44">
        <f>'дод 2'!AB209</f>
        <v>0</v>
      </c>
      <c r="AB138" s="44">
        <f>'дод 2'!AC209</f>
        <v>5774760</v>
      </c>
      <c r="AC138" s="180"/>
    </row>
    <row r="139" spans="1:29" s="63" customFormat="1" ht="26.25" customHeight="1" x14ac:dyDescent="0.25">
      <c r="A139" s="48">
        <v>8700</v>
      </c>
      <c r="B139" s="48"/>
      <c r="C139" s="53" t="s">
        <v>311</v>
      </c>
      <c r="D139" s="44">
        <f>D140</f>
        <v>647577492</v>
      </c>
      <c r="E139" s="44">
        <f t="shared" ref="E139:AA139" si="52">E140</f>
        <v>0</v>
      </c>
      <c r="F139" s="44">
        <f t="shared" si="52"/>
        <v>0</v>
      </c>
      <c r="G139" s="44">
        <f t="shared" si="52"/>
        <v>0</v>
      </c>
      <c r="H139" s="44">
        <f t="shared" si="52"/>
        <v>0</v>
      </c>
      <c r="I139" s="44">
        <f t="shared" si="52"/>
        <v>0</v>
      </c>
      <c r="J139" s="44">
        <f t="shared" si="52"/>
        <v>0</v>
      </c>
      <c r="K139" s="44">
        <f t="shared" si="52"/>
        <v>0</v>
      </c>
      <c r="L139" s="44">
        <f t="shared" si="52"/>
        <v>0</v>
      </c>
      <c r="M139" s="108">
        <f t="shared" si="16"/>
        <v>0</v>
      </c>
      <c r="N139" s="44">
        <f t="shared" si="52"/>
        <v>0</v>
      </c>
      <c r="O139" s="44">
        <f t="shared" si="52"/>
        <v>0</v>
      </c>
      <c r="P139" s="44">
        <f t="shared" si="52"/>
        <v>0</v>
      </c>
      <c r="Q139" s="44">
        <f t="shared" si="52"/>
        <v>0</v>
      </c>
      <c r="R139" s="44">
        <f t="shared" si="52"/>
        <v>0</v>
      </c>
      <c r="S139" s="44">
        <f t="shared" si="52"/>
        <v>0</v>
      </c>
      <c r="T139" s="44">
        <f t="shared" si="52"/>
        <v>0</v>
      </c>
      <c r="U139" s="44">
        <f t="shared" si="52"/>
        <v>0</v>
      </c>
      <c r="V139" s="44">
        <f t="shared" si="52"/>
        <v>0</v>
      </c>
      <c r="W139" s="44">
        <f t="shared" si="52"/>
        <v>0</v>
      </c>
      <c r="X139" s="44">
        <f t="shared" si="52"/>
        <v>0</v>
      </c>
      <c r="Y139" s="44">
        <f t="shared" si="52"/>
        <v>0</v>
      </c>
      <c r="Z139" s="108"/>
      <c r="AA139" s="44">
        <f t="shared" si="52"/>
        <v>0</v>
      </c>
      <c r="AB139" s="44">
        <f t="shared" ref="AB139" si="53">AB140</f>
        <v>647577492</v>
      </c>
      <c r="AC139" s="180"/>
    </row>
    <row r="140" spans="1:29" s="79" customFormat="1" ht="31.5" customHeight="1" x14ac:dyDescent="0.25">
      <c r="A140" s="45">
        <v>8710</v>
      </c>
      <c r="B140" s="45" t="s">
        <v>79</v>
      </c>
      <c r="C140" s="32" t="s">
        <v>299</v>
      </c>
      <c r="D140" s="47">
        <f>'дод 2'!E210</f>
        <v>647577492</v>
      </c>
      <c r="E140" s="47">
        <f>'дод 2'!F210</f>
        <v>0</v>
      </c>
      <c r="F140" s="47">
        <f>'дод 2'!G210</f>
        <v>0</v>
      </c>
      <c r="G140" s="47">
        <f>'дод 2'!H210</f>
        <v>0</v>
      </c>
      <c r="H140" s="47">
        <f>'дод 2'!I210</f>
        <v>0</v>
      </c>
      <c r="I140" s="47">
        <f>'дод 2'!J210</f>
        <v>0</v>
      </c>
      <c r="J140" s="47">
        <f>'дод 2'!K210</f>
        <v>0</v>
      </c>
      <c r="K140" s="47">
        <f>'дод 2'!L210</f>
        <v>0</v>
      </c>
      <c r="L140" s="47">
        <f>'дод 2'!M210</f>
        <v>0</v>
      </c>
      <c r="M140" s="109">
        <f t="shared" si="16"/>
        <v>0</v>
      </c>
      <c r="N140" s="47">
        <f>'дод 2'!O210</f>
        <v>0</v>
      </c>
      <c r="O140" s="47">
        <f>'дод 2'!P210</f>
        <v>0</v>
      </c>
      <c r="P140" s="47">
        <f>'дод 2'!Q210</f>
        <v>0</v>
      </c>
      <c r="Q140" s="47">
        <f>'дод 2'!R210</f>
        <v>0</v>
      </c>
      <c r="R140" s="47">
        <f>'дод 2'!S210</f>
        <v>0</v>
      </c>
      <c r="S140" s="47">
        <f>'дод 2'!T210</f>
        <v>0</v>
      </c>
      <c r="T140" s="47">
        <f>'дод 2'!U210</f>
        <v>0</v>
      </c>
      <c r="U140" s="47">
        <f>'дод 2'!V210</f>
        <v>0</v>
      </c>
      <c r="V140" s="47">
        <f>'дод 2'!W210</f>
        <v>0</v>
      </c>
      <c r="W140" s="47">
        <f>'дод 2'!X210</f>
        <v>0</v>
      </c>
      <c r="X140" s="47">
        <f>'дод 2'!Y210</f>
        <v>0</v>
      </c>
      <c r="Y140" s="47">
        <f>'дод 2'!Z210</f>
        <v>0</v>
      </c>
      <c r="Z140" s="109"/>
      <c r="AA140" s="47">
        <f>'дод 2'!AB210</f>
        <v>0</v>
      </c>
      <c r="AB140" s="47">
        <f>'дод 2'!AC210</f>
        <v>647577492</v>
      </c>
      <c r="AC140" s="180"/>
    </row>
    <row r="141" spans="1:29" s="63" customFormat="1" ht="26.25" customHeight="1" x14ac:dyDescent="0.25">
      <c r="A141" s="48" t="s">
        <v>10</v>
      </c>
      <c r="B141" s="48"/>
      <c r="C141" s="53" t="s">
        <v>432</v>
      </c>
      <c r="D141" s="44">
        <f>D144+D146+D142</f>
        <v>102666800</v>
      </c>
      <c r="E141" s="44">
        <f t="shared" ref="E141:AA141" si="54">E144+E146+E142</f>
        <v>85900800</v>
      </c>
      <c r="F141" s="44">
        <f t="shared" si="54"/>
        <v>0</v>
      </c>
      <c r="G141" s="44">
        <f t="shared" si="54"/>
        <v>0</v>
      </c>
      <c r="H141" s="44">
        <f t="shared" si="54"/>
        <v>16766000</v>
      </c>
      <c r="I141" s="44">
        <f t="shared" si="54"/>
        <v>29710200</v>
      </c>
      <c r="J141" s="44">
        <f t="shared" si="54"/>
        <v>0</v>
      </c>
      <c r="K141" s="44">
        <f t="shared" si="54"/>
        <v>0</v>
      </c>
      <c r="L141" s="44">
        <f t="shared" ref="L141" si="55">L144+L146+L142</f>
        <v>10168000</v>
      </c>
      <c r="M141" s="108">
        <f t="shared" si="16"/>
        <v>28.938468911079333</v>
      </c>
      <c r="N141" s="44">
        <f t="shared" si="54"/>
        <v>0</v>
      </c>
      <c r="O141" s="44">
        <f t="shared" si="54"/>
        <v>0</v>
      </c>
      <c r="P141" s="44">
        <f t="shared" si="54"/>
        <v>0</v>
      </c>
      <c r="Q141" s="44">
        <f t="shared" si="54"/>
        <v>0</v>
      </c>
      <c r="R141" s="44">
        <f t="shared" si="54"/>
        <v>0</v>
      </c>
      <c r="S141" s="44">
        <f t="shared" si="54"/>
        <v>0</v>
      </c>
      <c r="T141" s="44">
        <f t="shared" si="54"/>
        <v>0</v>
      </c>
      <c r="U141" s="44">
        <f t="shared" si="54"/>
        <v>0</v>
      </c>
      <c r="V141" s="44">
        <f t="shared" si="54"/>
        <v>0</v>
      </c>
      <c r="W141" s="44">
        <f t="shared" si="54"/>
        <v>0</v>
      </c>
      <c r="X141" s="44">
        <f t="shared" si="54"/>
        <v>0</v>
      </c>
      <c r="Y141" s="44">
        <f t="shared" si="54"/>
        <v>0</v>
      </c>
      <c r="Z141" s="108"/>
      <c r="AA141" s="44">
        <f t="shared" si="54"/>
        <v>29710200</v>
      </c>
      <c r="AB141" s="44">
        <f t="shared" ref="AB141" si="56">AB144+AB146+AB142</f>
        <v>102666800</v>
      </c>
      <c r="AC141" s="180"/>
    </row>
    <row r="142" spans="1:29" s="63" customFormat="1" ht="26.25" customHeight="1" x14ac:dyDescent="0.25">
      <c r="A142" s="48">
        <v>9100</v>
      </c>
      <c r="B142" s="48"/>
      <c r="C142" s="53" t="s">
        <v>431</v>
      </c>
      <c r="D142" s="44">
        <f>D143</f>
        <v>63352400</v>
      </c>
      <c r="E142" s="44">
        <f t="shared" ref="E142:AA142" si="57">E143</f>
        <v>63352400</v>
      </c>
      <c r="F142" s="44">
        <f t="shared" si="57"/>
        <v>0</v>
      </c>
      <c r="G142" s="44">
        <f t="shared" si="57"/>
        <v>0</v>
      </c>
      <c r="H142" s="44">
        <f t="shared" si="57"/>
        <v>0</v>
      </c>
      <c r="I142" s="44">
        <f t="shared" si="57"/>
        <v>15838200</v>
      </c>
      <c r="J142" s="44">
        <f t="shared" si="57"/>
        <v>0</v>
      </c>
      <c r="K142" s="44">
        <f t="shared" si="57"/>
        <v>0</v>
      </c>
      <c r="L142" s="44">
        <f t="shared" si="57"/>
        <v>0</v>
      </c>
      <c r="M142" s="108">
        <f t="shared" si="16"/>
        <v>25.000157847216521</v>
      </c>
      <c r="N142" s="44">
        <f t="shared" si="57"/>
        <v>0</v>
      </c>
      <c r="O142" s="44">
        <f t="shared" si="57"/>
        <v>0</v>
      </c>
      <c r="P142" s="44">
        <f t="shared" si="57"/>
        <v>0</v>
      </c>
      <c r="Q142" s="44">
        <f t="shared" si="57"/>
        <v>0</v>
      </c>
      <c r="R142" s="44">
        <f t="shared" si="57"/>
        <v>0</v>
      </c>
      <c r="S142" s="44">
        <f t="shared" si="57"/>
        <v>0</v>
      </c>
      <c r="T142" s="44">
        <f t="shared" si="57"/>
        <v>0</v>
      </c>
      <c r="U142" s="44">
        <f t="shared" si="57"/>
        <v>0</v>
      </c>
      <c r="V142" s="44">
        <f t="shared" si="57"/>
        <v>0</v>
      </c>
      <c r="W142" s="44">
        <f t="shared" si="57"/>
        <v>0</v>
      </c>
      <c r="X142" s="44">
        <f t="shared" si="57"/>
        <v>0</v>
      </c>
      <c r="Y142" s="44">
        <f t="shared" si="57"/>
        <v>0</v>
      </c>
      <c r="Z142" s="108"/>
      <c r="AA142" s="44">
        <f t="shared" si="57"/>
        <v>15838200</v>
      </c>
      <c r="AB142" s="44">
        <f t="shared" ref="AB142" si="58">AB143</f>
        <v>63352400</v>
      </c>
      <c r="AC142" s="180"/>
    </row>
    <row r="143" spans="1:29" ht="27" customHeight="1" x14ac:dyDescent="0.25">
      <c r="A143" s="45">
        <v>9110</v>
      </c>
      <c r="B143" s="23" t="s">
        <v>36</v>
      </c>
      <c r="C143" s="50" t="s">
        <v>419</v>
      </c>
      <c r="D143" s="47">
        <f>'дод 2'!E211</f>
        <v>63352400</v>
      </c>
      <c r="E143" s="47">
        <f>'дод 2'!F211</f>
        <v>63352400</v>
      </c>
      <c r="F143" s="47">
        <f>'дод 2'!G211</f>
        <v>0</v>
      </c>
      <c r="G143" s="47">
        <f>'дод 2'!H211</f>
        <v>0</v>
      </c>
      <c r="H143" s="47">
        <f>'дод 2'!I211</f>
        <v>0</v>
      </c>
      <c r="I143" s="47">
        <f>'дод 2'!J211</f>
        <v>15838200</v>
      </c>
      <c r="J143" s="47">
        <f>'дод 2'!K211</f>
        <v>0</v>
      </c>
      <c r="K143" s="47">
        <f>'дод 2'!L211</f>
        <v>0</v>
      </c>
      <c r="L143" s="47">
        <f>'дод 2'!M211</f>
        <v>0</v>
      </c>
      <c r="M143" s="109">
        <f t="shared" ref="M143:M147" si="59">I143/D143*100</f>
        <v>25.000157847216521</v>
      </c>
      <c r="N143" s="47">
        <f>'дод 2'!O211</f>
        <v>0</v>
      </c>
      <c r="O143" s="47">
        <f>'дод 2'!P211</f>
        <v>0</v>
      </c>
      <c r="P143" s="47">
        <f>'дод 2'!Q211</f>
        <v>0</v>
      </c>
      <c r="Q143" s="47">
        <f>'дод 2'!R211</f>
        <v>0</v>
      </c>
      <c r="R143" s="47">
        <f>'дод 2'!S211</f>
        <v>0</v>
      </c>
      <c r="S143" s="47">
        <f>'дод 2'!T211</f>
        <v>0</v>
      </c>
      <c r="T143" s="47">
        <f>'дод 2'!U211</f>
        <v>0</v>
      </c>
      <c r="U143" s="47">
        <f>'дод 2'!V211</f>
        <v>0</v>
      </c>
      <c r="V143" s="47">
        <f>'дод 2'!W211</f>
        <v>0</v>
      </c>
      <c r="W143" s="47">
        <f>'дод 2'!X211</f>
        <v>0</v>
      </c>
      <c r="X143" s="47">
        <f>'дод 2'!Y211</f>
        <v>0</v>
      </c>
      <c r="Y143" s="47">
        <f>'дод 2'!Z211</f>
        <v>0</v>
      </c>
      <c r="Z143" s="109"/>
      <c r="AA143" s="47">
        <f>'дод 2'!AB211</f>
        <v>15838200</v>
      </c>
      <c r="AB143" s="47">
        <f>'дод 2'!AC211</f>
        <v>63352400</v>
      </c>
      <c r="AC143" s="180"/>
    </row>
    <row r="144" spans="1:29" s="63" customFormat="1" ht="52.5" customHeight="1" x14ac:dyDescent="0.25">
      <c r="A144" s="48" t="s">
        <v>11</v>
      </c>
      <c r="B144" s="14"/>
      <c r="C144" s="53" t="s">
        <v>259</v>
      </c>
      <c r="D144" s="44">
        <f>D145</f>
        <v>17474400</v>
      </c>
      <c r="E144" s="44">
        <f t="shared" ref="E144:AA144" si="60">E145</f>
        <v>11474400</v>
      </c>
      <c r="F144" s="44">
        <f t="shared" si="60"/>
        <v>0</v>
      </c>
      <c r="G144" s="44">
        <f t="shared" si="60"/>
        <v>0</v>
      </c>
      <c r="H144" s="44">
        <f t="shared" si="60"/>
        <v>6000000</v>
      </c>
      <c r="I144" s="44">
        <f t="shared" si="60"/>
        <v>222000</v>
      </c>
      <c r="J144" s="44">
        <f t="shared" si="60"/>
        <v>0</v>
      </c>
      <c r="K144" s="44">
        <f t="shared" si="60"/>
        <v>0</v>
      </c>
      <c r="L144" s="44">
        <f t="shared" si="60"/>
        <v>0</v>
      </c>
      <c r="M144" s="108">
        <f t="shared" si="59"/>
        <v>1.2704298860046697</v>
      </c>
      <c r="N144" s="44">
        <f t="shared" si="60"/>
        <v>0</v>
      </c>
      <c r="O144" s="44">
        <f t="shared" si="60"/>
        <v>0</v>
      </c>
      <c r="P144" s="44">
        <f t="shared" si="60"/>
        <v>0</v>
      </c>
      <c r="Q144" s="44">
        <f t="shared" si="60"/>
        <v>0</v>
      </c>
      <c r="R144" s="44">
        <f t="shared" si="60"/>
        <v>0</v>
      </c>
      <c r="S144" s="44">
        <f t="shared" si="60"/>
        <v>0</v>
      </c>
      <c r="T144" s="44">
        <f t="shared" si="60"/>
        <v>0</v>
      </c>
      <c r="U144" s="44">
        <f t="shared" si="60"/>
        <v>0</v>
      </c>
      <c r="V144" s="44">
        <f t="shared" si="60"/>
        <v>0</v>
      </c>
      <c r="W144" s="44">
        <f t="shared" si="60"/>
        <v>0</v>
      </c>
      <c r="X144" s="44">
        <f t="shared" si="60"/>
        <v>0</v>
      </c>
      <c r="Y144" s="44">
        <f t="shared" si="60"/>
        <v>0</v>
      </c>
      <c r="Z144" s="108"/>
      <c r="AA144" s="44">
        <f t="shared" si="60"/>
        <v>222000</v>
      </c>
      <c r="AB144" s="44">
        <f t="shared" ref="AB144" si="61">AB145</f>
        <v>17474400</v>
      </c>
      <c r="AC144" s="180"/>
    </row>
    <row r="145" spans="1:33" s="77" customFormat="1" ht="30" customHeight="1" x14ac:dyDescent="0.25">
      <c r="A145" s="45" t="s">
        <v>12</v>
      </c>
      <c r="B145" s="24" t="s">
        <v>36</v>
      </c>
      <c r="C145" s="46" t="s">
        <v>264</v>
      </c>
      <c r="D145" s="47">
        <f>'дод 2'!E119+'дод 2'!E162+'дод 2'!E48+'дод 2'!E97</f>
        <v>17474400</v>
      </c>
      <c r="E145" s="47">
        <f>'дод 2'!F119+'дод 2'!F162+'дод 2'!F48+'дод 2'!F97</f>
        <v>11474400</v>
      </c>
      <c r="F145" s="47">
        <f>'дод 2'!G119+'дод 2'!G162+'дод 2'!G48+'дод 2'!G97</f>
        <v>0</v>
      </c>
      <c r="G145" s="47">
        <f>'дод 2'!H119+'дод 2'!H162+'дод 2'!H48+'дод 2'!H97</f>
        <v>0</v>
      </c>
      <c r="H145" s="47">
        <f>'дод 2'!I119+'дод 2'!I162+'дод 2'!I48+'дод 2'!I97</f>
        <v>6000000</v>
      </c>
      <c r="I145" s="47">
        <f>'дод 2'!J119+'дод 2'!J162+'дод 2'!J48+'дод 2'!J97</f>
        <v>222000</v>
      </c>
      <c r="J145" s="47">
        <f>'дод 2'!K119+'дод 2'!K162+'дод 2'!K48+'дод 2'!K97</f>
        <v>0</v>
      </c>
      <c r="K145" s="47">
        <f>'дод 2'!L119+'дод 2'!L162+'дод 2'!L48+'дод 2'!L97</f>
        <v>0</v>
      </c>
      <c r="L145" s="47">
        <f>'дод 2'!M119+'дод 2'!M162+'дод 2'!M48+'дод 2'!M97</f>
        <v>0</v>
      </c>
      <c r="M145" s="109">
        <f t="shared" si="59"/>
        <v>1.2704298860046697</v>
      </c>
      <c r="N145" s="47">
        <f>'дод 2'!O119+'дод 2'!O162+'дод 2'!O48+'дод 2'!O97</f>
        <v>0</v>
      </c>
      <c r="O145" s="47">
        <f>'дод 2'!P119+'дод 2'!P162+'дод 2'!P48+'дод 2'!P97</f>
        <v>0</v>
      </c>
      <c r="P145" s="47">
        <f>'дод 2'!Q119+'дод 2'!Q162+'дод 2'!Q48+'дод 2'!Q97</f>
        <v>0</v>
      </c>
      <c r="Q145" s="47">
        <f>'дод 2'!R119+'дод 2'!R162+'дод 2'!R48+'дод 2'!R97</f>
        <v>0</v>
      </c>
      <c r="R145" s="47">
        <f>'дод 2'!S119+'дод 2'!S162+'дод 2'!S48+'дод 2'!S97</f>
        <v>0</v>
      </c>
      <c r="S145" s="47">
        <f>'дод 2'!T119+'дод 2'!T162+'дод 2'!T48+'дод 2'!T97</f>
        <v>0</v>
      </c>
      <c r="T145" s="47">
        <f>'дод 2'!U119+'дод 2'!U162+'дод 2'!U48+'дод 2'!U97</f>
        <v>0</v>
      </c>
      <c r="U145" s="47">
        <f>'дод 2'!V119+'дод 2'!V162+'дод 2'!V48+'дод 2'!V97</f>
        <v>0</v>
      </c>
      <c r="V145" s="47">
        <f>'дод 2'!W119+'дод 2'!W162+'дод 2'!W48+'дод 2'!W97</f>
        <v>0</v>
      </c>
      <c r="W145" s="47">
        <f>'дод 2'!X119+'дод 2'!X162+'дод 2'!X48+'дод 2'!X97</f>
        <v>0</v>
      </c>
      <c r="X145" s="47">
        <f>'дод 2'!Y119+'дод 2'!Y162+'дод 2'!Y48+'дод 2'!Y97</f>
        <v>0</v>
      </c>
      <c r="Y145" s="47">
        <f>'дод 2'!Z119+'дод 2'!Z162+'дод 2'!Z48+'дод 2'!Z97</f>
        <v>0</v>
      </c>
      <c r="Z145" s="109"/>
      <c r="AA145" s="47">
        <f>'дод 2'!AB119+'дод 2'!AB162+'дод 2'!AB48+'дод 2'!AB97</f>
        <v>222000</v>
      </c>
      <c r="AB145" s="47">
        <f>'дод 2'!AC119+'дод 2'!AC162+'дод 2'!AC48+'дод 2'!AC97</f>
        <v>17474400</v>
      </c>
      <c r="AC145" s="180"/>
    </row>
    <row r="146" spans="1:33" s="77" customFormat="1" ht="63" customHeight="1" x14ac:dyDescent="0.25">
      <c r="A146" s="48">
        <v>9800</v>
      </c>
      <c r="B146" s="29" t="s">
        <v>36</v>
      </c>
      <c r="C146" s="85" t="s">
        <v>336</v>
      </c>
      <c r="D146" s="44">
        <f>'дод 2'!E49+'дод 2'!E163</f>
        <v>21840000</v>
      </c>
      <c r="E146" s="44">
        <f>'дод 2'!F49+'дод 2'!F163</f>
        <v>11074000</v>
      </c>
      <c r="F146" s="44">
        <f>'дод 2'!G49+'дод 2'!G163</f>
        <v>0</v>
      </c>
      <c r="G146" s="44">
        <f>'дод 2'!H49+'дод 2'!H163</f>
        <v>0</v>
      </c>
      <c r="H146" s="44">
        <f>'дод 2'!I49+'дод 2'!I163</f>
        <v>10766000</v>
      </c>
      <c r="I146" s="44">
        <f>'дод 2'!J49+'дод 2'!J163</f>
        <v>13650000</v>
      </c>
      <c r="J146" s="44">
        <f>'дод 2'!K49+'дод 2'!K163</f>
        <v>0</v>
      </c>
      <c r="K146" s="44">
        <f>'дод 2'!L49+'дод 2'!L163</f>
        <v>0</v>
      </c>
      <c r="L146" s="44">
        <f>'дод 2'!M49+'дод 2'!M163</f>
        <v>10168000</v>
      </c>
      <c r="M146" s="108">
        <f t="shared" si="59"/>
        <v>62.5</v>
      </c>
      <c r="N146" s="44">
        <f>'дод 2'!O49+'дод 2'!O163</f>
        <v>0</v>
      </c>
      <c r="O146" s="44">
        <f>'дод 2'!P49+'дод 2'!P163</f>
        <v>0</v>
      </c>
      <c r="P146" s="44">
        <f>'дод 2'!Q49+'дод 2'!Q163</f>
        <v>0</v>
      </c>
      <c r="Q146" s="44">
        <f>'дод 2'!R49+'дод 2'!R163</f>
        <v>0</v>
      </c>
      <c r="R146" s="44">
        <f>'дод 2'!S49+'дод 2'!S163</f>
        <v>0</v>
      </c>
      <c r="S146" s="44">
        <f>'дод 2'!T49+'дод 2'!T163</f>
        <v>0</v>
      </c>
      <c r="T146" s="44">
        <f>'дод 2'!U49+'дод 2'!U163</f>
        <v>0</v>
      </c>
      <c r="U146" s="44">
        <f>'дод 2'!V49+'дод 2'!V163</f>
        <v>0</v>
      </c>
      <c r="V146" s="44">
        <f>'дод 2'!W49+'дод 2'!W163</f>
        <v>0</v>
      </c>
      <c r="W146" s="44">
        <f>'дод 2'!X49+'дод 2'!X163</f>
        <v>0</v>
      </c>
      <c r="X146" s="44">
        <f>'дод 2'!Y49+'дод 2'!Y163</f>
        <v>0</v>
      </c>
      <c r="Y146" s="44">
        <f>'дод 2'!Z49+'дод 2'!Z163</f>
        <v>0</v>
      </c>
      <c r="Z146" s="108"/>
      <c r="AA146" s="44">
        <f>'дод 2'!AB49+'дод 2'!AB163</f>
        <v>13650000</v>
      </c>
      <c r="AB146" s="44">
        <f>'дод 2'!AC49+'дод 2'!AC163</f>
        <v>21840000</v>
      </c>
      <c r="AC146" s="180"/>
    </row>
    <row r="147" spans="1:33" s="63" customFormat="1" ht="26.25" customHeight="1" x14ac:dyDescent="0.25">
      <c r="A147" s="43"/>
      <c r="B147" s="43"/>
      <c r="C147" s="15" t="s">
        <v>450</v>
      </c>
      <c r="D147" s="44">
        <f>D14+D17+D47+D55+D79+D84+D92+D104+D128+D141</f>
        <v>4423678881.1399994</v>
      </c>
      <c r="E147" s="44">
        <f t="shared" ref="E147:AA147" si="62">E14+E17+E47+E55+E79+E84+E92+E104+E128+E141</f>
        <v>3321822472.9400001</v>
      </c>
      <c r="F147" s="44">
        <f t="shared" si="62"/>
        <v>1651429468</v>
      </c>
      <c r="G147" s="44">
        <f t="shared" si="62"/>
        <v>238186831</v>
      </c>
      <c r="H147" s="44">
        <f t="shared" si="62"/>
        <v>454278916.19999999</v>
      </c>
      <c r="I147" s="44">
        <f t="shared" si="62"/>
        <v>977817975.29999995</v>
      </c>
      <c r="J147" s="44">
        <f t="shared" si="62"/>
        <v>457859918.4000001</v>
      </c>
      <c r="K147" s="44">
        <f t="shared" si="62"/>
        <v>75277086.489999995</v>
      </c>
      <c r="L147" s="44">
        <f t="shared" ref="L147" si="63">L14+L17+L47+L55+L79+L84+L92+L104+L128+L141</f>
        <v>124090963.91</v>
      </c>
      <c r="M147" s="108">
        <f t="shared" si="59"/>
        <v>22.104180741256979</v>
      </c>
      <c r="N147" s="44">
        <f t="shared" si="62"/>
        <v>1068512291.0000001</v>
      </c>
      <c r="O147" s="44">
        <f t="shared" si="62"/>
        <v>996624933</v>
      </c>
      <c r="P147" s="44">
        <f t="shared" si="62"/>
        <v>60872258</v>
      </c>
      <c r="Q147" s="44">
        <f t="shared" si="62"/>
        <v>13503372</v>
      </c>
      <c r="R147" s="44">
        <f t="shared" si="62"/>
        <v>7905688</v>
      </c>
      <c r="S147" s="44">
        <f t="shared" si="62"/>
        <v>1007640033</v>
      </c>
      <c r="T147" s="44">
        <f t="shared" si="62"/>
        <v>119784099.80999999</v>
      </c>
      <c r="U147" s="44">
        <f t="shared" si="62"/>
        <v>6894961.54</v>
      </c>
      <c r="V147" s="44">
        <f t="shared" si="62"/>
        <v>83032351.659999982</v>
      </c>
      <c r="W147" s="44">
        <f t="shared" si="62"/>
        <v>4142050.57</v>
      </c>
      <c r="X147" s="44">
        <f t="shared" si="62"/>
        <v>1593165.85</v>
      </c>
      <c r="Y147" s="44">
        <f t="shared" si="62"/>
        <v>36751748.149999999</v>
      </c>
      <c r="Z147" s="108">
        <f t="shared" ref="Z147" si="64">T147/N147*100</f>
        <v>11.210362371957029</v>
      </c>
      <c r="AA147" s="44">
        <f t="shared" si="62"/>
        <v>1097602075.1099999</v>
      </c>
      <c r="AB147" s="44">
        <f t="shared" ref="AB147" si="65">AB14+AB17+AB47+AB55+AB79+AB84+AB92+AB104+AB128+AB141</f>
        <v>5492191172.1400003</v>
      </c>
      <c r="AC147" s="180"/>
    </row>
    <row r="148" spans="1:33" s="66" customFormat="1" ht="63" customHeight="1" x14ac:dyDescent="0.25">
      <c r="A148" s="56"/>
      <c r="B148" s="56"/>
      <c r="C148" s="57"/>
      <c r="D148" s="58"/>
      <c r="E148" s="58"/>
      <c r="F148" s="58"/>
      <c r="G148" s="58"/>
      <c r="H148" s="58"/>
      <c r="I148" s="58"/>
      <c r="J148" s="58"/>
      <c r="K148" s="58"/>
      <c r="L148" s="58"/>
      <c r="M148" s="110"/>
      <c r="N148" s="58"/>
      <c r="O148" s="58"/>
      <c r="P148" s="58"/>
      <c r="Q148" s="58"/>
      <c r="R148" s="58"/>
      <c r="S148" s="58"/>
      <c r="T148" s="58"/>
      <c r="U148" s="58"/>
      <c r="V148" s="58"/>
      <c r="W148" s="58"/>
      <c r="X148" s="58"/>
      <c r="Y148" s="58"/>
      <c r="Z148" s="110"/>
      <c r="AA148" s="58"/>
      <c r="AB148" s="58"/>
      <c r="AC148" s="180"/>
    </row>
    <row r="149" spans="1:33" s="72" customFormat="1" ht="186" customHeight="1" x14ac:dyDescent="0.45">
      <c r="A149" s="89"/>
      <c r="B149" s="89"/>
      <c r="C149" s="89"/>
      <c r="D149" s="89"/>
      <c r="E149" s="89"/>
      <c r="F149" s="89"/>
      <c r="G149" s="89"/>
      <c r="H149" s="89"/>
      <c r="I149" s="89"/>
      <c r="J149" s="89"/>
      <c r="K149" s="89"/>
      <c r="L149" s="89"/>
      <c r="M149" s="89"/>
      <c r="N149" s="89"/>
      <c r="O149" s="89"/>
      <c r="P149" s="5"/>
      <c r="Q149" s="89"/>
      <c r="R149" s="89"/>
      <c r="S149" s="89"/>
      <c r="T149" s="90"/>
      <c r="U149" s="90"/>
      <c r="V149" s="90"/>
      <c r="W149" s="90"/>
      <c r="X149" s="90"/>
      <c r="Y149" s="90"/>
      <c r="Z149" s="113"/>
      <c r="AA149" s="90"/>
      <c r="AB149" s="74"/>
      <c r="AC149" s="180"/>
    </row>
    <row r="150" spans="1:33" s="66" customFormat="1" ht="44.25" customHeight="1" x14ac:dyDescent="0.65">
      <c r="A150" s="182" t="s">
        <v>525</v>
      </c>
      <c r="B150" s="182"/>
      <c r="C150" s="182"/>
      <c r="D150" s="182"/>
      <c r="E150" s="182"/>
      <c r="F150" s="182"/>
      <c r="G150" s="182"/>
      <c r="H150" s="182"/>
      <c r="I150" s="182"/>
      <c r="J150" s="182"/>
      <c r="K150" s="182"/>
      <c r="L150" s="182"/>
      <c r="M150" s="182"/>
      <c r="N150" s="182"/>
      <c r="O150" s="138"/>
      <c r="P150" s="138"/>
      <c r="Q150" s="138"/>
      <c r="R150" s="138"/>
      <c r="S150" s="138"/>
      <c r="T150" s="139"/>
      <c r="U150" s="140"/>
      <c r="V150" s="140"/>
      <c r="W150" s="140"/>
      <c r="X150" s="183" t="s">
        <v>526</v>
      </c>
      <c r="Y150" s="183"/>
      <c r="Z150" s="183"/>
      <c r="AA150" s="183"/>
      <c r="AB150" s="137"/>
      <c r="AC150" s="180"/>
    </row>
    <row r="151" spans="1:33" s="72" customFormat="1" ht="45" customHeight="1" x14ac:dyDescent="0.4">
      <c r="A151" s="133"/>
      <c r="B151" s="133"/>
      <c r="C151" s="133"/>
      <c r="D151" s="133"/>
      <c r="E151" s="133"/>
      <c r="F151" s="133"/>
      <c r="G151" s="114"/>
      <c r="H151" s="114"/>
      <c r="I151" s="114"/>
      <c r="J151" s="115"/>
      <c r="K151" s="114"/>
      <c r="L151" s="114"/>
      <c r="M151" s="116"/>
      <c r="N151" s="117"/>
      <c r="O151" s="114"/>
      <c r="P151" s="114"/>
      <c r="Q151" s="114"/>
      <c r="R151" s="114"/>
      <c r="S151" s="114"/>
      <c r="T151" s="114"/>
      <c r="U151" s="62"/>
      <c r="V151" s="118"/>
      <c r="W151" s="118"/>
      <c r="X151" s="118"/>
      <c r="Y151" s="134"/>
      <c r="Z151" s="121"/>
      <c r="AA151" s="122"/>
      <c r="AB151" s="123"/>
      <c r="AC151" s="180"/>
      <c r="AD151" s="59"/>
      <c r="AE151" s="119"/>
      <c r="AF151" s="17"/>
      <c r="AG151" s="120"/>
    </row>
    <row r="152" spans="1:33" s="72" customFormat="1" ht="45" customHeight="1" x14ac:dyDescent="0.4">
      <c r="A152" s="124"/>
      <c r="B152" s="125"/>
      <c r="C152" s="125"/>
      <c r="D152" s="126"/>
      <c r="E152" s="114"/>
      <c r="F152" s="114"/>
      <c r="G152" s="114"/>
      <c r="H152" s="114"/>
      <c r="I152" s="114"/>
      <c r="J152" s="115"/>
      <c r="K152" s="114"/>
      <c r="L152" s="114"/>
      <c r="M152" s="114"/>
      <c r="N152" s="117"/>
      <c r="O152" s="114"/>
      <c r="P152" s="127"/>
      <c r="Q152" s="114"/>
      <c r="R152" s="114"/>
      <c r="S152" s="114"/>
      <c r="T152" s="114"/>
      <c r="U152" s="62"/>
      <c r="V152" s="118"/>
      <c r="W152" s="118"/>
      <c r="X152" s="118"/>
      <c r="Y152" s="118"/>
      <c r="Z152" s="128"/>
      <c r="AA152" s="129"/>
      <c r="AB152" s="130"/>
      <c r="AC152" s="180"/>
      <c r="AD152" s="59"/>
      <c r="AE152" s="119"/>
      <c r="AF152" s="17"/>
      <c r="AG152" s="120"/>
    </row>
    <row r="153" spans="1:33" x14ac:dyDescent="0.25">
      <c r="AC153" s="180"/>
    </row>
    <row r="154" spans="1:33" x14ac:dyDescent="0.25">
      <c r="AC154" s="180"/>
    </row>
    <row r="155" spans="1:33" x14ac:dyDescent="0.25">
      <c r="AC155" s="180"/>
    </row>
    <row r="156" spans="1:33" x14ac:dyDescent="0.25">
      <c r="AC156" s="180"/>
    </row>
    <row r="157" spans="1:33" x14ac:dyDescent="0.25">
      <c r="AC157" s="180"/>
    </row>
    <row r="158" spans="1:33" x14ac:dyDescent="0.25">
      <c r="AC158" s="180"/>
    </row>
    <row r="159" spans="1:33" x14ac:dyDescent="0.25">
      <c r="AC159" s="180"/>
    </row>
    <row r="160" spans="1:33" x14ac:dyDescent="0.25">
      <c r="AC160" s="180"/>
    </row>
    <row r="161" spans="29:29" x14ac:dyDescent="0.25">
      <c r="AC161" s="180"/>
    </row>
    <row r="162" spans="29:29" x14ac:dyDescent="0.25">
      <c r="AC162" s="180"/>
    </row>
    <row r="163" spans="29:29" x14ac:dyDescent="0.25">
      <c r="AC163" s="180"/>
    </row>
    <row r="164" spans="29:29" x14ac:dyDescent="0.25">
      <c r="AC164" s="180"/>
    </row>
    <row r="165" spans="29:29" x14ac:dyDescent="0.25">
      <c r="AC165" s="180"/>
    </row>
    <row r="166" spans="29:29" x14ac:dyDescent="0.25">
      <c r="AC166" s="180"/>
    </row>
    <row r="167" spans="29:29" x14ac:dyDescent="0.25">
      <c r="AC167" s="180"/>
    </row>
    <row r="168" spans="29:29" x14ac:dyDescent="0.25">
      <c r="AC168" s="180"/>
    </row>
    <row r="169" spans="29:29" x14ac:dyDescent="0.25">
      <c r="AC169" s="180"/>
    </row>
    <row r="170" spans="29:29" x14ac:dyDescent="0.25">
      <c r="AC170" s="180"/>
    </row>
    <row r="171" spans="29:29" x14ac:dyDescent="0.25">
      <c r="AC171" s="180"/>
    </row>
    <row r="172" spans="29:29" x14ac:dyDescent="0.25">
      <c r="AC172" s="180"/>
    </row>
    <row r="173" spans="29:29" x14ac:dyDescent="0.25">
      <c r="AC173" s="180"/>
    </row>
    <row r="174" spans="29:29" x14ac:dyDescent="0.25">
      <c r="AC174" s="180"/>
    </row>
    <row r="175" spans="29:29" x14ac:dyDescent="0.25">
      <c r="AC175" s="180"/>
    </row>
    <row r="176" spans="29:29" x14ac:dyDescent="0.25">
      <c r="AC176" s="180"/>
    </row>
    <row r="177" spans="29:29" x14ac:dyDescent="0.25">
      <c r="AC177" s="180"/>
    </row>
    <row r="178" spans="29:29" x14ac:dyDescent="0.25">
      <c r="AC178" s="180"/>
    </row>
    <row r="179" spans="29:29" x14ac:dyDescent="0.25">
      <c r="AC179" s="180"/>
    </row>
    <row r="180" spans="29:29" x14ac:dyDescent="0.25">
      <c r="AC180" s="180"/>
    </row>
    <row r="181" spans="29:29" x14ac:dyDescent="0.25">
      <c r="AC181" s="180"/>
    </row>
    <row r="182" spans="29:29" x14ac:dyDescent="0.25">
      <c r="AC182" s="180"/>
    </row>
    <row r="183" spans="29:29" x14ac:dyDescent="0.25">
      <c r="AC183" s="180"/>
    </row>
    <row r="184" spans="29:29" x14ac:dyDescent="0.25">
      <c r="AC184" s="180"/>
    </row>
    <row r="185" spans="29:29" x14ac:dyDescent="0.25">
      <c r="AC185" s="180"/>
    </row>
    <row r="186" spans="29:29" x14ac:dyDescent="0.25">
      <c r="AC186" s="180"/>
    </row>
    <row r="187" spans="29:29" x14ac:dyDescent="0.25">
      <c r="AC187" s="180"/>
    </row>
    <row r="188" spans="29:29" x14ac:dyDescent="0.25">
      <c r="AC188" s="180"/>
    </row>
    <row r="189" spans="29:29" x14ac:dyDescent="0.25">
      <c r="AC189" s="180"/>
    </row>
    <row r="190" spans="29:29" x14ac:dyDescent="0.25">
      <c r="AC190" s="180"/>
    </row>
    <row r="191" spans="29:29" x14ac:dyDescent="0.25">
      <c r="AC191" s="180"/>
    </row>
    <row r="192" spans="29:29" x14ac:dyDescent="0.25">
      <c r="AC192" s="180"/>
    </row>
    <row r="193" spans="29:29" x14ac:dyDescent="0.25">
      <c r="AC193" s="180"/>
    </row>
    <row r="194" spans="29:29" x14ac:dyDescent="0.25">
      <c r="AC194" s="180"/>
    </row>
    <row r="195" spans="29:29" x14ac:dyDescent="0.25">
      <c r="AC195" s="180"/>
    </row>
    <row r="196" spans="29:29" x14ac:dyDescent="0.25">
      <c r="AC196" s="180"/>
    </row>
    <row r="197" spans="29:29" x14ac:dyDescent="0.25">
      <c r="AC197" s="180"/>
    </row>
    <row r="198" spans="29:29" x14ac:dyDescent="0.25">
      <c r="AC198" s="180"/>
    </row>
    <row r="199" spans="29:29" x14ac:dyDescent="0.25">
      <c r="AC199" s="180"/>
    </row>
    <row r="200" spans="29:29" x14ac:dyDescent="0.25">
      <c r="AC200" s="180"/>
    </row>
    <row r="201" spans="29:29" x14ac:dyDescent="0.25">
      <c r="AC201" s="180"/>
    </row>
    <row r="202" spans="29:29" x14ac:dyDescent="0.25">
      <c r="AC202" s="180"/>
    </row>
    <row r="203" spans="29:29" x14ac:dyDescent="0.25">
      <c r="AC203" s="180"/>
    </row>
    <row r="204" spans="29:29" x14ac:dyDescent="0.25">
      <c r="AC204" s="146"/>
    </row>
    <row r="205" spans="29:29" x14ac:dyDescent="0.25">
      <c r="AC205" s="146"/>
    </row>
    <row r="206" spans="29:29" x14ac:dyDescent="0.25">
      <c r="AC206" s="146"/>
    </row>
    <row r="207" spans="29:29" x14ac:dyDescent="0.25">
      <c r="AC207" s="146"/>
    </row>
    <row r="208" spans="29:29" x14ac:dyDescent="0.25">
      <c r="AC208" s="146"/>
    </row>
    <row r="209" spans="29:29" x14ac:dyDescent="0.25">
      <c r="AC209" s="146"/>
    </row>
    <row r="210" spans="29:29" x14ac:dyDescent="0.25">
      <c r="AC210" s="146"/>
    </row>
    <row r="211" spans="29:29" x14ac:dyDescent="0.25">
      <c r="AC211" s="146"/>
    </row>
    <row r="212" spans="29:29" x14ac:dyDescent="0.25">
      <c r="AC212" s="146"/>
    </row>
    <row r="213" spans="29:29" x14ac:dyDescent="0.25">
      <c r="AC213" s="146"/>
    </row>
    <row r="214" spans="29:29" x14ac:dyDescent="0.25">
      <c r="AC214" s="146"/>
    </row>
    <row r="215" spans="29:29" x14ac:dyDescent="0.25">
      <c r="AC215" s="146"/>
    </row>
    <row r="216" spans="29:29" x14ac:dyDescent="0.25">
      <c r="AC216" s="146"/>
    </row>
    <row r="217" spans="29:29" x14ac:dyDescent="0.25">
      <c r="AC217" s="146"/>
    </row>
    <row r="218" spans="29:29" x14ac:dyDescent="0.25">
      <c r="AC218" s="146"/>
    </row>
    <row r="219" spans="29:29" x14ac:dyDescent="0.25">
      <c r="AC219" s="146"/>
    </row>
    <row r="220" spans="29:29" x14ac:dyDescent="0.25">
      <c r="AC220" s="146"/>
    </row>
    <row r="221" spans="29:29" x14ac:dyDescent="0.25">
      <c r="AC221" s="146"/>
    </row>
    <row r="222" spans="29:29" x14ac:dyDescent="0.25">
      <c r="AC222" s="146"/>
    </row>
    <row r="223" spans="29:29" x14ac:dyDescent="0.25">
      <c r="AC223" s="146"/>
    </row>
    <row r="224" spans="29:29" x14ac:dyDescent="0.25">
      <c r="AC224" s="146"/>
    </row>
    <row r="225" spans="29:29" x14ac:dyDescent="0.25">
      <c r="AC225" s="146"/>
    </row>
  </sheetData>
  <mergeCells count="39">
    <mergeCell ref="D11:H11"/>
    <mergeCell ref="Z10:Z13"/>
    <mergeCell ref="AA10:AA13"/>
    <mergeCell ref="F12:H12"/>
    <mergeCell ref="J12:L12"/>
    <mergeCell ref="D10:L10"/>
    <mergeCell ref="I11:L11"/>
    <mergeCell ref="N10:Y10"/>
    <mergeCell ref="T11:Y11"/>
    <mergeCell ref="AC39:AC76"/>
    <mergeCell ref="AC77:AC131"/>
    <mergeCell ref="AC132:AC203"/>
    <mergeCell ref="A150:N150"/>
    <mergeCell ref="X150:AA150"/>
    <mergeCell ref="V1:Y1"/>
    <mergeCell ref="AD1:AD51"/>
    <mergeCell ref="S12:S13"/>
    <mergeCell ref="AB10:AB13"/>
    <mergeCell ref="A7:AB7"/>
    <mergeCell ref="A8:AB8"/>
    <mergeCell ref="A6:AB6"/>
    <mergeCell ref="B10:B13"/>
    <mergeCell ref="C10:C13"/>
    <mergeCell ref="A10:A13"/>
    <mergeCell ref="D12:D13"/>
    <mergeCell ref="Q12:R12"/>
    <mergeCell ref="E12:E13"/>
    <mergeCell ref="N12:N13"/>
    <mergeCell ref="N11:S11"/>
    <mergeCell ref="AC1:AC38"/>
    <mergeCell ref="Y12:Y13"/>
    <mergeCell ref="O12:O13"/>
    <mergeCell ref="I12:I13"/>
    <mergeCell ref="T12:T13"/>
    <mergeCell ref="U12:U13"/>
    <mergeCell ref="V12:V13"/>
    <mergeCell ref="W12:X12"/>
    <mergeCell ref="P12:P13"/>
    <mergeCell ref="M10:M13"/>
  </mergeCells>
  <phoneticPr fontId="2" type="noConversion"/>
  <printOptions horizontalCentered="1"/>
  <pageMargins left="0" right="0" top="0.78740157480314965" bottom="0.15748031496062992" header="0.43307086614173229" footer="0.15748031496062992"/>
  <pageSetup paperSize="9" scale="26" fitToHeight="100" orientation="landscape" r:id="rId1"/>
  <headerFooter differentFirst="1" scaleWithDoc="0" alignWithMargins="0">
    <oddHeader>&amp;R&amp;8Продовження додатку</oddHeader>
  </headerFooter>
  <rowBreaks count="1" manualBreakCount="1">
    <brk id="131" max="2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дод 2</vt:lpstr>
      <vt:lpstr>дод 5</vt:lpstr>
      <vt:lpstr>'дод 2'!Заголовки_для_печати</vt:lpstr>
      <vt:lpstr>'дод 5'!Заголовки_для_печати</vt:lpstr>
      <vt:lpstr>'дод 2'!Область_печати</vt:lpstr>
      <vt:lpstr>'дод 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Качаєнко Олена Андріївна</dc:creator>
  <cp:lastModifiedBy>Яненко Наталія Олександрівна</cp:lastModifiedBy>
  <cp:lastPrinted>2026-05-12T08:15:28Z</cp:lastPrinted>
  <dcterms:created xsi:type="dcterms:W3CDTF">2014-01-17T10:52:16Z</dcterms:created>
  <dcterms:modified xsi:type="dcterms:W3CDTF">2026-05-29T07:19:00Z</dcterms:modified>
</cp:coreProperties>
</file>