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4'!$9:$12</definedName>
    <definedName name="_xlnm.Print_Area" localSheetId="0">'дод. 3'!$A$1:$P$331</definedName>
    <definedName name="_xlnm.Print_Area" localSheetId="1">'дод. 4'!$A$1:$O$252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0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<sst xmlns="http://schemas.openxmlformats.org/spreadsheetml/2006/main" count="909" uniqueCount="669">
  <si>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</si>
  <si>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</si>
  <si>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</si>
  <si>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</si>
  <si>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</si>
  <si>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</si>
  <si>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</si>
  <si>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</si>
  <si>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</si>
  <si>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</si>
  <si>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</si>
  <si>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</si>
  <si>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</si>
  <si>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</si>
  <si>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</si>
  <si>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</si>
  <si>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</si>
  <si>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</si>
  <si>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</si>
  <si>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</si>
  <si>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</si>
  <si>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</si>
  <si>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</si>
  <si>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</si>
  <si>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</si>
  <si>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</si>
  <si>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</si>
  <si>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</si>
  <si>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</si>
  <si>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</si>
  <si>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</si>
  <si>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</si>
  <si>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</si>
  <si>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</si>
  <si>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</si>
  <si>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</si>
  <si>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</si>
  <si>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</si>
  <si>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</si>
  <si>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</si>
  <si>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</si>
  <si>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</si>
  <si>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</si>
  <si>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</si>
  <si>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</si>
  <si>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</si>
  <si>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</si>
  <si>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</si>
  <si>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</si>
  <si>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</si>
  <si>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</si>
  <si>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</si>
  <si>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</si>
  <si>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</si>
  <si>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</si>
  <si>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</si>
  <si>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</si>
  <si>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</si>
  <si>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</si>
  <si>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</si>
  <si>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</si>
  <si>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</si>
  <si>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</si>
  <si>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</si>
  <si>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</si>
  <si>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</si>
  <si>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</si>
  <si>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</si>
  <si>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</si>
  <si>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</si>
  <si>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</si>
  <si>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</si>
  <si>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</si>
  <si>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</si>
  <si>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</si>
  <si>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</si>
  <si>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</si>
  <si>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</si>
  <si>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</si>
  <si>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</si>
  <si>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</si>
  <si>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</si>
  <si>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</si>
  <si>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</si>
  <si>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</si>
  <si>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</si>
  <si>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</si>
  <si>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</si>
  <si>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</si>
  <si>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</si>
  <si>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</si>
  <si>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</si>
  <si>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</si>
  <si>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</si>
  <si>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</si>
  <si>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</si>
  <si>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</si>
  <si>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</si>
  <si>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</si>
  <si>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</si>
  <si>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</si>
  <si>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</si>
  <si>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</si>
  <si>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</si>
  <si>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</si>
  <si>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</si>
  <si>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</si>
  <si>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</si>
  <si>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</si>
  <si>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</si>
  <si>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</si>
  <si>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</si>
  <si>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</si>
  <si>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</si>
  <si>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</si>
  <si>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</si>
  <si>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</si>
  <si>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</si>
  <si>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</si>
  <si>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</si>
  <si>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</si>
  <si>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</si>
  <si>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</si>
  <si>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</si>
  <si>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</si>
  <si>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</si>
  <si>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</si>
  <si>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</si>
  <si>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</si>
  <si>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</si>
  <si>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</si>
  <si>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</si>
  <si>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</si>
  <si>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</si>
  <si>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</si>
  <si>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</si>
  <si>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</si>
  <si>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</si>
  <si>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</si>
  <si>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</si>
  <si>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</si>
  <si>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</si>
  <si>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</si>
  <si>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</si>
  <si>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</si>
  <si>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</si>
  <si>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</si>
  <si>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</si>
  <si>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</si>
  <si>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</si>
  <si>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</si>
  <si>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</si>
  <si>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</si>
  <si>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</si>
  <si>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</si>
  <si>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</si>
  <si>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</si>
  <si>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</si>
  <si>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</si>
  <si>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</si>
  <si>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</si>
  <si>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</si>
  <si>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</si>
  <si>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</si>
  <si>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</si>
  <si>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</si>
  <si>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</si>
  <si>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</si>
  <si>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</si>
  <si>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</si>
  <si>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</si>
  <si>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</si>
  <si>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</si>
  <si>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</si>
  <si>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</si>
  <si>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</si>
  <si>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</si>
  <si>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</si>
  <si>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</si>
  <si>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</si>
  <si>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</si>
  <si>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</si>
  <si>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</si>
  <si>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</si>
  <si>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</si>
  <si>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</si>
  <si>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</si>
  <si>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</si>
  <si>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</si>
  <si>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</si>
  <si>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</si>
  <si>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</si>
  <si>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</si>
  <si>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</si>
  <si>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</si>
  <si>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</si>
  <si>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</si>
  <si>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</si>
  <si>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</si>
  <si>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</si>
  <si>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</si>
  <si>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</si>
  <si>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</si>
  <si>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</si>
  <si>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</si>
  <si>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</si>
  <si>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</si>
  <si>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</si>
  <si>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</si>
  <si>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</si>
  <si>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</si>
  <si>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</si>
  <si>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</si>
  <si>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</si>
  <si>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</si>
  <si>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</si>
  <si>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</si>
  <si>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</si>
  <si>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</si>
  <si>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</si>
  <si>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</si>
  <si>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</si>
  <si>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</si>
  <si>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</si>
  <si>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</si>
  <si>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</si>
  <si>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</si>
  <si>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</si>
  <si>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</si>
  <si>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</si>
  <si>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</si>
  <si>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</si>
  <si>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</si>
  <si>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</si>
  <si>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</si>
  <si>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</si>
  <si>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</si>
  <si>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</si>
  <si>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</si>
  <si>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</si>
  <si>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</si>
  <si>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</si>
  <si>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</si>
  <si>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</si>
  <si>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</si>
  <si>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</si>
  <si>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</si>
  <si>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</si>
  <si>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</si>
  <si>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</si>
  <si>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</si>
  <si>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</si>
  <si>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</si>
  <si>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</si>
  <si>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</si>
  <si>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</si>
  <si>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</si>
  <si>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</si>
  <si>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</si>
  <si>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</si>
  <si>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</si>
  <si>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</si>
  <si>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</si>
  <si>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</si>
  <si>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</si>
  <si>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</si>
  <si>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</si>
  <si>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</si>
  <si>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</si>
  <si>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</si>
  <si>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</si>
  <si>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</si>
  <si>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</si>
  <si>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</si>
  <si>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</si>
  <si>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</si>
  <si>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</si>
  <si>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</si>
  <si>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</si>
  <si>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</si>
  <si>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</si>
  <si>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</si>
  <si>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</si>
  <si>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</si>
  <si>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</si>
  <si>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</si>
  <si>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</si>
  <si>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</si>
  <si>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</si>
  <si>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</si>
  <si>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</si>
  <si>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</si>
  <si>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</si>
  <si>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</si>
  <si>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</si>
  <si>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</si>
  <si>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</si>
  <si>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</si>
  <si>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</si>
  <si>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</si>
  <si>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</si>
  <si>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</si>
  <si>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</si>
  <si>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</si>
  <si>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</si>
  <si>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</si>
  <si>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</si>
  <si>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</si>
  <si>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</si>
  <si>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</si>
  <si>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</si>
  <si>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</si>
  <si>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</si>
  <si>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</si>
  <si>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</si>
  <si>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</si>
  <si>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</si>
  <si>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</si>
  <si>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</si>
  <si>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</si>
  <si>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</si>
  <si>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</si>
  <si>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</si>
  <si>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</si>
  <si>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</si>
  <si>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</si>
  <si>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</si>
  <si>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</si>
  <si>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</si>
  <si>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</si>
  <si>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</si>
  <si>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</si>
  <si>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</si>
  <si>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</si>
  <si>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</si>
  <si>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</si>
  <si>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</si>
  <si>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</si>
  <si>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</si>
  <si>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</si>
  <si>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</si>
  <si>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</si>
  <si>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</si>
  <si>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</si>
  <si>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</si>
  <si>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</si>
  <si>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</si>
  <si>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</si>
  <si>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</si>
  <si>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</si>
  <si>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</si>
  <si>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</si>
  <si>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</si>
  <si>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</si>
  <si>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</si>
  <si>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</si>
  <si>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</si>
  <si>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</si>
  <si>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</si>
  <si>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</si>
  <si>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</si>
  <si>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</si>
  <si>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</si>
  <si>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</si>
  <si>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</si>
  <si>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</si>
  <si>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</si>
  <si>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</si>
  <si>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</si>
  <si>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</si>
  <si>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</si>
  <si>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</si>
  <si>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</si>
  <si>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</si>
  <si>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</si>
  <si>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</si>
  <si>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</si>
  <si>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</si>
  <si>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</si>
  <si>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</si>
  <si>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</si>
  <si>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</si>
  <si>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</si>
  <si>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</si>
  <si>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</si>
  <si>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</si>
  <si>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</si>
  <si>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</si>
  <si>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</si>
  <si>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</si>
  <si>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</si>
  <si>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</si>
  <si>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</si>
  <si>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</si>
  <si>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</si>
  <si>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</si>
  <si>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</si>
  <si>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</si>
  <si>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</si>
  <si>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</si>
  <si>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</si>
  <si>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</si>
  <si>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</si>
  <si>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</si>
  <si>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</si>
  <si>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</si>
  <si>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</si>
  <si>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</si>
  <si>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</si>
  <si>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</si>
  <si>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</si>
  <si>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</si>
  <si>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</si>
  <si>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</si>
  <si>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</si>
  <si>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</si>
  <si>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</si>
  <si>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</si>
  <si>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</si>
  <si>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</si>
  <si>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</si>
  <si>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</si>
  <si>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</si>
  <si>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</si>
  <si>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</si>
  <si>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</si>
  <si>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</si>
  <si>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</si>
  <si>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</si>
  <si>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</si>
  <si>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</si>
  <si>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</si>
  <si>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</si>
  <si>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</si>
  <si>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</si>
  <si>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</si>
  <si>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</si>
  <si>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</si>
  <si>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</si>
  <si>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</si>
  <si>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</si>
  <si>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</si>
  <si>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</si>
  <si>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</si>
  <si>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</si>
  <si>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</si>
  <si>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</si>
  <si>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</si>
  <si>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</si>
  <si>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</si>
  <si>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</si>
  <si>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</si>
  <si>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</si>
  <si>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</si>
  <si>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</si>
  <si>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</si>
  <si>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</si>
  <si>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</si>
  <si>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</si>
  <si>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</si>
  <si>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</si>
  <si>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</si>
  <si>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</si>
  <si>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</si>
  <si>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</si>
  <si>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</si>
  <si>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</si>
  <si>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</si>
  <si>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</si>
  <si>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</si>
  <si>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</si>
  <si>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</si>
  <si>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</si>
  <si>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</si>
  <si>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</si>
  <si>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</si>
  <si>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</si>
  <si>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</si>
  <si>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</si>
  <si>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</si>
  <si>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</si>
  <si>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</si>
  <si>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</si>
  <si>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</si>
  <si>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</si>
  <si>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</si>
  <si>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</si>
  <si>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</si>
  <si>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</si>
  <si>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</si>
  <si>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</si>
  <si>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</si>
  <si>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</si>
  <si>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</si>
  <si>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</si>
  <si>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</si>
  <si>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</si>
  <si>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</si>
  <si>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</si>
  <si>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</si>
  <si>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</si>
  <si>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</si>
  <si>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</si>
  <si>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</si>
  <si>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</si>
  <si>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</si>
  <si>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</si>
  <si>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</si>
  <si>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</si>
  <si>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</si>
  <si>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</si>
  <si>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</si>
  <si>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</si>
  <si>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</si>
  <si>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</si>
  <si>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</si>
  <si>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</si>
  <si>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</si>
  <si>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</si>
  <si>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</si>
  <si>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</si>
  <si>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</si>
  <si>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</si>
  <si>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</si>
  <si>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</si>
  <si>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</si>
  <si>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</si>
  <si>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</si>
  <si>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</si>
  <si>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</si>
  <si>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</si>
  <si>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</si>
  <si>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</si>
  <si>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</si>
  <si>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</si>
  <si>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</si>
  <si>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</si>
  <si>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</si>
  <si>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</si>
  <si>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</si>
  <si>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</si>
  <si>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</si>
  <si>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</si>
  <si>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</si>
  <si>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</si>
  <si>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</si>
  <si>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</si>
  <si>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</si>
  <si>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</si>
  <si>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</si>
  <si>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</si>
  <si>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</si>
  <si>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</si>
  <si>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</si>
  <si>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</si>
  <si>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</si>
  <si>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</si>
  <si>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</si>
  <si>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</si>
  <si>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</si>
  <si>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</si>
  <si>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</si>
  <si>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</si>
  <si>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</si>
  <si>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</si>
  <si>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</si>
  <si>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</si>
  <si>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</si>
  <si>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</si>
  <si>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</si>
  <si>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</si>
  <si>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</si>
  <si>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</si>
  <si>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</si>
  <si>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</si>
  <si>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</si>
  <si>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</si>
  <si>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</si>
  <si>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</si>
  <si>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</si>
  <si>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</si>
  <si>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</si>
  <si>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</si>
  <si>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</si>
  <si>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</si>
  <si>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</si>
  <si>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</si>
  <si>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</si>
  <si>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</si>
  <si>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</si>
  <si>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</si>
  <si>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</si>
  <si>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</si>
  <si>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</si>
  <si>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</si>
  <si>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</si>
  <si>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</si>
  <si>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</si>
  <si>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</si>
  <si>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</si>
  <si>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</si>
  <si>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</si>
  <si>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</si>
  <si>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</si>
  <si>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</si>
  <si>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</si>
  <si>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</si>
  <si>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</si>
  <si>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</si>
  <si>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</si>
  <si>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</si>
  <si>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</si>
  <si>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</si>
  <si>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</si>
  <si>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</si>
  <si>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</si>
  <si>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</si>
  <si>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</si>
  <si>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</si>
  <si>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</si>
  <si>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</si>
  <si>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</si>
  <si>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</si>
  <si>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</si>
  <si>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</si>
  <si>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</si>
  <si>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</si>
  <si>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</si>
  <si>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</si>
  <si>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</si>
  <si>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</si>
  <si>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</si>
  <si>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</si>
  <si>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</si>
  <si>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</si>
  <si>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</si>
  <si>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</si>
  <si>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</si>
  <si>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</si>
  <si>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</si>
  <si>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</si>
  <si>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</si>
  <si>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</si>
  <si>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</si>
  <si>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</si>
  <si>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</si>
  <si>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</si>
  <si>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</si>
  <si>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</si>
  <si>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</si>
  <si>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</si>
  <si>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</si>
  <si>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</si>
  <si>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</si>
  <si>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</si>
  <si>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</si>
  <si>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</si>
  <si>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</si>
  <si>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</si>
  <si>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</si>
  <si>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 xml:space="preserve">                Додаток № 4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</si>
  <si>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</si>
  <si>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</si>
  <si>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</si>
  <si>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від 20 червня 2018 року № 3569 - МР</t>
  </si>
  <si>
    <t xml:space="preserve">                Додаток № 3</t>
  </si>
  <si>
    <t>Сумський міський голова</t>
  </si>
  <si>
    <t>О.М. Лисенко</t>
  </si>
  <si>
    <t>Виконавець: Співакова Л.І.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</si>
</sst>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0"/>
    </font>
    <font>
      <i/>
      <sz val="20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textRotation="180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3" fontId="30" fillId="0" borderId="17" xfId="0" applyNumberFormat="1" applyFont="1" applyFill="1" applyBorder="1" applyAlignment="1">
      <alignment horizontal="center" vertical="center" textRotation="180"/>
    </xf>
    <xf numFmtId="0" fontId="32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 textRotation="180"/>
    </xf>
    <xf numFmtId="49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3" fontId="56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textRotation="180"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17" xfId="0" applyNumberFormat="1" applyFont="1" applyFill="1" applyBorder="1" applyAlignment="1">
      <alignment horizontal="center" vertical="center" textRotation="180"/>
    </xf>
    <xf numFmtId="0" fontId="45" fillId="13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3"/>
  <sheetViews>
    <sheetView showGridLines="0" showZeros="0" view="pageBreakPreview" zoomScale="70" zoomScaleNormal="70" zoomScaleSheetLayoutView="70" zoomScalePageLayoutView="0" workbookViewId="0" topLeftCell="A7">
      <pane xSplit="4" ySplit="6" topLeftCell="H98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O111" sqref="O111"/>
    </sheetView>
  </sheetViews>
  <sheetFormatPr defaultColWidth="9.16015625" defaultRowHeight="12.75"/>
  <cols>
    <col min="1" max="1" width="19.33203125" style="70" customWidth="1"/>
    <col min="2" max="2" width="17.5" style="75" customWidth="1"/>
    <col min="3" max="3" width="18" style="71" customWidth="1"/>
    <col min="4" max="4" width="64.33203125" style="220" customWidth="1"/>
    <col min="5" max="5" width="24.16015625" style="68" customWidth="1"/>
    <col min="6" max="6" width="21.83203125" style="68" customWidth="1"/>
    <col min="7" max="7" width="19.33203125" style="68" customWidth="1"/>
    <col min="8" max="8" width="19.16015625" style="68" customWidth="1"/>
    <col min="9" max="9" width="18" style="68" customWidth="1"/>
    <col min="10" max="10" width="20.83203125" style="68" customWidth="1"/>
    <col min="11" max="11" width="19.33203125" style="68" customWidth="1"/>
    <col min="12" max="12" width="16.66015625" style="68" customWidth="1"/>
    <col min="13" max="13" width="16.5" style="68" customWidth="1"/>
    <col min="14" max="14" width="19.16015625" style="68" customWidth="1"/>
    <col min="15" max="15" width="20.16015625" style="68" customWidth="1"/>
    <col min="16" max="16" width="22.16015625" style="135" customWidth="1"/>
    <col min="17" max="17" width="7.5" style="201" customWidth="1"/>
    <col min="18" max="18" width="15.83203125" style="147" customWidth="1"/>
    <col min="19" max="19" width="18.16015625" style="147" customWidth="1"/>
    <col min="20" max="20" width="18.83203125" style="147" customWidth="1"/>
    <col min="21" max="16384" width="9.16015625" style="19" customWidth="1"/>
  </cols>
  <sheetData>
    <row r="1" spans="1:17" ht="28.5" customHeight="1">
      <c r="A1" s="63"/>
      <c r="B1" s="64"/>
      <c r="C1" s="64"/>
      <c r="D1" s="212"/>
      <c r="E1" s="136"/>
      <c r="F1" s="65"/>
      <c r="G1" s="65"/>
      <c r="H1" s="65"/>
      <c r="I1" s="65"/>
      <c r="J1" s="65"/>
      <c r="K1" s="136"/>
      <c r="L1" s="276" t="s">
        <v>665</v>
      </c>
      <c r="M1" s="276"/>
      <c r="N1" s="276"/>
      <c r="O1" s="276"/>
      <c r="P1" s="203"/>
      <c r="Q1" s="293">
        <v>5</v>
      </c>
    </row>
    <row r="2" spans="1:17" ht="28.5" customHeight="1">
      <c r="A2" s="63"/>
      <c r="B2" s="64"/>
      <c r="C2" s="64"/>
      <c r="D2" s="212"/>
      <c r="E2" s="136"/>
      <c r="F2" s="65"/>
      <c r="G2" s="65"/>
      <c r="H2" s="65"/>
      <c r="I2" s="65"/>
      <c r="J2" s="65"/>
      <c r="K2" s="136"/>
      <c r="L2" s="203" t="s">
        <v>661</v>
      </c>
      <c r="M2" s="203"/>
      <c r="N2" s="203"/>
      <c r="O2" s="203"/>
      <c r="P2" s="203"/>
      <c r="Q2" s="293"/>
    </row>
    <row r="3" spans="1:17" ht="28.5" customHeight="1">
      <c r="A3" s="63"/>
      <c r="B3" s="64"/>
      <c r="C3" s="64"/>
      <c r="D3" s="212"/>
      <c r="E3" s="136"/>
      <c r="F3" s="65"/>
      <c r="G3" s="65"/>
      <c r="H3" s="65"/>
      <c r="I3" s="65"/>
      <c r="J3" s="65"/>
      <c r="K3" s="136"/>
      <c r="L3" s="203" t="s">
        <v>662</v>
      </c>
      <c r="M3" s="203"/>
      <c r="N3" s="203"/>
      <c r="O3" s="203"/>
      <c r="P3" s="271"/>
      <c r="Q3" s="293"/>
    </row>
    <row r="4" spans="1:17" ht="23.25" customHeight="1">
      <c r="A4" s="63"/>
      <c r="B4" s="64"/>
      <c r="C4" s="64"/>
      <c r="D4" s="212"/>
      <c r="E4" s="136"/>
      <c r="F4" s="65"/>
      <c r="G4" s="65"/>
      <c r="H4" s="65"/>
      <c r="I4" s="65"/>
      <c r="J4" s="65"/>
      <c r="K4" s="136"/>
      <c r="L4" s="284" t="s">
        <v>663</v>
      </c>
      <c r="M4" s="284"/>
      <c r="N4" s="284"/>
      <c r="O4" s="284"/>
      <c r="P4" s="284"/>
      <c r="Q4" s="293"/>
    </row>
    <row r="5" spans="1:17" ht="26.25" customHeight="1">
      <c r="A5" s="63"/>
      <c r="B5" s="64"/>
      <c r="C5" s="64"/>
      <c r="D5" s="212"/>
      <c r="E5" s="136"/>
      <c r="F5" s="65"/>
      <c r="G5" s="65"/>
      <c r="H5" s="65"/>
      <c r="I5" s="65"/>
      <c r="J5" s="65"/>
      <c r="K5" s="136"/>
      <c r="L5" s="284" t="s">
        <v>664</v>
      </c>
      <c r="M5" s="284"/>
      <c r="N5" s="284"/>
      <c r="O5" s="284"/>
      <c r="P5" s="284"/>
      <c r="Q5" s="293"/>
    </row>
    <row r="6" spans="1:20" s="2" customFormat="1" ht="39" customHeight="1">
      <c r="A6" s="63"/>
      <c r="B6" s="64"/>
      <c r="C6" s="64"/>
      <c r="D6" s="213"/>
      <c r="E6" s="66"/>
      <c r="F6" s="66"/>
      <c r="G6" s="66"/>
      <c r="H6" s="65"/>
      <c r="I6" s="65"/>
      <c r="J6" s="65"/>
      <c r="K6" s="65"/>
      <c r="L6" s="271"/>
      <c r="M6" s="271"/>
      <c r="N6" s="271"/>
      <c r="O6" s="271"/>
      <c r="P6" s="271"/>
      <c r="Q6" s="293"/>
      <c r="R6" s="151"/>
      <c r="S6" s="151"/>
      <c r="T6" s="151"/>
    </row>
    <row r="7" spans="1:20" ht="60.75" customHeight="1">
      <c r="A7" s="63"/>
      <c r="B7" s="64"/>
      <c r="C7" s="64"/>
      <c r="D7" s="278" t="s">
        <v>372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65"/>
      <c r="Q7" s="293"/>
      <c r="R7" s="152"/>
      <c r="S7" s="152"/>
      <c r="T7" s="152"/>
    </row>
    <row r="8" spans="1:20" ht="25.5" customHeight="1">
      <c r="A8" s="63"/>
      <c r="B8" s="64"/>
      <c r="C8" s="64"/>
      <c r="D8" s="21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8" t="s">
        <v>373</v>
      </c>
      <c r="Q8" s="293"/>
      <c r="R8" s="199"/>
      <c r="S8" s="199"/>
      <c r="T8" s="199"/>
    </row>
    <row r="9" spans="1:20" s="3" customFormat="1" ht="21.75" customHeight="1">
      <c r="A9" s="286" t="s">
        <v>163</v>
      </c>
      <c r="B9" s="279" t="s">
        <v>165</v>
      </c>
      <c r="C9" s="279" t="s">
        <v>80</v>
      </c>
      <c r="D9" s="279" t="s">
        <v>178</v>
      </c>
      <c r="E9" s="289" t="s">
        <v>362</v>
      </c>
      <c r="F9" s="290"/>
      <c r="G9" s="290"/>
      <c r="H9" s="290"/>
      <c r="I9" s="291"/>
      <c r="J9" s="289" t="s">
        <v>363</v>
      </c>
      <c r="K9" s="290"/>
      <c r="L9" s="290"/>
      <c r="M9" s="290"/>
      <c r="N9" s="290"/>
      <c r="O9" s="291"/>
      <c r="P9" s="279" t="s">
        <v>364</v>
      </c>
      <c r="Q9" s="293"/>
      <c r="R9" s="200"/>
      <c r="S9" s="200"/>
      <c r="T9" s="200"/>
    </row>
    <row r="10" spans="1:20" s="3" customFormat="1" ht="33" customHeight="1">
      <c r="A10" s="287"/>
      <c r="B10" s="280"/>
      <c r="C10" s="280"/>
      <c r="D10" s="280"/>
      <c r="E10" s="279" t="s">
        <v>365</v>
      </c>
      <c r="F10" s="279" t="s">
        <v>366</v>
      </c>
      <c r="G10" s="289" t="s">
        <v>367</v>
      </c>
      <c r="H10" s="291"/>
      <c r="I10" s="279" t="s">
        <v>368</v>
      </c>
      <c r="J10" s="279" t="s">
        <v>365</v>
      </c>
      <c r="K10" s="279" t="s">
        <v>366</v>
      </c>
      <c r="L10" s="289" t="s">
        <v>367</v>
      </c>
      <c r="M10" s="291"/>
      <c r="N10" s="279" t="s">
        <v>368</v>
      </c>
      <c r="O10" s="38" t="s">
        <v>367</v>
      </c>
      <c r="P10" s="280"/>
      <c r="Q10" s="293"/>
      <c r="R10" s="153"/>
      <c r="S10" s="153"/>
      <c r="T10" s="153"/>
    </row>
    <row r="11" spans="1:20" s="3" customFormat="1" ht="30.75" customHeight="1">
      <c r="A11" s="287"/>
      <c r="B11" s="280"/>
      <c r="C11" s="280"/>
      <c r="D11" s="280"/>
      <c r="E11" s="280"/>
      <c r="F11" s="280"/>
      <c r="G11" s="279" t="s">
        <v>369</v>
      </c>
      <c r="H11" s="279" t="s">
        <v>370</v>
      </c>
      <c r="I11" s="280"/>
      <c r="J11" s="280"/>
      <c r="K11" s="280"/>
      <c r="L11" s="279" t="s">
        <v>369</v>
      </c>
      <c r="M11" s="279" t="s">
        <v>370</v>
      </c>
      <c r="N11" s="280"/>
      <c r="O11" s="279" t="s">
        <v>371</v>
      </c>
      <c r="P11" s="280"/>
      <c r="Q11" s="293"/>
      <c r="R11" s="155"/>
      <c r="S11" s="155"/>
      <c r="T11" s="154"/>
    </row>
    <row r="12" spans="1:20" s="3" customFormat="1" ht="38.25" customHeight="1">
      <c r="A12" s="288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93"/>
      <c r="R12" s="153"/>
      <c r="S12" s="153"/>
      <c r="T12" s="156"/>
    </row>
    <row r="13" spans="1:20" s="113" customFormat="1" ht="19.5" customHeight="1">
      <c r="A13" s="112" t="s">
        <v>237</v>
      </c>
      <c r="B13" s="112"/>
      <c r="C13" s="112"/>
      <c r="D13" s="35" t="s">
        <v>67</v>
      </c>
      <c r="E13" s="46">
        <f>E14</f>
        <v>157097373</v>
      </c>
      <c r="F13" s="46">
        <f aca="true" t="shared" si="0" ref="F13:P13">F14</f>
        <v>129354837</v>
      </c>
      <c r="G13" s="46">
        <f t="shared" si="0"/>
        <v>65407723</v>
      </c>
      <c r="H13" s="46">
        <f t="shared" si="0"/>
        <v>3925806</v>
      </c>
      <c r="I13" s="46">
        <f t="shared" si="0"/>
        <v>27742536</v>
      </c>
      <c r="J13" s="46">
        <f t="shared" si="0"/>
        <v>47402213.48</v>
      </c>
      <c r="K13" s="46">
        <f t="shared" si="0"/>
        <v>483319.48</v>
      </c>
      <c r="L13" s="46">
        <f t="shared" si="0"/>
        <v>141022</v>
      </c>
      <c r="M13" s="46">
        <f t="shared" si="0"/>
        <v>54604</v>
      </c>
      <c r="N13" s="46">
        <f t="shared" si="0"/>
        <v>46918894</v>
      </c>
      <c r="O13" s="46">
        <f t="shared" si="0"/>
        <v>46918894</v>
      </c>
      <c r="P13" s="46">
        <f t="shared" si="0"/>
        <v>204499586.48</v>
      </c>
      <c r="Q13" s="293"/>
      <c r="R13" s="158"/>
      <c r="S13" s="158"/>
      <c r="T13" s="158"/>
    </row>
    <row r="14" spans="1:20" s="115" customFormat="1" ht="19.5" customHeight="1">
      <c r="A14" s="114" t="s">
        <v>238</v>
      </c>
      <c r="B14" s="114"/>
      <c r="C14" s="114"/>
      <c r="D14" s="124" t="s">
        <v>67</v>
      </c>
      <c r="E14" s="80">
        <f>E15+E16+E17+E20+E22+E24+E25+E29+E32+E35+E38+E41+E43+E47+E48+E49+E50+E51+E52+E55+E56+E57+E58+E59+E46+E28+E61+E60</f>
        <v>157097373</v>
      </c>
      <c r="F14" s="80">
        <f>F15+F16+F17+F20+F22+F24+F25+F29+F32+F35+F38+F41+F43+F47+F48+F49+F50+F51+F52+F55+F56+F57+F58+F59+F46+F28+F61+F60</f>
        <v>129354837</v>
      </c>
      <c r="G14" s="80">
        <f aca="true" t="shared" si="1" ref="G14:P14">G15+G16+G17+G20+G22+G24+G25+G29+G32+G35+G38+G41+G43+G47+G48+G49+G50+G51+G52+G55+G56+G57+G58+G59+G46+G28+G61+G60</f>
        <v>65407723</v>
      </c>
      <c r="H14" s="80">
        <f t="shared" si="1"/>
        <v>3925806</v>
      </c>
      <c r="I14" s="80">
        <f t="shared" si="1"/>
        <v>27742536</v>
      </c>
      <c r="J14" s="80">
        <f t="shared" si="1"/>
        <v>47402213.48</v>
      </c>
      <c r="K14" s="80">
        <f t="shared" si="1"/>
        <v>483319.48</v>
      </c>
      <c r="L14" s="80">
        <f t="shared" si="1"/>
        <v>141022</v>
      </c>
      <c r="M14" s="80">
        <f t="shared" si="1"/>
        <v>54604</v>
      </c>
      <c r="N14" s="80">
        <f t="shared" si="1"/>
        <v>46918894</v>
      </c>
      <c r="O14" s="80">
        <f t="shared" si="1"/>
        <v>46918894</v>
      </c>
      <c r="P14" s="80">
        <f t="shared" si="1"/>
        <v>204499586.48</v>
      </c>
      <c r="Q14" s="293"/>
      <c r="R14" s="159"/>
      <c r="S14" s="159"/>
      <c r="T14" s="159"/>
    </row>
    <row r="15" spans="1:20" s="4" customFormat="1" ht="46.5" customHeight="1">
      <c r="A15" s="81" t="s">
        <v>239</v>
      </c>
      <c r="B15" s="81" t="str">
        <f>'дод. 4'!A14</f>
        <v>0160</v>
      </c>
      <c r="C15" s="81" t="str">
        <f>'дод. 4'!B14</f>
        <v>0111</v>
      </c>
      <c r="D15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83">
        <f>F15+I15</f>
        <v>73641081</v>
      </c>
      <c r="F15" s="83">
        <f>72007500+190000-526200+150000+210000+172915+392079+352087+277500+150000+265200</f>
        <v>73641081</v>
      </c>
      <c r="G15" s="83">
        <f>52010600+108947+321373</f>
        <v>52440920</v>
      </c>
      <c r="H15" s="83">
        <v>2150738</v>
      </c>
      <c r="I15" s="83"/>
      <c r="J15" s="83">
        <f>K15+N15</f>
        <v>3007014</v>
      </c>
      <c r="K15" s="83"/>
      <c r="L15" s="83"/>
      <c r="M15" s="83"/>
      <c r="N15" s="83">
        <f>4000000-1295000+302014</f>
        <v>3007014</v>
      </c>
      <c r="O15" s="83">
        <f>4000000-1295000+302014</f>
        <v>3007014</v>
      </c>
      <c r="P15" s="83">
        <f>E15+J15</f>
        <v>76648095</v>
      </c>
      <c r="Q15" s="293"/>
      <c r="R15" s="160"/>
      <c r="S15" s="160"/>
      <c r="T15" s="160"/>
    </row>
    <row r="16" spans="1:20" s="4" customFormat="1" ht="27" customHeight="1">
      <c r="A16" s="81" t="s">
        <v>385</v>
      </c>
      <c r="B16" s="81" t="str">
        <f>'дод. 4'!A15</f>
        <v>0180</v>
      </c>
      <c r="C16" s="81" t="str">
        <f>'дод. 4'!B15</f>
        <v>0133</v>
      </c>
      <c r="D16" s="110" t="str">
        <f>'дод. 4'!C15</f>
        <v>Інша діяльність у сфері державного управління</v>
      </c>
      <c r="E16" s="83">
        <f>F16+I16</f>
        <v>127500</v>
      </c>
      <c r="F16" s="83">
        <f>100000+27500</f>
        <v>127500</v>
      </c>
      <c r="G16" s="83"/>
      <c r="H16" s="83"/>
      <c r="I16" s="83"/>
      <c r="J16" s="83">
        <f>K16+N16</f>
        <v>0</v>
      </c>
      <c r="K16" s="83"/>
      <c r="L16" s="83"/>
      <c r="M16" s="83"/>
      <c r="N16" s="83"/>
      <c r="O16" s="83"/>
      <c r="P16" s="83">
        <f>E16+J16</f>
        <v>127500</v>
      </c>
      <c r="Q16" s="293"/>
      <c r="R16" s="160"/>
      <c r="S16" s="160"/>
      <c r="T16" s="160"/>
    </row>
    <row r="17" spans="1:20" s="4" customFormat="1" ht="68.25" customHeight="1">
      <c r="A17" s="81" t="s">
        <v>240</v>
      </c>
      <c r="B17" s="81" t="str">
        <f>'дод. 4'!A77</f>
        <v>3030</v>
      </c>
      <c r="C17" s="81">
        <f>'дод. 4'!B77</f>
        <v>0</v>
      </c>
      <c r="D17" s="110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83">
        <f>E18+E19</f>
        <v>190000</v>
      </c>
      <c r="F17" s="83">
        <f aca="true" t="shared" si="2" ref="F17:P17">F18+F19</f>
        <v>190000</v>
      </c>
      <c r="G17" s="83">
        <f t="shared" si="2"/>
        <v>0</v>
      </c>
      <c r="H17" s="83">
        <f t="shared" si="2"/>
        <v>0</v>
      </c>
      <c r="I17" s="83">
        <f t="shared" si="2"/>
        <v>0</v>
      </c>
      <c r="J17" s="83">
        <f t="shared" si="2"/>
        <v>0</v>
      </c>
      <c r="K17" s="83">
        <f t="shared" si="2"/>
        <v>0</v>
      </c>
      <c r="L17" s="83">
        <f t="shared" si="2"/>
        <v>0</v>
      </c>
      <c r="M17" s="83">
        <f t="shared" si="2"/>
        <v>0</v>
      </c>
      <c r="N17" s="83">
        <f t="shared" si="2"/>
        <v>0</v>
      </c>
      <c r="O17" s="83">
        <f t="shared" si="2"/>
        <v>0</v>
      </c>
      <c r="P17" s="83">
        <f t="shared" si="2"/>
        <v>190000</v>
      </c>
      <c r="Q17" s="293"/>
      <c r="R17" s="161"/>
      <c r="S17" s="161"/>
      <c r="T17" s="161"/>
    </row>
    <row r="18" spans="1:20" s="116" customFormat="1" ht="51.75" customHeight="1">
      <c r="A18" s="84" t="s">
        <v>401</v>
      </c>
      <c r="B18" s="84" t="str">
        <f>'дод. 4'!A80</f>
        <v>3033</v>
      </c>
      <c r="C18" s="84" t="str">
        <f>'дод. 4'!B80</f>
        <v>1070</v>
      </c>
      <c r="D18" s="107" t="str">
        <f>'дод. 4'!C80</f>
        <v>Компенсаційні виплати на пільговий проїзд автомобільним транспортом окремим категоріям громадян</v>
      </c>
      <c r="E18" s="86">
        <f>F18+I18</f>
        <v>51700</v>
      </c>
      <c r="F18" s="86">
        <f>25000+26700</f>
        <v>51700</v>
      </c>
      <c r="G18" s="86"/>
      <c r="H18" s="86"/>
      <c r="I18" s="86"/>
      <c r="J18" s="86">
        <f>K18+N18</f>
        <v>0</v>
      </c>
      <c r="K18" s="86"/>
      <c r="L18" s="86"/>
      <c r="M18" s="86"/>
      <c r="N18" s="86"/>
      <c r="O18" s="86"/>
      <c r="P18" s="86">
        <f>E18+J18</f>
        <v>51700</v>
      </c>
      <c r="Q18" s="293"/>
      <c r="R18" s="162"/>
      <c r="S18" s="162"/>
      <c r="T18" s="162"/>
    </row>
    <row r="19" spans="1:20" s="116" customFormat="1" ht="48.75" customHeight="1">
      <c r="A19" s="84" t="s">
        <v>241</v>
      </c>
      <c r="B19" s="84" t="str">
        <f>'дод. 4'!A82</f>
        <v>3036</v>
      </c>
      <c r="C19" s="84" t="str">
        <f>'дод. 4'!B82</f>
        <v>1070</v>
      </c>
      <c r="D19" s="107" t="str">
        <f>'дод. 4'!C82</f>
        <v>Компенсаційні виплати на пільговий проїзд електротранспортом окремим категоріям громадян</v>
      </c>
      <c r="E19" s="86">
        <f>F19+I19</f>
        <v>138300</v>
      </c>
      <c r="F19" s="86">
        <f>65000+73300</f>
        <v>138300</v>
      </c>
      <c r="G19" s="86"/>
      <c r="H19" s="86"/>
      <c r="I19" s="86"/>
      <c r="J19" s="86">
        <f aca="true" t="shared" si="3" ref="J19:J60">K19+N19</f>
        <v>0</v>
      </c>
      <c r="K19" s="86"/>
      <c r="L19" s="86"/>
      <c r="M19" s="86"/>
      <c r="N19" s="86"/>
      <c r="O19" s="86"/>
      <c r="P19" s="86">
        <f>E19+J19</f>
        <v>138300</v>
      </c>
      <c r="Q19" s="293"/>
      <c r="R19" s="162"/>
      <c r="S19" s="162"/>
      <c r="T19" s="162"/>
    </row>
    <row r="20" spans="1:20" s="4" customFormat="1" ht="32.25" customHeight="1">
      <c r="A20" s="87" t="s">
        <v>242</v>
      </c>
      <c r="B20" s="87" t="str">
        <f>'дод. 4'!A117</f>
        <v>3120</v>
      </c>
      <c r="C20" s="87">
        <f>'дод. 4'!B117</f>
        <v>0</v>
      </c>
      <c r="D20" s="108" t="str">
        <f>'дод. 4'!C117</f>
        <v>Здійснення соціальної роботи з вразливими категоріями населення</v>
      </c>
      <c r="E20" s="89">
        <f>E21</f>
        <v>1791330</v>
      </c>
      <c r="F20" s="89">
        <f aca="true" t="shared" si="4" ref="F20:P20">F21</f>
        <v>1791330</v>
      </c>
      <c r="G20" s="89">
        <f t="shared" si="4"/>
        <v>1348310</v>
      </c>
      <c r="H20" s="89">
        <f t="shared" si="4"/>
        <v>63780</v>
      </c>
      <c r="I20" s="89">
        <f t="shared" si="4"/>
        <v>0</v>
      </c>
      <c r="J20" s="89">
        <f t="shared" si="4"/>
        <v>405500</v>
      </c>
      <c r="K20" s="89">
        <f t="shared" si="4"/>
        <v>0</v>
      </c>
      <c r="L20" s="89">
        <f t="shared" si="4"/>
        <v>0</v>
      </c>
      <c r="M20" s="89">
        <f t="shared" si="4"/>
        <v>0</v>
      </c>
      <c r="N20" s="89">
        <f t="shared" si="4"/>
        <v>405500</v>
      </c>
      <c r="O20" s="89">
        <f t="shared" si="4"/>
        <v>405500</v>
      </c>
      <c r="P20" s="89">
        <f t="shared" si="4"/>
        <v>2196830</v>
      </c>
      <c r="Q20" s="293"/>
      <c r="R20" s="161"/>
      <c r="S20" s="161"/>
      <c r="T20" s="161"/>
    </row>
    <row r="21" spans="1:20" s="116" customFormat="1" ht="48.75" customHeight="1">
      <c r="A21" s="84" t="s">
        <v>243</v>
      </c>
      <c r="B21" s="84" t="str">
        <f>'дод. 4'!A118</f>
        <v>3121</v>
      </c>
      <c r="C21" s="84" t="str">
        <f>'дод. 4'!B118</f>
        <v>1040</v>
      </c>
      <c r="D21" s="107" t="str">
        <f>'дод. 4'!C118</f>
        <v>Утримання та забезпечення діяльності центрів соціальних служб для сім’ї, дітей та молоді</v>
      </c>
      <c r="E21" s="86">
        <f>F21+I21</f>
        <v>1791330</v>
      </c>
      <c r="F21" s="86">
        <f>1661740+122260+7330</f>
        <v>1791330</v>
      </c>
      <c r="G21" s="86">
        <f>1247850+100460</f>
        <v>1348310</v>
      </c>
      <c r="H21" s="86">
        <f>56450+7330</f>
        <v>63780</v>
      </c>
      <c r="I21" s="86"/>
      <c r="J21" s="86">
        <f t="shared" si="3"/>
        <v>405500</v>
      </c>
      <c r="K21" s="86"/>
      <c r="L21" s="86"/>
      <c r="M21" s="86"/>
      <c r="N21" s="86">
        <f>20500+385000</f>
        <v>405500</v>
      </c>
      <c r="O21" s="86">
        <f>20500+385000</f>
        <v>405500</v>
      </c>
      <c r="P21" s="86">
        <f>E21+J21</f>
        <v>2196830</v>
      </c>
      <c r="Q21" s="293"/>
      <c r="R21" s="162"/>
      <c r="S21" s="162"/>
      <c r="T21" s="162"/>
    </row>
    <row r="22" spans="1:20" s="116" customFormat="1" ht="36" customHeight="1">
      <c r="A22" s="87" t="s">
        <v>244</v>
      </c>
      <c r="B22" s="87" t="str">
        <f>'дод. 4'!A119</f>
        <v>3130</v>
      </c>
      <c r="C22" s="87">
        <f>'дод. 4'!B119</f>
        <v>0</v>
      </c>
      <c r="D22" s="108" t="str">
        <f>'дод. 4'!C119</f>
        <v>Реалізація державної політики у молодіжній сфері</v>
      </c>
      <c r="E22" s="89">
        <f>E23</f>
        <v>684600</v>
      </c>
      <c r="F22" s="89">
        <f aca="true" t="shared" si="5" ref="F22:P22">F23</f>
        <v>684600</v>
      </c>
      <c r="G22" s="89">
        <f t="shared" si="5"/>
        <v>0</v>
      </c>
      <c r="H22" s="89">
        <f t="shared" si="5"/>
        <v>0</v>
      </c>
      <c r="I22" s="89">
        <f t="shared" si="5"/>
        <v>0</v>
      </c>
      <c r="J22" s="89">
        <f t="shared" si="5"/>
        <v>0</v>
      </c>
      <c r="K22" s="89">
        <f t="shared" si="5"/>
        <v>0</v>
      </c>
      <c r="L22" s="89">
        <f t="shared" si="5"/>
        <v>0</v>
      </c>
      <c r="M22" s="89">
        <f t="shared" si="5"/>
        <v>0</v>
      </c>
      <c r="N22" s="89">
        <f t="shared" si="5"/>
        <v>0</v>
      </c>
      <c r="O22" s="89">
        <f t="shared" si="5"/>
        <v>0</v>
      </c>
      <c r="P22" s="89">
        <f t="shared" si="5"/>
        <v>684600</v>
      </c>
      <c r="Q22" s="293"/>
      <c r="R22" s="161"/>
      <c r="S22" s="161"/>
      <c r="T22" s="161"/>
    </row>
    <row r="23" spans="1:20" s="116" customFormat="1" ht="45">
      <c r="A23" s="84" t="s">
        <v>245</v>
      </c>
      <c r="B23" s="84" t="str">
        <f>'дод. 4'!A120</f>
        <v>3131</v>
      </c>
      <c r="C23" s="84" t="str">
        <f>'дод. 4'!B120</f>
        <v>1040</v>
      </c>
      <c r="D23" s="107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86">
        <f>F23+I23</f>
        <v>684600</v>
      </c>
      <c r="F23" s="86">
        <f>750000-65400</f>
        <v>684600</v>
      </c>
      <c r="G23" s="86"/>
      <c r="H23" s="86"/>
      <c r="I23" s="86"/>
      <c r="J23" s="86">
        <f t="shared" si="3"/>
        <v>0</v>
      </c>
      <c r="K23" s="86"/>
      <c r="L23" s="86"/>
      <c r="M23" s="86"/>
      <c r="N23" s="86"/>
      <c r="O23" s="86"/>
      <c r="P23" s="86">
        <f>E23+J23</f>
        <v>684600</v>
      </c>
      <c r="Q23" s="293"/>
      <c r="R23" s="162"/>
      <c r="S23" s="162"/>
      <c r="T23" s="162"/>
    </row>
    <row r="24" spans="1:20" s="116" customFormat="1" ht="60" customHeight="1">
      <c r="A24" s="87" t="s">
        <v>246</v>
      </c>
      <c r="B24" s="87" t="str">
        <f>'дод. 4'!A121</f>
        <v>3140</v>
      </c>
      <c r="C24" s="87" t="str">
        <f>'дод. 4'!B121</f>
        <v>1040</v>
      </c>
      <c r="D24" s="108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89">
        <f>F24+I24</f>
        <v>2129665</v>
      </c>
      <c r="F24" s="89">
        <f>430000+1699665</f>
        <v>2129665</v>
      </c>
      <c r="G24" s="89"/>
      <c r="H24" s="89"/>
      <c r="I24" s="89"/>
      <c r="J24" s="89">
        <f t="shared" si="3"/>
        <v>0</v>
      </c>
      <c r="K24" s="89"/>
      <c r="L24" s="89"/>
      <c r="M24" s="89"/>
      <c r="N24" s="89"/>
      <c r="O24" s="89"/>
      <c r="P24" s="89">
        <f>E24+J24</f>
        <v>2129665</v>
      </c>
      <c r="Q24" s="293"/>
      <c r="R24" s="160"/>
      <c r="S24" s="160"/>
      <c r="T24" s="160"/>
    </row>
    <row r="25" spans="1:20" s="116" customFormat="1" ht="21.75" customHeight="1">
      <c r="A25" s="87" t="s">
        <v>479</v>
      </c>
      <c r="B25" s="87" t="str">
        <f>'дод. 4'!A138</f>
        <v>3240</v>
      </c>
      <c r="C25" s="87">
        <f>'дод. 4'!B138</f>
        <v>0</v>
      </c>
      <c r="D25" s="108" t="str">
        <f>'дод. 4'!C138</f>
        <v>Інші заклади та заходи</v>
      </c>
      <c r="E25" s="89">
        <f>E26+E27</f>
        <v>1054111</v>
      </c>
      <c r="F25" s="89">
        <f aca="true" t="shared" si="6" ref="F25:P25">F26+F27</f>
        <v>1054111</v>
      </c>
      <c r="G25" s="89">
        <f t="shared" si="6"/>
        <v>578471</v>
      </c>
      <c r="H25" s="89">
        <f t="shared" si="6"/>
        <v>97477</v>
      </c>
      <c r="I25" s="89">
        <f t="shared" si="6"/>
        <v>0</v>
      </c>
      <c r="J25" s="89">
        <f t="shared" si="6"/>
        <v>0</v>
      </c>
      <c r="K25" s="89">
        <f t="shared" si="6"/>
        <v>0</v>
      </c>
      <c r="L25" s="89">
        <f t="shared" si="6"/>
        <v>0</v>
      </c>
      <c r="M25" s="89">
        <f t="shared" si="6"/>
        <v>0</v>
      </c>
      <c r="N25" s="89">
        <f t="shared" si="6"/>
        <v>0</v>
      </c>
      <c r="O25" s="89">
        <f t="shared" si="6"/>
        <v>0</v>
      </c>
      <c r="P25" s="89">
        <f t="shared" si="6"/>
        <v>1054111</v>
      </c>
      <c r="Q25" s="293"/>
      <c r="R25" s="161"/>
      <c r="S25" s="161"/>
      <c r="T25" s="161"/>
    </row>
    <row r="26" spans="1:20" s="32" customFormat="1" ht="31.5" customHeight="1">
      <c r="A26" s="84" t="s">
        <v>477</v>
      </c>
      <c r="B26" s="84" t="str">
        <f>'дод. 4'!A139</f>
        <v>3241</v>
      </c>
      <c r="C26" s="84" t="str">
        <f>'дод. 4'!B139</f>
        <v>1090</v>
      </c>
      <c r="D26" s="107" t="str">
        <f>'дод. 4'!C139</f>
        <v>Забезпечення діяльності інших закладів у сфері соціального захисту і соціального забезпечення</v>
      </c>
      <c r="E26" s="86">
        <f>F26+I26</f>
        <v>845645</v>
      </c>
      <c r="F26" s="86">
        <f>818206+27439</f>
        <v>845645</v>
      </c>
      <c r="G26" s="86">
        <f>555810+22661</f>
        <v>578471</v>
      </c>
      <c r="H26" s="86">
        <v>97477</v>
      </c>
      <c r="I26" s="86"/>
      <c r="J26" s="86"/>
      <c r="K26" s="86"/>
      <c r="L26" s="86"/>
      <c r="M26" s="86"/>
      <c r="N26" s="86"/>
      <c r="O26" s="86"/>
      <c r="P26" s="86">
        <f>E26+J26</f>
        <v>845645</v>
      </c>
      <c r="Q26" s="293"/>
      <c r="R26" s="162"/>
      <c r="S26" s="162"/>
      <c r="T26" s="162"/>
    </row>
    <row r="27" spans="1:20" s="32" customFormat="1" ht="33.75" customHeight="1">
      <c r="A27" s="84" t="s">
        <v>478</v>
      </c>
      <c r="B27" s="84" t="str">
        <f>'дод. 4'!A140</f>
        <v>3242</v>
      </c>
      <c r="C27" s="84" t="str">
        <f>'дод. 4'!B140</f>
        <v>1090</v>
      </c>
      <c r="D27" s="107" t="str">
        <f>'дод. 4'!C140</f>
        <v>Інші заходи у сфері соціального захисту і соціального забезпечення</v>
      </c>
      <c r="E27" s="86">
        <f>F27+I27</f>
        <v>208466</v>
      </c>
      <c r="F27" s="86">
        <f>182066+26400</f>
        <v>208466</v>
      </c>
      <c r="G27" s="86"/>
      <c r="H27" s="86"/>
      <c r="I27" s="86"/>
      <c r="J27" s="86"/>
      <c r="K27" s="86"/>
      <c r="L27" s="86"/>
      <c r="M27" s="86"/>
      <c r="N27" s="86"/>
      <c r="O27" s="86"/>
      <c r="P27" s="86">
        <f>E27+J27</f>
        <v>208466</v>
      </c>
      <c r="Q27" s="293"/>
      <c r="R27" s="162"/>
      <c r="S27" s="162"/>
      <c r="T27" s="162"/>
    </row>
    <row r="28" spans="1:20" s="202" customFormat="1" ht="33.75" customHeight="1">
      <c r="A28" s="81" t="s">
        <v>586</v>
      </c>
      <c r="B28" s="81" t="str">
        <f>'дод. 4'!A143</f>
        <v>4060</v>
      </c>
      <c r="C28" s="81" t="str">
        <f>'дод. 4'!B143</f>
        <v>0828</v>
      </c>
      <c r="D28" s="108" t="str">
        <f>'дод. 4'!C143</f>
        <v>Забезпечення діяльності палаців i будинків культури, клубів, центрів дозвілля та iнших клубних закладів</v>
      </c>
      <c r="E28" s="83">
        <f>F28+I28</f>
        <v>2314830</v>
      </c>
      <c r="F28" s="225">
        <f>1551300+200000+83000+100000+6000+198030+11100+100000+65400</f>
        <v>2314830</v>
      </c>
      <c r="G28" s="83">
        <v>783989</v>
      </c>
      <c r="H28" s="83">
        <f>37625+200000</f>
        <v>237625</v>
      </c>
      <c r="I28" s="83"/>
      <c r="J28" s="83">
        <f>K28+N28</f>
        <v>28500</v>
      </c>
      <c r="K28" s="83"/>
      <c r="L28" s="83"/>
      <c r="M28" s="83"/>
      <c r="N28" s="83">
        <v>28500</v>
      </c>
      <c r="O28" s="83">
        <v>28500</v>
      </c>
      <c r="P28" s="83">
        <f>E28+J28</f>
        <v>2343330</v>
      </c>
      <c r="Q28" s="293"/>
      <c r="R28" s="160"/>
      <c r="S28" s="160"/>
      <c r="T28" s="160"/>
    </row>
    <row r="29" spans="1:20" s="4" customFormat="1" ht="32.25" customHeight="1">
      <c r="A29" s="87" t="s">
        <v>247</v>
      </c>
      <c r="B29" s="87" t="str">
        <f>'дод. 4'!A144</f>
        <v>4080</v>
      </c>
      <c r="C29" s="87">
        <f>'дод. 4'!B144</f>
        <v>0</v>
      </c>
      <c r="D29" s="108" t="str">
        <f>'дод. 4'!C144</f>
        <v>Інші заклади та заходи в галузі культури і мистецтва</v>
      </c>
      <c r="E29" s="89">
        <f>E30+E31</f>
        <v>2705500</v>
      </c>
      <c r="F29" s="89">
        <f aca="true" t="shared" si="7" ref="F29:P29">F30+F31</f>
        <v>2705500</v>
      </c>
      <c r="G29" s="89">
        <f t="shared" si="7"/>
        <v>998500</v>
      </c>
      <c r="H29" s="89">
        <f t="shared" si="7"/>
        <v>78540</v>
      </c>
      <c r="I29" s="89">
        <f t="shared" si="7"/>
        <v>0</v>
      </c>
      <c r="J29" s="89">
        <f t="shared" si="7"/>
        <v>20500</v>
      </c>
      <c r="K29" s="89">
        <f t="shared" si="7"/>
        <v>0</v>
      </c>
      <c r="L29" s="89">
        <f t="shared" si="7"/>
        <v>0</v>
      </c>
      <c r="M29" s="89">
        <f t="shared" si="7"/>
        <v>0</v>
      </c>
      <c r="N29" s="89">
        <f t="shared" si="7"/>
        <v>20500</v>
      </c>
      <c r="O29" s="89">
        <f t="shared" si="7"/>
        <v>20500</v>
      </c>
      <c r="P29" s="89">
        <f t="shared" si="7"/>
        <v>2726000</v>
      </c>
      <c r="Q29" s="293"/>
      <c r="R29" s="161"/>
      <c r="S29" s="161"/>
      <c r="T29" s="161"/>
    </row>
    <row r="30" spans="1:20" s="116" customFormat="1" ht="30.75" customHeight="1">
      <c r="A30" s="84" t="s">
        <v>475</v>
      </c>
      <c r="B30" s="84" t="str">
        <f>'дод. 4'!A145</f>
        <v>4081</v>
      </c>
      <c r="C30" s="84" t="str">
        <f>'дод. 4'!B145</f>
        <v>0829</v>
      </c>
      <c r="D30" s="107" t="str">
        <f>'дод. 4'!C145</f>
        <v>Забезпечення діяльності інших закладів в галузі культури і мистецтва </v>
      </c>
      <c r="E30" s="86">
        <f>F30+I30</f>
        <v>2219000</v>
      </c>
      <c r="F30" s="86">
        <f>2846100-420200+884400+400000-1551300+60000</f>
        <v>2219000</v>
      </c>
      <c r="G30" s="86">
        <f>1782489-783989</f>
        <v>998500</v>
      </c>
      <c r="H30" s="86">
        <f>116165-37625</f>
        <v>78540</v>
      </c>
      <c r="I30" s="86"/>
      <c r="J30" s="86">
        <f>K30+N30</f>
        <v>20500</v>
      </c>
      <c r="K30" s="86"/>
      <c r="L30" s="86"/>
      <c r="M30" s="86"/>
      <c r="N30" s="86">
        <f>49000-28500</f>
        <v>20500</v>
      </c>
      <c r="O30" s="86">
        <f>49000-28500</f>
        <v>20500</v>
      </c>
      <c r="P30" s="86">
        <f>E30+J30</f>
        <v>2239500</v>
      </c>
      <c r="Q30" s="293"/>
      <c r="R30" s="162"/>
      <c r="S30" s="162"/>
      <c r="T30" s="162"/>
    </row>
    <row r="31" spans="1:20" s="116" customFormat="1" ht="25.5" customHeight="1">
      <c r="A31" s="84" t="s">
        <v>476</v>
      </c>
      <c r="B31" s="84" t="str">
        <f>'дод. 4'!A146</f>
        <v>4082</v>
      </c>
      <c r="C31" s="84" t="str">
        <f>'дод. 4'!B146</f>
        <v>0829</v>
      </c>
      <c r="D31" s="107" t="str">
        <f>'дод. 4'!C146</f>
        <v>Інші заходи в галузі культури і мистецтва</v>
      </c>
      <c r="E31" s="86">
        <f>F31+I31</f>
        <v>486500</v>
      </c>
      <c r="F31" s="86">
        <f>420200+66300</f>
        <v>486500</v>
      </c>
      <c r="G31" s="86"/>
      <c r="H31" s="86"/>
      <c r="I31" s="86"/>
      <c r="J31" s="86">
        <f>K31+N31</f>
        <v>0</v>
      </c>
      <c r="K31" s="86"/>
      <c r="L31" s="86"/>
      <c r="M31" s="86"/>
      <c r="N31" s="86"/>
      <c r="O31" s="86"/>
      <c r="P31" s="86">
        <f>E31+J31</f>
        <v>486500</v>
      </c>
      <c r="Q31" s="293"/>
      <c r="R31" s="162"/>
      <c r="S31" s="162"/>
      <c r="T31" s="162"/>
    </row>
    <row r="32" spans="1:20" s="4" customFormat="1" ht="21.75" customHeight="1">
      <c r="A32" s="90" t="s">
        <v>248</v>
      </c>
      <c r="B32" s="90" t="str">
        <f>'дод. 4'!A148</f>
        <v>5010</v>
      </c>
      <c r="C32" s="90">
        <f>'дод. 4'!B148</f>
        <v>0</v>
      </c>
      <c r="D32" s="111" t="str">
        <f>'дод. 4'!C148</f>
        <v>Проведення спортивної роботи в регіоні</v>
      </c>
      <c r="E32" s="89">
        <f>E33+E34</f>
        <v>1587070</v>
      </c>
      <c r="F32" s="89">
        <f aca="true" t="shared" si="8" ref="F32:P32">F33+F34</f>
        <v>1587070</v>
      </c>
      <c r="G32" s="89">
        <f t="shared" si="8"/>
        <v>0</v>
      </c>
      <c r="H32" s="89">
        <f t="shared" si="8"/>
        <v>0</v>
      </c>
      <c r="I32" s="89">
        <f t="shared" si="8"/>
        <v>0</v>
      </c>
      <c r="J32" s="89">
        <f t="shared" si="8"/>
        <v>177000</v>
      </c>
      <c r="K32" s="89">
        <f t="shared" si="8"/>
        <v>0</v>
      </c>
      <c r="L32" s="89">
        <f t="shared" si="8"/>
        <v>0</v>
      </c>
      <c r="M32" s="89">
        <f t="shared" si="8"/>
        <v>0</v>
      </c>
      <c r="N32" s="89">
        <f t="shared" si="8"/>
        <v>177000</v>
      </c>
      <c r="O32" s="89">
        <f t="shared" si="8"/>
        <v>177000</v>
      </c>
      <c r="P32" s="89">
        <f t="shared" si="8"/>
        <v>1764070</v>
      </c>
      <c r="Q32" s="293"/>
      <c r="R32" s="161"/>
      <c r="S32" s="161"/>
      <c r="T32" s="161"/>
    </row>
    <row r="33" spans="1:20" s="116" customFormat="1" ht="36.75" customHeight="1">
      <c r="A33" s="117" t="s">
        <v>249</v>
      </c>
      <c r="B33" s="117" t="str">
        <f>'дод. 4'!A149</f>
        <v>5011</v>
      </c>
      <c r="C33" s="117" t="str">
        <f>'дод. 4'!B149</f>
        <v>0810</v>
      </c>
      <c r="D33" s="118" t="str">
        <f>'дод. 4'!C149</f>
        <v>Проведення навчально-тренувальних зборів і змагань з олімпійських видів спорту</v>
      </c>
      <c r="E33" s="86">
        <f>F33+I33</f>
        <v>836070</v>
      </c>
      <c r="F33" s="86">
        <f>700000+76070+35000+25000</f>
        <v>836070</v>
      </c>
      <c r="G33" s="86"/>
      <c r="H33" s="86"/>
      <c r="I33" s="86"/>
      <c r="J33" s="86">
        <f t="shared" si="3"/>
        <v>177000</v>
      </c>
      <c r="K33" s="86"/>
      <c r="L33" s="86"/>
      <c r="M33" s="86"/>
      <c r="N33" s="86">
        <v>177000</v>
      </c>
      <c r="O33" s="86">
        <v>177000</v>
      </c>
      <c r="P33" s="86">
        <f>E33+J33</f>
        <v>1013070</v>
      </c>
      <c r="Q33" s="293"/>
      <c r="R33" s="162"/>
      <c r="S33" s="162"/>
      <c r="T33" s="162"/>
    </row>
    <row r="34" spans="1:20" s="116" customFormat="1" ht="34.5" customHeight="1">
      <c r="A34" s="117" t="s">
        <v>250</v>
      </c>
      <c r="B34" s="117" t="str">
        <f>'дод. 4'!A150</f>
        <v>5012</v>
      </c>
      <c r="C34" s="117" t="str">
        <f>'дод. 4'!B150</f>
        <v>0810</v>
      </c>
      <c r="D34" s="118" t="str">
        <f>'дод. 4'!C150</f>
        <v>Проведення навчально-тренувальних зборів і змагань з неолімпійських видів спорту</v>
      </c>
      <c r="E34" s="86">
        <f>F34+I34</f>
        <v>751000</v>
      </c>
      <c r="F34" s="86">
        <f>700000+28000+5000+18000</f>
        <v>751000</v>
      </c>
      <c r="G34" s="86"/>
      <c r="H34" s="86"/>
      <c r="I34" s="86"/>
      <c r="J34" s="86">
        <f t="shared" si="3"/>
        <v>0</v>
      </c>
      <c r="K34" s="86"/>
      <c r="L34" s="86"/>
      <c r="M34" s="86"/>
      <c r="N34" s="86"/>
      <c r="O34" s="86"/>
      <c r="P34" s="86">
        <f>E34+J34</f>
        <v>751000</v>
      </c>
      <c r="Q34" s="293"/>
      <c r="R34" s="162"/>
      <c r="S34" s="162"/>
      <c r="T34" s="162"/>
    </row>
    <row r="35" spans="1:20" s="4" customFormat="1" ht="21" customHeight="1">
      <c r="A35" s="90" t="s">
        <v>251</v>
      </c>
      <c r="B35" s="90" t="str">
        <f>'дод. 4'!A151</f>
        <v>5030</v>
      </c>
      <c r="C35" s="90">
        <f>'дод. 4'!B151</f>
        <v>0</v>
      </c>
      <c r="D35" s="111" t="str">
        <f>'дод. 4'!C151</f>
        <v>Розвиток дитячо-юнацького та резервного спорту</v>
      </c>
      <c r="E35" s="89">
        <f>E36+E37</f>
        <v>17657879</v>
      </c>
      <c r="F35" s="89">
        <f aca="true" t="shared" si="9" ref="F35:O35">F36+F37</f>
        <v>17657879</v>
      </c>
      <c r="G35" s="89">
        <f t="shared" si="9"/>
        <v>6380000</v>
      </c>
      <c r="H35" s="89">
        <f t="shared" si="9"/>
        <v>586810</v>
      </c>
      <c r="I35" s="89">
        <f t="shared" si="9"/>
        <v>0</v>
      </c>
      <c r="J35" s="89">
        <f t="shared" si="9"/>
        <v>210000</v>
      </c>
      <c r="K35" s="89">
        <f t="shared" si="9"/>
        <v>0</v>
      </c>
      <c r="L35" s="89">
        <f t="shared" si="9"/>
        <v>0</v>
      </c>
      <c r="M35" s="89">
        <f t="shared" si="9"/>
        <v>0</v>
      </c>
      <c r="N35" s="89">
        <f t="shared" si="9"/>
        <v>210000</v>
      </c>
      <c r="O35" s="89">
        <f t="shared" si="9"/>
        <v>210000</v>
      </c>
      <c r="P35" s="89">
        <f>P36+P37</f>
        <v>17867879</v>
      </c>
      <c r="Q35" s="293"/>
      <c r="R35" s="161"/>
      <c r="S35" s="161"/>
      <c r="T35" s="161"/>
    </row>
    <row r="36" spans="1:20" s="116" customFormat="1" ht="30" customHeight="1">
      <c r="A36" s="117" t="s">
        <v>252</v>
      </c>
      <c r="B36" s="117" t="str">
        <f>'дод. 4'!A152</f>
        <v>5031</v>
      </c>
      <c r="C36" s="117" t="str">
        <f>'дод. 4'!B152</f>
        <v>0810</v>
      </c>
      <c r="D36" s="118" t="str">
        <f>'дод. 4'!C152</f>
        <v>Утримання та навчально-тренувальна робота комунальних дитячо-юнацьких спортивних шкіл</v>
      </c>
      <c r="E36" s="86">
        <f>F36+I36</f>
        <v>9524900</v>
      </c>
      <c r="F36" s="86">
        <f>8719900+577000+98000+15000+100000+10000+5000</f>
        <v>9524900</v>
      </c>
      <c r="G36" s="86">
        <f>6380000</f>
        <v>6380000</v>
      </c>
      <c r="H36" s="86">
        <v>586810</v>
      </c>
      <c r="I36" s="86"/>
      <c r="J36" s="86">
        <f t="shared" si="3"/>
        <v>200000</v>
      </c>
      <c r="K36" s="86"/>
      <c r="L36" s="86"/>
      <c r="M36" s="86"/>
      <c r="N36" s="86">
        <v>200000</v>
      </c>
      <c r="O36" s="86">
        <v>200000</v>
      </c>
      <c r="P36" s="86">
        <f>E36+J36</f>
        <v>9724900</v>
      </c>
      <c r="Q36" s="293"/>
      <c r="R36" s="162"/>
      <c r="S36" s="162"/>
      <c r="T36" s="162"/>
    </row>
    <row r="37" spans="1:20" s="116" customFormat="1" ht="30">
      <c r="A37" s="117" t="s">
        <v>253</v>
      </c>
      <c r="B37" s="117" t="str">
        <f>'дод. 4'!A153</f>
        <v>5032</v>
      </c>
      <c r="C37" s="117" t="str">
        <f>'дод. 4'!B153</f>
        <v>0810</v>
      </c>
      <c r="D37" s="118" t="str">
        <f>'дод. 4'!C153</f>
        <v>Фінансова підтримка дитячо-юнацьких спортивних шкіл фізкультурно-спортивних товариств</v>
      </c>
      <c r="E37" s="86">
        <f>F37+I37</f>
        <v>8132979</v>
      </c>
      <c r="F37" s="86">
        <f>7321800+300000+95000+301179+65000+10000+20000+20000</f>
        <v>8132979</v>
      </c>
      <c r="G37" s="86"/>
      <c r="H37" s="86"/>
      <c r="I37" s="86"/>
      <c r="J37" s="86">
        <f t="shared" si="3"/>
        <v>10000</v>
      </c>
      <c r="K37" s="86"/>
      <c r="L37" s="86"/>
      <c r="M37" s="86"/>
      <c r="N37" s="86">
        <v>10000</v>
      </c>
      <c r="O37" s="86">
        <v>10000</v>
      </c>
      <c r="P37" s="86">
        <f>E37+J37</f>
        <v>8142979</v>
      </c>
      <c r="Q37" s="293"/>
      <c r="R37" s="162"/>
      <c r="S37" s="162"/>
      <c r="T37" s="162"/>
    </row>
    <row r="38" spans="1:20" s="116" customFormat="1" ht="33.75" customHeight="1">
      <c r="A38" s="90" t="s">
        <v>254</v>
      </c>
      <c r="B38" s="90" t="str">
        <f>'дод. 4'!A154</f>
        <v>5060</v>
      </c>
      <c r="C38" s="90">
        <f>'дод. 4'!B154</f>
        <v>0</v>
      </c>
      <c r="D38" s="111" t="str">
        <f>'дод. 4'!C154</f>
        <v>Інші заходи з розвитку фізичної культури та спорту</v>
      </c>
      <c r="E38" s="89">
        <f>E39+E40</f>
        <v>9472021</v>
      </c>
      <c r="F38" s="89">
        <f>F39+F40</f>
        <v>9472021</v>
      </c>
      <c r="G38" s="89">
        <f aca="true" t="shared" si="10" ref="G38:P38">G39+G40</f>
        <v>1789783</v>
      </c>
      <c r="H38" s="89">
        <f t="shared" si="10"/>
        <v>407210</v>
      </c>
      <c r="I38" s="89">
        <f t="shared" si="10"/>
        <v>0</v>
      </c>
      <c r="J38" s="89">
        <f t="shared" si="10"/>
        <v>246687</v>
      </c>
      <c r="K38" s="89">
        <f t="shared" si="10"/>
        <v>226687</v>
      </c>
      <c r="L38" s="89">
        <f t="shared" si="10"/>
        <v>141022</v>
      </c>
      <c r="M38" s="89">
        <f t="shared" si="10"/>
        <v>53404</v>
      </c>
      <c r="N38" s="89">
        <f t="shared" si="10"/>
        <v>20000</v>
      </c>
      <c r="O38" s="89">
        <f t="shared" si="10"/>
        <v>20000</v>
      </c>
      <c r="P38" s="89">
        <f t="shared" si="10"/>
        <v>9718708</v>
      </c>
      <c r="Q38" s="285">
        <v>6</v>
      </c>
      <c r="R38" s="161"/>
      <c r="S38" s="161"/>
      <c r="T38" s="161"/>
    </row>
    <row r="39" spans="1:20" s="116" customFormat="1" ht="60">
      <c r="A39" s="117" t="s">
        <v>255</v>
      </c>
      <c r="B39" s="117" t="str">
        <f>'дод. 4'!A155</f>
        <v>5061</v>
      </c>
      <c r="C39" s="117" t="str">
        <f>'дод. 4'!B155</f>
        <v>0810</v>
      </c>
      <c r="D39" s="118" t="str">
        <f>'дод. 4'!C155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6">
        <f>F39+I39</f>
        <v>3778561</v>
      </c>
      <c r="F39" s="86">
        <f>3246540+127835+6186+7000+30000+11000+350000</f>
        <v>3778561</v>
      </c>
      <c r="G39" s="86">
        <f>1685000+104783</f>
        <v>1789783</v>
      </c>
      <c r="H39" s="86">
        <v>407210</v>
      </c>
      <c r="I39" s="86"/>
      <c r="J39" s="86">
        <f t="shared" si="3"/>
        <v>246687</v>
      </c>
      <c r="K39" s="86">
        <f>226687</f>
        <v>226687</v>
      </c>
      <c r="L39" s="86">
        <v>141022</v>
      </c>
      <c r="M39" s="86">
        <v>53404</v>
      </c>
      <c r="N39" s="86">
        <f>20000</f>
        <v>20000</v>
      </c>
      <c r="O39" s="86">
        <v>20000</v>
      </c>
      <c r="P39" s="86">
        <f>E39+J39</f>
        <v>4025248</v>
      </c>
      <c r="Q39" s="285"/>
      <c r="R39" s="162"/>
      <c r="S39" s="162"/>
      <c r="T39" s="162"/>
    </row>
    <row r="40" spans="1:20" s="116" customFormat="1" ht="45">
      <c r="A40" s="117" t="s">
        <v>256</v>
      </c>
      <c r="B40" s="117" t="str">
        <f>'дод. 4'!A156</f>
        <v>5062</v>
      </c>
      <c r="C40" s="117" t="str">
        <f>'дод. 4'!B156</f>
        <v>0810</v>
      </c>
      <c r="D40" s="118" t="str">
        <f>'дод. 4'!C156</f>
        <v>Підтримка спорту вищих досягнень та організацій, які здійснюють фізкультурно-спортивну діяльність в регіоні</v>
      </c>
      <c r="E40" s="86">
        <f>F40+I40</f>
        <v>5693460</v>
      </c>
      <c r="F40" s="86">
        <f>5143460+50000+50000+50000+300000+100000</f>
        <v>5693460</v>
      </c>
      <c r="G40" s="86"/>
      <c r="H40" s="86"/>
      <c r="I40" s="86"/>
      <c r="J40" s="86">
        <f t="shared" si="3"/>
        <v>0</v>
      </c>
      <c r="K40" s="86"/>
      <c r="L40" s="86"/>
      <c r="M40" s="86"/>
      <c r="N40" s="86"/>
      <c r="O40" s="86"/>
      <c r="P40" s="86">
        <f>E40+J40</f>
        <v>5693460</v>
      </c>
      <c r="Q40" s="285"/>
      <c r="R40" s="162"/>
      <c r="S40" s="162"/>
      <c r="T40" s="162"/>
    </row>
    <row r="41" spans="1:20" s="4" customFormat="1" ht="34.5" customHeight="1">
      <c r="A41" s="90" t="s">
        <v>257</v>
      </c>
      <c r="B41" s="90" t="str">
        <f>'дод. 4'!A195</f>
        <v>7410</v>
      </c>
      <c r="C41" s="90">
        <f>'дод. 4'!B195</f>
        <v>0</v>
      </c>
      <c r="D41" s="111" t="str">
        <f>'дод. 4'!C195</f>
        <v>Забезпечення надання послуг з перевезення пасажирів автомобільним транспортом</v>
      </c>
      <c r="E41" s="89">
        <f>E42</f>
        <v>5000000</v>
      </c>
      <c r="F41" s="89">
        <f aca="true" t="shared" si="11" ref="F41:P41">F42</f>
        <v>0</v>
      </c>
      <c r="G41" s="89">
        <f t="shared" si="11"/>
        <v>0</v>
      </c>
      <c r="H41" s="89">
        <f t="shared" si="11"/>
        <v>0</v>
      </c>
      <c r="I41" s="89">
        <f t="shared" si="11"/>
        <v>5000000</v>
      </c>
      <c r="J41" s="89">
        <f t="shared" si="11"/>
        <v>0</v>
      </c>
      <c r="K41" s="89">
        <f t="shared" si="11"/>
        <v>0</v>
      </c>
      <c r="L41" s="89">
        <f t="shared" si="11"/>
        <v>0</v>
      </c>
      <c r="M41" s="89">
        <f t="shared" si="11"/>
        <v>0</v>
      </c>
      <c r="N41" s="89">
        <f t="shared" si="11"/>
        <v>0</v>
      </c>
      <c r="O41" s="89">
        <f t="shared" si="11"/>
        <v>0</v>
      </c>
      <c r="P41" s="89">
        <f t="shared" si="11"/>
        <v>5000000</v>
      </c>
      <c r="Q41" s="285"/>
      <c r="R41" s="161"/>
      <c r="S41" s="161"/>
      <c r="T41" s="161"/>
    </row>
    <row r="42" spans="1:20" s="116" customFormat="1" ht="30">
      <c r="A42" s="117" t="s">
        <v>258</v>
      </c>
      <c r="B42" s="117" t="str">
        <f>'дод. 4'!A196</f>
        <v>7412</v>
      </c>
      <c r="C42" s="117" t="str">
        <f>'дод. 4'!B196</f>
        <v>0451</v>
      </c>
      <c r="D42" s="118" t="str">
        <f>'дод. 4'!C196</f>
        <v>Регулювання цін на послуги місцевого автотранспорту</v>
      </c>
      <c r="E42" s="86">
        <f>F42+I42</f>
        <v>5000000</v>
      </c>
      <c r="F42" s="86"/>
      <c r="G42" s="86"/>
      <c r="H42" s="86"/>
      <c r="I42" s="86">
        <f>3000000+2000000</f>
        <v>5000000</v>
      </c>
      <c r="J42" s="86">
        <f t="shared" si="3"/>
        <v>0</v>
      </c>
      <c r="K42" s="86"/>
      <c r="L42" s="86"/>
      <c r="M42" s="86"/>
      <c r="N42" s="86"/>
      <c r="O42" s="86"/>
      <c r="P42" s="86">
        <f>E42+J42</f>
        <v>5000000</v>
      </c>
      <c r="Q42" s="285"/>
      <c r="R42" s="162"/>
      <c r="S42" s="162"/>
      <c r="T42" s="162"/>
    </row>
    <row r="43" spans="1:20" s="4" customFormat="1" ht="30">
      <c r="A43" s="90" t="s">
        <v>259</v>
      </c>
      <c r="B43" s="90" t="str">
        <f>'дод. 4'!A197</f>
        <v>7420</v>
      </c>
      <c r="C43" s="90">
        <f>'дод. 4'!B197</f>
        <v>0</v>
      </c>
      <c r="D43" s="111" t="str">
        <f>'дод. 4'!C197</f>
        <v>Забезпечення надання послуг з перевезення пасажирів електротранспортом</v>
      </c>
      <c r="E43" s="89">
        <f>E44+E45</f>
        <v>22544636</v>
      </c>
      <c r="F43" s="89">
        <f aca="true" t="shared" si="12" ref="F43:P43">F44+F45</f>
        <v>0</v>
      </c>
      <c r="G43" s="89">
        <f t="shared" si="12"/>
        <v>0</v>
      </c>
      <c r="H43" s="89">
        <f t="shared" si="12"/>
        <v>0</v>
      </c>
      <c r="I43" s="89">
        <f t="shared" si="12"/>
        <v>22544636</v>
      </c>
      <c r="J43" s="89">
        <f t="shared" si="12"/>
        <v>1490000</v>
      </c>
      <c r="K43" s="89">
        <f t="shared" si="12"/>
        <v>0</v>
      </c>
      <c r="L43" s="89">
        <f t="shared" si="12"/>
        <v>0</v>
      </c>
      <c r="M43" s="89">
        <f t="shared" si="12"/>
        <v>0</v>
      </c>
      <c r="N43" s="89">
        <f t="shared" si="12"/>
        <v>1490000</v>
      </c>
      <c r="O43" s="89">
        <f t="shared" si="12"/>
        <v>1490000</v>
      </c>
      <c r="P43" s="89">
        <f t="shared" si="12"/>
        <v>24034636</v>
      </c>
      <c r="Q43" s="285"/>
      <c r="R43" s="161"/>
      <c r="S43" s="161"/>
      <c r="T43" s="161"/>
    </row>
    <row r="44" spans="1:20" s="116" customFormat="1" ht="30">
      <c r="A44" s="117" t="s">
        <v>260</v>
      </c>
      <c r="B44" s="117" t="str">
        <f>'дод. 4'!A198</f>
        <v>7422</v>
      </c>
      <c r="C44" s="117" t="str">
        <f>'дод. 4'!B198</f>
        <v>0453</v>
      </c>
      <c r="D44" s="118" t="str">
        <f>'дод. 4'!C198</f>
        <v>Регулювання цін на послуги місцевого наземного електротранспорту</v>
      </c>
      <c r="E44" s="86">
        <f aca="true" t="shared" si="13" ref="E44:E51">F44+I44</f>
        <v>10000000</v>
      </c>
      <c r="F44" s="86"/>
      <c r="G44" s="86"/>
      <c r="H44" s="86"/>
      <c r="I44" s="86">
        <f>6000000+4000000</f>
        <v>10000000</v>
      </c>
      <c r="J44" s="86">
        <f t="shared" si="3"/>
        <v>0</v>
      </c>
      <c r="K44" s="86"/>
      <c r="L44" s="86"/>
      <c r="M44" s="86"/>
      <c r="N44" s="86"/>
      <c r="O44" s="86"/>
      <c r="P44" s="86">
        <f>E44+J44</f>
        <v>10000000</v>
      </c>
      <c r="Q44" s="285"/>
      <c r="R44" s="162"/>
      <c r="S44" s="162"/>
      <c r="T44" s="162"/>
    </row>
    <row r="45" spans="1:20" s="116" customFormat="1" ht="21.75" customHeight="1">
      <c r="A45" s="117" t="s">
        <v>376</v>
      </c>
      <c r="B45" s="117" t="str">
        <f>'дод. 4'!A199</f>
        <v>7426</v>
      </c>
      <c r="C45" s="117" t="str">
        <f>'дод. 4'!B199</f>
        <v>0453</v>
      </c>
      <c r="D45" s="118" t="str">
        <f>'дод. 4'!C199</f>
        <v>Інші заходи у сфері електротранспорту</v>
      </c>
      <c r="E45" s="86">
        <f t="shared" si="13"/>
        <v>12544636</v>
      </c>
      <c r="F45" s="86"/>
      <c r="G45" s="86"/>
      <c r="H45" s="86"/>
      <c r="I45" s="86">
        <f>12858252-313616</f>
        <v>12544636</v>
      </c>
      <c r="J45" s="86">
        <f t="shared" si="3"/>
        <v>1490000</v>
      </c>
      <c r="K45" s="86"/>
      <c r="L45" s="86"/>
      <c r="M45" s="86"/>
      <c r="N45" s="86">
        <f>810000+680000</f>
        <v>1490000</v>
      </c>
      <c r="O45" s="86">
        <f>810000+680000</f>
        <v>1490000</v>
      </c>
      <c r="P45" s="86">
        <f>E45+J45</f>
        <v>14034636</v>
      </c>
      <c r="Q45" s="285"/>
      <c r="R45" s="162"/>
      <c r="S45" s="162"/>
      <c r="T45" s="162"/>
    </row>
    <row r="46" spans="1:20" s="4" customFormat="1" ht="21.75" customHeight="1">
      <c r="A46" s="91" t="s">
        <v>491</v>
      </c>
      <c r="B46" s="91" t="str">
        <f>'дод. 4'!A202</f>
        <v>7450</v>
      </c>
      <c r="C46" s="91" t="str">
        <f>'дод. 4'!B202</f>
        <v>0456</v>
      </c>
      <c r="D46" s="111" t="str">
        <f>'дод. 4'!C202</f>
        <v>Інша діяльність у сфері транспорту </v>
      </c>
      <c r="E46" s="83">
        <f t="shared" si="13"/>
        <v>649800</v>
      </c>
      <c r="F46" s="83">
        <f>450000+199800</f>
        <v>649800</v>
      </c>
      <c r="G46" s="83"/>
      <c r="H46" s="83"/>
      <c r="I46" s="83"/>
      <c r="J46" s="83">
        <f>K46+N46</f>
        <v>0</v>
      </c>
      <c r="K46" s="83"/>
      <c r="L46" s="83"/>
      <c r="M46" s="83"/>
      <c r="N46" s="83"/>
      <c r="O46" s="83"/>
      <c r="P46" s="83">
        <f>J46+E46</f>
        <v>649800</v>
      </c>
      <c r="Q46" s="285"/>
      <c r="R46" s="160"/>
      <c r="S46" s="160"/>
      <c r="T46" s="160"/>
    </row>
    <row r="47" spans="1:20" s="119" customFormat="1" ht="30">
      <c r="A47" s="91" t="s">
        <v>377</v>
      </c>
      <c r="B47" s="91" t="str">
        <f>'дод. 4'!A208</f>
        <v>7530</v>
      </c>
      <c r="C47" s="91" t="str">
        <f>'дод. 4'!B208</f>
        <v>0460</v>
      </c>
      <c r="D47" s="111" t="str">
        <f>'дод. 4'!C208</f>
        <v>Інші заходи у сфері зв'язку, телекомунікації та інформатики</v>
      </c>
      <c r="E47" s="83">
        <f t="shared" si="13"/>
        <v>10068490</v>
      </c>
      <c r="F47" s="83">
        <f>2629000+1696500+1371000+1579990+2962430-170430</f>
        <v>10068490</v>
      </c>
      <c r="G47" s="83"/>
      <c r="H47" s="83"/>
      <c r="I47" s="83"/>
      <c r="J47" s="83">
        <f>K47+N47</f>
        <v>8282000</v>
      </c>
      <c r="K47" s="83"/>
      <c r="L47" s="83"/>
      <c r="M47" s="83"/>
      <c r="N47" s="83">
        <f>3005500+1891500+3385000</f>
        <v>8282000</v>
      </c>
      <c r="O47" s="83">
        <f>3005500+1891500+3385000</f>
        <v>8282000</v>
      </c>
      <c r="P47" s="83">
        <f>E47+J47</f>
        <v>18350490</v>
      </c>
      <c r="Q47" s="285"/>
      <c r="R47" s="160"/>
      <c r="S47" s="160"/>
      <c r="T47" s="160"/>
    </row>
    <row r="48" spans="1:20" s="116" customFormat="1" ht="30">
      <c r="A48" s="90" t="s">
        <v>261</v>
      </c>
      <c r="B48" s="90" t="str">
        <f>'дод. 4'!A210</f>
        <v>7610</v>
      </c>
      <c r="C48" s="90" t="str">
        <f>'дод. 4'!B210</f>
        <v>0411</v>
      </c>
      <c r="D48" s="111" t="str">
        <f>'дод. 4'!C210</f>
        <v>Сприяння розвитку малого та середнього підприємництва</v>
      </c>
      <c r="E48" s="89">
        <f t="shared" si="13"/>
        <v>88000</v>
      </c>
      <c r="F48" s="89">
        <v>88000</v>
      </c>
      <c r="G48" s="89"/>
      <c r="H48" s="89"/>
      <c r="I48" s="89"/>
      <c r="J48" s="89">
        <f t="shared" si="3"/>
        <v>16800</v>
      </c>
      <c r="K48" s="89"/>
      <c r="L48" s="89"/>
      <c r="M48" s="89"/>
      <c r="N48" s="89">
        <v>16800</v>
      </c>
      <c r="O48" s="89">
        <v>16800</v>
      </c>
      <c r="P48" s="89">
        <f>E48+J48</f>
        <v>104800</v>
      </c>
      <c r="Q48" s="285"/>
      <c r="R48" s="160"/>
      <c r="S48" s="160"/>
      <c r="T48" s="160"/>
    </row>
    <row r="49" spans="1:20" s="116" customFormat="1" ht="18.75" customHeight="1">
      <c r="A49" s="90" t="s">
        <v>402</v>
      </c>
      <c r="B49" s="90" t="str">
        <f>'дод. 4'!A211</f>
        <v>7640</v>
      </c>
      <c r="C49" s="90" t="str">
        <f>'дод. 4'!B211</f>
        <v>0470</v>
      </c>
      <c r="D49" s="111" t="str">
        <f>'дод. 4'!C211</f>
        <v>Заходи з енергозбереження</v>
      </c>
      <c r="E49" s="89">
        <f t="shared" si="13"/>
        <v>125175</v>
      </c>
      <c r="F49" s="89">
        <v>125175</v>
      </c>
      <c r="G49" s="89"/>
      <c r="H49" s="89"/>
      <c r="I49" s="89"/>
      <c r="J49" s="89">
        <f>K49+N49</f>
        <v>0</v>
      </c>
      <c r="K49" s="89"/>
      <c r="L49" s="89"/>
      <c r="M49" s="89"/>
      <c r="N49" s="89"/>
      <c r="O49" s="89"/>
      <c r="P49" s="89">
        <f>E49+J49</f>
        <v>125175</v>
      </c>
      <c r="Q49" s="285"/>
      <c r="R49" s="160"/>
      <c r="S49" s="160"/>
      <c r="T49" s="160"/>
    </row>
    <row r="50" spans="1:20" s="116" customFormat="1" ht="30">
      <c r="A50" s="90" t="s">
        <v>262</v>
      </c>
      <c r="B50" s="90" t="str">
        <f>'дод. 4'!A214</f>
        <v>7670</v>
      </c>
      <c r="C50" s="90" t="str">
        <f>'дод. 4'!B214</f>
        <v>0490</v>
      </c>
      <c r="D50" s="111" t="str">
        <f>'дод. 4'!C214</f>
        <v>Внески до статутного капіталу суб’єктів господарювання</v>
      </c>
      <c r="E50" s="89">
        <f t="shared" si="13"/>
        <v>0</v>
      </c>
      <c r="F50" s="89"/>
      <c r="G50" s="89"/>
      <c r="H50" s="89"/>
      <c r="I50" s="89"/>
      <c r="J50" s="89">
        <f t="shared" si="3"/>
        <v>29240000</v>
      </c>
      <c r="K50" s="89"/>
      <c r="L50" s="89"/>
      <c r="M50" s="89"/>
      <c r="N50" s="89">
        <f>4220000+24220000+800000</f>
        <v>29240000</v>
      </c>
      <c r="O50" s="89">
        <f>4220000+24220000+800000</f>
        <v>29240000</v>
      </c>
      <c r="P50" s="89">
        <f>E50+J50</f>
        <v>29240000</v>
      </c>
      <c r="Q50" s="285"/>
      <c r="R50" s="160"/>
      <c r="S50" s="160"/>
      <c r="T50" s="160"/>
    </row>
    <row r="51" spans="1:20" s="116" customFormat="1" ht="30">
      <c r="A51" s="90" t="s">
        <v>391</v>
      </c>
      <c r="B51" s="90" t="str">
        <f>'дод. 4'!A215</f>
        <v>7680</v>
      </c>
      <c r="C51" s="90" t="str">
        <f>'дод. 4'!B215</f>
        <v>0490</v>
      </c>
      <c r="D51" s="111" t="str">
        <f>'дод. 4'!C215</f>
        <v>Членські внески до асоціацій органів місцевого самоврядування</v>
      </c>
      <c r="E51" s="89">
        <f t="shared" si="13"/>
        <v>209333</v>
      </c>
      <c r="F51" s="89">
        <f>50000+159333</f>
        <v>209333</v>
      </c>
      <c r="G51" s="89"/>
      <c r="H51" s="89"/>
      <c r="I51" s="89"/>
      <c r="J51" s="89">
        <f t="shared" si="3"/>
        <v>0</v>
      </c>
      <c r="K51" s="89"/>
      <c r="L51" s="89"/>
      <c r="M51" s="89"/>
      <c r="N51" s="89"/>
      <c r="O51" s="89"/>
      <c r="P51" s="89">
        <f>E51+J51</f>
        <v>209333</v>
      </c>
      <c r="Q51" s="285"/>
      <c r="R51" s="160"/>
      <c r="S51" s="160"/>
      <c r="T51" s="160"/>
    </row>
    <row r="52" spans="1:20" s="116" customFormat="1" ht="19.5" customHeight="1">
      <c r="A52" s="90" t="s">
        <v>263</v>
      </c>
      <c r="B52" s="90" t="str">
        <f>'дод. 4'!A216</f>
        <v>7690</v>
      </c>
      <c r="C52" s="90">
        <f>'дод. 4'!B216</f>
        <v>0</v>
      </c>
      <c r="D52" s="111" t="str">
        <f>'дод. 4'!C216</f>
        <v>Інша економічна діяльність</v>
      </c>
      <c r="E52" s="89">
        <f>E53+E54</f>
        <v>1832059</v>
      </c>
      <c r="F52" s="89">
        <f>F53+F54</f>
        <v>1634159</v>
      </c>
      <c r="G52" s="89">
        <f aca="true" t="shared" si="14" ref="G52:P52">G53+G54</f>
        <v>0</v>
      </c>
      <c r="H52" s="89">
        <f t="shared" si="14"/>
        <v>0</v>
      </c>
      <c r="I52" s="89">
        <f t="shared" si="14"/>
        <v>197900</v>
      </c>
      <c r="J52" s="89">
        <f t="shared" si="14"/>
        <v>70037.48</v>
      </c>
      <c r="K52" s="89">
        <f t="shared" si="14"/>
        <v>70037.48</v>
      </c>
      <c r="L52" s="89">
        <f t="shared" si="14"/>
        <v>0</v>
      </c>
      <c r="M52" s="89">
        <f t="shared" si="14"/>
        <v>0</v>
      </c>
      <c r="N52" s="89">
        <f t="shared" si="14"/>
        <v>0</v>
      </c>
      <c r="O52" s="89">
        <f t="shared" si="14"/>
        <v>0</v>
      </c>
      <c r="P52" s="89">
        <f t="shared" si="14"/>
        <v>1902096.48</v>
      </c>
      <c r="Q52" s="285"/>
      <c r="R52" s="161"/>
      <c r="S52" s="161"/>
      <c r="T52" s="161"/>
    </row>
    <row r="53" spans="1:20" s="116" customFormat="1" ht="121.5" customHeight="1">
      <c r="A53" s="117" t="s">
        <v>473</v>
      </c>
      <c r="B53" s="117" t="str">
        <f>'дод. 4'!A217</f>
        <v>7691</v>
      </c>
      <c r="C53" s="117" t="str">
        <f>'дод. 4'!B217</f>
        <v>0490</v>
      </c>
      <c r="D53" s="85" t="s">
        <v>499</v>
      </c>
      <c r="E53" s="86">
        <f aca="true" t="shared" si="15" ref="E53:E60">F53+I53</f>
        <v>0</v>
      </c>
      <c r="F53" s="86"/>
      <c r="G53" s="86"/>
      <c r="H53" s="86"/>
      <c r="I53" s="86"/>
      <c r="J53" s="86">
        <f t="shared" si="3"/>
        <v>70037.48</v>
      </c>
      <c r="K53" s="86">
        <f>63407+6630.48</f>
        <v>70037.48</v>
      </c>
      <c r="L53" s="86"/>
      <c r="M53" s="86"/>
      <c r="N53" s="86"/>
      <c r="O53" s="86"/>
      <c r="P53" s="86">
        <f aca="true" t="shared" si="16" ref="P53:P60">E53+J53</f>
        <v>70037.48</v>
      </c>
      <c r="Q53" s="285"/>
      <c r="R53" s="162"/>
      <c r="S53" s="162"/>
      <c r="T53" s="162"/>
    </row>
    <row r="54" spans="1:20" s="116" customFormat="1" ht="23.25" customHeight="1">
      <c r="A54" s="117" t="s">
        <v>384</v>
      </c>
      <c r="B54" s="117" t="str">
        <f>'дод. 4'!A218</f>
        <v>7693</v>
      </c>
      <c r="C54" s="117" t="str">
        <f>'дод. 4'!B218</f>
        <v>0490</v>
      </c>
      <c r="D54" s="118" t="str">
        <f>'дод. 4'!C218</f>
        <v>Інші заходи, пов'язані з економічною діяльністю</v>
      </c>
      <c r="E54" s="86">
        <f t="shared" si="15"/>
        <v>1832059</v>
      </c>
      <c r="F54" s="86">
        <f>1449859+262200+90000-197900+30000</f>
        <v>1634159</v>
      </c>
      <c r="G54" s="86"/>
      <c r="H54" s="86"/>
      <c r="I54" s="86">
        <v>197900</v>
      </c>
      <c r="J54" s="86">
        <f t="shared" si="3"/>
        <v>0</v>
      </c>
      <c r="K54" s="86"/>
      <c r="L54" s="86"/>
      <c r="M54" s="86"/>
      <c r="N54" s="86"/>
      <c r="O54" s="86"/>
      <c r="P54" s="86">
        <f t="shared" si="16"/>
        <v>1832059</v>
      </c>
      <c r="Q54" s="285"/>
      <c r="R54" s="162"/>
      <c r="S54" s="162"/>
      <c r="T54" s="162"/>
    </row>
    <row r="55" spans="1:20" s="116" customFormat="1" ht="34.5" customHeight="1">
      <c r="A55" s="90" t="s">
        <v>264</v>
      </c>
      <c r="B55" s="90" t="str">
        <f>'дод. 4'!A221</f>
        <v>8110</v>
      </c>
      <c r="C55" s="90" t="str">
        <f>'дод. 4'!B221</f>
        <v>0320</v>
      </c>
      <c r="D55" s="111" t="str">
        <f>'дод. 4'!C221</f>
        <v>Заходи із запобігання та ліквідації надзвичайних ситуацій та наслідків стихійного лиха</v>
      </c>
      <c r="E55" s="89">
        <f t="shared" si="15"/>
        <v>503883</v>
      </c>
      <c r="F55" s="89">
        <f>228570+180360+92500+2453</f>
        <v>503883</v>
      </c>
      <c r="G55" s="89"/>
      <c r="H55" s="89">
        <v>5070</v>
      </c>
      <c r="I55" s="89"/>
      <c r="J55" s="89">
        <f t="shared" si="3"/>
        <v>55900</v>
      </c>
      <c r="K55" s="89"/>
      <c r="L55" s="89"/>
      <c r="M55" s="89"/>
      <c r="N55" s="89">
        <v>55900</v>
      </c>
      <c r="O55" s="89">
        <v>55900</v>
      </c>
      <c r="P55" s="89">
        <f t="shared" si="16"/>
        <v>559783</v>
      </c>
      <c r="Q55" s="285"/>
      <c r="R55" s="160"/>
      <c r="S55" s="160"/>
      <c r="T55" s="160"/>
    </row>
    <row r="56" spans="1:20" s="116" customFormat="1" ht="19.5" customHeight="1">
      <c r="A56" s="90" t="s">
        <v>360</v>
      </c>
      <c r="B56" s="90" t="str">
        <f>'дод. 4'!A222</f>
        <v>8120</v>
      </c>
      <c r="C56" s="90" t="str">
        <f>'дод. 4'!B222</f>
        <v>0320</v>
      </c>
      <c r="D56" s="111" t="str">
        <f>'дод. 4'!C222</f>
        <v>Заходи з організації рятування на водах</v>
      </c>
      <c r="E56" s="89">
        <f t="shared" si="15"/>
        <v>1517110</v>
      </c>
      <c r="F56" s="89">
        <f>1451100+43510+22500+17520-17520+3000-3000</f>
        <v>1517110</v>
      </c>
      <c r="G56" s="89">
        <v>1087750</v>
      </c>
      <c r="H56" s="89">
        <v>76315</v>
      </c>
      <c r="I56" s="89"/>
      <c r="J56" s="89">
        <f t="shared" si="3"/>
        <v>63000</v>
      </c>
      <c r="K56" s="89">
        <f>5100</f>
        <v>5100</v>
      </c>
      <c r="L56" s="89"/>
      <c r="M56" s="89">
        <f>1200</f>
        <v>1200</v>
      </c>
      <c r="N56" s="89">
        <v>57900</v>
      </c>
      <c r="O56" s="89">
        <v>57900</v>
      </c>
      <c r="P56" s="89">
        <f t="shared" si="16"/>
        <v>1580110</v>
      </c>
      <c r="Q56" s="285"/>
      <c r="R56" s="160"/>
      <c r="S56" s="160"/>
      <c r="T56" s="160"/>
    </row>
    <row r="57" spans="1:20" s="116" customFormat="1" ht="21.75" customHeight="1">
      <c r="A57" s="90" t="s">
        <v>387</v>
      </c>
      <c r="B57" s="90" t="str">
        <f>'дод. 4'!A224</f>
        <v>8230</v>
      </c>
      <c r="C57" s="90" t="str">
        <f>'дод. 4'!B224</f>
        <v>0380</v>
      </c>
      <c r="D57" s="111" t="str">
        <f>'дод. 4'!C224</f>
        <v>Інші заходи громадського порядку та безпеки</v>
      </c>
      <c r="E57" s="89">
        <f t="shared" si="15"/>
        <v>391300</v>
      </c>
      <c r="F57" s="89">
        <v>391300</v>
      </c>
      <c r="G57" s="89"/>
      <c r="H57" s="89">
        <v>222241</v>
      </c>
      <c r="I57" s="89"/>
      <c r="J57" s="89">
        <f t="shared" si="3"/>
        <v>0</v>
      </c>
      <c r="K57" s="89"/>
      <c r="L57" s="89"/>
      <c r="M57" s="89"/>
      <c r="N57" s="89"/>
      <c r="O57" s="89"/>
      <c r="P57" s="89">
        <f t="shared" si="16"/>
        <v>391300</v>
      </c>
      <c r="Q57" s="285"/>
      <c r="R57" s="160"/>
      <c r="S57" s="160"/>
      <c r="T57" s="160"/>
    </row>
    <row r="58" spans="1:20" s="116" customFormat="1" ht="34.5" customHeight="1">
      <c r="A58" s="87" t="s">
        <v>265</v>
      </c>
      <c r="B58" s="87" t="str">
        <f>'дод. 4'!A227</f>
        <v>8340</v>
      </c>
      <c r="C58" s="87" t="str">
        <f>'дод. 4'!B227</f>
        <v>0540</v>
      </c>
      <c r="D58" s="108" t="str">
        <f>'дод. 4'!C227</f>
        <v>Природоохоронні заходи за рахунок цільових фондів</v>
      </c>
      <c r="E58" s="89">
        <f t="shared" si="15"/>
        <v>0</v>
      </c>
      <c r="F58" s="89"/>
      <c r="G58" s="89"/>
      <c r="H58" s="89"/>
      <c r="I58" s="89"/>
      <c r="J58" s="89">
        <f t="shared" si="3"/>
        <v>181495</v>
      </c>
      <c r="K58" s="89">
        <f>123500+57995</f>
        <v>181495</v>
      </c>
      <c r="L58" s="89"/>
      <c r="M58" s="89"/>
      <c r="N58" s="89"/>
      <c r="O58" s="89"/>
      <c r="P58" s="89">
        <f t="shared" si="16"/>
        <v>181495</v>
      </c>
      <c r="Q58" s="285"/>
      <c r="R58" s="160"/>
      <c r="S58" s="160"/>
      <c r="T58" s="160"/>
    </row>
    <row r="59" spans="1:20" s="4" customFormat="1" ht="24" customHeight="1">
      <c r="A59" s="90" t="s">
        <v>398</v>
      </c>
      <c r="B59" s="90" t="str">
        <f>'дод. 4'!A229</f>
        <v>8420</v>
      </c>
      <c r="C59" s="90" t="str">
        <f>'дод. 4'!B229</f>
        <v>0830</v>
      </c>
      <c r="D59" s="111" t="str">
        <f>'дод. 4'!C229</f>
        <v>Інші заходи у сфері засобів масової інформації</v>
      </c>
      <c r="E59" s="89">
        <f t="shared" si="15"/>
        <v>164000</v>
      </c>
      <c r="F59" s="89">
        <v>164000</v>
      </c>
      <c r="G59" s="89"/>
      <c r="H59" s="89"/>
      <c r="I59" s="89"/>
      <c r="J59" s="89">
        <f t="shared" si="3"/>
        <v>0</v>
      </c>
      <c r="K59" s="89"/>
      <c r="L59" s="89"/>
      <c r="M59" s="89"/>
      <c r="N59" s="89"/>
      <c r="O59" s="89"/>
      <c r="P59" s="89">
        <f t="shared" si="16"/>
        <v>164000</v>
      </c>
      <c r="Q59" s="285"/>
      <c r="R59" s="160"/>
      <c r="S59" s="160"/>
      <c r="T59" s="160"/>
    </row>
    <row r="60" spans="1:20" s="4" customFormat="1" ht="24" customHeight="1">
      <c r="A60" s="90" t="s">
        <v>631</v>
      </c>
      <c r="B60" s="90" t="str">
        <f>'дод. 4'!A241</f>
        <v>9770</v>
      </c>
      <c r="C60" s="90" t="str">
        <f>'дод. 4'!B241</f>
        <v>0180</v>
      </c>
      <c r="D60" s="229" t="str">
        <f>'дод. 4'!C241</f>
        <v>Інші субвенції з місцевого бюджету </v>
      </c>
      <c r="E60" s="89">
        <f t="shared" si="15"/>
        <v>166600</v>
      </c>
      <c r="F60" s="89">
        <f>116600+50000</f>
        <v>166600</v>
      </c>
      <c r="G60" s="89"/>
      <c r="H60" s="89"/>
      <c r="I60" s="89"/>
      <c r="J60" s="89">
        <f t="shared" si="3"/>
        <v>344000</v>
      </c>
      <c r="K60" s="89"/>
      <c r="L60" s="89"/>
      <c r="M60" s="89"/>
      <c r="N60" s="89">
        <v>344000</v>
      </c>
      <c r="O60" s="89">
        <v>344000</v>
      </c>
      <c r="P60" s="89">
        <f t="shared" si="16"/>
        <v>510600</v>
      </c>
      <c r="Q60" s="285"/>
      <c r="R60" s="160"/>
      <c r="S60" s="160"/>
      <c r="T60" s="160"/>
    </row>
    <row r="61" spans="1:20" s="4" customFormat="1" ht="50.25" customHeight="1">
      <c r="A61" s="90" t="s">
        <v>592</v>
      </c>
      <c r="B61" s="90" t="str">
        <f>'дод. 4'!A243</f>
        <v>9800</v>
      </c>
      <c r="C61" s="90" t="str">
        <f>'дод. 4'!B243</f>
        <v>0180</v>
      </c>
      <c r="D61" s="111" t="str">
        <f>'дод. 4'!C243</f>
        <v>Субвенція з місцевого бюджету державному бюджету на виконання програм соціально-економічного розвитку регіонів </v>
      </c>
      <c r="E61" s="89">
        <f>F61+I61</f>
        <v>481400</v>
      </c>
      <c r="F61" s="89">
        <f>300000+70000+111400</f>
        <v>481400</v>
      </c>
      <c r="G61" s="89"/>
      <c r="H61" s="89"/>
      <c r="I61" s="89"/>
      <c r="J61" s="89">
        <f>K61+N61</f>
        <v>3563780</v>
      </c>
      <c r="K61" s="89"/>
      <c r="L61" s="89"/>
      <c r="M61" s="89"/>
      <c r="N61" s="89">
        <f>2000000+563780+1000000</f>
        <v>3563780</v>
      </c>
      <c r="O61" s="89">
        <f>2000000+563780+1000000</f>
        <v>3563780</v>
      </c>
      <c r="P61" s="89">
        <f>E61+J61</f>
        <v>4045180</v>
      </c>
      <c r="Q61" s="285"/>
      <c r="R61" s="160"/>
      <c r="S61" s="160"/>
      <c r="T61" s="160"/>
    </row>
    <row r="62" spans="1:20" s="113" customFormat="1" ht="23.25" customHeight="1">
      <c r="A62" s="120" t="s">
        <v>266</v>
      </c>
      <c r="B62" s="121"/>
      <c r="C62" s="121"/>
      <c r="D62" s="35" t="s">
        <v>48</v>
      </c>
      <c r="E62" s="46">
        <f>E63</f>
        <v>753245575.25</v>
      </c>
      <c r="F62" s="46">
        <f aca="true" t="shared" si="17" ref="F62:P62">F63</f>
        <v>753245575.25</v>
      </c>
      <c r="G62" s="46">
        <f t="shared" si="17"/>
        <v>478971924</v>
      </c>
      <c r="H62" s="46">
        <f t="shared" si="17"/>
        <v>69735910</v>
      </c>
      <c r="I62" s="46">
        <f t="shared" si="17"/>
        <v>0</v>
      </c>
      <c r="J62" s="46">
        <f t="shared" si="17"/>
        <v>95841387.47</v>
      </c>
      <c r="K62" s="46">
        <f t="shared" si="17"/>
        <v>48306948</v>
      </c>
      <c r="L62" s="46">
        <f t="shared" si="17"/>
        <v>2677494</v>
      </c>
      <c r="M62" s="46">
        <f t="shared" si="17"/>
        <v>2371330</v>
      </c>
      <c r="N62" s="46">
        <f t="shared" si="17"/>
        <v>47534439.47</v>
      </c>
      <c r="O62" s="46">
        <f t="shared" si="17"/>
        <v>44747231.42</v>
      </c>
      <c r="P62" s="46">
        <f t="shared" si="17"/>
        <v>849086962.72</v>
      </c>
      <c r="Q62" s="285"/>
      <c r="R62" s="157"/>
      <c r="S62" s="157"/>
      <c r="T62" s="157"/>
    </row>
    <row r="63" spans="1:20" s="115" customFormat="1" ht="29.25" customHeight="1">
      <c r="A63" s="122" t="s">
        <v>267</v>
      </c>
      <c r="B63" s="123"/>
      <c r="C63" s="123"/>
      <c r="D63" s="124" t="s">
        <v>48</v>
      </c>
      <c r="E63" s="80">
        <f aca="true" t="shared" si="18" ref="E63:P63">E65+E66+E67+E69+E71+E73+E74+E76+E77+E83+E86+E92+E93+E84+E94+E88</f>
        <v>753245575.25</v>
      </c>
      <c r="F63" s="80">
        <f>F65+F66+F67+F69+F71+F73+F74+F76+F77+F83+F86+F92+F93+F84+F94+F88</f>
        <v>753245575.25</v>
      </c>
      <c r="G63" s="80">
        <f t="shared" si="18"/>
        <v>478971924</v>
      </c>
      <c r="H63" s="80">
        <f t="shared" si="18"/>
        <v>69735910</v>
      </c>
      <c r="I63" s="80">
        <f t="shared" si="18"/>
        <v>0</v>
      </c>
      <c r="J63" s="80">
        <f t="shared" si="18"/>
        <v>95841387.47</v>
      </c>
      <c r="K63" s="80">
        <f t="shared" si="18"/>
        <v>48306948</v>
      </c>
      <c r="L63" s="80">
        <f t="shared" si="18"/>
        <v>2677494</v>
      </c>
      <c r="M63" s="80">
        <f t="shared" si="18"/>
        <v>2371330</v>
      </c>
      <c r="N63" s="80">
        <f t="shared" si="18"/>
        <v>47534439.47</v>
      </c>
      <c r="O63" s="80">
        <f t="shared" si="18"/>
        <v>44747231.42</v>
      </c>
      <c r="P63" s="80">
        <f t="shared" si="18"/>
        <v>849086962.72</v>
      </c>
      <c r="Q63" s="285"/>
      <c r="R63" s="164"/>
      <c r="S63" s="164"/>
      <c r="T63" s="164"/>
    </row>
    <row r="64" spans="1:20" s="115" customFormat="1" ht="18.75" customHeight="1">
      <c r="A64" s="122"/>
      <c r="B64" s="123"/>
      <c r="C64" s="123"/>
      <c r="D64" s="124" t="s">
        <v>416</v>
      </c>
      <c r="E64" s="80">
        <f>E68+E70+E72+E75+E78+E89</f>
        <v>267908342.9</v>
      </c>
      <c r="F64" s="80">
        <f aca="true" t="shared" si="19" ref="F64:P64">F68+F70+F72+F75+F78+F89</f>
        <v>267908342.9</v>
      </c>
      <c r="G64" s="80">
        <f t="shared" si="19"/>
        <v>213388985</v>
      </c>
      <c r="H64" s="80">
        <f t="shared" si="19"/>
        <v>0</v>
      </c>
      <c r="I64" s="80">
        <f t="shared" si="19"/>
        <v>0</v>
      </c>
      <c r="J64" s="80">
        <f t="shared" si="19"/>
        <v>10633603.83</v>
      </c>
      <c r="K64" s="80">
        <f t="shared" si="19"/>
        <v>0</v>
      </c>
      <c r="L64" s="80">
        <f t="shared" si="19"/>
        <v>0</v>
      </c>
      <c r="M64" s="80">
        <f t="shared" si="19"/>
        <v>0</v>
      </c>
      <c r="N64" s="80">
        <f t="shared" si="19"/>
        <v>10633603.83</v>
      </c>
      <c r="O64" s="80">
        <f t="shared" si="19"/>
        <v>8088095.78</v>
      </c>
      <c r="P64" s="80">
        <f t="shared" si="19"/>
        <v>278541946.72999996</v>
      </c>
      <c r="Q64" s="285"/>
      <c r="R64" s="159"/>
      <c r="S64" s="159"/>
      <c r="T64" s="159"/>
    </row>
    <row r="65" spans="1:20" s="4" customFormat="1" ht="45">
      <c r="A65" s="81" t="s">
        <v>268</v>
      </c>
      <c r="B65" s="81" t="str">
        <f>'дод. 4'!A14</f>
        <v>0160</v>
      </c>
      <c r="C65" s="81" t="str">
        <f>'дод. 4'!B14</f>
        <v>0111</v>
      </c>
      <c r="D65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83">
        <f aca="true" t="shared" si="20" ref="E65:E76">F65+I65</f>
        <v>2923203</v>
      </c>
      <c r="F65" s="83">
        <f>3102600-74400-104997</f>
        <v>2923203</v>
      </c>
      <c r="G65" s="83">
        <f>2367000-86063</f>
        <v>2280937</v>
      </c>
      <c r="H65" s="83">
        <v>38870</v>
      </c>
      <c r="I65" s="83"/>
      <c r="J65" s="83">
        <f aca="true" t="shared" si="21" ref="J65:J76">K65+N65</f>
        <v>16000</v>
      </c>
      <c r="K65" s="83"/>
      <c r="L65" s="83"/>
      <c r="M65" s="83"/>
      <c r="N65" s="83">
        <v>16000</v>
      </c>
      <c r="O65" s="83">
        <v>16000</v>
      </c>
      <c r="P65" s="83">
        <f aca="true" t="shared" si="22" ref="P65:P76">E65+J65</f>
        <v>2939203</v>
      </c>
      <c r="Q65" s="285"/>
      <c r="R65" s="160"/>
      <c r="S65" s="160"/>
      <c r="T65" s="160"/>
    </row>
    <row r="66" spans="1:20" s="4" customFormat="1" ht="21.75" customHeight="1">
      <c r="A66" s="81" t="s">
        <v>269</v>
      </c>
      <c r="B66" s="81" t="str">
        <f>'дод. 4'!A18</f>
        <v>1010</v>
      </c>
      <c r="C66" s="81" t="str">
        <f>'дод. 4'!B18</f>
        <v>0910</v>
      </c>
      <c r="D66" s="110" t="str">
        <f>'дод. 4'!C18</f>
        <v>Надання дошкільної освіти</v>
      </c>
      <c r="E66" s="83">
        <f t="shared" si="20"/>
        <v>190668766.35</v>
      </c>
      <c r="F66" s="83">
        <f>190467470+5000+77300+3000+93600+100000+74105+68126+35000+135000+4883.35-700000+10715+156000+51067+5000+49000+33500</f>
        <v>190668766.35</v>
      </c>
      <c r="G66" s="83">
        <f>119291300</f>
        <v>119291300</v>
      </c>
      <c r="H66" s="83">
        <v>22031690</v>
      </c>
      <c r="I66" s="83"/>
      <c r="J66" s="83">
        <f t="shared" si="21"/>
        <v>20383896.65</v>
      </c>
      <c r="K66" s="83">
        <f>16065511</f>
        <v>16065511</v>
      </c>
      <c r="L66" s="83"/>
      <c r="M66" s="83"/>
      <c r="N66" s="83">
        <f>3500000+20000+20000+200000+52395+47874+50000+40000+350000+15116.65+15000+8000</f>
        <v>4318385.65</v>
      </c>
      <c r="O66" s="83">
        <f>3500000+20000+20000+200000+52395+47874+50000+40000+350000+15116.65+15000+8000</f>
        <v>4318385.65</v>
      </c>
      <c r="P66" s="83">
        <f t="shared" si="22"/>
        <v>211052663</v>
      </c>
      <c r="Q66" s="285"/>
      <c r="R66" s="160"/>
      <c r="S66" s="160"/>
      <c r="T66" s="160"/>
    </row>
    <row r="67" spans="1:20" s="4" customFormat="1" ht="73.5" customHeight="1">
      <c r="A67" s="81" t="s">
        <v>270</v>
      </c>
      <c r="B67" s="81" t="str">
        <f>'дод. 4'!A19</f>
        <v>1020</v>
      </c>
      <c r="C67" s="81" t="str">
        <f>'дод. 4'!B19</f>
        <v>0921</v>
      </c>
      <c r="D67" s="110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83">
        <f t="shared" si="20"/>
        <v>412339600.9</v>
      </c>
      <c r="F67" s="83">
        <f>395462520+83700+10010+2251990+48337+19400+252570+55800+62000+968652+1644142.9+138384+112200+237956-1400000+1400000+68277+120139+72200+4920+150000+184040+21000+700000+61050+3500000+66000+5478703+38810+85000+236800+150000+10000+15000+30000</f>
        <v>412339600.9</v>
      </c>
      <c r="G67" s="83">
        <f>266266600+83700-15000+516085+1150000+1725000+2875000</f>
        <v>272601385</v>
      </c>
      <c r="H67" s="83">
        <v>34867640</v>
      </c>
      <c r="I67" s="83"/>
      <c r="J67" s="83">
        <f t="shared" si="21"/>
        <v>43190819</v>
      </c>
      <c r="K67" s="83">
        <f>25377767</f>
        <v>25377767</v>
      </c>
      <c r="L67" s="83">
        <v>624000</v>
      </c>
      <c r="M67" s="83">
        <v>36920</v>
      </c>
      <c r="N67" s="83">
        <f>7400000+419705+50000+1905000+20000+30000+650000+3281280+766542+2500000+80000+77000+52000+4920+535000-120139+53000-4920+33000-61050+9900+30000+150000+41839-150000+50000+9975</f>
        <v>17813052</v>
      </c>
      <c r="O67" s="83">
        <f>7400000+419705+50000+1905000+20000+30000+650000+3281280+766542+2500000+80000+77000+52000+4920+535000-120139+53000-4920+33000-61050+9900+30000+150000+41839-150000+50000+9975</f>
        <v>17813052</v>
      </c>
      <c r="P67" s="83">
        <f t="shared" si="22"/>
        <v>455530419.9</v>
      </c>
      <c r="Q67" s="285"/>
      <c r="R67" s="160"/>
      <c r="S67" s="160"/>
      <c r="T67" s="160"/>
    </row>
    <row r="68" spans="1:20" s="4" customFormat="1" ht="15">
      <c r="A68" s="81"/>
      <c r="B68" s="93"/>
      <c r="C68" s="93"/>
      <c r="D68" s="82" t="s">
        <v>416</v>
      </c>
      <c r="E68" s="83">
        <f t="shared" si="20"/>
        <v>252514507.9</v>
      </c>
      <c r="F68" s="83">
        <f>244300500+83700+968652+1644142.9+5478703+38810</f>
        <v>252514507.9</v>
      </c>
      <c r="G68" s="83">
        <f>200571200+83700-15000+516085</f>
        <v>201155985</v>
      </c>
      <c r="H68" s="83"/>
      <c r="I68" s="83"/>
      <c r="J68" s="83">
        <f t="shared" si="21"/>
        <v>1416542</v>
      </c>
      <c r="K68" s="83"/>
      <c r="L68" s="83"/>
      <c r="M68" s="83"/>
      <c r="N68" s="83">
        <f>650000+766542</f>
        <v>1416542</v>
      </c>
      <c r="O68" s="83">
        <f>650000+766542</f>
        <v>1416542</v>
      </c>
      <c r="P68" s="83">
        <f t="shared" si="22"/>
        <v>253931049.9</v>
      </c>
      <c r="Q68" s="285"/>
      <c r="R68" s="160"/>
      <c r="S68" s="160"/>
      <c r="T68" s="160"/>
    </row>
    <row r="69" spans="1:20" s="4" customFormat="1" ht="31.5" customHeight="1">
      <c r="A69" s="81" t="s">
        <v>423</v>
      </c>
      <c r="B69" s="81" t="str">
        <f>'дод. 4'!A21</f>
        <v>1030</v>
      </c>
      <c r="C69" s="81" t="str">
        <f>'дод. 4'!B21</f>
        <v>0921</v>
      </c>
      <c r="D69" s="110" t="str">
        <f>'дод. 4'!C21</f>
        <v>Надання загальної середньої освіти вечiрнiми (змінними) школами</v>
      </c>
      <c r="E69" s="83">
        <f t="shared" si="20"/>
        <v>778340</v>
      </c>
      <c r="F69" s="83">
        <v>778340</v>
      </c>
      <c r="G69" s="83">
        <v>637000</v>
      </c>
      <c r="H69" s="83"/>
      <c r="I69" s="83"/>
      <c r="J69" s="83">
        <f t="shared" si="21"/>
        <v>0</v>
      </c>
      <c r="K69" s="83"/>
      <c r="L69" s="83"/>
      <c r="M69" s="83"/>
      <c r="N69" s="83"/>
      <c r="O69" s="83"/>
      <c r="P69" s="83">
        <f t="shared" si="22"/>
        <v>778340</v>
      </c>
      <c r="Q69" s="285"/>
      <c r="R69" s="160"/>
      <c r="S69" s="160"/>
      <c r="T69" s="160"/>
    </row>
    <row r="70" spans="1:20" s="4" customFormat="1" ht="17.25" customHeight="1">
      <c r="A70" s="81"/>
      <c r="B70" s="93"/>
      <c r="C70" s="93"/>
      <c r="D70" s="82" t="s">
        <v>416</v>
      </c>
      <c r="E70" s="83">
        <f t="shared" si="20"/>
        <v>777140</v>
      </c>
      <c r="F70" s="83">
        <v>777140</v>
      </c>
      <c r="G70" s="83">
        <v>637000</v>
      </c>
      <c r="H70" s="83"/>
      <c r="I70" s="83"/>
      <c r="J70" s="83">
        <f t="shared" si="21"/>
        <v>0</v>
      </c>
      <c r="K70" s="83"/>
      <c r="L70" s="83"/>
      <c r="M70" s="83"/>
      <c r="N70" s="83"/>
      <c r="O70" s="83"/>
      <c r="P70" s="83">
        <f t="shared" si="22"/>
        <v>777140</v>
      </c>
      <c r="Q70" s="285"/>
      <c r="R70" s="160"/>
      <c r="S70" s="160"/>
      <c r="T70" s="160"/>
    </row>
    <row r="71" spans="1:20" s="4" customFormat="1" ht="75" customHeight="1">
      <c r="A71" s="81" t="s">
        <v>354</v>
      </c>
      <c r="B71" s="81" t="str">
        <f>'дод. 4'!A23</f>
        <v>1070</v>
      </c>
      <c r="C71" s="81" t="str">
        <f>'дод. 4'!B23</f>
        <v>0922</v>
      </c>
      <c r="D71" s="110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83">
        <f t="shared" si="20"/>
        <v>7485765</v>
      </c>
      <c r="F71" s="83">
        <f>7458330+7435+20000</f>
        <v>7485765</v>
      </c>
      <c r="G71" s="83">
        <v>5205700</v>
      </c>
      <c r="H71" s="83">
        <v>615230</v>
      </c>
      <c r="I71" s="83"/>
      <c r="J71" s="83">
        <f t="shared" si="21"/>
        <v>100000</v>
      </c>
      <c r="K71" s="83"/>
      <c r="L71" s="83"/>
      <c r="M71" s="83"/>
      <c r="N71" s="83">
        <v>100000</v>
      </c>
      <c r="O71" s="83">
        <v>100000</v>
      </c>
      <c r="P71" s="83">
        <f t="shared" si="22"/>
        <v>7585765</v>
      </c>
      <c r="Q71" s="285">
        <v>7</v>
      </c>
      <c r="R71" s="160"/>
      <c r="S71" s="160"/>
      <c r="T71" s="160"/>
    </row>
    <row r="72" spans="1:20" s="4" customFormat="1" ht="24" customHeight="1">
      <c r="A72" s="81"/>
      <c r="B72" s="93"/>
      <c r="C72" s="93"/>
      <c r="D72" s="82" t="s">
        <v>416</v>
      </c>
      <c r="E72" s="83">
        <f t="shared" si="20"/>
        <v>4964695</v>
      </c>
      <c r="F72" s="83">
        <f>4957260+7435</f>
        <v>4964695</v>
      </c>
      <c r="G72" s="83">
        <v>4070000</v>
      </c>
      <c r="H72" s="83"/>
      <c r="I72" s="83"/>
      <c r="J72" s="83">
        <f t="shared" si="21"/>
        <v>0</v>
      </c>
      <c r="K72" s="83"/>
      <c r="L72" s="83"/>
      <c r="M72" s="83"/>
      <c r="N72" s="83"/>
      <c r="O72" s="83"/>
      <c r="P72" s="83">
        <f t="shared" si="22"/>
        <v>4964695</v>
      </c>
      <c r="Q72" s="285"/>
      <c r="R72" s="160"/>
      <c r="S72" s="160"/>
      <c r="T72" s="160"/>
    </row>
    <row r="73" spans="1:20" s="4" customFormat="1" ht="45.75" customHeight="1">
      <c r="A73" s="81" t="s">
        <v>355</v>
      </c>
      <c r="B73" s="81" t="str">
        <f>'дод. 4'!A25</f>
        <v>1090</v>
      </c>
      <c r="C73" s="81" t="str">
        <f>'дод. 4'!B25</f>
        <v>0960</v>
      </c>
      <c r="D73" s="110" t="str">
        <f>'дод. 4'!C25</f>
        <v>Надання позашкільної освіти позашкільними закладами освіти, заходи із позашкільної роботи з дітьми </v>
      </c>
      <c r="E73" s="83">
        <f t="shared" si="20"/>
        <v>21606690</v>
      </c>
      <c r="F73" s="83">
        <f>21531690+50000+20000+5000</f>
        <v>21606690</v>
      </c>
      <c r="G73" s="83">
        <v>15425500</v>
      </c>
      <c r="H73" s="83">
        <v>2331620</v>
      </c>
      <c r="I73" s="83"/>
      <c r="J73" s="83">
        <f t="shared" si="21"/>
        <v>430000</v>
      </c>
      <c r="K73" s="83"/>
      <c r="L73" s="83"/>
      <c r="M73" s="83"/>
      <c r="N73" s="83">
        <f>400000+30000</f>
        <v>430000</v>
      </c>
      <c r="O73" s="83">
        <f>400000+30000</f>
        <v>430000</v>
      </c>
      <c r="P73" s="83">
        <f t="shared" si="22"/>
        <v>22036690</v>
      </c>
      <c r="Q73" s="285"/>
      <c r="R73" s="160"/>
      <c r="S73" s="160"/>
      <c r="T73" s="160"/>
    </row>
    <row r="74" spans="1:20" s="4" customFormat="1" ht="33.75" customHeight="1">
      <c r="A74" s="81" t="s">
        <v>353</v>
      </c>
      <c r="B74" s="81" t="str">
        <f>'дод. 4'!A27</f>
        <v>1110</v>
      </c>
      <c r="C74" s="81" t="str">
        <f>'дод. 4'!B27</f>
        <v>0930</v>
      </c>
      <c r="D74" s="110" t="str">
        <f>'дод. 4'!C27</f>
        <v>Підготовка кадрів професійно-технічними закладами та іншими закладами освіти</v>
      </c>
      <c r="E74" s="83">
        <f t="shared" si="20"/>
        <v>94925900</v>
      </c>
      <c r="F74" s="83">
        <f>91735900+2000000+55000+179570+170430+300000+15000+100000+370000</f>
        <v>94925900</v>
      </c>
      <c r="G74" s="83">
        <v>52999200</v>
      </c>
      <c r="H74" s="83">
        <v>9089100</v>
      </c>
      <c r="I74" s="83">
        <v>0</v>
      </c>
      <c r="J74" s="83">
        <f t="shared" si="21"/>
        <v>11338970</v>
      </c>
      <c r="K74" s="83">
        <v>6514270</v>
      </c>
      <c r="L74" s="83">
        <v>2053494</v>
      </c>
      <c r="M74" s="83">
        <v>2334410</v>
      </c>
      <c r="N74" s="83">
        <f>194700+2300000+2700000-370000</f>
        <v>4824700</v>
      </c>
      <c r="O74" s="83">
        <f>2300000+2700000-370000</f>
        <v>4630000</v>
      </c>
      <c r="P74" s="83">
        <f>E74+J74</f>
        <v>106264870</v>
      </c>
      <c r="Q74" s="285"/>
      <c r="R74" s="160"/>
      <c r="S74" s="160"/>
      <c r="T74" s="160"/>
    </row>
    <row r="75" spans="1:20" s="4" customFormat="1" ht="24.75" customHeight="1">
      <c r="A75" s="81"/>
      <c r="B75" s="93"/>
      <c r="C75" s="93"/>
      <c r="D75" s="82" t="s">
        <v>416</v>
      </c>
      <c r="E75" s="83">
        <f t="shared" si="20"/>
        <v>9652000</v>
      </c>
      <c r="F75" s="83">
        <f>9182000+100000+370000</f>
        <v>9652000</v>
      </c>
      <c r="G75" s="83">
        <v>7526000</v>
      </c>
      <c r="H75" s="83"/>
      <c r="I75" s="83"/>
      <c r="J75" s="83">
        <f t="shared" si="21"/>
        <v>4630000</v>
      </c>
      <c r="K75" s="83"/>
      <c r="L75" s="83"/>
      <c r="M75" s="83"/>
      <c r="N75" s="83">
        <f>2300000+2700000-370000</f>
        <v>4630000</v>
      </c>
      <c r="O75" s="83">
        <f>2300000+2700000-370000</f>
        <v>4630000</v>
      </c>
      <c r="P75" s="83">
        <f t="shared" si="22"/>
        <v>14282000</v>
      </c>
      <c r="Q75" s="285"/>
      <c r="R75" s="160"/>
      <c r="S75" s="160"/>
      <c r="T75" s="160"/>
    </row>
    <row r="76" spans="1:20" s="4" customFormat="1" ht="35.25" customHeight="1">
      <c r="A76" s="81" t="s">
        <v>271</v>
      </c>
      <c r="B76" s="81" t="str">
        <f>'дод. 4'!A29</f>
        <v>1150</v>
      </c>
      <c r="C76" s="81" t="str">
        <f>'дод. 4'!B29</f>
        <v>0990</v>
      </c>
      <c r="D76" s="110" t="str">
        <f>'дод. 4'!C29</f>
        <v>Методичне забезпечення діяльності навчальних закладів  </v>
      </c>
      <c r="E76" s="83">
        <f t="shared" si="20"/>
        <v>2805917</v>
      </c>
      <c r="F76" s="83">
        <f>3118910-5000-175662-49736-84595+2000</f>
        <v>2805917</v>
      </c>
      <c r="G76" s="83">
        <f>2440000-4098-144000-40800-69340</f>
        <v>2181762</v>
      </c>
      <c r="H76" s="83">
        <v>103210</v>
      </c>
      <c r="I76" s="83"/>
      <c r="J76" s="83">
        <f t="shared" si="21"/>
        <v>13000</v>
      </c>
      <c r="K76" s="83"/>
      <c r="L76" s="83"/>
      <c r="M76" s="83"/>
      <c r="N76" s="83">
        <v>13000</v>
      </c>
      <c r="O76" s="83">
        <v>13000</v>
      </c>
      <c r="P76" s="83">
        <f t="shared" si="22"/>
        <v>2818917</v>
      </c>
      <c r="Q76" s="285"/>
      <c r="R76" s="160"/>
      <c r="S76" s="160"/>
      <c r="T76" s="160"/>
    </row>
    <row r="77" spans="1:20" s="4" customFormat="1" ht="31.5" customHeight="1">
      <c r="A77" s="81" t="s">
        <v>357</v>
      </c>
      <c r="B77" s="81" t="str">
        <f>'дод. 4'!A30</f>
        <v>1160</v>
      </c>
      <c r="C77" s="81">
        <f>'дод. 4'!B30</f>
        <v>0</v>
      </c>
      <c r="D77" s="110" t="str">
        <f>'дод. 4'!C30</f>
        <v>Інші програми, заклади та заходи у сфері освіти</v>
      </c>
      <c r="E77" s="83">
        <f>E79+E81</f>
        <v>7171123</v>
      </c>
      <c r="F77" s="83">
        <f aca="true" t="shared" si="23" ref="F77:P77">F79+F81</f>
        <v>7171123</v>
      </c>
      <c r="G77" s="83">
        <f t="shared" si="23"/>
        <v>5051740</v>
      </c>
      <c r="H77" s="83">
        <f t="shared" si="23"/>
        <v>460470</v>
      </c>
      <c r="I77" s="83">
        <f t="shared" si="23"/>
        <v>0</v>
      </c>
      <c r="J77" s="83">
        <f t="shared" si="23"/>
        <v>287950</v>
      </c>
      <c r="K77" s="83">
        <f t="shared" si="23"/>
        <v>0</v>
      </c>
      <c r="L77" s="83">
        <f t="shared" si="23"/>
        <v>0</v>
      </c>
      <c r="M77" s="83">
        <f t="shared" si="23"/>
        <v>0</v>
      </c>
      <c r="N77" s="83">
        <f t="shared" si="23"/>
        <v>287950</v>
      </c>
      <c r="O77" s="83">
        <f t="shared" si="23"/>
        <v>287950</v>
      </c>
      <c r="P77" s="83">
        <f t="shared" si="23"/>
        <v>7459073</v>
      </c>
      <c r="Q77" s="285"/>
      <c r="R77" s="161"/>
      <c r="S77" s="161"/>
      <c r="T77" s="161"/>
    </row>
    <row r="78" spans="1:20" s="4" customFormat="1" ht="15.75" customHeight="1">
      <c r="A78" s="81"/>
      <c r="B78" s="81"/>
      <c r="C78" s="81"/>
      <c r="D78" s="82" t="s">
        <v>416</v>
      </c>
      <c r="E78" s="83">
        <f>E80</f>
        <v>0</v>
      </c>
      <c r="F78" s="83">
        <f aca="true" t="shared" si="24" ref="F78:P78">F80</f>
        <v>0</v>
      </c>
      <c r="G78" s="83">
        <f t="shared" si="24"/>
        <v>0</v>
      </c>
      <c r="H78" s="83">
        <f t="shared" si="24"/>
        <v>0</v>
      </c>
      <c r="I78" s="83">
        <f t="shared" si="24"/>
        <v>0</v>
      </c>
      <c r="J78" s="83">
        <f t="shared" si="24"/>
        <v>107950</v>
      </c>
      <c r="K78" s="83">
        <f t="shared" si="24"/>
        <v>0</v>
      </c>
      <c r="L78" s="83">
        <f t="shared" si="24"/>
        <v>0</v>
      </c>
      <c r="M78" s="83">
        <f t="shared" si="24"/>
        <v>0</v>
      </c>
      <c r="N78" s="83">
        <f t="shared" si="24"/>
        <v>107950</v>
      </c>
      <c r="O78" s="83">
        <f>O80</f>
        <v>107950</v>
      </c>
      <c r="P78" s="83">
        <f t="shared" si="24"/>
        <v>107950</v>
      </c>
      <c r="Q78" s="285"/>
      <c r="R78" s="161"/>
      <c r="S78" s="161"/>
      <c r="T78" s="161"/>
    </row>
    <row r="79" spans="1:20" s="32" customFormat="1" ht="31.5" customHeight="1">
      <c r="A79" s="84" t="s">
        <v>480</v>
      </c>
      <c r="B79" s="84" t="str">
        <f>'дод. 4'!A32</f>
        <v>1161</v>
      </c>
      <c r="C79" s="84" t="str">
        <f>'дод. 4'!B32</f>
        <v>0990</v>
      </c>
      <c r="D79" s="107" t="str">
        <f>'дод. 4'!C32</f>
        <v>Забезпечення діяльності інших закладів у сфері освіти</v>
      </c>
      <c r="E79" s="86">
        <f>F79+I79</f>
        <v>7095323</v>
      </c>
      <c r="F79" s="86">
        <f>6712200+5000+175662+49736+84595+68130</f>
        <v>7095323</v>
      </c>
      <c r="G79" s="86">
        <f>4797600+144000+40800+69340</f>
        <v>5051740</v>
      </c>
      <c r="H79" s="86">
        <v>460470</v>
      </c>
      <c r="I79" s="86"/>
      <c r="J79" s="86">
        <f>K79+N79</f>
        <v>287950</v>
      </c>
      <c r="K79" s="86"/>
      <c r="L79" s="86"/>
      <c r="M79" s="86"/>
      <c r="N79" s="86">
        <f>180000+107950</f>
        <v>287950</v>
      </c>
      <c r="O79" s="86">
        <f>180000+107950</f>
        <v>287950</v>
      </c>
      <c r="P79" s="86">
        <f>E79+J79</f>
        <v>7383273</v>
      </c>
      <c r="Q79" s="285"/>
      <c r="R79" s="162"/>
      <c r="S79" s="162"/>
      <c r="T79" s="162"/>
    </row>
    <row r="80" spans="1:20" s="32" customFormat="1" ht="18.75" customHeight="1">
      <c r="A80" s="84"/>
      <c r="B80" s="84"/>
      <c r="C80" s="84"/>
      <c r="D80" s="85" t="s">
        <v>416</v>
      </c>
      <c r="E80" s="86">
        <f>F80+I80</f>
        <v>0</v>
      </c>
      <c r="F80" s="86"/>
      <c r="G80" s="86"/>
      <c r="H80" s="86"/>
      <c r="I80" s="86"/>
      <c r="J80" s="86">
        <f>K80+N80</f>
        <v>107950</v>
      </c>
      <c r="K80" s="86"/>
      <c r="L80" s="86"/>
      <c r="M80" s="86"/>
      <c r="N80" s="86">
        <v>107950</v>
      </c>
      <c r="O80" s="86">
        <v>107950</v>
      </c>
      <c r="P80" s="86">
        <f>E80+J80</f>
        <v>107950</v>
      </c>
      <c r="Q80" s="285"/>
      <c r="R80" s="162"/>
      <c r="S80" s="162"/>
      <c r="T80" s="162"/>
    </row>
    <row r="81" spans="1:20" s="32" customFormat="1" ht="20.25" customHeight="1">
      <c r="A81" s="84" t="s">
        <v>481</v>
      </c>
      <c r="B81" s="84" t="str">
        <f>'дод. 4'!A34</f>
        <v>1162</v>
      </c>
      <c r="C81" s="84" t="str">
        <f>'дод. 4'!B34</f>
        <v>0990</v>
      </c>
      <c r="D81" s="107" t="str">
        <f>'дод. 4'!C34</f>
        <v>Інші програми та заходи у сфері освіти</v>
      </c>
      <c r="E81" s="86">
        <f>F81+I81</f>
        <v>75800</v>
      </c>
      <c r="F81" s="86">
        <v>75800</v>
      </c>
      <c r="G81" s="86"/>
      <c r="H81" s="86"/>
      <c r="I81" s="86"/>
      <c r="J81" s="86">
        <f>K81+N81</f>
        <v>0</v>
      </c>
      <c r="K81" s="86"/>
      <c r="L81" s="86"/>
      <c r="M81" s="86"/>
      <c r="N81" s="86"/>
      <c r="O81" s="86"/>
      <c r="P81" s="86">
        <f>E81+J81</f>
        <v>75800</v>
      </c>
      <c r="Q81" s="285"/>
      <c r="R81" s="162"/>
      <c r="S81" s="162"/>
      <c r="T81" s="162"/>
    </row>
    <row r="82" spans="1:20" s="32" customFormat="1" ht="20.25" customHeight="1">
      <c r="A82" s="84"/>
      <c r="B82" s="84"/>
      <c r="C82" s="84"/>
      <c r="D82" s="88" t="s">
        <v>416</v>
      </c>
      <c r="E82" s="86">
        <f>F82+I82</f>
        <v>0</v>
      </c>
      <c r="F82" s="86"/>
      <c r="G82" s="86"/>
      <c r="H82" s="86"/>
      <c r="I82" s="86"/>
      <c r="J82" s="86">
        <f>K82+N82</f>
        <v>0</v>
      </c>
      <c r="K82" s="86"/>
      <c r="L82" s="86"/>
      <c r="M82" s="86"/>
      <c r="N82" s="86"/>
      <c r="O82" s="86"/>
      <c r="P82" s="86">
        <f>E82+J82</f>
        <v>0</v>
      </c>
      <c r="Q82" s="285"/>
      <c r="R82" s="162"/>
      <c r="S82" s="162"/>
      <c r="T82" s="162"/>
    </row>
    <row r="83" spans="1:20" s="4" customFormat="1" ht="68.25" customHeight="1">
      <c r="A83" s="81" t="s">
        <v>272</v>
      </c>
      <c r="B83" s="81" t="str">
        <f>'дод. 4'!A121</f>
        <v>3140</v>
      </c>
      <c r="C83" s="81" t="str">
        <f>'дод. 4'!B121</f>
        <v>1040</v>
      </c>
      <c r="D83" s="211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83">
        <f>F83+I83</f>
        <v>7000000</v>
      </c>
      <c r="F83" s="83">
        <v>7000000</v>
      </c>
      <c r="G83" s="83"/>
      <c r="H83" s="83"/>
      <c r="I83" s="83"/>
      <c r="J83" s="83">
        <f>K83+N83</f>
        <v>0</v>
      </c>
      <c r="K83" s="83"/>
      <c r="L83" s="83"/>
      <c r="M83" s="83"/>
      <c r="N83" s="83"/>
      <c r="O83" s="83"/>
      <c r="P83" s="83">
        <f>E83+J83</f>
        <v>7000000</v>
      </c>
      <c r="Q83" s="285"/>
      <c r="R83" s="160"/>
      <c r="S83" s="160"/>
      <c r="T83" s="160"/>
    </row>
    <row r="84" spans="1:20" s="4" customFormat="1" ht="24" customHeight="1">
      <c r="A84" s="81" t="s">
        <v>578</v>
      </c>
      <c r="B84" s="81" t="str">
        <f>'дод. 4'!A138</f>
        <v>3240</v>
      </c>
      <c r="C84" s="81">
        <f>'дод. 4'!B138</f>
        <v>0</v>
      </c>
      <c r="D84" s="108" t="str">
        <f>'дод. 4'!C138</f>
        <v>Інші заклади та заходи</v>
      </c>
      <c r="E84" s="83">
        <f aca="true" t="shared" si="25" ref="E84:P84">E85</f>
        <v>43440</v>
      </c>
      <c r="F84" s="83">
        <f t="shared" si="25"/>
        <v>43440</v>
      </c>
      <c r="G84" s="83">
        <f t="shared" si="25"/>
        <v>0</v>
      </c>
      <c r="H84" s="83">
        <f t="shared" si="25"/>
        <v>0</v>
      </c>
      <c r="I84" s="83">
        <f t="shared" si="25"/>
        <v>0</v>
      </c>
      <c r="J84" s="83">
        <f t="shared" si="25"/>
        <v>0</v>
      </c>
      <c r="K84" s="83">
        <f t="shared" si="25"/>
        <v>0</v>
      </c>
      <c r="L84" s="83">
        <f t="shared" si="25"/>
        <v>0</v>
      </c>
      <c r="M84" s="83">
        <f t="shared" si="25"/>
        <v>0</v>
      </c>
      <c r="N84" s="83">
        <f t="shared" si="25"/>
        <v>0</v>
      </c>
      <c r="O84" s="83">
        <f t="shared" si="25"/>
        <v>0</v>
      </c>
      <c r="P84" s="83">
        <f t="shared" si="25"/>
        <v>43440</v>
      </c>
      <c r="Q84" s="285"/>
      <c r="R84" s="165"/>
      <c r="S84" s="165"/>
      <c r="T84" s="165"/>
    </row>
    <row r="85" spans="1:20" s="116" customFormat="1" ht="36.75" customHeight="1">
      <c r="A85" s="84" t="s">
        <v>579</v>
      </c>
      <c r="B85" s="84" t="str">
        <f>'дод. 4'!A140</f>
        <v>3242</v>
      </c>
      <c r="C85" s="84" t="str">
        <f>'дод. 4'!B140</f>
        <v>1090</v>
      </c>
      <c r="D85" s="107" t="str">
        <f>'дод. 4'!C140</f>
        <v>Інші заходи у сфері соціального захисту і соціального забезпечення</v>
      </c>
      <c r="E85" s="86">
        <f>F85</f>
        <v>43440</v>
      </c>
      <c r="F85" s="86">
        <v>43440</v>
      </c>
      <c r="G85" s="86"/>
      <c r="H85" s="86"/>
      <c r="I85" s="86"/>
      <c r="J85" s="86">
        <f>K85+N85</f>
        <v>0</v>
      </c>
      <c r="K85" s="86"/>
      <c r="L85" s="86"/>
      <c r="M85" s="86"/>
      <c r="N85" s="86"/>
      <c r="O85" s="86"/>
      <c r="P85" s="86">
        <f>E85+J85</f>
        <v>43440</v>
      </c>
      <c r="Q85" s="285"/>
      <c r="R85" s="166"/>
      <c r="S85" s="166"/>
      <c r="T85" s="166"/>
    </row>
    <row r="86" spans="1:20" s="4" customFormat="1" ht="25.5" customHeight="1">
      <c r="A86" s="81" t="s">
        <v>273</v>
      </c>
      <c r="B86" s="81" t="str">
        <f>'дод. 4'!A151</f>
        <v>5030</v>
      </c>
      <c r="C86" s="81">
        <f>'дод. 4'!B151</f>
        <v>0</v>
      </c>
      <c r="D86" s="108" t="str">
        <f>'дод. 4'!C151</f>
        <v>Розвиток дитячо-юнацького та резервного спорту</v>
      </c>
      <c r="E86" s="83">
        <f>E87</f>
        <v>4620830</v>
      </c>
      <c r="F86" s="83">
        <f aca="true" t="shared" si="26" ref="F86:P86">F87</f>
        <v>4620830</v>
      </c>
      <c r="G86" s="83">
        <f t="shared" si="26"/>
        <v>3297400</v>
      </c>
      <c r="H86" s="83">
        <f t="shared" si="26"/>
        <v>198080</v>
      </c>
      <c r="I86" s="83">
        <f t="shared" si="26"/>
        <v>0</v>
      </c>
      <c r="J86" s="83">
        <f t="shared" si="26"/>
        <v>100000</v>
      </c>
      <c r="K86" s="83">
        <f t="shared" si="26"/>
        <v>0</v>
      </c>
      <c r="L86" s="83">
        <f t="shared" si="26"/>
        <v>0</v>
      </c>
      <c r="M86" s="83">
        <f t="shared" si="26"/>
        <v>0</v>
      </c>
      <c r="N86" s="83">
        <f t="shared" si="26"/>
        <v>100000</v>
      </c>
      <c r="O86" s="83">
        <f t="shared" si="26"/>
        <v>100000</v>
      </c>
      <c r="P86" s="83">
        <f t="shared" si="26"/>
        <v>4720830</v>
      </c>
      <c r="Q86" s="285"/>
      <c r="R86" s="161"/>
      <c r="S86" s="161"/>
      <c r="T86" s="161"/>
    </row>
    <row r="87" spans="1:20" s="116" customFormat="1" ht="33" customHeight="1">
      <c r="A87" s="84" t="s">
        <v>274</v>
      </c>
      <c r="B87" s="84" t="str">
        <f>'дод. 4'!A152</f>
        <v>5031</v>
      </c>
      <c r="C87" s="84" t="str">
        <f>'дод. 4'!B152</f>
        <v>0810</v>
      </c>
      <c r="D87" s="107" t="str">
        <f>'дод. 4'!C152</f>
        <v>Утримання та навчально-тренувальна робота комунальних дитячо-юнацьких спортивних шкіл</v>
      </c>
      <c r="E87" s="86">
        <f>F87+I87</f>
        <v>4620830</v>
      </c>
      <c r="F87" s="86">
        <f>4481090+123000+11740+5000</f>
        <v>4620830</v>
      </c>
      <c r="G87" s="86">
        <v>3297400</v>
      </c>
      <c r="H87" s="86">
        <v>198080</v>
      </c>
      <c r="I87" s="86"/>
      <c r="J87" s="86">
        <f>K87+N87</f>
        <v>100000</v>
      </c>
      <c r="K87" s="86"/>
      <c r="L87" s="86"/>
      <c r="M87" s="86"/>
      <c r="N87" s="86">
        <v>100000</v>
      </c>
      <c r="O87" s="86">
        <v>100000</v>
      </c>
      <c r="P87" s="86">
        <f>E87+J87</f>
        <v>4720830</v>
      </c>
      <c r="Q87" s="285"/>
      <c r="R87" s="162"/>
      <c r="S87" s="162"/>
      <c r="T87" s="162"/>
    </row>
    <row r="88" spans="1:20" s="4" customFormat="1" ht="33" customHeight="1">
      <c r="A88" s="81" t="s">
        <v>602</v>
      </c>
      <c r="B88" s="81" t="str">
        <f>'дод. 4'!A188</f>
        <v>7360</v>
      </c>
      <c r="C88" s="81">
        <f>'дод. 4'!B188</f>
        <v>0</v>
      </c>
      <c r="D88" s="108" t="str">
        <f>'дод. 4'!C188</f>
        <v>Виконання інвестиційних проектів</v>
      </c>
      <c r="E88" s="83">
        <f>E90</f>
        <v>0</v>
      </c>
      <c r="F88" s="83">
        <f aca="true" t="shared" si="27" ref="F88:O89">F90</f>
        <v>0</v>
      </c>
      <c r="G88" s="83">
        <f t="shared" si="27"/>
        <v>0</v>
      </c>
      <c r="H88" s="83">
        <f t="shared" si="27"/>
        <v>0</v>
      </c>
      <c r="I88" s="83">
        <f t="shared" si="27"/>
        <v>0</v>
      </c>
      <c r="J88" s="83">
        <f t="shared" si="27"/>
        <v>4632932.82</v>
      </c>
      <c r="K88" s="83">
        <f t="shared" si="27"/>
        <v>0</v>
      </c>
      <c r="L88" s="83">
        <f t="shared" si="27"/>
        <v>0</v>
      </c>
      <c r="M88" s="83">
        <f t="shared" si="27"/>
        <v>0</v>
      </c>
      <c r="N88" s="83">
        <f t="shared" si="27"/>
        <v>4632932.82</v>
      </c>
      <c r="O88" s="83">
        <f t="shared" si="27"/>
        <v>2087424.77</v>
      </c>
      <c r="P88" s="83">
        <f>P90</f>
        <v>4632932.82</v>
      </c>
      <c r="Q88" s="285"/>
      <c r="R88" s="160"/>
      <c r="S88" s="160"/>
      <c r="T88" s="160"/>
    </row>
    <row r="89" spans="1:20" s="4" customFormat="1" ht="24" customHeight="1">
      <c r="A89" s="81"/>
      <c r="B89" s="81"/>
      <c r="C89" s="81"/>
      <c r="D89" s="88" t="s">
        <v>416</v>
      </c>
      <c r="E89" s="83">
        <f>E91</f>
        <v>0</v>
      </c>
      <c r="F89" s="83">
        <f t="shared" si="27"/>
        <v>0</v>
      </c>
      <c r="G89" s="83">
        <f t="shared" si="27"/>
        <v>0</v>
      </c>
      <c r="H89" s="83">
        <f t="shared" si="27"/>
        <v>0</v>
      </c>
      <c r="I89" s="83">
        <f t="shared" si="27"/>
        <v>0</v>
      </c>
      <c r="J89" s="83">
        <f t="shared" si="27"/>
        <v>4479111.83</v>
      </c>
      <c r="K89" s="83">
        <f t="shared" si="27"/>
        <v>0</v>
      </c>
      <c r="L89" s="83">
        <f t="shared" si="27"/>
        <v>0</v>
      </c>
      <c r="M89" s="83">
        <f t="shared" si="27"/>
        <v>0</v>
      </c>
      <c r="N89" s="83">
        <f t="shared" si="27"/>
        <v>4479111.83</v>
      </c>
      <c r="O89" s="83">
        <f t="shared" si="27"/>
        <v>1933603.78</v>
      </c>
      <c r="P89" s="83">
        <f>P91</f>
        <v>4479111.83</v>
      </c>
      <c r="Q89" s="285"/>
      <c r="R89" s="160"/>
      <c r="S89" s="160"/>
      <c r="T89" s="160"/>
    </row>
    <row r="90" spans="1:20" s="116" customFormat="1" ht="53.25" customHeight="1">
      <c r="A90" s="84" t="s">
        <v>603</v>
      </c>
      <c r="B90" s="84" t="str">
        <f>'дод. 4'!A191</f>
        <v>7363</v>
      </c>
      <c r="C90" s="84" t="str">
        <f>'дод. 4'!B191</f>
        <v>0490</v>
      </c>
      <c r="D90" s="107" t="str">
        <f>'дод. 4'!C191</f>
        <v>Виконання інвестиційних проектів в рамках здійснення заходів щодо соціально-економічного розвитку окремих територій</v>
      </c>
      <c r="E90" s="86">
        <f>F90+I90</f>
        <v>0</v>
      </c>
      <c r="F90" s="86"/>
      <c r="G90" s="86"/>
      <c r="H90" s="86"/>
      <c r="I90" s="86"/>
      <c r="J90" s="86">
        <f>K90+N90</f>
        <v>4632932.82</v>
      </c>
      <c r="K90" s="86"/>
      <c r="L90" s="86"/>
      <c r="M90" s="86"/>
      <c r="N90" s="86">
        <f>150059.99+4265007.03+211702.2+3761+2402.6</f>
        <v>4632932.82</v>
      </c>
      <c r="O90" s="86">
        <f>150059.99+1721901.58+211702.2+3761</f>
        <v>2087424.77</v>
      </c>
      <c r="P90" s="86">
        <f>E90+J90</f>
        <v>4632932.82</v>
      </c>
      <c r="Q90" s="285"/>
      <c r="R90" s="162"/>
      <c r="S90" s="162"/>
      <c r="T90" s="162"/>
    </row>
    <row r="91" spans="1:20" s="116" customFormat="1" ht="25.5" customHeight="1">
      <c r="A91" s="84"/>
      <c r="B91" s="84"/>
      <c r="C91" s="84"/>
      <c r="D91" s="88" t="s">
        <v>416</v>
      </c>
      <c r="E91" s="86">
        <f>F91+I91</f>
        <v>0</v>
      </c>
      <c r="F91" s="86"/>
      <c r="G91" s="86"/>
      <c r="H91" s="86"/>
      <c r="I91" s="86"/>
      <c r="J91" s="86">
        <f>K91+N91</f>
        <v>4479111.83</v>
      </c>
      <c r="K91" s="86"/>
      <c r="L91" s="86"/>
      <c r="M91" s="86"/>
      <c r="N91" s="86">
        <f>4265007.03+211702.2+2402.6</f>
        <v>4479111.83</v>
      </c>
      <c r="O91" s="86">
        <f>1721901.58+211702.2</f>
        <v>1933603.78</v>
      </c>
      <c r="P91" s="86">
        <f>E91+J91</f>
        <v>4479111.83</v>
      </c>
      <c r="Q91" s="285"/>
      <c r="R91" s="162"/>
      <c r="S91" s="162"/>
      <c r="T91" s="162"/>
    </row>
    <row r="92" spans="1:20" s="116" customFormat="1" ht="25.5" customHeight="1">
      <c r="A92" s="87" t="s">
        <v>275</v>
      </c>
      <c r="B92" s="87" t="str">
        <f>'дод. 4'!A211</f>
        <v>7640</v>
      </c>
      <c r="C92" s="87" t="str">
        <f>'дод. 4'!B211</f>
        <v>0470</v>
      </c>
      <c r="D92" s="108" t="str">
        <f>'дод. 4'!C211</f>
        <v>Заходи з енергозбереження</v>
      </c>
      <c r="E92" s="89">
        <f>F92+I92</f>
        <v>790500</v>
      </c>
      <c r="F92" s="89">
        <v>790500</v>
      </c>
      <c r="G92" s="89"/>
      <c r="H92" s="89"/>
      <c r="I92" s="89"/>
      <c r="J92" s="89">
        <f>K92+N92</f>
        <v>12951419</v>
      </c>
      <c r="K92" s="89"/>
      <c r="L92" s="89"/>
      <c r="M92" s="89"/>
      <c r="N92" s="89">
        <f>11768000+900000+283419</f>
        <v>12951419</v>
      </c>
      <c r="O92" s="89">
        <f>11768000+900000+283419</f>
        <v>12951419</v>
      </c>
      <c r="P92" s="89">
        <f>E92+J92</f>
        <v>13741919</v>
      </c>
      <c r="Q92" s="285"/>
      <c r="R92" s="160"/>
      <c r="S92" s="160"/>
      <c r="T92" s="160"/>
    </row>
    <row r="93" spans="1:20" s="116" customFormat="1" ht="27" customHeight="1">
      <c r="A93" s="87" t="s">
        <v>276</v>
      </c>
      <c r="B93" s="87" t="str">
        <f>'дод. 4'!A227</f>
        <v>8340</v>
      </c>
      <c r="C93" s="87" t="str">
        <f>'дод. 4'!B227</f>
        <v>0540</v>
      </c>
      <c r="D93" s="108" t="str">
        <f>'дод. 4'!C227</f>
        <v>Природоохоронні заходи за рахунок цільових фондів</v>
      </c>
      <c r="E93" s="89">
        <f>F93+I93</f>
        <v>0</v>
      </c>
      <c r="F93" s="89"/>
      <c r="G93" s="89"/>
      <c r="H93" s="89"/>
      <c r="I93" s="89"/>
      <c r="J93" s="89">
        <f>K93+N93</f>
        <v>396400</v>
      </c>
      <c r="K93" s="89">
        <f>338000+11400</f>
        <v>349400</v>
      </c>
      <c r="L93" s="89"/>
      <c r="M93" s="89"/>
      <c r="N93" s="89">
        <v>47000</v>
      </c>
      <c r="O93" s="89"/>
      <c r="P93" s="89">
        <f>E93+J93</f>
        <v>396400</v>
      </c>
      <c r="Q93" s="285"/>
      <c r="R93" s="160"/>
      <c r="S93" s="160"/>
      <c r="T93" s="160"/>
    </row>
    <row r="94" spans="1:20" s="116" customFormat="1" ht="52.5" customHeight="1">
      <c r="A94" s="87" t="s">
        <v>593</v>
      </c>
      <c r="B94" s="87" t="str">
        <f>'дод. 4'!A243</f>
        <v>9800</v>
      </c>
      <c r="C94" s="87" t="str">
        <f>'дод. 4'!B243</f>
        <v>0180</v>
      </c>
      <c r="D94" s="211" t="str">
        <f>'дод. 4'!C243</f>
        <v>Субвенція з місцевого бюджету державному бюджету на виконання програм соціально-економічного розвитку регіонів </v>
      </c>
      <c r="E94" s="89">
        <f>F94+I94</f>
        <v>85500</v>
      </c>
      <c r="F94" s="89">
        <v>85500</v>
      </c>
      <c r="G94" s="89"/>
      <c r="H94" s="89"/>
      <c r="I94" s="89"/>
      <c r="J94" s="89">
        <f>K94+N94</f>
        <v>2000000</v>
      </c>
      <c r="K94" s="89"/>
      <c r="L94" s="89"/>
      <c r="M94" s="89"/>
      <c r="N94" s="89">
        <v>2000000</v>
      </c>
      <c r="O94" s="89">
        <v>2000000</v>
      </c>
      <c r="P94" s="89">
        <f>E94+J94</f>
        <v>2085500</v>
      </c>
      <c r="Q94" s="285"/>
      <c r="R94" s="160"/>
      <c r="S94" s="160"/>
      <c r="T94" s="160"/>
    </row>
    <row r="95" spans="1:20" s="113" customFormat="1" ht="21" customHeight="1">
      <c r="A95" s="112" t="s">
        <v>277</v>
      </c>
      <c r="B95" s="36"/>
      <c r="C95" s="36"/>
      <c r="D95" s="35" t="s">
        <v>51</v>
      </c>
      <c r="E95" s="46">
        <f>E96</f>
        <v>331667166</v>
      </c>
      <c r="F95" s="46">
        <f aca="true" t="shared" si="28" ref="F95:P95">F96</f>
        <v>331667166</v>
      </c>
      <c r="G95" s="46">
        <f t="shared" si="28"/>
        <v>1219700</v>
      </c>
      <c r="H95" s="46">
        <f t="shared" si="28"/>
        <v>23500</v>
      </c>
      <c r="I95" s="46">
        <f t="shared" si="28"/>
        <v>0</v>
      </c>
      <c r="J95" s="46">
        <f t="shared" si="28"/>
        <v>60435117.6</v>
      </c>
      <c r="K95" s="46">
        <f t="shared" si="28"/>
        <v>16983749</v>
      </c>
      <c r="L95" s="46">
        <f t="shared" si="28"/>
        <v>0</v>
      </c>
      <c r="M95" s="46">
        <f t="shared" si="28"/>
        <v>0</v>
      </c>
      <c r="N95" s="46">
        <f t="shared" si="28"/>
        <v>43451368.6</v>
      </c>
      <c r="O95" s="46">
        <f t="shared" si="28"/>
        <v>43451368.6</v>
      </c>
      <c r="P95" s="46">
        <f t="shared" si="28"/>
        <v>392102283.6</v>
      </c>
      <c r="Q95" s="285"/>
      <c r="R95" s="158"/>
      <c r="S95" s="158"/>
      <c r="T95" s="158"/>
    </row>
    <row r="96" spans="1:20" s="115" customFormat="1" ht="18.75" customHeight="1">
      <c r="A96" s="114" t="s">
        <v>278</v>
      </c>
      <c r="B96" s="125"/>
      <c r="C96" s="125"/>
      <c r="D96" s="124" t="s">
        <v>51</v>
      </c>
      <c r="E96" s="80">
        <f>E98+E99+E101+E103+E105+E107+E113+E119+E129+E125+E130</f>
        <v>331667166</v>
      </c>
      <c r="F96" s="80">
        <f>F98+F99+F101+F103+F105+F107+F113+F119+F129+F125+F130</f>
        <v>331667166</v>
      </c>
      <c r="G96" s="80">
        <f aca="true" t="shared" si="29" ref="G96:O96">G98+G99+G101+G103+G105+G107+G113+G119+G129+G125</f>
        <v>1219700</v>
      </c>
      <c r="H96" s="80">
        <f t="shared" si="29"/>
        <v>23500</v>
      </c>
      <c r="I96" s="80">
        <f t="shared" si="29"/>
        <v>0</v>
      </c>
      <c r="J96" s="80">
        <f t="shared" si="29"/>
        <v>60435117.6</v>
      </c>
      <c r="K96" s="80">
        <f t="shared" si="29"/>
        <v>16983749</v>
      </c>
      <c r="L96" s="80">
        <f t="shared" si="29"/>
        <v>0</v>
      </c>
      <c r="M96" s="80">
        <f t="shared" si="29"/>
        <v>0</v>
      </c>
      <c r="N96" s="80">
        <f t="shared" si="29"/>
        <v>43451368.6</v>
      </c>
      <c r="O96" s="80">
        <f t="shared" si="29"/>
        <v>43451368.6</v>
      </c>
      <c r="P96" s="80">
        <f>P98+P99+P101+P103+P105+P107+P113+P119+P129+P125+P130</f>
        <v>392102283.6</v>
      </c>
      <c r="Q96" s="285"/>
      <c r="R96" s="167"/>
      <c r="S96" s="167"/>
      <c r="T96" s="167"/>
    </row>
    <row r="97" spans="1:20" s="115" customFormat="1" ht="18.75" customHeight="1">
      <c r="A97" s="114"/>
      <c r="B97" s="125"/>
      <c r="C97" s="125"/>
      <c r="D97" s="124" t="s">
        <v>416</v>
      </c>
      <c r="E97" s="80">
        <f>E100+E102+E104+E106+E108+E114+E120+E126</f>
        <v>239913470</v>
      </c>
      <c r="F97" s="80">
        <f aca="true" t="shared" si="30" ref="F97:P97">F100+F102+F104+F106+F108+F114+F120+F126</f>
        <v>239913470</v>
      </c>
      <c r="G97" s="80">
        <f t="shared" si="30"/>
        <v>0</v>
      </c>
      <c r="H97" s="80">
        <f t="shared" si="30"/>
        <v>0</v>
      </c>
      <c r="I97" s="80">
        <f t="shared" si="30"/>
        <v>0</v>
      </c>
      <c r="J97" s="80">
        <f t="shared" si="30"/>
        <v>1335964.66</v>
      </c>
      <c r="K97" s="80">
        <f t="shared" si="30"/>
        <v>0</v>
      </c>
      <c r="L97" s="80">
        <f t="shared" si="30"/>
        <v>0</v>
      </c>
      <c r="M97" s="80">
        <f t="shared" si="30"/>
        <v>0</v>
      </c>
      <c r="N97" s="80">
        <f t="shared" si="30"/>
        <v>1335964.66</v>
      </c>
      <c r="O97" s="80">
        <f t="shared" si="30"/>
        <v>1335964.66</v>
      </c>
      <c r="P97" s="80">
        <f t="shared" si="30"/>
        <v>241249434.66</v>
      </c>
      <c r="Q97" s="285"/>
      <c r="R97" s="159"/>
      <c r="S97" s="159"/>
      <c r="T97" s="159"/>
    </row>
    <row r="98" spans="1:20" s="4" customFormat="1" ht="45">
      <c r="A98" s="81" t="s">
        <v>279</v>
      </c>
      <c r="B98" s="81" t="str">
        <f>'дод. 4'!A14</f>
        <v>0160</v>
      </c>
      <c r="C98" s="81" t="str">
        <f>'дод. 4'!B14</f>
        <v>0111</v>
      </c>
      <c r="D98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83">
        <f aca="true" t="shared" si="31" ref="E98:E106">F98+I98</f>
        <v>1582100</v>
      </c>
      <c r="F98" s="83">
        <f>1600900-28800+10000</f>
        <v>1582100</v>
      </c>
      <c r="G98" s="83">
        <v>1219700</v>
      </c>
      <c r="H98" s="83">
        <v>23500</v>
      </c>
      <c r="I98" s="83"/>
      <c r="J98" s="83">
        <f aca="true" t="shared" si="32" ref="J98:J106">K98+N98</f>
        <v>0</v>
      </c>
      <c r="K98" s="83"/>
      <c r="L98" s="83"/>
      <c r="M98" s="83"/>
      <c r="N98" s="83">
        <f>20500-20500</f>
        <v>0</v>
      </c>
      <c r="O98" s="83">
        <f>20500-20500</f>
        <v>0</v>
      </c>
      <c r="P98" s="83">
        <f aca="true" t="shared" si="33" ref="P98:P106">E98+J98</f>
        <v>1582100</v>
      </c>
      <c r="Q98" s="285"/>
      <c r="R98" s="160"/>
      <c r="S98" s="160"/>
      <c r="T98" s="160"/>
    </row>
    <row r="99" spans="1:20" s="4" customFormat="1" ht="31.5" customHeight="1">
      <c r="A99" s="81" t="s">
        <v>280</v>
      </c>
      <c r="B99" s="81" t="str">
        <f>'дод. 4'!A37</f>
        <v>2010</v>
      </c>
      <c r="C99" s="81" t="str">
        <f>'дод. 4'!B37</f>
        <v>0731</v>
      </c>
      <c r="D99" s="110" t="str">
        <f>'дод. 4'!C37</f>
        <v>Багатопрофільна стаціонарна медична допомога населенню</v>
      </c>
      <c r="E99" s="83">
        <f t="shared" si="31"/>
        <v>229059953</v>
      </c>
      <c r="F99" s="83">
        <f>227372854+900000+130790+60000+5000-1161400+1161400+19000-400000+35000+70000+10000+108000+1098309+200000-915000+366000</f>
        <v>229059953</v>
      </c>
      <c r="G99" s="83"/>
      <c r="H99" s="83"/>
      <c r="I99" s="83"/>
      <c r="J99" s="83">
        <f t="shared" si="32"/>
        <v>39920589</v>
      </c>
      <c r="K99" s="83">
        <f>11318360</f>
        <v>11318360</v>
      </c>
      <c r="L99" s="83"/>
      <c r="M99" s="83"/>
      <c r="N99" s="83">
        <f>20000000+350000+5500000+15000+7000+160000+1302000+214800+12000+181429+15000+950000+144000-264000+15000</f>
        <v>28602229</v>
      </c>
      <c r="O99" s="83">
        <f>20000000+350000+5500000+15000+7000+160000+1302000+214800+12000+181429+15000+950000+144000-264000+15000</f>
        <v>28602229</v>
      </c>
      <c r="P99" s="83">
        <f t="shared" si="33"/>
        <v>268980542</v>
      </c>
      <c r="Q99" s="285"/>
      <c r="R99" s="160"/>
      <c r="S99" s="160"/>
      <c r="T99" s="160"/>
    </row>
    <row r="100" spans="1:20" s="4" customFormat="1" ht="22.5" customHeight="1">
      <c r="A100" s="81"/>
      <c r="B100" s="93"/>
      <c r="C100" s="93"/>
      <c r="D100" s="82" t="s">
        <v>416</v>
      </c>
      <c r="E100" s="83">
        <f t="shared" si="31"/>
        <v>155879126</v>
      </c>
      <c r="F100" s="83">
        <f>156832009-1161400+102963+1020554-915000</f>
        <v>155879126</v>
      </c>
      <c r="G100" s="80"/>
      <c r="H100" s="83"/>
      <c r="I100" s="83"/>
      <c r="J100" s="83">
        <f t="shared" si="32"/>
        <v>0</v>
      </c>
      <c r="K100" s="83"/>
      <c r="L100" s="83"/>
      <c r="M100" s="83"/>
      <c r="N100" s="83"/>
      <c r="O100" s="83"/>
      <c r="P100" s="83">
        <f t="shared" si="33"/>
        <v>155879126</v>
      </c>
      <c r="Q100" s="285"/>
      <c r="R100" s="160"/>
      <c r="S100" s="160"/>
      <c r="T100" s="160"/>
    </row>
    <row r="101" spans="1:20" s="4" customFormat="1" ht="36.75" customHeight="1">
      <c r="A101" s="81" t="s">
        <v>289</v>
      </c>
      <c r="B101" s="81" t="str">
        <f>'дод. 4'!A39</f>
        <v>2030</v>
      </c>
      <c r="C101" s="81" t="str">
        <f>'дод. 4'!B39</f>
        <v>0733</v>
      </c>
      <c r="D101" s="110" t="str">
        <f>'дод. 4'!C39</f>
        <v>Лікарсько-акушерська допомога вагітним, породіллям та новонародженим</v>
      </c>
      <c r="E101" s="83">
        <f t="shared" si="31"/>
        <v>34056517</v>
      </c>
      <c r="F101" s="83">
        <f>34553891+25935+50000+30000+115000+148191-361100-115000-122000-268400</f>
        <v>34056517</v>
      </c>
      <c r="G101" s="83"/>
      <c r="H101" s="83"/>
      <c r="I101" s="83"/>
      <c r="J101" s="83">
        <f t="shared" si="32"/>
        <v>157300</v>
      </c>
      <c r="K101" s="83">
        <v>27300</v>
      </c>
      <c r="L101" s="83"/>
      <c r="M101" s="83"/>
      <c r="N101" s="83">
        <f>15000+115000</f>
        <v>130000</v>
      </c>
      <c r="O101" s="83">
        <f>15000+115000</f>
        <v>130000</v>
      </c>
      <c r="P101" s="83">
        <f t="shared" si="33"/>
        <v>34213817</v>
      </c>
      <c r="Q101" s="285"/>
      <c r="R101" s="160"/>
      <c r="S101" s="160"/>
      <c r="T101" s="160"/>
    </row>
    <row r="102" spans="1:20" s="4" customFormat="1" ht="19.5" customHeight="1">
      <c r="A102" s="81"/>
      <c r="B102" s="93"/>
      <c r="C102" s="93"/>
      <c r="D102" s="82" t="s">
        <v>416</v>
      </c>
      <c r="E102" s="83">
        <f t="shared" si="31"/>
        <v>24253709</v>
      </c>
      <c r="F102" s="83">
        <f>24119993+133716</f>
        <v>24253709</v>
      </c>
      <c r="G102" s="83"/>
      <c r="H102" s="83"/>
      <c r="I102" s="83"/>
      <c r="J102" s="83">
        <f t="shared" si="32"/>
        <v>0</v>
      </c>
      <c r="K102" s="83"/>
      <c r="L102" s="83"/>
      <c r="M102" s="83"/>
      <c r="N102" s="83"/>
      <c r="O102" s="83"/>
      <c r="P102" s="83">
        <f t="shared" si="33"/>
        <v>24253709</v>
      </c>
      <c r="Q102" s="285"/>
      <c r="R102" s="160"/>
      <c r="S102" s="160"/>
      <c r="T102" s="160"/>
    </row>
    <row r="103" spans="1:20" s="4" customFormat="1" ht="33.75" customHeight="1">
      <c r="A103" s="91" t="s">
        <v>288</v>
      </c>
      <c r="B103" s="91" t="str">
        <f>'дод. 4'!A41</f>
        <v>2080</v>
      </c>
      <c r="C103" s="91" t="str">
        <f>'дод. 4'!B41</f>
        <v>0721</v>
      </c>
      <c r="D103" s="109" t="str">
        <f>'дод. 4'!C41</f>
        <v>Амбулаторно-поліклінічна допомога населенню, крім первинної медичної допомоги</v>
      </c>
      <c r="E103" s="83">
        <f t="shared" si="31"/>
        <v>1058928</v>
      </c>
      <c r="F103" s="83">
        <f>1039928+19000</f>
        <v>1058928</v>
      </c>
      <c r="G103" s="83"/>
      <c r="H103" s="83"/>
      <c r="I103" s="83"/>
      <c r="J103" s="83">
        <f t="shared" si="32"/>
        <v>412100</v>
      </c>
      <c r="K103" s="83">
        <v>412100</v>
      </c>
      <c r="L103" s="83"/>
      <c r="M103" s="83"/>
      <c r="N103" s="83"/>
      <c r="O103" s="83"/>
      <c r="P103" s="83">
        <f>E103+J103</f>
        <v>1471028</v>
      </c>
      <c r="Q103" s="285"/>
      <c r="R103" s="160"/>
      <c r="S103" s="160"/>
      <c r="T103" s="160"/>
    </row>
    <row r="104" spans="1:20" s="4" customFormat="1" ht="22.5" customHeight="1">
      <c r="A104" s="91"/>
      <c r="B104" s="106"/>
      <c r="C104" s="106"/>
      <c r="D104" s="82" t="s">
        <v>416</v>
      </c>
      <c r="E104" s="83">
        <f t="shared" si="31"/>
        <v>925907</v>
      </c>
      <c r="F104" s="83">
        <v>925907</v>
      </c>
      <c r="G104" s="83"/>
      <c r="H104" s="83"/>
      <c r="I104" s="83"/>
      <c r="J104" s="83">
        <f t="shared" si="32"/>
        <v>0</v>
      </c>
      <c r="K104" s="83"/>
      <c r="L104" s="83"/>
      <c r="M104" s="83"/>
      <c r="N104" s="83"/>
      <c r="O104" s="83"/>
      <c r="P104" s="83">
        <f t="shared" si="33"/>
        <v>925907</v>
      </c>
      <c r="Q104" s="285"/>
      <c r="R104" s="160"/>
      <c r="S104" s="160"/>
      <c r="T104" s="160"/>
    </row>
    <row r="105" spans="1:20" s="4" customFormat="1" ht="24" customHeight="1">
      <c r="A105" s="81" t="s">
        <v>287</v>
      </c>
      <c r="B105" s="81" t="str">
        <f>'дод. 4'!A43</f>
        <v>2100</v>
      </c>
      <c r="C105" s="81" t="str">
        <f>'дод. 4'!B43</f>
        <v>0722</v>
      </c>
      <c r="D105" s="110" t="str">
        <f>'дод. 4'!C43</f>
        <v>Стоматологічна допомога населенню</v>
      </c>
      <c r="E105" s="83">
        <f t="shared" si="31"/>
        <v>6369842</v>
      </c>
      <c r="F105" s="83">
        <f>5454842+915000</f>
        <v>6369842</v>
      </c>
      <c r="G105" s="83"/>
      <c r="H105" s="83"/>
      <c r="I105" s="83"/>
      <c r="J105" s="83">
        <f t="shared" si="32"/>
        <v>5058989</v>
      </c>
      <c r="K105" s="83">
        <v>5058989</v>
      </c>
      <c r="L105" s="83"/>
      <c r="M105" s="83"/>
      <c r="N105" s="83"/>
      <c r="O105" s="83"/>
      <c r="P105" s="83">
        <f t="shared" si="33"/>
        <v>11428831</v>
      </c>
      <c r="Q105" s="285"/>
      <c r="R105" s="160"/>
      <c r="S105" s="160"/>
      <c r="T105" s="160"/>
    </row>
    <row r="106" spans="1:20" s="4" customFormat="1" ht="24.75" customHeight="1">
      <c r="A106" s="81"/>
      <c r="B106" s="93"/>
      <c r="C106" s="93"/>
      <c r="D106" s="82" t="s">
        <v>416</v>
      </c>
      <c r="E106" s="83">
        <f t="shared" si="31"/>
        <v>5240025</v>
      </c>
      <c r="F106" s="83">
        <f>4325025+915000</f>
        <v>5240025</v>
      </c>
      <c r="G106" s="83"/>
      <c r="H106" s="83"/>
      <c r="I106" s="83"/>
      <c r="J106" s="83">
        <f t="shared" si="32"/>
        <v>0</v>
      </c>
      <c r="K106" s="83"/>
      <c r="L106" s="83"/>
      <c r="M106" s="83"/>
      <c r="N106" s="83"/>
      <c r="O106" s="83"/>
      <c r="P106" s="83">
        <f t="shared" si="33"/>
        <v>5240025</v>
      </c>
      <c r="Q106" s="285">
        <v>8</v>
      </c>
      <c r="R106" s="160"/>
      <c r="S106" s="160"/>
      <c r="T106" s="160"/>
    </row>
    <row r="107" spans="1:20" s="4" customFormat="1" ht="24.75" customHeight="1">
      <c r="A107" s="81" t="s">
        <v>286</v>
      </c>
      <c r="B107" s="81" t="str">
        <f>'дод. 4'!A45</f>
        <v>2110</v>
      </c>
      <c r="C107" s="81">
        <f>'дод. 4'!B45</f>
        <v>0</v>
      </c>
      <c r="D107" s="110" t="str">
        <f>'дод. 4'!C45</f>
        <v>Первинна медична допомога населенню</v>
      </c>
      <c r="E107" s="83">
        <f>E109+E111</f>
        <v>37657378</v>
      </c>
      <c r="F107" s="83">
        <f aca="true" t="shared" si="34" ref="F107:P107">F109+F111</f>
        <v>37657378</v>
      </c>
      <c r="G107" s="83">
        <f t="shared" si="34"/>
        <v>0</v>
      </c>
      <c r="H107" s="83">
        <f t="shared" si="34"/>
        <v>0</v>
      </c>
      <c r="I107" s="83">
        <f t="shared" si="34"/>
        <v>0</v>
      </c>
      <c r="J107" s="83">
        <f t="shared" si="34"/>
        <v>256600</v>
      </c>
      <c r="K107" s="83">
        <f t="shared" si="34"/>
        <v>167000</v>
      </c>
      <c r="L107" s="83">
        <f t="shared" si="34"/>
        <v>0</v>
      </c>
      <c r="M107" s="83">
        <f t="shared" si="34"/>
        <v>0</v>
      </c>
      <c r="N107" s="83">
        <f t="shared" si="34"/>
        <v>89600</v>
      </c>
      <c r="O107" s="83">
        <f t="shared" si="34"/>
        <v>89600</v>
      </c>
      <c r="P107" s="83">
        <f t="shared" si="34"/>
        <v>37913978</v>
      </c>
      <c r="Q107" s="285"/>
      <c r="R107" s="161"/>
      <c r="S107" s="161"/>
      <c r="T107" s="161"/>
    </row>
    <row r="108" spans="1:20" s="4" customFormat="1" ht="24.75" customHeight="1">
      <c r="A108" s="81"/>
      <c r="B108" s="93"/>
      <c r="C108" s="93"/>
      <c r="D108" s="82" t="s">
        <v>416</v>
      </c>
      <c r="E108" s="83">
        <f>E110+E112</f>
        <v>35777500</v>
      </c>
      <c r="F108" s="83">
        <f aca="true" t="shared" si="35" ref="F108:P108">F110+F112</f>
        <v>35777500</v>
      </c>
      <c r="G108" s="83"/>
      <c r="H108" s="83">
        <f t="shared" si="35"/>
        <v>0</v>
      </c>
      <c r="I108" s="83">
        <f t="shared" si="35"/>
        <v>0</v>
      </c>
      <c r="J108" s="83">
        <f t="shared" si="35"/>
        <v>0</v>
      </c>
      <c r="K108" s="83">
        <f t="shared" si="35"/>
        <v>0</v>
      </c>
      <c r="L108" s="83">
        <f t="shared" si="35"/>
        <v>0</v>
      </c>
      <c r="M108" s="83">
        <f t="shared" si="35"/>
        <v>0</v>
      </c>
      <c r="N108" s="83">
        <f t="shared" si="35"/>
        <v>0</v>
      </c>
      <c r="O108" s="83">
        <f t="shared" si="35"/>
        <v>0</v>
      </c>
      <c r="P108" s="83">
        <f t="shared" si="35"/>
        <v>35777500</v>
      </c>
      <c r="Q108" s="285"/>
      <c r="R108" s="161"/>
      <c r="S108" s="161"/>
      <c r="T108" s="161"/>
    </row>
    <row r="109" spans="1:20" s="116" customFormat="1" ht="45" customHeight="1">
      <c r="A109" s="84" t="s">
        <v>285</v>
      </c>
      <c r="B109" s="84" t="str">
        <f>'дод. 4'!A47</f>
        <v>2111</v>
      </c>
      <c r="C109" s="84" t="str">
        <f>'дод. 4'!B47</f>
        <v>0726</v>
      </c>
      <c r="D109" s="107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86">
        <f>F109+I109</f>
        <v>9014905</v>
      </c>
      <c r="F109" s="86">
        <f>8672485+65000+361100+13920-97600</f>
        <v>9014905</v>
      </c>
      <c r="G109" s="86"/>
      <c r="H109" s="86"/>
      <c r="I109" s="86"/>
      <c r="J109" s="86">
        <f>K109+N109</f>
        <v>202000</v>
      </c>
      <c r="K109" s="86">
        <v>167000</v>
      </c>
      <c r="L109" s="86"/>
      <c r="M109" s="86"/>
      <c r="N109" s="86">
        <v>35000</v>
      </c>
      <c r="O109" s="86">
        <v>35000</v>
      </c>
      <c r="P109" s="86">
        <f>E109+J109</f>
        <v>9216905</v>
      </c>
      <c r="Q109" s="285"/>
      <c r="R109" s="162"/>
      <c r="S109" s="162"/>
      <c r="T109" s="162"/>
    </row>
    <row r="110" spans="1:20" s="116" customFormat="1" ht="24" customHeight="1">
      <c r="A110" s="84"/>
      <c r="B110" s="94"/>
      <c r="C110" s="94"/>
      <c r="D110" s="85" t="s">
        <v>416</v>
      </c>
      <c r="E110" s="86">
        <f>F110+I110</f>
        <v>8129599</v>
      </c>
      <c r="F110" s="86">
        <f>7871679+257920</f>
        <v>8129599</v>
      </c>
      <c r="G110" s="86"/>
      <c r="H110" s="86"/>
      <c r="I110" s="86"/>
      <c r="J110" s="86">
        <f aca="true" t="shared" si="36" ref="J110:J130">K110+N110</f>
        <v>0</v>
      </c>
      <c r="K110" s="86"/>
      <c r="L110" s="86"/>
      <c r="M110" s="86"/>
      <c r="N110" s="86"/>
      <c r="O110" s="86"/>
      <c r="P110" s="86">
        <f>E110+J110</f>
        <v>8129599</v>
      </c>
      <c r="Q110" s="285"/>
      <c r="R110" s="162"/>
      <c r="S110" s="162"/>
      <c r="T110" s="162"/>
    </row>
    <row r="111" spans="1:20" s="116" customFormat="1" ht="45">
      <c r="A111" s="84" t="s">
        <v>583</v>
      </c>
      <c r="B111" s="84" t="str">
        <f>'дод. 4'!A49</f>
        <v>2113</v>
      </c>
      <c r="C111" s="84" t="str">
        <f>'дод. 4'!B49</f>
        <v>0721</v>
      </c>
      <c r="D111" s="107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86">
        <f>F111+I111</f>
        <v>28642473</v>
      </c>
      <c r="F111" s="86">
        <f>27905821+20000+335000+5772+3800+372080</f>
        <v>28642473</v>
      </c>
      <c r="G111" s="86"/>
      <c r="H111" s="86"/>
      <c r="I111" s="86"/>
      <c r="J111" s="86">
        <f>K111+N111</f>
        <v>54600</v>
      </c>
      <c r="K111" s="86"/>
      <c r="L111" s="86"/>
      <c r="M111" s="86"/>
      <c r="N111" s="86">
        <f>22600+12000+20000</f>
        <v>54600</v>
      </c>
      <c r="O111" s="86">
        <f>22600+12000+20000</f>
        <v>54600</v>
      </c>
      <c r="P111" s="86">
        <f>E111+J111</f>
        <v>28697073</v>
      </c>
      <c r="Q111" s="285"/>
      <c r="R111" s="162"/>
      <c r="S111" s="162"/>
      <c r="T111" s="162"/>
    </row>
    <row r="112" spans="1:20" s="116" customFormat="1" ht="15">
      <c r="A112" s="84"/>
      <c r="B112" s="94"/>
      <c r="C112" s="94"/>
      <c r="D112" s="85" t="s">
        <v>416</v>
      </c>
      <c r="E112" s="86">
        <f>F112+I112</f>
        <v>27647901</v>
      </c>
      <c r="F112" s="86">
        <f>27905821-257920</f>
        <v>27647901</v>
      </c>
      <c r="G112" s="86"/>
      <c r="H112" s="86"/>
      <c r="I112" s="86"/>
      <c r="J112" s="86">
        <f>K112+N112</f>
        <v>0</v>
      </c>
      <c r="K112" s="86"/>
      <c r="L112" s="86"/>
      <c r="M112" s="86"/>
      <c r="N112" s="86"/>
      <c r="O112" s="86"/>
      <c r="P112" s="86">
        <f>E112+J112</f>
        <v>27647901</v>
      </c>
      <c r="Q112" s="285"/>
      <c r="R112" s="162"/>
      <c r="S112" s="162"/>
      <c r="T112" s="162"/>
    </row>
    <row r="113" spans="1:20" s="4" customFormat="1" ht="30" customHeight="1">
      <c r="A113" s="87" t="s">
        <v>284</v>
      </c>
      <c r="B113" s="92">
        <f>'дод. 4'!A51</f>
        <v>2140</v>
      </c>
      <c r="C113" s="92">
        <f>'дод. 4'!B51</f>
        <v>0</v>
      </c>
      <c r="D113" s="141" t="str">
        <f>'дод. 4'!C51</f>
        <v>Програми і централізовані заходи у галузі охорони здоров’я</v>
      </c>
      <c r="E113" s="89">
        <f aca="true" t="shared" si="37" ref="E113:P113">E115+E117</f>
        <v>14043000</v>
      </c>
      <c r="F113" s="89">
        <f t="shared" si="37"/>
        <v>14043000</v>
      </c>
      <c r="G113" s="89">
        <f t="shared" si="37"/>
        <v>0</v>
      </c>
      <c r="H113" s="89">
        <f t="shared" si="37"/>
        <v>0</v>
      </c>
      <c r="I113" s="89">
        <f t="shared" si="37"/>
        <v>0</v>
      </c>
      <c r="J113" s="89">
        <f t="shared" si="37"/>
        <v>0</v>
      </c>
      <c r="K113" s="89">
        <f t="shared" si="37"/>
        <v>0</v>
      </c>
      <c r="L113" s="89">
        <f t="shared" si="37"/>
        <v>0</v>
      </c>
      <c r="M113" s="89">
        <f t="shared" si="37"/>
        <v>0</v>
      </c>
      <c r="N113" s="89">
        <f t="shared" si="37"/>
        <v>0</v>
      </c>
      <c r="O113" s="89">
        <f t="shared" si="37"/>
        <v>0</v>
      </c>
      <c r="P113" s="89">
        <f t="shared" si="37"/>
        <v>14043000</v>
      </c>
      <c r="Q113" s="285"/>
      <c r="R113" s="168"/>
      <c r="S113" s="168"/>
      <c r="T113" s="168"/>
    </row>
    <row r="114" spans="1:20" s="119" customFormat="1" ht="24" customHeight="1">
      <c r="A114" s="81"/>
      <c r="B114" s="92">
        <f>'дод. 4'!A52</f>
        <v>0</v>
      </c>
      <c r="C114" s="92">
        <f>'дод. 4'!B52</f>
        <v>0</v>
      </c>
      <c r="D114" s="141" t="str">
        <f>'дод. 4'!C52</f>
        <v>у т.ч. за рахунок субвенцій з держбюджету</v>
      </c>
      <c r="E114" s="89">
        <f aca="true" t="shared" si="38" ref="E114:P114">E116+E118</f>
        <v>14043000</v>
      </c>
      <c r="F114" s="89">
        <f t="shared" si="38"/>
        <v>14043000</v>
      </c>
      <c r="G114" s="89">
        <f t="shared" si="38"/>
        <v>0</v>
      </c>
      <c r="H114" s="89">
        <f t="shared" si="38"/>
        <v>0</v>
      </c>
      <c r="I114" s="89">
        <f t="shared" si="38"/>
        <v>0</v>
      </c>
      <c r="J114" s="89">
        <f t="shared" si="38"/>
        <v>0</v>
      </c>
      <c r="K114" s="89">
        <f t="shared" si="38"/>
        <v>0</v>
      </c>
      <c r="L114" s="89">
        <f t="shared" si="38"/>
        <v>0</v>
      </c>
      <c r="M114" s="89">
        <f t="shared" si="38"/>
        <v>0</v>
      </c>
      <c r="N114" s="89">
        <f t="shared" si="38"/>
        <v>0</v>
      </c>
      <c r="O114" s="89">
        <f t="shared" si="38"/>
        <v>0</v>
      </c>
      <c r="P114" s="89">
        <f t="shared" si="38"/>
        <v>14043000</v>
      </c>
      <c r="Q114" s="285"/>
      <c r="R114" s="168"/>
      <c r="S114" s="168"/>
      <c r="T114" s="168"/>
    </row>
    <row r="115" spans="1:20" s="116" customFormat="1" ht="32.25" customHeight="1">
      <c r="A115" s="84" t="s">
        <v>283</v>
      </c>
      <c r="B115" s="94">
        <f>'дод. 4'!A53</f>
        <v>2144</v>
      </c>
      <c r="C115" s="94" t="str">
        <f>'дод. 4'!B53</f>
        <v>0763</v>
      </c>
      <c r="D115" s="142" t="str">
        <f>'дод. 4'!C53</f>
        <v>Централізовані заходи з лікування хворих на цукровий та нецукровий діабет</v>
      </c>
      <c r="E115" s="86">
        <f>F115+I115</f>
        <v>7131500</v>
      </c>
      <c r="F115" s="86">
        <v>7131500</v>
      </c>
      <c r="G115" s="86"/>
      <c r="H115" s="86"/>
      <c r="I115" s="86"/>
      <c r="J115" s="86">
        <f t="shared" si="36"/>
        <v>0</v>
      </c>
      <c r="K115" s="86"/>
      <c r="L115" s="86"/>
      <c r="M115" s="86"/>
      <c r="N115" s="86"/>
      <c r="O115" s="86"/>
      <c r="P115" s="86">
        <f aca="true" t="shared" si="39" ref="P115:P130">E115+J115</f>
        <v>7131500</v>
      </c>
      <c r="Q115" s="285"/>
      <c r="R115" s="162"/>
      <c r="S115" s="162"/>
      <c r="T115" s="162"/>
    </row>
    <row r="116" spans="1:20" s="116" customFormat="1" ht="20.25" customHeight="1">
      <c r="A116" s="84"/>
      <c r="B116" s="94">
        <f>'дод. 4'!A54</f>
        <v>0</v>
      </c>
      <c r="C116" s="94">
        <f>'дод. 4'!B54</f>
        <v>0</v>
      </c>
      <c r="D116" s="142" t="str">
        <f>'дод. 4'!C54</f>
        <v>у т.ч. за рахунок субвенцій з держбюджету</v>
      </c>
      <c r="E116" s="86">
        <f>F116+I116</f>
        <v>7131500</v>
      </c>
      <c r="F116" s="86">
        <v>7131500</v>
      </c>
      <c r="G116" s="86"/>
      <c r="H116" s="86"/>
      <c r="I116" s="86"/>
      <c r="J116" s="86">
        <f t="shared" si="36"/>
        <v>0</v>
      </c>
      <c r="K116" s="86"/>
      <c r="L116" s="86"/>
      <c r="M116" s="86"/>
      <c r="N116" s="86"/>
      <c r="O116" s="86"/>
      <c r="P116" s="86">
        <f t="shared" si="39"/>
        <v>7131500</v>
      </c>
      <c r="Q116" s="285"/>
      <c r="R116" s="162"/>
      <c r="S116" s="162"/>
      <c r="T116" s="162"/>
    </row>
    <row r="117" spans="1:20" s="116" customFormat="1" ht="31.5" customHeight="1">
      <c r="A117" s="84" t="s">
        <v>514</v>
      </c>
      <c r="B117" s="94">
        <f>'дод. 4'!A55</f>
        <v>2146</v>
      </c>
      <c r="C117" s="94" t="str">
        <f>'дод. 4'!B55</f>
        <v>0763</v>
      </c>
      <c r="D117" s="142" t="str">
        <f>'дод. 4'!C55</f>
        <v>Відшкодування вартості лікарських засобів для лікування окремих захворювань</v>
      </c>
      <c r="E117" s="86">
        <f>F117+I117</f>
        <v>6911500</v>
      </c>
      <c r="F117" s="86">
        <v>6911500</v>
      </c>
      <c r="G117" s="86"/>
      <c r="H117" s="86"/>
      <c r="I117" s="86"/>
      <c r="J117" s="86">
        <f t="shared" si="36"/>
        <v>0</v>
      </c>
      <c r="K117" s="86"/>
      <c r="L117" s="86"/>
      <c r="M117" s="86"/>
      <c r="N117" s="86"/>
      <c r="O117" s="86"/>
      <c r="P117" s="86">
        <f t="shared" si="39"/>
        <v>6911500</v>
      </c>
      <c r="Q117" s="285"/>
      <c r="R117" s="162"/>
      <c r="S117" s="162"/>
      <c r="T117" s="162"/>
    </row>
    <row r="118" spans="1:20" s="116" customFormat="1" ht="24.75" customHeight="1">
      <c r="A118" s="84"/>
      <c r="B118" s="94">
        <f>'дод. 4'!A56</f>
        <v>0</v>
      </c>
      <c r="C118" s="94">
        <f>'дод. 4'!B56</f>
        <v>0</v>
      </c>
      <c r="D118" s="142" t="str">
        <f>'дод. 4'!C56</f>
        <v>у т.ч. за рахунок субвенцій з держбюджету</v>
      </c>
      <c r="E118" s="86">
        <f>F118+I118</f>
        <v>6911500</v>
      </c>
      <c r="F118" s="86">
        <v>6911500</v>
      </c>
      <c r="G118" s="86"/>
      <c r="H118" s="86"/>
      <c r="I118" s="86"/>
      <c r="J118" s="86">
        <f t="shared" si="36"/>
        <v>0</v>
      </c>
      <c r="K118" s="86"/>
      <c r="L118" s="86"/>
      <c r="M118" s="86"/>
      <c r="N118" s="86"/>
      <c r="O118" s="86"/>
      <c r="P118" s="86">
        <f t="shared" si="39"/>
        <v>6911500</v>
      </c>
      <c r="Q118" s="285"/>
      <c r="R118" s="162"/>
      <c r="S118" s="162"/>
      <c r="T118" s="162"/>
    </row>
    <row r="119" spans="1:20" s="4" customFormat="1" ht="35.25" customHeight="1">
      <c r="A119" s="87" t="s">
        <v>282</v>
      </c>
      <c r="B119" s="87" t="str">
        <f>'дод. 4'!A57</f>
        <v>2150</v>
      </c>
      <c r="C119" s="87">
        <f>'дод. 4'!B57</f>
        <v>0</v>
      </c>
      <c r="D119" s="108" t="str">
        <f>'дод. 4'!C57</f>
        <v>Інші програми, заклади та заходи у сфері охорони здоров’я</v>
      </c>
      <c r="E119" s="89">
        <f>E121+E123</f>
        <v>7027448</v>
      </c>
      <c r="F119" s="89">
        <f aca="true" t="shared" si="40" ref="F119:O119">F121+F123</f>
        <v>7027448</v>
      </c>
      <c r="G119" s="89">
        <f t="shared" si="40"/>
        <v>0</v>
      </c>
      <c r="H119" s="89">
        <f t="shared" si="40"/>
        <v>0</v>
      </c>
      <c r="I119" s="89">
        <f t="shared" si="40"/>
        <v>0</v>
      </c>
      <c r="J119" s="83">
        <f t="shared" si="36"/>
        <v>3406496</v>
      </c>
      <c r="K119" s="89">
        <f t="shared" si="40"/>
        <v>0</v>
      </c>
      <c r="L119" s="89">
        <f t="shared" si="40"/>
        <v>0</v>
      </c>
      <c r="M119" s="89">
        <f t="shared" si="40"/>
        <v>0</v>
      </c>
      <c r="N119" s="89">
        <f t="shared" si="40"/>
        <v>3406496</v>
      </c>
      <c r="O119" s="89">
        <f t="shared" si="40"/>
        <v>3406496</v>
      </c>
      <c r="P119" s="83">
        <f t="shared" si="39"/>
        <v>10433944</v>
      </c>
      <c r="Q119" s="285"/>
      <c r="R119" s="161"/>
      <c r="S119" s="161"/>
      <c r="T119" s="161"/>
    </row>
    <row r="120" spans="1:20" s="4" customFormat="1" ht="21.75" customHeight="1">
      <c r="A120" s="87"/>
      <c r="B120" s="92"/>
      <c r="C120" s="92"/>
      <c r="D120" s="88" t="s">
        <v>416</v>
      </c>
      <c r="E120" s="89">
        <f>E122+E124</f>
        <v>3794203</v>
      </c>
      <c r="F120" s="89">
        <f aca="true" t="shared" si="41" ref="F120:O120">F122+F124</f>
        <v>3794203</v>
      </c>
      <c r="G120" s="89">
        <f t="shared" si="41"/>
        <v>0</v>
      </c>
      <c r="H120" s="89">
        <f t="shared" si="41"/>
        <v>0</v>
      </c>
      <c r="I120" s="89">
        <f t="shared" si="41"/>
        <v>0</v>
      </c>
      <c r="J120" s="86">
        <f t="shared" si="36"/>
        <v>0</v>
      </c>
      <c r="K120" s="89">
        <f t="shared" si="41"/>
        <v>0</v>
      </c>
      <c r="L120" s="89">
        <f t="shared" si="41"/>
        <v>0</v>
      </c>
      <c r="M120" s="89">
        <f t="shared" si="41"/>
        <v>0</v>
      </c>
      <c r="N120" s="89">
        <f t="shared" si="41"/>
        <v>0</v>
      </c>
      <c r="O120" s="89">
        <f t="shared" si="41"/>
        <v>0</v>
      </c>
      <c r="P120" s="83">
        <f t="shared" si="39"/>
        <v>3794203</v>
      </c>
      <c r="Q120" s="285"/>
      <c r="R120" s="161"/>
      <c r="S120" s="161"/>
      <c r="T120" s="161"/>
    </row>
    <row r="121" spans="1:20" s="116" customFormat="1" ht="30" customHeight="1">
      <c r="A121" s="84" t="s">
        <v>604</v>
      </c>
      <c r="B121" s="117" t="str">
        <f>'дод. 4'!A59</f>
        <v>2151</v>
      </c>
      <c r="C121" s="117" t="str">
        <f>'дод. 4'!B59</f>
        <v>0763</v>
      </c>
      <c r="D121" s="107" t="str">
        <f>'дод. 4'!C59</f>
        <v>Забезпечення діяльності інших закладів у сфері охорони здоров’я</v>
      </c>
      <c r="E121" s="86">
        <f>F121+I121</f>
        <v>1975455</v>
      </c>
      <c r="F121" s="86">
        <f>1974877+578</f>
        <v>1975455</v>
      </c>
      <c r="G121" s="86"/>
      <c r="H121" s="86"/>
      <c r="I121" s="86"/>
      <c r="J121" s="86">
        <f t="shared" si="36"/>
        <v>0</v>
      </c>
      <c r="K121" s="86"/>
      <c r="L121" s="86"/>
      <c r="M121" s="86"/>
      <c r="N121" s="86"/>
      <c r="O121" s="86"/>
      <c r="P121" s="86">
        <f t="shared" si="39"/>
        <v>1975455</v>
      </c>
      <c r="Q121" s="285"/>
      <c r="R121" s="162"/>
      <c r="S121" s="162"/>
      <c r="T121" s="162"/>
    </row>
    <row r="122" spans="1:20" s="116" customFormat="1" ht="21.75" customHeight="1">
      <c r="A122" s="84"/>
      <c r="B122" s="117"/>
      <c r="C122" s="117"/>
      <c r="D122" s="85" t="s">
        <v>416</v>
      </c>
      <c r="E122" s="86">
        <f>F122+I122</f>
        <v>1938677</v>
      </c>
      <c r="F122" s="86">
        <v>1938677</v>
      </c>
      <c r="G122" s="86"/>
      <c r="H122" s="86"/>
      <c r="I122" s="86"/>
      <c r="J122" s="86">
        <f t="shared" si="36"/>
        <v>0</v>
      </c>
      <c r="K122" s="86"/>
      <c r="L122" s="86"/>
      <c r="M122" s="86"/>
      <c r="N122" s="86"/>
      <c r="O122" s="86"/>
      <c r="P122" s="86">
        <f t="shared" si="39"/>
        <v>1938677</v>
      </c>
      <c r="Q122" s="285"/>
      <c r="R122" s="162"/>
      <c r="S122" s="162"/>
      <c r="T122" s="162"/>
    </row>
    <row r="123" spans="1:20" s="116" customFormat="1" ht="33" customHeight="1">
      <c r="A123" s="84" t="s">
        <v>605</v>
      </c>
      <c r="B123" s="117" t="str">
        <f>'дод. 4'!A61</f>
        <v>2152</v>
      </c>
      <c r="C123" s="117" t="str">
        <f>'дод. 4'!B61</f>
        <v>0763</v>
      </c>
      <c r="D123" s="118" t="str">
        <f>'дод. 4'!C61</f>
        <v>Інші програми та заходи у сфері охорони здоров’я</v>
      </c>
      <c r="E123" s="86">
        <f>F123+I123</f>
        <v>5051993</v>
      </c>
      <c r="F123" s="86">
        <f>1958489+108000-108000+3093504</f>
        <v>5051993</v>
      </c>
      <c r="G123" s="86"/>
      <c r="H123" s="86"/>
      <c r="I123" s="86"/>
      <c r="J123" s="86">
        <f t="shared" si="36"/>
        <v>3406496</v>
      </c>
      <c r="K123" s="86"/>
      <c r="L123" s="86"/>
      <c r="M123" s="86"/>
      <c r="N123" s="86">
        <v>3406496</v>
      </c>
      <c r="O123" s="86">
        <v>3406496</v>
      </c>
      <c r="P123" s="86">
        <f t="shared" si="39"/>
        <v>8458489</v>
      </c>
      <c r="Q123" s="285"/>
      <c r="R123" s="162"/>
      <c r="S123" s="162"/>
      <c r="T123" s="162"/>
    </row>
    <row r="124" spans="1:20" s="116" customFormat="1" ht="21.75" customHeight="1">
      <c r="A124" s="84"/>
      <c r="B124" s="117"/>
      <c r="C124" s="117"/>
      <c r="D124" s="85" t="s">
        <v>416</v>
      </c>
      <c r="E124" s="86">
        <f>F124+I124</f>
        <v>1855526</v>
      </c>
      <c r="F124" s="86">
        <f>1958489-102963</f>
        <v>1855526</v>
      </c>
      <c r="G124" s="86"/>
      <c r="H124" s="86"/>
      <c r="I124" s="86"/>
      <c r="J124" s="86">
        <f t="shared" si="36"/>
        <v>0</v>
      </c>
      <c r="K124" s="86"/>
      <c r="L124" s="86"/>
      <c r="M124" s="86"/>
      <c r="N124" s="86"/>
      <c r="O124" s="86"/>
      <c r="P124" s="86">
        <f t="shared" si="39"/>
        <v>1855526</v>
      </c>
      <c r="Q124" s="285"/>
      <c r="R124" s="162"/>
      <c r="S124" s="162"/>
      <c r="T124" s="162"/>
    </row>
    <row r="125" spans="1:20" s="4" customFormat="1" ht="30.75" customHeight="1">
      <c r="A125" s="81" t="s">
        <v>606</v>
      </c>
      <c r="B125" s="91" t="str">
        <f>'дод. 4'!A188</f>
        <v>7360</v>
      </c>
      <c r="C125" s="91">
        <f>'дод. 4'!B188</f>
        <v>0</v>
      </c>
      <c r="D125" s="263" t="str">
        <f>'дод. 4'!C188</f>
        <v>Виконання інвестиційних проектів</v>
      </c>
      <c r="E125" s="83">
        <f>E127</f>
        <v>0</v>
      </c>
      <c r="F125" s="83">
        <f aca="true" t="shared" si="42" ref="F125:P126">F127</f>
        <v>0</v>
      </c>
      <c r="G125" s="83">
        <f t="shared" si="42"/>
        <v>0</v>
      </c>
      <c r="H125" s="83">
        <f t="shared" si="42"/>
        <v>0</v>
      </c>
      <c r="I125" s="83">
        <f t="shared" si="42"/>
        <v>0</v>
      </c>
      <c r="J125" s="83">
        <f t="shared" si="42"/>
        <v>1376043.5999999999</v>
      </c>
      <c r="K125" s="83">
        <f t="shared" si="42"/>
        <v>0</v>
      </c>
      <c r="L125" s="83">
        <f t="shared" si="42"/>
        <v>0</v>
      </c>
      <c r="M125" s="83">
        <f t="shared" si="42"/>
        <v>0</v>
      </c>
      <c r="N125" s="83">
        <f t="shared" si="42"/>
        <v>1376043.5999999999</v>
      </c>
      <c r="O125" s="83">
        <f t="shared" si="42"/>
        <v>1376043.5999999999</v>
      </c>
      <c r="P125" s="83">
        <f t="shared" si="42"/>
        <v>1376043.5999999999</v>
      </c>
      <c r="Q125" s="285"/>
      <c r="R125" s="160"/>
      <c r="S125" s="160"/>
      <c r="T125" s="160"/>
    </row>
    <row r="126" spans="1:20" s="116" customFormat="1" ht="21.75" customHeight="1">
      <c r="A126" s="84"/>
      <c r="B126" s="117"/>
      <c r="C126" s="117"/>
      <c r="D126" s="142" t="str">
        <f>'дод. 4'!C64</f>
        <v>у т.ч. за рахунок субвенцій з держбюджету</v>
      </c>
      <c r="E126" s="86">
        <f>E128</f>
        <v>0</v>
      </c>
      <c r="F126" s="86">
        <f t="shared" si="42"/>
        <v>0</v>
      </c>
      <c r="G126" s="86">
        <f t="shared" si="42"/>
        <v>0</v>
      </c>
      <c r="H126" s="86">
        <f t="shared" si="42"/>
        <v>0</v>
      </c>
      <c r="I126" s="86">
        <f t="shared" si="42"/>
        <v>0</v>
      </c>
      <c r="J126" s="86">
        <f t="shared" si="42"/>
        <v>1335964.66</v>
      </c>
      <c r="K126" s="86">
        <f t="shared" si="42"/>
        <v>0</v>
      </c>
      <c r="L126" s="86">
        <f t="shared" si="42"/>
        <v>0</v>
      </c>
      <c r="M126" s="86">
        <f t="shared" si="42"/>
        <v>0</v>
      </c>
      <c r="N126" s="86">
        <f t="shared" si="42"/>
        <v>1335964.66</v>
      </c>
      <c r="O126" s="86">
        <f t="shared" si="42"/>
        <v>1335964.66</v>
      </c>
      <c r="P126" s="86">
        <f t="shared" si="42"/>
        <v>1335964.66</v>
      </c>
      <c r="Q126" s="285"/>
      <c r="R126" s="162"/>
      <c r="S126" s="162"/>
      <c r="T126" s="162"/>
    </row>
    <row r="127" spans="1:20" s="116" customFormat="1" ht="55.5" customHeight="1">
      <c r="A127" s="84" t="s">
        <v>607</v>
      </c>
      <c r="B127" s="117" t="str">
        <f>'дод. 4'!A191</f>
        <v>7363</v>
      </c>
      <c r="C127" s="117" t="str">
        <f>'дод. 4'!B191</f>
        <v>0490</v>
      </c>
      <c r="D127" s="221" t="str">
        <f>'дод. 4'!C191</f>
        <v>Виконання інвестиційних проектів в рамках здійснення заходів щодо соціально-економічного розвитку окремих територій</v>
      </c>
      <c r="E127" s="86">
        <f>F127+I127</f>
        <v>0</v>
      </c>
      <c r="F127" s="86"/>
      <c r="G127" s="86"/>
      <c r="H127" s="86"/>
      <c r="I127" s="86"/>
      <c r="J127" s="86">
        <f>K127+N127</f>
        <v>1376043.5999999999</v>
      </c>
      <c r="K127" s="86"/>
      <c r="L127" s="86"/>
      <c r="M127" s="86"/>
      <c r="N127" s="86">
        <f>40078.94+1335964.66</f>
        <v>1376043.5999999999</v>
      </c>
      <c r="O127" s="86">
        <f>40078.94+1335964.66</f>
        <v>1376043.5999999999</v>
      </c>
      <c r="P127" s="86">
        <f>E127+J127</f>
        <v>1376043.5999999999</v>
      </c>
      <c r="Q127" s="285"/>
      <c r="R127" s="162"/>
      <c r="S127" s="162"/>
      <c r="T127" s="162"/>
    </row>
    <row r="128" spans="1:20" s="116" customFormat="1" ht="26.25" customHeight="1">
      <c r="A128" s="84"/>
      <c r="B128" s="117"/>
      <c r="C128" s="117"/>
      <c r="D128" s="142" t="str">
        <f>'дод. 4'!C66</f>
        <v>у т.ч. за рахунок субвенцій з держбюджету</v>
      </c>
      <c r="E128" s="86">
        <f>F128+I128</f>
        <v>0</v>
      </c>
      <c r="F128" s="86"/>
      <c r="G128" s="86"/>
      <c r="H128" s="86"/>
      <c r="I128" s="86"/>
      <c r="J128" s="86">
        <f>K128+N128</f>
        <v>1335964.66</v>
      </c>
      <c r="K128" s="86"/>
      <c r="L128" s="86"/>
      <c r="M128" s="86"/>
      <c r="N128" s="86">
        <v>1335964.66</v>
      </c>
      <c r="O128" s="86">
        <v>1335964.66</v>
      </c>
      <c r="P128" s="86">
        <f>E128+J128</f>
        <v>1335964.66</v>
      </c>
      <c r="Q128" s="285"/>
      <c r="R128" s="162"/>
      <c r="S128" s="162"/>
      <c r="T128" s="162"/>
    </row>
    <row r="129" spans="1:20" s="4" customFormat="1" ht="33" customHeight="1">
      <c r="A129" s="87" t="s">
        <v>281</v>
      </c>
      <c r="B129" s="87" t="str">
        <f>'дод. 4'!A211</f>
        <v>7640</v>
      </c>
      <c r="C129" s="87" t="str">
        <f>'дод. 4'!B211</f>
        <v>0470</v>
      </c>
      <c r="D129" s="108" t="str">
        <f>'дод. 4'!C211</f>
        <v>Заходи з енергозбереження</v>
      </c>
      <c r="E129" s="89">
        <f>F129+I129</f>
        <v>792000</v>
      </c>
      <c r="F129" s="89">
        <f>420000+48000+300000+12000+12000</f>
        <v>792000</v>
      </c>
      <c r="G129" s="89"/>
      <c r="H129" s="89"/>
      <c r="I129" s="89"/>
      <c r="J129" s="86">
        <f t="shared" si="36"/>
        <v>9847000</v>
      </c>
      <c r="K129" s="89"/>
      <c r="L129" s="89"/>
      <c r="M129" s="89"/>
      <c r="N129" s="89">
        <f>6847000+3000000</f>
        <v>9847000</v>
      </c>
      <c r="O129" s="89">
        <f>6847000+3000000</f>
        <v>9847000</v>
      </c>
      <c r="P129" s="89">
        <f t="shared" si="39"/>
        <v>10639000</v>
      </c>
      <c r="Q129" s="285"/>
      <c r="R129" s="160"/>
      <c r="S129" s="160"/>
      <c r="T129" s="160"/>
    </row>
    <row r="130" spans="1:20" s="4" customFormat="1" ht="33" customHeight="1">
      <c r="A130" s="87" t="s">
        <v>647</v>
      </c>
      <c r="B130" s="87" t="s">
        <v>28</v>
      </c>
      <c r="C130" s="87" t="s">
        <v>648</v>
      </c>
      <c r="D130" s="264" t="s">
        <v>415</v>
      </c>
      <c r="E130" s="89">
        <f>F130+I130</f>
        <v>20000</v>
      </c>
      <c r="F130" s="89">
        <v>20000</v>
      </c>
      <c r="G130" s="89"/>
      <c r="H130" s="89"/>
      <c r="I130" s="89"/>
      <c r="J130" s="86">
        <f t="shared" si="36"/>
        <v>0</v>
      </c>
      <c r="K130" s="89"/>
      <c r="L130" s="89"/>
      <c r="M130" s="89"/>
      <c r="N130" s="89"/>
      <c r="O130" s="89"/>
      <c r="P130" s="89">
        <f t="shared" si="39"/>
        <v>20000</v>
      </c>
      <c r="Q130" s="285"/>
      <c r="R130" s="160"/>
      <c r="S130" s="160"/>
      <c r="T130" s="160"/>
    </row>
    <row r="131" spans="1:20" s="113" customFormat="1" ht="28.5">
      <c r="A131" s="112" t="s">
        <v>290</v>
      </c>
      <c r="B131" s="36"/>
      <c r="C131" s="36"/>
      <c r="D131" s="35" t="s">
        <v>70</v>
      </c>
      <c r="E131" s="46">
        <f>E132</f>
        <v>1277863836.5900002</v>
      </c>
      <c r="F131" s="46">
        <f aca="true" t="shared" si="43" ref="F131:P131">F132</f>
        <v>1277863836.5900002</v>
      </c>
      <c r="G131" s="46">
        <f t="shared" si="43"/>
        <v>41420650</v>
      </c>
      <c r="H131" s="46">
        <f t="shared" si="43"/>
        <v>1542626</v>
      </c>
      <c r="I131" s="46">
        <f t="shared" si="43"/>
        <v>0</v>
      </c>
      <c r="J131" s="46">
        <f t="shared" si="43"/>
        <v>6076981.21</v>
      </c>
      <c r="K131" s="46">
        <f t="shared" si="43"/>
        <v>57900</v>
      </c>
      <c r="L131" s="46">
        <f t="shared" si="43"/>
        <v>44700</v>
      </c>
      <c r="M131" s="46">
        <f t="shared" si="43"/>
        <v>0</v>
      </c>
      <c r="N131" s="46">
        <f t="shared" si="43"/>
        <v>6019081.21</v>
      </c>
      <c r="O131" s="46">
        <f t="shared" si="43"/>
        <v>6019081.21</v>
      </c>
      <c r="P131" s="46">
        <f t="shared" si="43"/>
        <v>1283940817.8000002</v>
      </c>
      <c r="Q131" s="285"/>
      <c r="R131" s="158"/>
      <c r="S131" s="158"/>
      <c r="T131" s="158"/>
    </row>
    <row r="132" spans="1:20" s="115" customFormat="1" ht="36" customHeight="1">
      <c r="A132" s="114" t="s">
        <v>291</v>
      </c>
      <c r="B132" s="125"/>
      <c r="C132" s="125"/>
      <c r="D132" s="124" t="s">
        <v>70</v>
      </c>
      <c r="E132" s="80">
        <f>E134+E147+E169+E183+E185+E189+E190+E193+E194+E201+E204+E206+E182+E186+E135+E141+E153+E170+E199+E205+E195</f>
        <v>1277863836.5900002</v>
      </c>
      <c r="F132" s="80">
        <f aca="true" t="shared" si="44" ref="F132:P132">F134+F147+F169+F183+F185+F189+F190+F193+F194+F201+F204+F206+F182+F186+F135+F141+F153+F170+F199+F205+F195</f>
        <v>1277863836.5900002</v>
      </c>
      <c r="G132" s="80">
        <f t="shared" si="44"/>
        <v>41420650</v>
      </c>
      <c r="H132" s="80">
        <f t="shared" si="44"/>
        <v>1542626</v>
      </c>
      <c r="I132" s="80">
        <f t="shared" si="44"/>
        <v>0</v>
      </c>
      <c r="J132" s="80">
        <f t="shared" si="44"/>
        <v>6076981.21</v>
      </c>
      <c r="K132" s="80">
        <f t="shared" si="44"/>
        <v>57900</v>
      </c>
      <c r="L132" s="80">
        <f t="shared" si="44"/>
        <v>44700</v>
      </c>
      <c r="M132" s="80">
        <f t="shared" si="44"/>
        <v>0</v>
      </c>
      <c r="N132" s="80">
        <f t="shared" si="44"/>
        <v>6019081.21</v>
      </c>
      <c r="O132" s="80">
        <f t="shared" si="44"/>
        <v>6019081.21</v>
      </c>
      <c r="P132" s="80">
        <f t="shared" si="44"/>
        <v>1283940817.8000002</v>
      </c>
      <c r="Q132" s="285"/>
      <c r="R132" s="164"/>
      <c r="S132" s="164"/>
      <c r="T132" s="164"/>
    </row>
    <row r="133" spans="1:20" s="115" customFormat="1" ht="23.25" customHeight="1">
      <c r="A133" s="114"/>
      <c r="B133" s="125"/>
      <c r="C133" s="125"/>
      <c r="D133" s="124" t="s">
        <v>416</v>
      </c>
      <c r="E133" s="80">
        <f>E136+E142+E154+E171+E200+E196</f>
        <v>1129586900</v>
      </c>
      <c r="F133" s="80">
        <f aca="true" t="shared" si="45" ref="F133:P133">F136+F142+F154+F171+F200+F196</f>
        <v>1129586900</v>
      </c>
      <c r="G133" s="80">
        <f t="shared" si="45"/>
        <v>0</v>
      </c>
      <c r="H133" s="80">
        <f t="shared" si="45"/>
        <v>0</v>
      </c>
      <c r="I133" s="80">
        <f t="shared" si="45"/>
        <v>0</v>
      </c>
      <c r="J133" s="80">
        <f t="shared" si="45"/>
        <v>4839581.21</v>
      </c>
      <c r="K133" s="80">
        <f t="shared" si="45"/>
        <v>0</v>
      </c>
      <c r="L133" s="80">
        <f t="shared" si="45"/>
        <v>0</v>
      </c>
      <c r="M133" s="80">
        <f t="shared" si="45"/>
        <v>0</v>
      </c>
      <c r="N133" s="80">
        <f t="shared" si="45"/>
        <v>4839581.21</v>
      </c>
      <c r="O133" s="80">
        <f t="shared" si="45"/>
        <v>4839581.21</v>
      </c>
      <c r="P133" s="80">
        <f t="shared" si="45"/>
        <v>1134426481.21</v>
      </c>
      <c r="Q133" s="285"/>
      <c r="R133" s="164"/>
      <c r="S133" s="164"/>
      <c r="T133" s="164"/>
    </row>
    <row r="134" spans="1:20" s="4" customFormat="1" ht="52.5" customHeight="1">
      <c r="A134" s="81" t="s">
        <v>292</v>
      </c>
      <c r="B134" s="81" t="str">
        <f>'дод. 4'!A14</f>
        <v>0160</v>
      </c>
      <c r="C134" s="81" t="str">
        <f>'дод. 4'!B14</f>
        <v>0111</v>
      </c>
      <c r="D134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4" s="83">
        <f>F134+I134</f>
        <v>40046818</v>
      </c>
      <c r="F134" s="83">
        <f>40471900-288000+100000-287082+50000</f>
        <v>40046818</v>
      </c>
      <c r="G134" s="83">
        <f>31781350-235313</f>
        <v>31546037</v>
      </c>
      <c r="H134" s="83">
        <v>676100</v>
      </c>
      <c r="I134" s="83"/>
      <c r="J134" s="83">
        <f>K134+N134</f>
        <v>572000</v>
      </c>
      <c r="K134" s="83"/>
      <c r="L134" s="83"/>
      <c r="M134" s="83"/>
      <c r="N134" s="83">
        <f>700000-128000</f>
        <v>572000</v>
      </c>
      <c r="O134" s="83">
        <f>700000-128000</f>
        <v>572000</v>
      </c>
      <c r="P134" s="83">
        <f>E134+J134</f>
        <v>40618818</v>
      </c>
      <c r="Q134" s="285"/>
      <c r="R134" s="160"/>
      <c r="S134" s="160"/>
      <c r="T134" s="160"/>
    </row>
    <row r="135" spans="1:20" s="4" customFormat="1" ht="78" customHeight="1">
      <c r="A135" s="81" t="s">
        <v>527</v>
      </c>
      <c r="B135" s="138" t="str">
        <f>'дод. 4'!A65</f>
        <v>3010</v>
      </c>
      <c r="C135" s="138">
        <f>'дод. 4'!B65</f>
        <v>0</v>
      </c>
      <c r="D135" s="110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5" s="83">
        <f aca="true" t="shared" si="46" ref="E135:P135">E137+E139</f>
        <v>772232100</v>
      </c>
      <c r="F135" s="83">
        <f>F137+F139</f>
        <v>772232100</v>
      </c>
      <c r="G135" s="83">
        <f t="shared" si="46"/>
        <v>0</v>
      </c>
      <c r="H135" s="83">
        <f t="shared" si="46"/>
        <v>0</v>
      </c>
      <c r="I135" s="83">
        <f t="shared" si="46"/>
        <v>0</v>
      </c>
      <c r="J135" s="83">
        <f t="shared" si="46"/>
        <v>0</v>
      </c>
      <c r="K135" s="83">
        <f t="shared" si="46"/>
        <v>0</v>
      </c>
      <c r="L135" s="83">
        <f t="shared" si="46"/>
        <v>0</v>
      </c>
      <c r="M135" s="83">
        <f t="shared" si="46"/>
        <v>0</v>
      </c>
      <c r="N135" s="83">
        <f t="shared" si="46"/>
        <v>0</v>
      </c>
      <c r="O135" s="83">
        <f t="shared" si="46"/>
        <v>0</v>
      </c>
      <c r="P135" s="83">
        <f t="shared" si="46"/>
        <v>772232100</v>
      </c>
      <c r="Q135" s="285"/>
      <c r="R135" s="165"/>
      <c r="S135" s="165"/>
      <c r="T135" s="165"/>
    </row>
    <row r="136" spans="1:20" s="4" customFormat="1" ht="15">
      <c r="A136" s="81"/>
      <c r="B136" s="138">
        <f>'дод. 4'!A66</f>
        <v>0</v>
      </c>
      <c r="C136" s="138">
        <f>'дод. 4'!B66</f>
        <v>0</v>
      </c>
      <c r="D136" s="110" t="str">
        <f>'дод. 4'!C66</f>
        <v>у т.ч. за рахунок субвенцій з держбюджету</v>
      </c>
      <c r="E136" s="83">
        <f aca="true" t="shared" si="47" ref="E136:P136">E138+E140</f>
        <v>772232100</v>
      </c>
      <c r="F136" s="83">
        <f t="shared" si="47"/>
        <v>772232100</v>
      </c>
      <c r="G136" s="83">
        <f t="shared" si="47"/>
        <v>0</v>
      </c>
      <c r="H136" s="83">
        <f t="shared" si="47"/>
        <v>0</v>
      </c>
      <c r="I136" s="83">
        <f t="shared" si="47"/>
        <v>0</v>
      </c>
      <c r="J136" s="83">
        <f t="shared" si="47"/>
        <v>0</v>
      </c>
      <c r="K136" s="83">
        <f t="shared" si="47"/>
        <v>0</v>
      </c>
      <c r="L136" s="83">
        <f t="shared" si="47"/>
        <v>0</v>
      </c>
      <c r="M136" s="83">
        <f t="shared" si="47"/>
        <v>0</v>
      </c>
      <c r="N136" s="83">
        <f t="shared" si="47"/>
        <v>0</v>
      </c>
      <c r="O136" s="83">
        <f t="shared" si="47"/>
        <v>0</v>
      </c>
      <c r="P136" s="83">
        <f t="shared" si="47"/>
        <v>772232100</v>
      </c>
      <c r="Q136" s="285"/>
      <c r="R136" s="165"/>
      <c r="S136" s="165"/>
      <c r="T136" s="165"/>
    </row>
    <row r="137" spans="1:20" s="116" customFormat="1" ht="45" customHeight="1">
      <c r="A137" s="84" t="s">
        <v>528</v>
      </c>
      <c r="B137" s="143" t="str">
        <f>'дод. 4'!A67</f>
        <v>3011</v>
      </c>
      <c r="C137" s="143">
        <f>'дод. 4'!B67</f>
        <v>1030</v>
      </c>
      <c r="D137" s="107" t="str">
        <f>'дод. 4'!C67</f>
        <v>Надання пільг на оплату житлово-комунальних послуг окремим категоріям громадян відповідно до законодавства </v>
      </c>
      <c r="E137" s="86">
        <f>F137+I137</f>
        <v>66261200</v>
      </c>
      <c r="F137" s="86">
        <v>66261200</v>
      </c>
      <c r="G137" s="86"/>
      <c r="H137" s="86"/>
      <c r="I137" s="86"/>
      <c r="J137" s="86">
        <f>K137+N137</f>
        <v>0</v>
      </c>
      <c r="K137" s="86"/>
      <c r="L137" s="86"/>
      <c r="M137" s="86"/>
      <c r="N137" s="86"/>
      <c r="O137" s="86"/>
      <c r="P137" s="86">
        <f>E137+J137</f>
        <v>66261200</v>
      </c>
      <c r="Q137" s="285"/>
      <c r="R137" s="162"/>
      <c r="S137" s="162"/>
      <c r="T137" s="162"/>
    </row>
    <row r="138" spans="1:20" s="116" customFormat="1" ht="15">
      <c r="A138" s="84"/>
      <c r="B138" s="143">
        <f>'дод. 4'!A68</f>
        <v>0</v>
      </c>
      <c r="C138" s="143">
        <f>'дод. 4'!B68</f>
        <v>0</v>
      </c>
      <c r="D138" s="107" t="str">
        <f>'дод. 4'!C68</f>
        <v>у т.ч. за рахунок субвенцій з держбюджету</v>
      </c>
      <c r="E138" s="86">
        <f>F138+I138</f>
        <v>66261200</v>
      </c>
      <c r="F138" s="86">
        <v>66261200</v>
      </c>
      <c r="G138" s="86"/>
      <c r="H138" s="86"/>
      <c r="I138" s="86"/>
      <c r="J138" s="86">
        <f>K138+N138</f>
        <v>0</v>
      </c>
      <c r="K138" s="86"/>
      <c r="L138" s="86"/>
      <c r="M138" s="86"/>
      <c r="N138" s="86"/>
      <c r="O138" s="86"/>
      <c r="P138" s="86">
        <f>E138+J138</f>
        <v>66261200</v>
      </c>
      <c r="Q138" s="285"/>
      <c r="R138" s="162"/>
      <c r="S138" s="162"/>
      <c r="T138" s="162"/>
    </row>
    <row r="139" spans="1:20" s="116" customFormat="1" ht="37.5" customHeight="1">
      <c r="A139" s="84" t="s">
        <v>529</v>
      </c>
      <c r="B139" s="143" t="str">
        <f>'дод. 4'!A69</f>
        <v>3012</v>
      </c>
      <c r="C139" s="143">
        <f>'дод. 4'!B69</f>
        <v>1060</v>
      </c>
      <c r="D139" s="107" t="str">
        <f>'дод. 4'!C69</f>
        <v>Надання субсидій населенню для відшкодування витрат на оплату житлово-комунальних послуг</v>
      </c>
      <c r="E139" s="86">
        <f>F139+I139</f>
        <v>705970900</v>
      </c>
      <c r="F139" s="86">
        <v>705970900</v>
      </c>
      <c r="G139" s="86"/>
      <c r="H139" s="86"/>
      <c r="I139" s="86"/>
      <c r="J139" s="86">
        <f>K139+N139</f>
        <v>0</v>
      </c>
      <c r="K139" s="86"/>
      <c r="L139" s="86"/>
      <c r="M139" s="86"/>
      <c r="N139" s="86"/>
      <c r="O139" s="86"/>
      <c r="P139" s="86">
        <f>E139+J139</f>
        <v>705970900</v>
      </c>
      <c r="Q139" s="285"/>
      <c r="R139" s="162"/>
      <c r="S139" s="162"/>
      <c r="T139" s="162"/>
    </row>
    <row r="140" spans="1:20" s="116" customFormat="1" ht="15">
      <c r="A140" s="84"/>
      <c r="B140" s="143">
        <f>'дод. 4'!A70</f>
        <v>0</v>
      </c>
      <c r="C140" s="143">
        <f>'дод. 4'!B70</f>
        <v>0</v>
      </c>
      <c r="D140" s="107" t="str">
        <f>'дод. 4'!C70</f>
        <v>у т.ч. за рахунок субвенцій з держбюджету</v>
      </c>
      <c r="E140" s="86">
        <f>F140+I140</f>
        <v>705970900</v>
      </c>
      <c r="F140" s="86">
        <v>705970900</v>
      </c>
      <c r="G140" s="86"/>
      <c r="H140" s="86"/>
      <c r="I140" s="86"/>
      <c r="J140" s="86">
        <f>K140+N140</f>
        <v>0</v>
      </c>
      <c r="K140" s="86"/>
      <c r="L140" s="86"/>
      <c r="M140" s="86"/>
      <c r="N140" s="86"/>
      <c r="O140" s="86"/>
      <c r="P140" s="86">
        <f>E140+J140</f>
        <v>705970900</v>
      </c>
      <c r="Q140" s="285"/>
      <c r="R140" s="162"/>
      <c r="S140" s="162"/>
      <c r="T140" s="162"/>
    </row>
    <row r="141" spans="1:20" s="4" customFormat="1" ht="45" customHeight="1">
      <c r="A141" s="81" t="s">
        <v>530</v>
      </c>
      <c r="B141" s="138" t="str">
        <f>'дод. 4'!A71</f>
        <v>3020</v>
      </c>
      <c r="C141" s="138">
        <f>'дод. 4'!B71</f>
        <v>0</v>
      </c>
      <c r="D141" s="108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1" s="83">
        <f aca="true" t="shared" si="48" ref="E141:P141">E143+E145</f>
        <v>375400</v>
      </c>
      <c r="F141" s="83">
        <f t="shared" si="48"/>
        <v>375400</v>
      </c>
      <c r="G141" s="83">
        <f t="shared" si="48"/>
        <v>0</v>
      </c>
      <c r="H141" s="83">
        <f t="shared" si="48"/>
        <v>0</v>
      </c>
      <c r="I141" s="83">
        <f t="shared" si="48"/>
        <v>0</v>
      </c>
      <c r="J141" s="83">
        <f t="shared" si="48"/>
        <v>0</v>
      </c>
      <c r="K141" s="83">
        <f t="shared" si="48"/>
        <v>0</v>
      </c>
      <c r="L141" s="83">
        <f t="shared" si="48"/>
        <v>0</v>
      </c>
      <c r="M141" s="83">
        <f t="shared" si="48"/>
        <v>0</v>
      </c>
      <c r="N141" s="83">
        <f t="shared" si="48"/>
        <v>0</v>
      </c>
      <c r="O141" s="83">
        <f t="shared" si="48"/>
        <v>0</v>
      </c>
      <c r="P141" s="83">
        <f t="shared" si="48"/>
        <v>375400</v>
      </c>
      <c r="Q141" s="285">
        <v>9</v>
      </c>
      <c r="R141" s="165"/>
      <c r="S141" s="165"/>
      <c r="T141" s="165"/>
    </row>
    <row r="142" spans="1:20" s="4" customFormat="1" ht="15">
      <c r="A142" s="81"/>
      <c r="B142" s="138">
        <f>'дод. 4'!A72</f>
        <v>0</v>
      </c>
      <c r="C142" s="138">
        <f>'дод. 4'!B72</f>
        <v>0</v>
      </c>
      <c r="D142" s="108" t="str">
        <f>'дод. 4'!C72</f>
        <v>у т.ч. за рахунок субвенцій з держбюджету</v>
      </c>
      <c r="E142" s="83">
        <f aca="true" t="shared" si="49" ref="E142:P142">E144+E146</f>
        <v>375400</v>
      </c>
      <c r="F142" s="83">
        <f t="shared" si="49"/>
        <v>375400</v>
      </c>
      <c r="G142" s="83">
        <f t="shared" si="49"/>
        <v>0</v>
      </c>
      <c r="H142" s="83">
        <f t="shared" si="49"/>
        <v>0</v>
      </c>
      <c r="I142" s="83">
        <f t="shared" si="49"/>
        <v>0</v>
      </c>
      <c r="J142" s="83">
        <f t="shared" si="49"/>
        <v>0</v>
      </c>
      <c r="K142" s="83">
        <f t="shared" si="49"/>
        <v>0</v>
      </c>
      <c r="L142" s="83">
        <f t="shared" si="49"/>
        <v>0</v>
      </c>
      <c r="M142" s="83">
        <f t="shared" si="49"/>
        <v>0</v>
      </c>
      <c r="N142" s="83">
        <f t="shared" si="49"/>
        <v>0</v>
      </c>
      <c r="O142" s="83">
        <f t="shared" si="49"/>
        <v>0</v>
      </c>
      <c r="P142" s="83">
        <f t="shared" si="49"/>
        <v>375400</v>
      </c>
      <c r="Q142" s="285"/>
      <c r="R142" s="165"/>
      <c r="S142" s="165"/>
      <c r="T142" s="165"/>
    </row>
    <row r="143" spans="1:20" s="116" customFormat="1" ht="59.25" customHeight="1">
      <c r="A143" s="84" t="s">
        <v>531</v>
      </c>
      <c r="B143" s="143" t="str">
        <f>'дод. 4'!A73</f>
        <v>3021</v>
      </c>
      <c r="C143" s="143">
        <f>'дод. 4'!B73</f>
        <v>1030</v>
      </c>
      <c r="D143" s="107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3" s="86">
        <f>F143+I143</f>
        <v>57630</v>
      </c>
      <c r="F143" s="86">
        <v>57630</v>
      </c>
      <c r="G143" s="86"/>
      <c r="H143" s="86"/>
      <c r="I143" s="86"/>
      <c r="J143" s="86">
        <f>K143+N143</f>
        <v>0</v>
      </c>
      <c r="K143" s="86"/>
      <c r="L143" s="86"/>
      <c r="M143" s="86"/>
      <c r="N143" s="86"/>
      <c r="O143" s="86"/>
      <c r="P143" s="86">
        <f>E143+J143</f>
        <v>57630</v>
      </c>
      <c r="Q143" s="285"/>
      <c r="R143" s="162"/>
      <c r="S143" s="162"/>
      <c r="T143" s="162"/>
    </row>
    <row r="144" spans="1:20" s="116" customFormat="1" ht="15">
      <c r="A144" s="84"/>
      <c r="B144" s="143">
        <f>'дод. 4'!A74</f>
        <v>0</v>
      </c>
      <c r="C144" s="143">
        <f>'дод. 4'!B74</f>
        <v>0</v>
      </c>
      <c r="D144" s="107" t="str">
        <f>'дод. 4'!C74</f>
        <v>у т.ч. за рахунок субвенцій з держбюджету</v>
      </c>
      <c r="E144" s="86">
        <f>F144+I144</f>
        <v>57630</v>
      </c>
      <c r="F144" s="86">
        <v>57630</v>
      </c>
      <c r="G144" s="86"/>
      <c r="H144" s="86"/>
      <c r="I144" s="86"/>
      <c r="J144" s="86">
        <f>K144+N144</f>
        <v>0</v>
      </c>
      <c r="K144" s="86"/>
      <c r="L144" s="86"/>
      <c r="M144" s="86"/>
      <c r="N144" s="86"/>
      <c r="O144" s="86"/>
      <c r="P144" s="86">
        <f>E144+J144</f>
        <v>57630</v>
      </c>
      <c r="Q144" s="285"/>
      <c r="R144" s="162"/>
      <c r="S144" s="162"/>
      <c r="T144" s="162"/>
    </row>
    <row r="145" spans="1:20" s="116" customFormat="1" ht="49.5" customHeight="1">
      <c r="A145" s="84" t="s">
        <v>532</v>
      </c>
      <c r="B145" s="143" t="str">
        <f>'дод. 4'!A75</f>
        <v>3022</v>
      </c>
      <c r="C145" s="143">
        <f>'дод. 4'!B75</f>
        <v>1060</v>
      </c>
      <c r="D145" s="107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5" s="86">
        <f>F145+I145</f>
        <v>317770</v>
      </c>
      <c r="F145" s="86">
        <v>317770</v>
      </c>
      <c r="G145" s="86"/>
      <c r="H145" s="86"/>
      <c r="I145" s="86"/>
      <c r="J145" s="86">
        <f>K145+N145</f>
        <v>0</v>
      </c>
      <c r="K145" s="86"/>
      <c r="L145" s="86"/>
      <c r="M145" s="86"/>
      <c r="N145" s="86"/>
      <c r="O145" s="86"/>
      <c r="P145" s="86">
        <f>E145+J145</f>
        <v>317770</v>
      </c>
      <c r="Q145" s="285"/>
      <c r="R145" s="162"/>
      <c r="S145" s="162"/>
      <c r="T145" s="162"/>
    </row>
    <row r="146" spans="1:20" s="116" customFormat="1" ht="15">
      <c r="A146" s="84"/>
      <c r="B146" s="143">
        <f>'дод. 4'!A76</f>
        <v>0</v>
      </c>
      <c r="C146" s="143">
        <f>'дод. 4'!B76</f>
        <v>0</v>
      </c>
      <c r="D146" s="107" t="str">
        <f>'дод. 4'!C76</f>
        <v>у т.ч. за рахунок субвенцій з держбюджету</v>
      </c>
      <c r="E146" s="86">
        <f>F146+I146</f>
        <v>317770</v>
      </c>
      <c r="F146" s="86">
        <v>317770</v>
      </c>
      <c r="G146" s="86"/>
      <c r="H146" s="86"/>
      <c r="I146" s="86"/>
      <c r="J146" s="86">
        <f>K146+N146</f>
        <v>0</v>
      </c>
      <c r="K146" s="86"/>
      <c r="L146" s="86"/>
      <c r="M146" s="86"/>
      <c r="N146" s="86"/>
      <c r="O146" s="86"/>
      <c r="P146" s="86">
        <f>E146+J146</f>
        <v>317770</v>
      </c>
      <c r="Q146" s="285"/>
      <c r="R146" s="162"/>
      <c r="S146" s="162"/>
      <c r="T146" s="162"/>
    </row>
    <row r="147" spans="1:21" s="126" customFormat="1" ht="60">
      <c r="A147" s="87" t="s">
        <v>293</v>
      </c>
      <c r="B147" s="87" t="str">
        <f>'дод. 4'!A77</f>
        <v>3030</v>
      </c>
      <c r="C147" s="87">
        <f>'дод. 4'!B77</f>
        <v>0</v>
      </c>
      <c r="D147" s="108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7" s="89">
        <f>E148+E149+E150+E152+E151</f>
        <v>51416439.89</v>
      </c>
      <c r="F147" s="89">
        <f aca="true" t="shared" si="50" ref="F147:P147">F148+F149+F150+F152+F151</f>
        <v>51416439.89</v>
      </c>
      <c r="G147" s="89">
        <f t="shared" si="50"/>
        <v>0</v>
      </c>
      <c r="H147" s="89">
        <f t="shared" si="50"/>
        <v>0</v>
      </c>
      <c r="I147" s="89">
        <f t="shared" si="50"/>
        <v>0</v>
      </c>
      <c r="J147" s="89">
        <f t="shared" si="50"/>
        <v>214000</v>
      </c>
      <c r="K147" s="89">
        <f t="shared" si="50"/>
        <v>0</v>
      </c>
      <c r="L147" s="89">
        <f t="shared" si="50"/>
        <v>0</v>
      </c>
      <c r="M147" s="89">
        <f t="shared" si="50"/>
        <v>0</v>
      </c>
      <c r="N147" s="89">
        <f t="shared" si="50"/>
        <v>214000</v>
      </c>
      <c r="O147" s="89">
        <f t="shared" si="50"/>
        <v>214000</v>
      </c>
      <c r="P147" s="89">
        <f t="shared" si="50"/>
        <v>51630439.89</v>
      </c>
      <c r="Q147" s="285"/>
      <c r="R147" s="161"/>
      <c r="S147" s="161"/>
      <c r="T147" s="161"/>
      <c r="U147" s="131"/>
    </row>
    <row r="148" spans="1:20" s="127" customFormat="1" ht="36" customHeight="1">
      <c r="A148" s="84" t="s">
        <v>294</v>
      </c>
      <c r="B148" s="84" t="str">
        <f>'дод. 4'!A78</f>
        <v>3031</v>
      </c>
      <c r="C148" s="84" t="str">
        <f>'дод. 4'!B78</f>
        <v>1030</v>
      </c>
      <c r="D148" s="107" t="str">
        <f>'дод. 4'!C78</f>
        <v>Надання інших пільг окремим категоріям громадян відповідно до законодавства</v>
      </c>
      <c r="E148" s="86">
        <f>F148+I148</f>
        <v>371502</v>
      </c>
      <c r="F148" s="86">
        <v>371502</v>
      </c>
      <c r="G148" s="86"/>
      <c r="H148" s="86"/>
      <c r="I148" s="86"/>
      <c r="J148" s="86">
        <f>K148+N148</f>
        <v>214000</v>
      </c>
      <c r="K148" s="86"/>
      <c r="L148" s="86"/>
      <c r="M148" s="86"/>
      <c r="N148" s="86">
        <v>214000</v>
      </c>
      <c r="O148" s="86">
        <v>214000</v>
      </c>
      <c r="P148" s="86">
        <f>E148+J148</f>
        <v>585502</v>
      </c>
      <c r="Q148" s="285"/>
      <c r="R148" s="162"/>
      <c r="S148" s="162"/>
      <c r="T148" s="162"/>
    </row>
    <row r="149" spans="1:20" s="127" customFormat="1" ht="30">
      <c r="A149" s="84" t="s">
        <v>295</v>
      </c>
      <c r="B149" s="84" t="str">
        <f>'дод. 4'!A79</f>
        <v>3032</v>
      </c>
      <c r="C149" s="84" t="str">
        <f>'дод. 4'!B79</f>
        <v>1070</v>
      </c>
      <c r="D149" s="107" t="str">
        <f>'дод. 4'!C79</f>
        <v>Надання пільг окремим категоріям громадян з оплати послуг зв'язку</v>
      </c>
      <c r="E149" s="86">
        <f>F149+I149</f>
        <v>1541402</v>
      </c>
      <c r="F149" s="86">
        <v>1541402</v>
      </c>
      <c r="G149" s="86"/>
      <c r="H149" s="86"/>
      <c r="I149" s="86"/>
      <c r="J149" s="86">
        <f>K149+N149</f>
        <v>0</v>
      </c>
      <c r="K149" s="86"/>
      <c r="L149" s="86"/>
      <c r="M149" s="86"/>
      <c r="N149" s="86"/>
      <c r="O149" s="86"/>
      <c r="P149" s="86">
        <f>E149+J149</f>
        <v>1541402</v>
      </c>
      <c r="Q149" s="285"/>
      <c r="R149" s="162"/>
      <c r="S149" s="162"/>
      <c r="T149" s="162"/>
    </row>
    <row r="150" spans="1:20" s="127" customFormat="1" ht="45">
      <c r="A150" s="84" t="s">
        <v>296</v>
      </c>
      <c r="B150" s="84" t="str">
        <f>'дод. 4'!A80</f>
        <v>3033</v>
      </c>
      <c r="C150" s="84" t="str">
        <f>'дод. 4'!B80</f>
        <v>1070</v>
      </c>
      <c r="D150" s="107" t="str">
        <f>'дод. 4'!C80</f>
        <v>Компенсаційні виплати на пільговий проїзд автомобільним транспортом окремим категоріям громадян</v>
      </c>
      <c r="E150" s="86">
        <f>F150+I150</f>
        <v>14310109.89</v>
      </c>
      <c r="F150" s="86">
        <f>9466596+101200+4000000+491337.34+250976.55</f>
        <v>14310109.89</v>
      </c>
      <c r="G150" s="86"/>
      <c r="H150" s="86"/>
      <c r="I150" s="86"/>
      <c r="J150" s="86">
        <f>K150+N150</f>
        <v>0</v>
      </c>
      <c r="K150" s="86"/>
      <c r="L150" s="86"/>
      <c r="M150" s="86"/>
      <c r="N150" s="86"/>
      <c r="O150" s="86"/>
      <c r="P150" s="86">
        <f>E150+J150</f>
        <v>14310109.89</v>
      </c>
      <c r="Q150" s="285"/>
      <c r="R150" s="162"/>
      <c r="S150" s="162"/>
      <c r="T150" s="162"/>
    </row>
    <row r="151" spans="1:20" s="127" customFormat="1" ht="45">
      <c r="A151" s="84" t="s">
        <v>596</v>
      </c>
      <c r="B151" s="84" t="str">
        <f>'дод. 4'!A81</f>
        <v>3035</v>
      </c>
      <c r="C151" s="84" t="str">
        <f>'дод. 4'!B81</f>
        <v>1070</v>
      </c>
      <c r="D151" s="107" t="str">
        <f>'дод. 4'!C81</f>
        <v>Компенсаційні виплати за пільговий проїзд окремих категорій громадян на залізничному транспорті</v>
      </c>
      <c r="E151" s="86">
        <f>F151+I151</f>
        <v>2000000</v>
      </c>
      <c r="F151" s="86">
        <f>1000000+1000000</f>
        <v>2000000</v>
      </c>
      <c r="G151" s="86"/>
      <c r="H151" s="86"/>
      <c r="I151" s="86"/>
      <c r="J151" s="86">
        <f>K151+N151</f>
        <v>0</v>
      </c>
      <c r="K151" s="86"/>
      <c r="L151" s="86"/>
      <c r="M151" s="86"/>
      <c r="N151" s="86"/>
      <c r="O151" s="86"/>
      <c r="P151" s="86">
        <f>E151+J151</f>
        <v>2000000</v>
      </c>
      <c r="Q151" s="285"/>
      <c r="R151" s="162"/>
      <c r="S151" s="162"/>
      <c r="T151" s="162"/>
    </row>
    <row r="152" spans="1:20" s="127" customFormat="1" ht="49.5" customHeight="1">
      <c r="A152" s="84" t="s">
        <v>297</v>
      </c>
      <c r="B152" s="84" t="str">
        <f>'дод. 4'!A82</f>
        <v>3036</v>
      </c>
      <c r="C152" s="84" t="str">
        <f>'дод. 4'!B82</f>
        <v>1070</v>
      </c>
      <c r="D152" s="107" t="str">
        <f>'дод. 4'!C82</f>
        <v>Компенсаційні виплати на пільговий проїзд електротранспортом окремим категоріям громадян</v>
      </c>
      <c r="E152" s="86">
        <f>F152+I152</f>
        <v>33193426</v>
      </c>
      <c r="F152" s="86">
        <f>27193426+6000000</f>
        <v>33193426</v>
      </c>
      <c r="G152" s="86"/>
      <c r="H152" s="86"/>
      <c r="I152" s="86"/>
      <c r="J152" s="86">
        <f>K152+N152</f>
        <v>0</v>
      </c>
      <c r="K152" s="86"/>
      <c r="L152" s="86"/>
      <c r="M152" s="86"/>
      <c r="N152" s="86"/>
      <c r="O152" s="86"/>
      <c r="P152" s="86">
        <f>E152+J152</f>
        <v>33193426</v>
      </c>
      <c r="Q152" s="285"/>
      <c r="R152" s="162"/>
      <c r="S152" s="162"/>
      <c r="T152" s="162"/>
    </row>
    <row r="153" spans="1:20" s="136" customFormat="1" ht="51.75" customHeight="1">
      <c r="A153" s="138" t="s">
        <v>549</v>
      </c>
      <c r="B153" s="138" t="str">
        <f>'дод. 4'!A83</f>
        <v>3040</v>
      </c>
      <c r="C153" s="138">
        <f>'дод. 4'!B83</f>
        <v>0</v>
      </c>
      <c r="D153" s="108" t="str">
        <f>'дод. 4'!C83</f>
        <v>Надання допомоги сім'ям з дітьми, малозабезпеченим сім’ям, тимчасової допомоги дітям</v>
      </c>
      <c r="E153" s="83">
        <f aca="true" t="shared" si="51" ref="E153:P153">E155+E157+E159+E161+E163+E165+E167</f>
        <v>257256180</v>
      </c>
      <c r="F153" s="83">
        <f t="shared" si="51"/>
        <v>257256180</v>
      </c>
      <c r="G153" s="83">
        <f t="shared" si="51"/>
        <v>0</v>
      </c>
      <c r="H153" s="83">
        <f t="shared" si="51"/>
        <v>0</v>
      </c>
      <c r="I153" s="83">
        <f t="shared" si="51"/>
        <v>0</v>
      </c>
      <c r="J153" s="83">
        <f t="shared" si="51"/>
        <v>0</v>
      </c>
      <c r="K153" s="83">
        <f t="shared" si="51"/>
        <v>0</v>
      </c>
      <c r="L153" s="83">
        <f t="shared" si="51"/>
        <v>0</v>
      </c>
      <c r="M153" s="83">
        <f t="shared" si="51"/>
        <v>0</v>
      </c>
      <c r="N153" s="83">
        <f t="shared" si="51"/>
        <v>0</v>
      </c>
      <c r="O153" s="83">
        <f t="shared" si="51"/>
        <v>0</v>
      </c>
      <c r="P153" s="83">
        <f t="shared" si="51"/>
        <v>257256180</v>
      </c>
      <c r="Q153" s="285"/>
      <c r="R153" s="165"/>
      <c r="S153" s="165"/>
      <c r="T153" s="165"/>
    </row>
    <row r="154" spans="1:20" s="136" customFormat="1" ht="19.5" customHeight="1">
      <c r="A154" s="138"/>
      <c r="B154" s="138">
        <f>'дод. 4'!A84</f>
        <v>0</v>
      </c>
      <c r="C154" s="138">
        <f>'дод. 4'!B84</f>
        <v>0</v>
      </c>
      <c r="D154" s="108" t="str">
        <f>'дод. 4'!C84</f>
        <v>у т.ч. за рахунок субвенцій з держбюджету</v>
      </c>
      <c r="E154" s="83">
        <f aca="true" t="shared" si="52" ref="E154:P154">E156+E158+E160+E162+E164+E166+E168</f>
        <v>257256180</v>
      </c>
      <c r="F154" s="83">
        <f t="shared" si="52"/>
        <v>257256180</v>
      </c>
      <c r="G154" s="83">
        <f t="shared" si="52"/>
        <v>0</v>
      </c>
      <c r="H154" s="83">
        <f t="shared" si="52"/>
        <v>0</v>
      </c>
      <c r="I154" s="83">
        <f t="shared" si="52"/>
        <v>0</v>
      </c>
      <c r="J154" s="83">
        <f t="shared" si="52"/>
        <v>0</v>
      </c>
      <c r="K154" s="83">
        <f t="shared" si="52"/>
        <v>0</v>
      </c>
      <c r="L154" s="83">
        <f t="shared" si="52"/>
        <v>0</v>
      </c>
      <c r="M154" s="83">
        <f t="shared" si="52"/>
        <v>0</v>
      </c>
      <c r="N154" s="83">
        <f t="shared" si="52"/>
        <v>0</v>
      </c>
      <c r="O154" s="83">
        <f t="shared" si="52"/>
        <v>0</v>
      </c>
      <c r="P154" s="83">
        <f t="shared" si="52"/>
        <v>257256180</v>
      </c>
      <c r="Q154" s="285"/>
      <c r="R154" s="165"/>
      <c r="S154" s="165"/>
      <c r="T154" s="165"/>
    </row>
    <row r="155" spans="1:20" s="127" customFormat="1" ht="27" customHeight="1">
      <c r="A155" s="143" t="s">
        <v>550</v>
      </c>
      <c r="B155" s="143" t="str">
        <f>'дод. 4'!A85</f>
        <v>3041</v>
      </c>
      <c r="C155" s="143" t="str">
        <f>'дод. 4'!B85</f>
        <v>1040</v>
      </c>
      <c r="D155" s="107" t="str">
        <f>'дод. 4'!C85</f>
        <v>Надання допомоги у зв'язку з вагітністю і пологами</v>
      </c>
      <c r="E155" s="86">
        <f aca="true" t="shared" si="53" ref="E155:E169">F155+I155</f>
        <v>3598320</v>
      </c>
      <c r="F155" s="86">
        <v>3598320</v>
      </c>
      <c r="G155" s="86"/>
      <c r="H155" s="86"/>
      <c r="I155" s="86"/>
      <c r="J155" s="86">
        <f>K155+N155</f>
        <v>0</v>
      </c>
      <c r="K155" s="86"/>
      <c r="L155" s="86"/>
      <c r="M155" s="86"/>
      <c r="N155" s="86"/>
      <c r="O155" s="86"/>
      <c r="P155" s="86">
        <f aca="true" t="shared" si="54" ref="P155:P169">E155+J155</f>
        <v>3598320</v>
      </c>
      <c r="Q155" s="285"/>
      <c r="R155" s="162"/>
      <c r="S155" s="162"/>
      <c r="T155" s="162"/>
    </row>
    <row r="156" spans="1:20" s="127" customFormat="1" ht="19.5" customHeight="1">
      <c r="A156" s="143"/>
      <c r="B156" s="143">
        <f>'дод. 4'!A86</f>
        <v>0</v>
      </c>
      <c r="C156" s="143">
        <f>'дод. 4'!B86</f>
        <v>0</v>
      </c>
      <c r="D156" s="107" t="str">
        <f>'дод. 4'!C86</f>
        <v>у т.ч. за рахунок субвенцій з держбюджету</v>
      </c>
      <c r="E156" s="86">
        <f t="shared" si="53"/>
        <v>3598320</v>
      </c>
      <c r="F156" s="86">
        <v>3598320</v>
      </c>
      <c r="G156" s="86"/>
      <c r="H156" s="86"/>
      <c r="I156" s="86"/>
      <c r="J156" s="86">
        <f aca="true" t="shared" si="55" ref="J156:J168">K156+N156</f>
        <v>0</v>
      </c>
      <c r="K156" s="86"/>
      <c r="L156" s="86"/>
      <c r="M156" s="86"/>
      <c r="N156" s="86"/>
      <c r="O156" s="86"/>
      <c r="P156" s="86">
        <f t="shared" si="54"/>
        <v>3598320</v>
      </c>
      <c r="Q156" s="285"/>
      <c r="R156" s="162"/>
      <c r="S156" s="162"/>
      <c r="T156" s="162"/>
    </row>
    <row r="157" spans="1:20" s="127" customFormat="1" ht="21" customHeight="1">
      <c r="A157" s="143" t="s">
        <v>551</v>
      </c>
      <c r="B157" s="143" t="str">
        <f>'дод. 4'!A87</f>
        <v>3042</v>
      </c>
      <c r="C157" s="143" t="str">
        <f>'дод. 4'!B87</f>
        <v>1040</v>
      </c>
      <c r="D157" s="107" t="str">
        <f>'дод. 4'!C87</f>
        <v>Надання допомоги при усиновленні дитини</v>
      </c>
      <c r="E157" s="86">
        <f t="shared" si="53"/>
        <v>392160</v>
      </c>
      <c r="F157" s="86">
        <v>392160</v>
      </c>
      <c r="G157" s="86"/>
      <c r="H157" s="86"/>
      <c r="I157" s="86"/>
      <c r="J157" s="86">
        <f t="shared" si="55"/>
        <v>0</v>
      </c>
      <c r="K157" s="86"/>
      <c r="L157" s="86"/>
      <c r="M157" s="86"/>
      <c r="N157" s="86"/>
      <c r="O157" s="86"/>
      <c r="P157" s="86">
        <f t="shared" si="54"/>
        <v>392160</v>
      </c>
      <c r="Q157" s="285"/>
      <c r="R157" s="162"/>
      <c r="S157" s="162"/>
      <c r="T157" s="162"/>
    </row>
    <row r="158" spans="1:20" s="127" customFormat="1" ht="19.5" customHeight="1">
      <c r="A158" s="143"/>
      <c r="B158" s="143">
        <f>'дод. 4'!A88</f>
        <v>0</v>
      </c>
      <c r="C158" s="143">
        <f>'дод. 4'!B88</f>
        <v>0</v>
      </c>
      <c r="D158" s="107" t="str">
        <f>'дод. 4'!C88</f>
        <v>у т.ч. за рахунок субвенцій з держбюджету</v>
      </c>
      <c r="E158" s="86">
        <f t="shared" si="53"/>
        <v>392160</v>
      </c>
      <c r="F158" s="86">
        <v>392160</v>
      </c>
      <c r="G158" s="86"/>
      <c r="H158" s="86"/>
      <c r="I158" s="86"/>
      <c r="J158" s="86">
        <f t="shared" si="55"/>
        <v>0</v>
      </c>
      <c r="K158" s="86"/>
      <c r="L158" s="86"/>
      <c r="M158" s="86"/>
      <c r="N158" s="86"/>
      <c r="O158" s="86"/>
      <c r="P158" s="86">
        <f t="shared" si="54"/>
        <v>392160</v>
      </c>
      <c r="Q158" s="285"/>
      <c r="R158" s="162"/>
      <c r="S158" s="162"/>
      <c r="T158" s="162"/>
    </row>
    <row r="159" spans="1:20" s="127" customFormat="1" ht="19.5" customHeight="1">
      <c r="A159" s="143" t="s">
        <v>552</v>
      </c>
      <c r="B159" s="143" t="str">
        <f>'дод. 4'!A89</f>
        <v>3043</v>
      </c>
      <c r="C159" s="143" t="str">
        <f>'дод. 4'!B89</f>
        <v>1040</v>
      </c>
      <c r="D159" s="107" t="str">
        <f>'дод. 4'!C89</f>
        <v>Надання допомоги при народженні дитини</v>
      </c>
      <c r="E159" s="86">
        <f t="shared" si="53"/>
        <v>134165700</v>
      </c>
      <c r="F159" s="86">
        <v>134165700</v>
      </c>
      <c r="G159" s="86"/>
      <c r="H159" s="86"/>
      <c r="I159" s="86"/>
      <c r="J159" s="86">
        <f t="shared" si="55"/>
        <v>0</v>
      </c>
      <c r="K159" s="86"/>
      <c r="L159" s="86"/>
      <c r="M159" s="86"/>
      <c r="N159" s="86"/>
      <c r="O159" s="86"/>
      <c r="P159" s="86">
        <f t="shared" si="54"/>
        <v>134165700</v>
      </c>
      <c r="Q159" s="285"/>
      <c r="R159" s="162"/>
      <c r="S159" s="162"/>
      <c r="T159" s="162"/>
    </row>
    <row r="160" spans="1:20" s="127" customFormat="1" ht="19.5" customHeight="1">
      <c r="A160" s="143"/>
      <c r="B160" s="143">
        <f>'дод. 4'!A90</f>
        <v>0</v>
      </c>
      <c r="C160" s="143">
        <f>'дод. 4'!B90</f>
        <v>0</v>
      </c>
      <c r="D160" s="107" t="str">
        <f>'дод. 4'!C90</f>
        <v>у т.ч. за рахунок субвенцій з держбюджету</v>
      </c>
      <c r="E160" s="86">
        <f t="shared" si="53"/>
        <v>134165700</v>
      </c>
      <c r="F160" s="86">
        <v>134165700</v>
      </c>
      <c r="G160" s="86"/>
      <c r="H160" s="86"/>
      <c r="I160" s="86"/>
      <c r="J160" s="86">
        <f t="shared" si="55"/>
        <v>0</v>
      </c>
      <c r="K160" s="86"/>
      <c r="L160" s="86"/>
      <c r="M160" s="86"/>
      <c r="N160" s="86"/>
      <c r="O160" s="86"/>
      <c r="P160" s="86">
        <f t="shared" si="54"/>
        <v>134165700</v>
      </c>
      <c r="Q160" s="285"/>
      <c r="R160" s="162"/>
      <c r="S160" s="162"/>
      <c r="T160" s="162"/>
    </row>
    <row r="161" spans="1:20" s="127" customFormat="1" ht="30.75" customHeight="1">
      <c r="A161" s="143" t="s">
        <v>553</v>
      </c>
      <c r="B161" s="143" t="str">
        <f>'дод. 4'!A91</f>
        <v>3044</v>
      </c>
      <c r="C161" s="143" t="str">
        <f>'дод. 4'!B91</f>
        <v>1040</v>
      </c>
      <c r="D161" s="107" t="str">
        <f>'дод. 4'!C91</f>
        <v>Надання допомоги на дітей, над якими встановлено опіку чи піклування</v>
      </c>
      <c r="E161" s="86">
        <f t="shared" si="53"/>
        <v>10265200</v>
      </c>
      <c r="F161" s="86">
        <v>10265200</v>
      </c>
      <c r="G161" s="86"/>
      <c r="H161" s="86"/>
      <c r="I161" s="86"/>
      <c r="J161" s="86">
        <f t="shared" si="55"/>
        <v>0</v>
      </c>
      <c r="K161" s="86"/>
      <c r="L161" s="86"/>
      <c r="M161" s="86"/>
      <c r="N161" s="86"/>
      <c r="O161" s="86"/>
      <c r="P161" s="86">
        <f t="shared" si="54"/>
        <v>10265200</v>
      </c>
      <c r="Q161" s="285"/>
      <c r="R161" s="162"/>
      <c r="S161" s="162"/>
      <c r="T161" s="162"/>
    </row>
    <row r="162" spans="1:20" s="127" customFormat="1" ht="19.5" customHeight="1">
      <c r="A162" s="143"/>
      <c r="B162" s="143">
        <f>'дод. 4'!A92</f>
        <v>0</v>
      </c>
      <c r="C162" s="143">
        <f>'дод. 4'!B92</f>
        <v>0</v>
      </c>
      <c r="D162" s="107" t="str">
        <f>'дод. 4'!C92</f>
        <v>у т.ч. за рахунок субвенцій з держбюджету</v>
      </c>
      <c r="E162" s="86">
        <f t="shared" si="53"/>
        <v>10265200</v>
      </c>
      <c r="F162" s="86">
        <v>10265200</v>
      </c>
      <c r="G162" s="86"/>
      <c r="H162" s="86"/>
      <c r="I162" s="86"/>
      <c r="J162" s="86">
        <f t="shared" si="55"/>
        <v>0</v>
      </c>
      <c r="K162" s="86"/>
      <c r="L162" s="86"/>
      <c r="M162" s="86"/>
      <c r="N162" s="86"/>
      <c r="O162" s="86"/>
      <c r="P162" s="86">
        <f t="shared" si="54"/>
        <v>10265200</v>
      </c>
      <c r="Q162" s="285"/>
      <c r="R162" s="162"/>
      <c r="S162" s="162"/>
      <c r="T162" s="162"/>
    </row>
    <row r="163" spans="1:20" s="127" customFormat="1" ht="22.5" customHeight="1">
      <c r="A163" s="143" t="s">
        <v>554</v>
      </c>
      <c r="B163" s="143" t="str">
        <f>'дод. 4'!A93</f>
        <v>3045</v>
      </c>
      <c r="C163" s="143" t="str">
        <f>'дод. 4'!B93</f>
        <v>1040</v>
      </c>
      <c r="D163" s="107" t="str">
        <f>'дод. 4'!C93</f>
        <v>Надання допомоги на дітей одиноким матерям</v>
      </c>
      <c r="E163" s="86">
        <f t="shared" si="53"/>
        <v>50558840</v>
      </c>
      <c r="F163" s="86">
        <v>50558840</v>
      </c>
      <c r="G163" s="86"/>
      <c r="H163" s="86"/>
      <c r="I163" s="86"/>
      <c r="J163" s="86">
        <f t="shared" si="55"/>
        <v>0</v>
      </c>
      <c r="K163" s="86"/>
      <c r="L163" s="86"/>
      <c r="M163" s="86"/>
      <c r="N163" s="86"/>
      <c r="O163" s="86"/>
      <c r="P163" s="86">
        <f t="shared" si="54"/>
        <v>50558840</v>
      </c>
      <c r="Q163" s="285"/>
      <c r="R163" s="162"/>
      <c r="S163" s="162"/>
      <c r="T163" s="162"/>
    </row>
    <row r="164" spans="1:20" s="127" customFormat="1" ht="19.5" customHeight="1">
      <c r="A164" s="143"/>
      <c r="B164" s="143">
        <f>'дод. 4'!A94</f>
        <v>0</v>
      </c>
      <c r="C164" s="143">
        <f>'дод. 4'!B94</f>
        <v>0</v>
      </c>
      <c r="D164" s="107" t="str">
        <f>'дод. 4'!C94</f>
        <v>у т.ч. за рахунок субвенцій з держбюджету</v>
      </c>
      <c r="E164" s="86">
        <f t="shared" si="53"/>
        <v>50558840</v>
      </c>
      <c r="F164" s="86">
        <v>50558840</v>
      </c>
      <c r="G164" s="86"/>
      <c r="H164" s="86"/>
      <c r="I164" s="86"/>
      <c r="J164" s="86">
        <f t="shared" si="55"/>
        <v>0</v>
      </c>
      <c r="K164" s="86"/>
      <c r="L164" s="86"/>
      <c r="M164" s="86"/>
      <c r="N164" s="86"/>
      <c r="O164" s="86"/>
      <c r="P164" s="86">
        <f t="shared" si="54"/>
        <v>50558840</v>
      </c>
      <c r="Q164" s="285"/>
      <c r="R164" s="162"/>
      <c r="S164" s="162"/>
      <c r="T164" s="162"/>
    </row>
    <row r="165" spans="1:20" s="127" customFormat="1" ht="22.5" customHeight="1">
      <c r="A165" s="143" t="s">
        <v>555</v>
      </c>
      <c r="B165" s="143" t="str">
        <f>'дод. 4'!A95</f>
        <v>3046</v>
      </c>
      <c r="C165" s="143" t="str">
        <f>'дод. 4'!B95</f>
        <v>1040</v>
      </c>
      <c r="D165" s="107" t="str">
        <f>'дод. 4'!C95</f>
        <v>Надання тимчасової державної допомоги дітям</v>
      </c>
      <c r="E165" s="86">
        <f t="shared" si="53"/>
        <v>2245360</v>
      </c>
      <c r="F165" s="86">
        <v>2245360</v>
      </c>
      <c r="G165" s="86"/>
      <c r="H165" s="86"/>
      <c r="I165" s="86"/>
      <c r="J165" s="86">
        <f t="shared" si="55"/>
        <v>0</v>
      </c>
      <c r="K165" s="86"/>
      <c r="L165" s="86"/>
      <c r="M165" s="86"/>
      <c r="N165" s="86"/>
      <c r="O165" s="86"/>
      <c r="P165" s="86">
        <f t="shared" si="54"/>
        <v>2245360</v>
      </c>
      <c r="Q165" s="285"/>
      <c r="R165" s="162"/>
      <c r="S165" s="162"/>
      <c r="T165" s="162"/>
    </row>
    <row r="166" spans="1:20" s="127" customFormat="1" ht="19.5" customHeight="1">
      <c r="A166" s="143"/>
      <c r="B166" s="143">
        <f>'дод. 4'!A96</f>
        <v>0</v>
      </c>
      <c r="C166" s="143">
        <f>'дод. 4'!B96</f>
        <v>0</v>
      </c>
      <c r="D166" s="107" t="str">
        <f>'дод. 4'!C96</f>
        <v>у т.ч. за рахунок субвенцій з держбюджету</v>
      </c>
      <c r="E166" s="86">
        <f t="shared" si="53"/>
        <v>2245360</v>
      </c>
      <c r="F166" s="86">
        <v>2245360</v>
      </c>
      <c r="G166" s="86"/>
      <c r="H166" s="86"/>
      <c r="I166" s="86"/>
      <c r="J166" s="86">
        <f t="shared" si="55"/>
        <v>0</v>
      </c>
      <c r="K166" s="86"/>
      <c r="L166" s="86"/>
      <c r="M166" s="86"/>
      <c r="N166" s="86"/>
      <c r="O166" s="86"/>
      <c r="P166" s="86">
        <f t="shared" si="54"/>
        <v>2245360</v>
      </c>
      <c r="Q166" s="285"/>
      <c r="R166" s="162"/>
      <c r="S166" s="162"/>
      <c r="T166" s="162"/>
    </row>
    <row r="167" spans="1:20" s="127" customFormat="1" ht="31.5" customHeight="1">
      <c r="A167" s="143" t="s">
        <v>556</v>
      </c>
      <c r="B167" s="143" t="str">
        <f>'дод. 4'!A97</f>
        <v>3047</v>
      </c>
      <c r="C167" s="143" t="str">
        <f>'дод. 4'!B97</f>
        <v>1040</v>
      </c>
      <c r="D167" s="107" t="str">
        <f>'дод. 4'!C97</f>
        <v>Надання державної соціальної допомоги малозабезпеченим сім’ям</v>
      </c>
      <c r="E167" s="86">
        <f t="shared" si="53"/>
        <v>56030600</v>
      </c>
      <c r="F167" s="86">
        <v>56030600</v>
      </c>
      <c r="G167" s="86"/>
      <c r="H167" s="86"/>
      <c r="I167" s="86"/>
      <c r="J167" s="86">
        <f t="shared" si="55"/>
        <v>0</v>
      </c>
      <c r="K167" s="86"/>
      <c r="L167" s="86"/>
      <c r="M167" s="86"/>
      <c r="N167" s="86"/>
      <c r="O167" s="86"/>
      <c r="P167" s="86">
        <f t="shared" si="54"/>
        <v>56030600</v>
      </c>
      <c r="Q167" s="285"/>
      <c r="R167" s="162"/>
      <c r="S167" s="162"/>
      <c r="T167" s="162"/>
    </row>
    <row r="168" spans="1:20" s="127" customFormat="1" ht="19.5" customHeight="1">
      <c r="A168" s="143"/>
      <c r="B168" s="143">
        <f>'дод. 4'!A98</f>
        <v>0</v>
      </c>
      <c r="C168" s="143">
        <f>'дод. 4'!B98</f>
        <v>0</v>
      </c>
      <c r="D168" s="107" t="str">
        <f>'дод. 4'!C98</f>
        <v>у т.ч. за рахунок субвенцій з держбюджету</v>
      </c>
      <c r="E168" s="86">
        <f t="shared" si="53"/>
        <v>56030600</v>
      </c>
      <c r="F168" s="86">
        <v>56030600</v>
      </c>
      <c r="G168" s="86"/>
      <c r="H168" s="86"/>
      <c r="I168" s="86"/>
      <c r="J168" s="86">
        <f t="shared" si="55"/>
        <v>0</v>
      </c>
      <c r="K168" s="86"/>
      <c r="L168" s="86"/>
      <c r="M168" s="86"/>
      <c r="N168" s="86"/>
      <c r="O168" s="86"/>
      <c r="P168" s="86">
        <f t="shared" si="54"/>
        <v>56030600</v>
      </c>
      <c r="Q168" s="285"/>
      <c r="R168" s="162"/>
      <c r="S168" s="162"/>
      <c r="T168" s="162"/>
    </row>
    <row r="169" spans="1:20" s="4" customFormat="1" ht="45.75" customHeight="1">
      <c r="A169" s="87" t="s">
        <v>298</v>
      </c>
      <c r="B169" s="87" t="str">
        <f>'дод. 4'!A99</f>
        <v>3050</v>
      </c>
      <c r="C169" s="87" t="str">
        <f>'дод. 4'!B99</f>
        <v>1070</v>
      </c>
      <c r="D169" s="108" t="str">
        <f>'дод. 4'!C99</f>
        <v>Пільгове медичне обслуговування осіб, які постраждали внаслідок Чорнобильської катастрофи</v>
      </c>
      <c r="E169" s="89">
        <f t="shared" si="53"/>
        <v>625100</v>
      </c>
      <c r="F169" s="89">
        <f>578335+625100-578335</f>
        <v>625100</v>
      </c>
      <c r="G169" s="89"/>
      <c r="H169" s="89"/>
      <c r="I169" s="89"/>
      <c r="J169" s="89">
        <f>K169+N169</f>
        <v>0</v>
      </c>
      <c r="K169" s="89"/>
      <c r="L169" s="89"/>
      <c r="M169" s="89"/>
      <c r="N169" s="89"/>
      <c r="O169" s="89"/>
      <c r="P169" s="89">
        <f t="shared" si="54"/>
        <v>625100</v>
      </c>
      <c r="Q169" s="285"/>
      <c r="R169" s="160"/>
      <c r="S169" s="160"/>
      <c r="T169" s="160"/>
    </row>
    <row r="170" spans="1:20" s="4" customFormat="1" ht="153.75" customHeight="1">
      <c r="A170" s="87" t="s">
        <v>571</v>
      </c>
      <c r="B170" s="87" t="str">
        <f>'дод. 4'!A100</f>
        <v>3080</v>
      </c>
      <c r="C170" s="87">
        <f>'дод. 4'!B100</f>
        <v>0</v>
      </c>
      <c r="D170" s="88" t="s">
        <v>563</v>
      </c>
      <c r="E170" s="89">
        <f aca="true" t="shared" si="56" ref="E170:P170">E172+E174+E176+E178+E180</f>
        <v>97227520</v>
      </c>
      <c r="F170" s="89">
        <f t="shared" si="56"/>
        <v>97227520</v>
      </c>
      <c r="G170" s="89">
        <f t="shared" si="56"/>
        <v>0</v>
      </c>
      <c r="H170" s="89">
        <f t="shared" si="56"/>
        <v>0</v>
      </c>
      <c r="I170" s="89">
        <f t="shared" si="56"/>
        <v>0</v>
      </c>
      <c r="J170" s="89">
        <f t="shared" si="56"/>
        <v>0</v>
      </c>
      <c r="K170" s="89">
        <f t="shared" si="56"/>
        <v>0</v>
      </c>
      <c r="L170" s="89">
        <f t="shared" si="56"/>
        <v>0</v>
      </c>
      <c r="M170" s="89">
        <f t="shared" si="56"/>
        <v>0</v>
      </c>
      <c r="N170" s="89">
        <f t="shared" si="56"/>
        <v>0</v>
      </c>
      <c r="O170" s="89">
        <f t="shared" si="56"/>
        <v>0</v>
      </c>
      <c r="P170" s="89">
        <f t="shared" si="56"/>
        <v>97227520</v>
      </c>
      <c r="Q170" s="285"/>
      <c r="R170" s="168"/>
      <c r="S170" s="168"/>
      <c r="T170" s="168"/>
    </row>
    <row r="171" spans="1:20" s="4" customFormat="1" ht="24.75" customHeight="1">
      <c r="A171" s="87"/>
      <c r="B171" s="87">
        <f>'дод. 4'!A101</f>
        <v>0</v>
      </c>
      <c r="C171" s="87">
        <f>'дод. 4'!B101</f>
        <v>0</v>
      </c>
      <c r="D171" s="108" t="str">
        <f>'дод. 4'!C101</f>
        <v>у т.ч. за рахунок субвенцій з держбюджету</v>
      </c>
      <c r="E171" s="89">
        <f aca="true" t="shared" si="57" ref="E171:P171">E173+E175+E177+E179+E181</f>
        <v>97227520</v>
      </c>
      <c r="F171" s="89">
        <f t="shared" si="57"/>
        <v>97227520</v>
      </c>
      <c r="G171" s="89">
        <f t="shared" si="57"/>
        <v>0</v>
      </c>
      <c r="H171" s="89">
        <f t="shared" si="57"/>
        <v>0</v>
      </c>
      <c r="I171" s="89">
        <f t="shared" si="57"/>
        <v>0</v>
      </c>
      <c r="J171" s="89">
        <f t="shared" si="57"/>
        <v>0</v>
      </c>
      <c r="K171" s="89">
        <f t="shared" si="57"/>
        <v>0</v>
      </c>
      <c r="L171" s="89">
        <f t="shared" si="57"/>
        <v>0</v>
      </c>
      <c r="M171" s="89">
        <f t="shared" si="57"/>
        <v>0</v>
      </c>
      <c r="N171" s="89">
        <f t="shared" si="57"/>
        <v>0</v>
      </c>
      <c r="O171" s="89">
        <f t="shared" si="57"/>
        <v>0</v>
      </c>
      <c r="P171" s="89">
        <f t="shared" si="57"/>
        <v>97227520</v>
      </c>
      <c r="Q171" s="285"/>
      <c r="R171" s="168"/>
      <c r="S171" s="168"/>
      <c r="T171" s="168"/>
    </row>
    <row r="172" spans="1:20" s="116" customFormat="1" ht="48.75" customHeight="1">
      <c r="A172" s="84" t="s">
        <v>572</v>
      </c>
      <c r="B172" s="84" t="str">
        <f>'дод. 4'!A102</f>
        <v>3081</v>
      </c>
      <c r="C172" s="84" t="str">
        <f>'дод. 4'!B102</f>
        <v>1010</v>
      </c>
      <c r="D172" s="107" t="str">
        <f>'дод. 4'!C102</f>
        <v>Надання державної соціальної допомоги особам з інвалідністю з дитинства та дітям з інвалідністю</v>
      </c>
      <c r="E172" s="86">
        <f aca="true" t="shared" si="58" ref="E172:E182">F172+I172</f>
        <v>62044050</v>
      </c>
      <c r="F172" s="86">
        <v>62044050</v>
      </c>
      <c r="G172" s="86"/>
      <c r="H172" s="86"/>
      <c r="I172" s="86"/>
      <c r="J172" s="86">
        <f>K172+N172</f>
        <v>0</v>
      </c>
      <c r="K172" s="86"/>
      <c r="L172" s="86"/>
      <c r="M172" s="86"/>
      <c r="N172" s="86"/>
      <c r="O172" s="86"/>
      <c r="P172" s="86">
        <f aca="true" t="shared" si="59" ref="P172:P182">E172+J172</f>
        <v>62044050</v>
      </c>
      <c r="Q172" s="285">
        <v>10</v>
      </c>
      <c r="R172" s="162"/>
      <c r="S172" s="162"/>
      <c r="T172" s="162"/>
    </row>
    <row r="173" spans="1:20" s="116" customFormat="1" ht="25.5" customHeight="1">
      <c r="A173" s="84"/>
      <c r="B173" s="84">
        <f>'дод. 4'!A103</f>
        <v>0</v>
      </c>
      <c r="C173" s="84">
        <f>'дод. 4'!B103</f>
        <v>0</v>
      </c>
      <c r="D173" s="107" t="str">
        <f>'дод. 4'!C103</f>
        <v>у т.ч. за рахунок субвенцій з держбюджету</v>
      </c>
      <c r="E173" s="86">
        <f t="shared" si="58"/>
        <v>62044050</v>
      </c>
      <c r="F173" s="86">
        <v>62044050</v>
      </c>
      <c r="G173" s="86"/>
      <c r="H173" s="86"/>
      <c r="I173" s="86"/>
      <c r="J173" s="86">
        <f aca="true" t="shared" si="60" ref="J173:J181">K173+N173</f>
        <v>0</v>
      </c>
      <c r="K173" s="86"/>
      <c r="L173" s="86"/>
      <c r="M173" s="86"/>
      <c r="N173" s="86"/>
      <c r="O173" s="86"/>
      <c r="P173" s="86">
        <f t="shared" si="59"/>
        <v>62044050</v>
      </c>
      <c r="Q173" s="285"/>
      <c r="R173" s="162"/>
      <c r="S173" s="162"/>
      <c r="T173" s="162"/>
    </row>
    <row r="174" spans="1:20" s="116" customFormat="1" ht="63" customHeight="1">
      <c r="A174" s="84" t="s">
        <v>573</v>
      </c>
      <c r="B174" s="84" t="str">
        <f>'дод. 4'!A104</f>
        <v>3082</v>
      </c>
      <c r="C174" s="84" t="str">
        <f>'дод. 4'!B104</f>
        <v>1010</v>
      </c>
      <c r="D174" s="107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4" s="86">
        <f t="shared" si="58"/>
        <v>12251650</v>
      </c>
      <c r="F174" s="86">
        <v>12251650</v>
      </c>
      <c r="G174" s="86"/>
      <c r="H174" s="86"/>
      <c r="I174" s="86"/>
      <c r="J174" s="86">
        <f t="shared" si="60"/>
        <v>0</v>
      </c>
      <c r="K174" s="86"/>
      <c r="L174" s="86"/>
      <c r="M174" s="86"/>
      <c r="N174" s="86"/>
      <c r="O174" s="86"/>
      <c r="P174" s="86">
        <f t="shared" si="59"/>
        <v>12251650</v>
      </c>
      <c r="Q174" s="285"/>
      <c r="R174" s="162"/>
      <c r="S174" s="162"/>
      <c r="T174" s="162"/>
    </row>
    <row r="175" spans="1:20" s="116" customFormat="1" ht="21" customHeight="1">
      <c r="A175" s="84"/>
      <c r="B175" s="84">
        <f>'дод. 4'!A105</f>
        <v>0</v>
      </c>
      <c r="C175" s="84">
        <f>'дод. 4'!B105</f>
        <v>0</v>
      </c>
      <c r="D175" s="107" t="str">
        <f>'дод. 4'!C105</f>
        <v>у т.ч. за рахунок субвенцій з держбюджету</v>
      </c>
      <c r="E175" s="86">
        <f t="shared" si="58"/>
        <v>12251650</v>
      </c>
      <c r="F175" s="86">
        <v>12251650</v>
      </c>
      <c r="G175" s="86"/>
      <c r="H175" s="86"/>
      <c r="I175" s="86"/>
      <c r="J175" s="86">
        <f t="shared" si="60"/>
        <v>0</v>
      </c>
      <c r="K175" s="86"/>
      <c r="L175" s="86"/>
      <c r="M175" s="86"/>
      <c r="N175" s="86"/>
      <c r="O175" s="86"/>
      <c r="P175" s="86">
        <f t="shared" si="59"/>
        <v>12251650</v>
      </c>
      <c r="Q175" s="285"/>
      <c r="R175" s="162"/>
      <c r="S175" s="162"/>
      <c r="T175" s="162"/>
    </row>
    <row r="176" spans="1:20" s="116" customFormat="1" ht="51.75" customHeight="1">
      <c r="A176" s="84" t="s">
        <v>574</v>
      </c>
      <c r="B176" s="84" t="str">
        <f>'дод. 4'!A106</f>
        <v>3083</v>
      </c>
      <c r="C176" s="84" t="str">
        <f>'дод. 4'!B106</f>
        <v>1010</v>
      </c>
      <c r="D176" s="107" t="str">
        <f>'дод. 4'!C106</f>
        <v>Надання допомоги по догляду за особами з інвалідністю I чи II групи внаслідок психічного розладу</v>
      </c>
      <c r="E176" s="86">
        <f t="shared" si="58"/>
        <v>11516480</v>
      </c>
      <c r="F176" s="86">
        <v>11516480</v>
      </c>
      <c r="G176" s="86"/>
      <c r="H176" s="86"/>
      <c r="I176" s="86"/>
      <c r="J176" s="86">
        <f t="shared" si="60"/>
        <v>0</v>
      </c>
      <c r="K176" s="86"/>
      <c r="L176" s="86"/>
      <c r="M176" s="86"/>
      <c r="N176" s="86"/>
      <c r="O176" s="86"/>
      <c r="P176" s="86">
        <f>E176+J176</f>
        <v>11516480</v>
      </c>
      <c r="Q176" s="285"/>
      <c r="R176" s="162"/>
      <c r="S176" s="162"/>
      <c r="T176" s="162"/>
    </row>
    <row r="177" spans="1:20" s="116" customFormat="1" ht="22.5" customHeight="1">
      <c r="A177" s="84"/>
      <c r="B177" s="84">
        <f>'дод. 4'!A107</f>
        <v>0</v>
      </c>
      <c r="C177" s="84">
        <f>'дод. 4'!B107</f>
        <v>0</v>
      </c>
      <c r="D177" s="107" t="str">
        <f>'дод. 4'!C107</f>
        <v>у т.ч. за рахунок субвенцій з держбюджету</v>
      </c>
      <c r="E177" s="86">
        <f t="shared" si="58"/>
        <v>11516480</v>
      </c>
      <c r="F177" s="86">
        <v>11516480</v>
      </c>
      <c r="G177" s="86"/>
      <c r="H177" s="86"/>
      <c r="I177" s="86"/>
      <c r="J177" s="86">
        <f t="shared" si="60"/>
        <v>0</v>
      </c>
      <c r="K177" s="86"/>
      <c r="L177" s="86"/>
      <c r="M177" s="86"/>
      <c r="N177" s="86"/>
      <c r="O177" s="86"/>
      <c r="P177" s="86">
        <f>E177+J177</f>
        <v>11516480</v>
      </c>
      <c r="Q177" s="285"/>
      <c r="R177" s="162"/>
      <c r="S177" s="162"/>
      <c r="T177" s="162"/>
    </row>
    <row r="178" spans="1:20" s="116" customFormat="1" ht="62.25" customHeight="1">
      <c r="A178" s="84" t="s">
        <v>575</v>
      </c>
      <c r="B178" s="84" t="str">
        <f>'дод. 4'!A108</f>
        <v>3084</v>
      </c>
      <c r="C178" s="84" t="str">
        <f>'дод. 4'!B108</f>
        <v>1040</v>
      </c>
      <c r="D178" s="107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8" s="86">
        <f t="shared" si="58"/>
        <v>11267070</v>
      </c>
      <c r="F178" s="86">
        <v>11267070</v>
      </c>
      <c r="G178" s="86"/>
      <c r="H178" s="86"/>
      <c r="I178" s="86"/>
      <c r="J178" s="86">
        <f t="shared" si="60"/>
        <v>0</v>
      </c>
      <c r="K178" s="86"/>
      <c r="L178" s="86"/>
      <c r="M178" s="86"/>
      <c r="N178" s="86"/>
      <c r="O178" s="86"/>
      <c r="P178" s="86">
        <f>E178+J178</f>
        <v>11267070</v>
      </c>
      <c r="Q178" s="285"/>
      <c r="R178" s="162"/>
      <c r="S178" s="162"/>
      <c r="T178" s="162"/>
    </row>
    <row r="179" spans="1:20" s="116" customFormat="1" ht="27.75" customHeight="1">
      <c r="A179" s="84"/>
      <c r="B179" s="84">
        <f>'дод. 4'!A109</f>
        <v>0</v>
      </c>
      <c r="C179" s="84">
        <f>'дод. 4'!B109</f>
        <v>0</v>
      </c>
      <c r="D179" s="107" t="str">
        <f>'дод. 4'!C109</f>
        <v>у т.ч. за рахунок субвенцій з держбюджету</v>
      </c>
      <c r="E179" s="86">
        <f t="shared" si="58"/>
        <v>11267070</v>
      </c>
      <c r="F179" s="86">
        <v>11267070</v>
      </c>
      <c r="G179" s="86"/>
      <c r="H179" s="86"/>
      <c r="I179" s="86"/>
      <c r="J179" s="86">
        <f t="shared" si="60"/>
        <v>0</v>
      </c>
      <c r="K179" s="86"/>
      <c r="L179" s="86"/>
      <c r="M179" s="86"/>
      <c r="N179" s="86"/>
      <c r="O179" s="86"/>
      <c r="P179" s="86">
        <f>E179+J179</f>
        <v>11267070</v>
      </c>
      <c r="Q179" s="285"/>
      <c r="R179" s="162"/>
      <c r="S179" s="162"/>
      <c r="T179" s="162"/>
    </row>
    <row r="180" spans="1:20" s="116" customFormat="1" ht="60.75" customHeight="1">
      <c r="A180" s="84" t="s">
        <v>576</v>
      </c>
      <c r="B180" s="84" t="str">
        <f>'дод. 4'!A110</f>
        <v>3085</v>
      </c>
      <c r="C180" s="84" t="str">
        <f>'дод. 4'!B110</f>
        <v>1010</v>
      </c>
      <c r="D180" s="107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0" s="86">
        <f t="shared" si="58"/>
        <v>148270</v>
      </c>
      <c r="F180" s="86">
        <v>148270</v>
      </c>
      <c r="G180" s="86"/>
      <c r="H180" s="86"/>
      <c r="I180" s="86"/>
      <c r="J180" s="86">
        <f t="shared" si="60"/>
        <v>0</v>
      </c>
      <c r="K180" s="86"/>
      <c r="L180" s="86"/>
      <c r="M180" s="86"/>
      <c r="N180" s="86"/>
      <c r="O180" s="86"/>
      <c r="P180" s="86">
        <f t="shared" si="59"/>
        <v>148270</v>
      </c>
      <c r="Q180" s="285"/>
      <c r="R180" s="162"/>
      <c r="S180" s="162"/>
      <c r="T180" s="162"/>
    </row>
    <row r="181" spans="1:20" s="116" customFormat="1" ht="24.75" customHeight="1">
      <c r="A181" s="84"/>
      <c r="B181" s="84">
        <f>'дод. 4'!A111</f>
        <v>0</v>
      </c>
      <c r="C181" s="84">
        <f>'дод. 4'!B111</f>
        <v>0</v>
      </c>
      <c r="D181" s="107" t="str">
        <f>'дод. 4'!C111</f>
        <v>у т.ч. за рахунок субвенцій з держбюджету</v>
      </c>
      <c r="E181" s="86">
        <f t="shared" si="58"/>
        <v>148270</v>
      </c>
      <c r="F181" s="86">
        <v>148270</v>
      </c>
      <c r="G181" s="86"/>
      <c r="H181" s="86"/>
      <c r="I181" s="86"/>
      <c r="J181" s="86">
        <f t="shared" si="60"/>
        <v>0</v>
      </c>
      <c r="K181" s="86"/>
      <c r="L181" s="86"/>
      <c r="M181" s="86"/>
      <c r="N181" s="86"/>
      <c r="O181" s="86"/>
      <c r="P181" s="86">
        <f t="shared" si="59"/>
        <v>148270</v>
      </c>
      <c r="Q181" s="285"/>
      <c r="R181" s="162"/>
      <c r="S181" s="162"/>
      <c r="T181" s="162"/>
    </row>
    <row r="182" spans="1:20" s="4" customFormat="1" ht="30.75" customHeight="1">
      <c r="A182" s="87" t="s">
        <v>501</v>
      </c>
      <c r="B182" s="87" t="str">
        <f>'дод. 4'!A112</f>
        <v>3090</v>
      </c>
      <c r="C182" s="87" t="str">
        <f>'дод. 4'!B112</f>
        <v>1030</v>
      </c>
      <c r="D182" s="108" t="str">
        <f>'дод. 4'!C112</f>
        <v>Видатки на поховання учасників бойових дій та осіб з інвалідністю внаслідок війни</v>
      </c>
      <c r="E182" s="89">
        <f t="shared" si="58"/>
        <v>200700</v>
      </c>
      <c r="F182" s="89">
        <v>200700</v>
      </c>
      <c r="G182" s="89"/>
      <c r="H182" s="89"/>
      <c r="I182" s="89"/>
      <c r="J182" s="89">
        <f>K182+N182</f>
        <v>0</v>
      </c>
      <c r="K182" s="89"/>
      <c r="L182" s="89"/>
      <c r="M182" s="89"/>
      <c r="N182" s="89"/>
      <c r="O182" s="89"/>
      <c r="P182" s="89">
        <f t="shared" si="59"/>
        <v>200700</v>
      </c>
      <c r="Q182" s="285"/>
      <c r="R182" s="160"/>
      <c r="S182" s="160"/>
      <c r="T182" s="160"/>
    </row>
    <row r="183" spans="1:20" s="4" customFormat="1" ht="62.25" customHeight="1">
      <c r="A183" s="87" t="s">
        <v>299</v>
      </c>
      <c r="B183" s="87" t="str">
        <f>'дод. 4'!A113</f>
        <v>3100</v>
      </c>
      <c r="C183" s="87">
        <f>'дод. 4'!B113</f>
        <v>0</v>
      </c>
      <c r="D183" s="108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3" s="89">
        <f>E184</f>
        <v>9322875</v>
      </c>
      <c r="F183" s="89">
        <f aca="true" t="shared" si="61" ref="F183:P183">F184</f>
        <v>9322875</v>
      </c>
      <c r="G183" s="89">
        <f t="shared" si="61"/>
        <v>7009500</v>
      </c>
      <c r="H183" s="89">
        <f t="shared" si="61"/>
        <v>193245</v>
      </c>
      <c r="I183" s="89">
        <f t="shared" si="61"/>
        <v>0</v>
      </c>
      <c r="J183" s="89">
        <f t="shared" si="61"/>
        <v>76400</v>
      </c>
      <c r="K183" s="89">
        <f t="shared" si="61"/>
        <v>57900</v>
      </c>
      <c r="L183" s="89">
        <f t="shared" si="61"/>
        <v>44700</v>
      </c>
      <c r="M183" s="89">
        <f t="shared" si="61"/>
        <v>0</v>
      </c>
      <c r="N183" s="89">
        <f t="shared" si="61"/>
        <v>18500</v>
      </c>
      <c r="O183" s="89">
        <f t="shared" si="61"/>
        <v>18500</v>
      </c>
      <c r="P183" s="89">
        <f t="shared" si="61"/>
        <v>9399275</v>
      </c>
      <c r="Q183" s="285"/>
      <c r="R183" s="161"/>
      <c r="S183" s="161"/>
      <c r="T183" s="161"/>
    </row>
    <row r="184" spans="1:20" s="116" customFormat="1" ht="60">
      <c r="A184" s="84" t="s">
        <v>300</v>
      </c>
      <c r="B184" s="84" t="str">
        <f>'дод. 4'!A114</f>
        <v>3104</v>
      </c>
      <c r="C184" s="84" t="str">
        <f>'дод. 4'!B114</f>
        <v>1020</v>
      </c>
      <c r="D184" s="107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4" s="86">
        <f>F184+I184</f>
        <v>9322875</v>
      </c>
      <c r="F184" s="86">
        <f>9191915+74560+36400+15000+5000</f>
        <v>9322875</v>
      </c>
      <c r="G184" s="86">
        <f>6946900+62600</f>
        <v>7009500</v>
      </c>
      <c r="H184" s="86">
        <v>193245</v>
      </c>
      <c r="I184" s="86"/>
      <c r="J184" s="86">
        <f>K184+N184</f>
        <v>76400</v>
      </c>
      <c r="K184" s="86">
        <v>57900</v>
      </c>
      <c r="L184" s="86">
        <v>44700</v>
      </c>
      <c r="M184" s="86"/>
      <c r="N184" s="86">
        <v>18500</v>
      </c>
      <c r="O184" s="86">
        <v>18500</v>
      </c>
      <c r="P184" s="86">
        <f>E184+J184</f>
        <v>9399275</v>
      </c>
      <c r="Q184" s="285"/>
      <c r="R184" s="162"/>
      <c r="S184" s="162"/>
      <c r="T184" s="162"/>
    </row>
    <row r="185" spans="1:20" s="4" customFormat="1" ht="81.75" customHeight="1">
      <c r="A185" s="87" t="s">
        <v>301</v>
      </c>
      <c r="B185" s="87" t="str">
        <f>'дод. 4'!A122</f>
        <v>3160</v>
      </c>
      <c r="C185" s="87">
        <f>'дод. 4'!B122</f>
        <v>1010</v>
      </c>
      <c r="D185" s="108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5" s="89">
        <f>F185+I185</f>
        <v>1673920</v>
      </c>
      <c r="F185" s="89">
        <v>1673920</v>
      </c>
      <c r="G185" s="89"/>
      <c r="H185" s="89"/>
      <c r="I185" s="89"/>
      <c r="J185" s="89">
        <f>O185</f>
        <v>0</v>
      </c>
      <c r="K185" s="89"/>
      <c r="L185" s="89"/>
      <c r="M185" s="89"/>
      <c r="N185" s="89"/>
      <c r="O185" s="89">
        <v>0</v>
      </c>
      <c r="P185" s="89">
        <f>J185+E185</f>
        <v>1673920</v>
      </c>
      <c r="Q185" s="285"/>
      <c r="R185" s="160"/>
      <c r="S185" s="160"/>
      <c r="T185" s="160"/>
    </row>
    <row r="186" spans="1:20" s="4" customFormat="1" ht="36" customHeight="1">
      <c r="A186" s="87" t="s">
        <v>510</v>
      </c>
      <c r="B186" s="87" t="str">
        <f>'дод. 4'!A123</f>
        <v>3170</v>
      </c>
      <c r="C186" s="87">
        <f>'дод. 4'!B123</f>
        <v>0</v>
      </c>
      <c r="D186" s="108" t="str">
        <f>'дод. 4'!C123</f>
        <v>Забезпечення реалізації окремих програм для осіб з інвалідністю</v>
      </c>
      <c r="E186" s="89">
        <f aca="true" t="shared" si="62" ref="E186:P186">E187+E188</f>
        <v>188864</v>
      </c>
      <c r="F186" s="89">
        <f t="shared" si="62"/>
        <v>188864</v>
      </c>
      <c r="G186" s="89">
        <f t="shared" si="62"/>
        <v>0</v>
      </c>
      <c r="H186" s="89">
        <f t="shared" si="62"/>
        <v>0</v>
      </c>
      <c r="I186" s="89">
        <f t="shared" si="62"/>
        <v>0</v>
      </c>
      <c r="J186" s="89">
        <f t="shared" si="62"/>
        <v>0</v>
      </c>
      <c r="K186" s="89">
        <f t="shared" si="62"/>
        <v>0</v>
      </c>
      <c r="L186" s="89">
        <f t="shared" si="62"/>
        <v>0</v>
      </c>
      <c r="M186" s="89">
        <f t="shared" si="62"/>
        <v>0</v>
      </c>
      <c r="N186" s="89">
        <f t="shared" si="62"/>
        <v>0</v>
      </c>
      <c r="O186" s="89">
        <f t="shared" si="62"/>
        <v>0</v>
      </c>
      <c r="P186" s="89">
        <f t="shared" si="62"/>
        <v>188864</v>
      </c>
      <c r="Q186" s="285"/>
      <c r="R186" s="168"/>
      <c r="S186" s="168"/>
      <c r="T186" s="168"/>
    </row>
    <row r="187" spans="1:20" s="116" customFormat="1" ht="62.25" customHeight="1">
      <c r="A187" s="84" t="s">
        <v>511</v>
      </c>
      <c r="B187" s="87" t="str">
        <f>'дод. 4'!A124</f>
        <v>3171</v>
      </c>
      <c r="C187" s="87">
        <f>'дод. 4'!B124</f>
        <v>1010</v>
      </c>
      <c r="D187" s="107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7" s="86">
        <f>F187+I187</f>
        <v>188024</v>
      </c>
      <c r="F187" s="86">
        <v>188024</v>
      </c>
      <c r="G187" s="86"/>
      <c r="H187" s="86"/>
      <c r="I187" s="86"/>
      <c r="J187" s="86">
        <f>K187+N187</f>
        <v>0</v>
      </c>
      <c r="K187" s="86"/>
      <c r="L187" s="86"/>
      <c r="M187" s="86"/>
      <c r="N187" s="86"/>
      <c r="O187" s="86"/>
      <c r="P187" s="86">
        <f>E187+J187</f>
        <v>188024</v>
      </c>
      <c r="Q187" s="285"/>
      <c r="R187" s="162"/>
      <c r="S187" s="162"/>
      <c r="T187" s="162"/>
    </row>
    <row r="188" spans="1:20" s="116" customFormat="1" ht="33.75" customHeight="1">
      <c r="A188" s="84" t="s">
        <v>512</v>
      </c>
      <c r="B188" s="87" t="str">
        <f>'дод. 4'!A125</f>
        <v>3172</v>
      </c>
      <c r="C188" s="87">
        <f>'дод. 4'!B125</f>
        <v>1010</v>
      </c>
      <c r="D188" s="107" t="str">
        <f>'дод. 4'!C125</f>
        <v>Встановлення телефонів особам з інвалідністю I і II груп</v>
      </c>
      <c r="E188" s="86">
        <f>F188+I188</f>
        <v>840</v>
      </c>
      <c r="F188" s="86">
        <v>840</v>
      </c>
      <c r="G188" s="86"/>
      <c r="H188" s="86"/>
      <c r="I188" s="86"/>
      <c r="J188" s="86">
        <f>K188+N188</f>
        <v>0</v>
      </c>
      <c r="K188" s="86"/>
      <c r="L188" s="86"/>
      <c r="M188" s="86"/>
      <c r="N188" s="86"/>
      <c r="O188" s="86"/>
      <c r="P188" s="86">
        <f>E188+J188</f>
        <v>840</v>
      </c>
      <c r="Q188" s="285"/>
      <c r="R188" s="162"/>
      <c r="S188" s="162"/>
      <c r="T188" s="162"/>
    </row>
    <row r="189" spans="1:20" s="4" customFormat="1" ht="79.5" customHeight="1">
      <c r="A189" s="87" t="s">
        <v>302</v>
      </c>
      <c r="B189" s="87" t="str">
        <f>'дод. 4'!A126</f>
        <v>3180</v>
      </c>
      <c r="C189" s="87" t="str">
        <f>'дод. 4'!B126</f>
        <v>1060</v>
      </c>
      <c r="D189" s="108" t="str">
        <f>'дод. 4'!C126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9" s="89">
        <f>F189+I189</f>
        <v>1282391</v>
      </c>
      <c r="F189" s="89">
        <f>1242491+39900</f>
        <v>1282391</v>
      </c>
      <c r="G189" s="89"/>
      <c r="H189" s="89"/>
      <c r="I189" s="89"/>
      <c r="J189" s="89">
        <f>K189+N189</f>
        <v>0</v>
      </c>
      <c r="K189" s="89"/>
      <c r="L189" s="89"/>
      <c r="M189" s="89"/>
      <c r="N189" s="89"/>
      <c r="O189" s="89"/>
      <c r="P189" s="89">
        <f>E189+J189</f>
        <v>1282391</v>
      </c>
      <c r="Q189" s="285"/>
      <c r="R189" s="160"/>
      <c r="S189" s="160"/>
      <c r="T189" s="160"/>
    </row>
    <row r="190" spans="1:20" s="4" customFormat="1" ht="31.5" customHeight="1">
      <c r="A190" s="87" t="s">
        <v>485</v>
      </c>
      <c r="B190" s="87" t="str">
        <f>'дод. 4'!A127</f>
        <v>3190</v>
      </c>
      <c r="C190" s="87">
        <f>'дод. 4'!B127</f>
        <v>0</v>
      </c>
      <c r="D190" s="108" t="str">
        <f>'дод. 4'!C127</f>
        <v>Соціальний захист ветеранів війни та праці</v>
      </c>
      <c r="E190" s="89">
        <f>E191+E192</f>
        <v>3209214</v>
      </c>
      <c r="F190" s="89">
        <f aca="true" t="shared" si="63" ref="F190:O190">F191+F192</f>
        <v>3209214</v>
      </c>
      <c r="G190" s="89">
        <f t="shared" si="63"/>
        <v>0</v>
      </c>
      <c r="H190" s="89">
        <f t="shared" si="63"/>
        <v>0</v>
      </c>
      <c r="I190" s="89">
        <f t="shared" si="63"/>
        <v>0</v>
      </c>
      <c r="J190" s="89">
        <f t="shared" si="63"/>
        <v>0</v>
      </c>
      <c r="K190" s="89">
        <f t="shared" si="63"/>
        <v>0</v>
      </c>
      <c r="L190" s="89">
        <f t="shared" si="63"/>
        <v>0</v>
      </c>
      <c r="M190" s="89">
        <f t="shared" si="63"/>
        <v>0</v>
      </c>
      <c r="N190" s="89">
        <f t="shared" si="63"/>
        <v>0</v>
      </c>
      <c r="O190" s="89">
        <f t="shared" si="63"/>
        <v>0</v>
      </c>
      <c r="P190" s="89">
        <f>P191+P192</f>
        <v>3209214</v>
      </c>
      <c r="Q190" s="285"/>
      <c r="R190" s="161"/>
      <c r="S190" s="161"/>
      <c r="T190" s="161"/>
    </row>
    <row r="191" spans="1:20" s="116" customFormat="1" ht="30">
      <c r="A191" s="84" t="s">
        <v>486</v>
      </c>
      <c r="B191" s="84" t="str">
        <f>'дод. 4'!A128</f>
        <v>3191</v>
      </c>
      <c r="C191" s="84" t="str">
        <f>'дод. 4'!B128</f>
        <v>1030</v>
      </c>
      <c r="D191" s="107" t="str">
        <f>'дод. 4'!C128</f>
        <v>Інші видатки на соціальний захист ветеранів війни та праці</v>
      </c>
      <c r="E191" s="86">
        <f aca="true" t="shared" si="64" ref="E191:E200">F191+I191</f>
        <v>1937114</v>
      </c>
      <c r="F191" s="86">
        <f>1736305-10378+22407+188780</f>
        <v>1937114</v>
      </c>
      <c r="G191" s="86"/>
      <c r="H191" s="86"/>
      <c r="I191" s="86"/>
      <c r="J191" s="86">
        <f aca="true" t="shared" si="65" ref="J191:J206">K191+N191</f>
        <v>0</v>
      </c>
      <c r="K191" s="86"/>
      <c r="L191" s="86"/>
      <c r="M191" s="86"/>
      <c r="N191" s="86"/>
      <c r="O191" s="86"/>
      <c r="P191" s="86">
        <f aca="true" t="shared" si="66" ref="P191:P200">E191+J191</f>
        <v>1937114</v>
      </c>
      <c r="Q191" s="285"/>
      <c r="R191" s="162"/>
      <c r="S191" s="162"/>
      <c r="T191" s="162"/>
    </row>
    <row r="192" spans="1:20" s="116" customFormat="1" ht="45">
      <c r="A192" s="84" t="s">
        <v>487</v>
      </c>
      <c r="B192" s="84" t="str">
        <f>'дод. 4'!A129</f>
        <v>3192</v>
      </c>
      <c r="C192" s="84" t="str">
        <f>'дод. 4'!B129</f>
        <v>1030</v>
      </c>
      <c r="D192" s="107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2" s="86">
        <f t="shared" si="64"/>
        <v>1272100</v>
      </c>
      <c r="F192" s="86">
        <f>1192100+80000</f>
        <v>1272100</v>
      </c>
      <c r="G192" s="86"/>
      <c r="H192" s="86"/>
      <c r="I192" s="86"/>
      <c r="J192" s="86">
        <f t="shared" si="65"/>
        <v>0</v>
      </c>
      <c r="K192" s="86"/>
      <c r="L192" s="86"/>
      <c r="M192" s="86"/>
      <c r="N192" s="86"/>
      <c r="O192" s="86"/>
      <c r="P192" s="86">
        <f t="shared" si="66"/>
        <v>1272100</v>
      </c>
      <c r="Q192" s="285"/>
      <c r="R192" s="162"/>
      <c r="S192" s="162"/>
      <c r="T192" s="162"/>
    </row>
    <row r="193" spans="1:20" s="4" customFormat="1" ht="41.25" customHeight="1">
      <c r="A193" s="87" t="s">
        <v>303</v>
      </c>
      <c r="B193" s="87" t="str">
        <f>'дод. 4'!A130</f>
        <v>3200</v>
      </c>
      <c r="C193" s="87" t="str">
        <f>'дод. 4'!B130</f>
        <v>1090</v>
      </c>
      <c r="D193" s="108" t="str">
        <f>'дод. 4'!C130</f>
        <v>Забезпечення обробки інформації з нарахування та виплати допомог і компенсацій </v>
      </c>
      <c r="E193" s="89">
        <f t="shared" si="64"/>
        <v>75000</v>
      </c>
      <c r="F193" s="89">
        <v>75000</v>
      </c>
      <c r="G193" s="89"/>
      <c r="H193" s="89"/>
      <c r="I193" s="89"/>
      <c r="J193" s="89">
        <f t="shared" si="65"/>
        <v>0</v>
      </c>
      <c r="K193" s="89"/>
      <c r="L193" s="89"/>
      <c r="M193" s="89"/>
      <c r="N193" s="89"/>
      <c r="O193" s="89"/>
      <c r="P193" s="89">
        <f t="shared" si="66"/>
        <v>75000</v>
      </c>
      <c r="Q193" s="285"/>
      <c r="R193" s="160"/>
      <c r="S193" s="160"/>
      <c r="T193" s="160"/>
    </row>
    <row r="194" spans="1:20" s="4" customFormat="1" ht="19.5" customHeight="1">
      <c r="A194" s="90" t="s">
        <v>488</v>
      </c>
      <c r="B194" s="90" t="str">
        <f>'дод. 4'!A131</f>
        <v>3210</v>
      </c>
      <c r="C194" s="90" t="str">
        <f>'дод. 4'!B131</f>
        <v>1050</v>
      </c>
      <c r="D194" s="111" t="str">
        <f>'дод. 4'!C131</f>
        <v>Організація та проведення громадських робіт</v>
      </c>
      <c r="E194" s="89">
        <f>F194+I194</f>
        <v>330000</v>
      </c>
      <c r="F194" s="89">
        <f>300000+30000</f>
        <v>330000</v>
      </c>
      <c r="G194" s="89">
        <f>245902+24590</f>
        <v>270492</v>
      </c>
      <c r="H194" s="89"/>
      <c r="I194" s="89"/>
      <c r="J194" s="89">
        <f t="shared" si="65"/>
        <v>0</v>
      </c>
      <c r="K194" s="89"/>
      <c r="L194" s="89"/>
      <c r="M194" s="89"/>
      <c r="N194" s="89"/>
      <c r="O194" s="89"/>
      <c r="P194" s="89">
        <f t="shared" si="66"/>
        <v>330000</v>
      </c>
      <c r="Q194" s="285"/>
      <c r="R194" s="160"/>
      <c r="S194" s="160"/>
      <c r="T194" s="160"/>
    </row>
    <row r="195" spans="1:20" s="4" customFormat="1" ht="30" customHeight="1">
      <c r="A195" s="90" t="s">
        <v>658</v>
      </c>
      <c r="B195" s="90" t="s">
        <v>654</v>
      </c>
      <c r="C195" s="90"/>
      <c r="D195" s="111" t="s">
        <v>657</v>
      </c>
      <c r="E195" s="89">
        <f>E197</f>
        <v>0</v>
      </c>
      <c r="F195" s="89">
        <f>F197</f>
        <v>0</v>
      </c>
      <c r="G195" s="89"/>
      <c r="H195" s="89"/>
      <c r="I195" s="89"/>
      <c r="J195" s="89">
        <f>K195+N195</f>
        <v>4839581.21</v>
      </c>
      <c r="K195" s="89">
        <f aca="true" t="shared" si="67" ref="K195:O196">K197</f>
        <v>0</v>
      </c>
      <c r="L195" s="89">
        <f t="shared" si="67"/>
        <v>0</v>
      </c>
      <c r="M195" s="89">
        <f t="shared" si="67"/>
        <v>0</v>
      </c>
      <c r="N195" s="89">
        <f t="shared" si="67"/>
        <v>4839581.21</v>
      </c>
      <c r="O195" s="89">
        <f t="shared" si="67"/>
        <v>4839581.21</v>
      </c>
      <c r="P195" s="89">
        <f>E195+J195</f>
        <v>4839581.21</v>
      </c>
      <c r="Q195" s="268"/>
      <c r="R195" s="160"/>
      <c r="S195" s="160"/>
      <c r="T195" s="160"/>
    </row>
    <row r="196" spans="1:20" s="4" customFormat="1" ht="15" customHeight="1">
      <c r="A196" s="91"/>
      <c r="B196" s="91"/>
      <c r="C196" s="91"/>
      <c r="D196" s="13" t="s">
        <v>416</v>
      </c>
      <c r="E196" s="83">
        <f>E198</f>
        <v>0</v>
      </c>
      <c r="F196" s="83">
        <f>F198</f>
        <v>0</v>
      </c>
      <c r="G196" s="83">
        <f>G198</f>
        <v>0</v>
      </c>
      <c r="H196" s="83">
        <f>H198</f>
        <v>0</v>
      </c>
      <c r="I196" s="83">
        <f>I198</f>
        <v>0</v>
      </c>
      <c r="J196" s="83">
        <f>K196+N196</f>
        <v>4839581.21</v>
      </c>
      <c r="K196" s="83">
        <f t="shared" si="67"/>
        <v>0</v>
      </c>
      <c r="L196" s="83">
        <f t="shared" si="67"/>
        <v>0</v>
      </c>
      <c r="M196" s="83">
        <f t="shared" si="67"/>
        <v>0</v>
      </c>
      <c r="N196" s="83">
        <f t="shared" si="67"/>
        <v>4839581.21</v>
      </c>
      <c r="O196" s="83">
        <f t="shared" si="67"/>
        <v>4839581.21</v>
      </c>
      <c r="P196" s="83">
        <f t="shared" si="66"/>
        <v>4839581.21</v>
      </c>
      <c r="Q196" s="268"/>
      <c r="R196" s="160"/>
      <c r="S196" s="160"/>
      <c r="T196" s="160"/>
    </row>
    <row r="197" spans="1:20" s="4" customFormat="1" ht="153" customHeight="1">
      <c r="A197" s="117" t="s">
        <v>659</v>
      </c>
      <c r="B197" s="117" t="s">
        <v>655</v>
      </c>
      <c r="C197" s="117" t="s">
        <v>88</v>
      </c>
      <c r="D197" s="270" t="s">
        <v>656</v>
      </c>
      <c r="E197" s="89">
        <f>F197+I197</f>
        <v>0</v>
      </c>
      <c r="F197" s="89"/>
      <c r="G197" s="89"/>
      <c r="H197" s="89"/>
      <c r="I197" s="89"/>
      <c r="J197" s="86">
        <f>K197+N197</f>
        <v>4839581.21</v>
      </c>
      <c r="K197" s="89"/>
      <c r="L197" s="89"/>
      <c r="M197" s="89"/>
      <c r="N197" s="89">
        <v>4839581.21</v>
      </c>
      <c r="O197" s="89">
        <v>4839581.21</v>
      </c>
      <c r="P197" s="89">
        <f>E197+J197</f>
        <v>4839581.21</v>
      </c>
      <c r="Q197" s="268"/>
      <c r="R197" s="160"/>
      <c r="S197" s="160"/>
      <c r="T197" s="160"/>
    </row>
    <row r="198" spans="1:20" s="116" customFormat="1" ht="19.5" customHeight="1">
      <c r="A198" s="117"/>
      <c r="B198" s="117"/>
      <c r="C198" s="117"/>
      <c r="D198" s="118" t="str">
        <f>'дод. 4'!C135</f>
        <v>у т.ч. за рахунок субвенцій з держбюджету</v>
      </c>
      <c r="E198" s="86">
        <f>F198+I198</f>
        <v>0</v>
      </c>
      <c r="F198" s="86"/>
      <c r="G198" s="86"/>
      <c r="H198" s="86"/>
      <c r="I198" s="86"/>
      <c r="J198" s="86">
        <f>K198+N198</f>
        <v>4839581.21</v>
      </c>
      <c r="K198" s="86"/>
      <c r="L198" s="86"/>
      <c r="M198" s="86"/>
      <c r="N198" s="86">
        <v>4839581.21</v>
      </c>
      <c r="O198" s="86">
        <v>4839581.21</v>
      </c>
      <c r="P198" s="86">
        <f>E198+J198</f>
        <v>4839581.21</v>
      </c>
      <c r="Q198" s="274"/>
      <c r="R198" s="162"/>
      <c r="S198" s="162"/>
      <c r="T198" s="162"/>
    </row>
    <row r="199" spans="1:20" s="4" customFormat="1" ht="157.5" customHeight="1">
      <c r="A199" s="90" t="s">
        <v>577</v>
      </c>
      <c r="B199" s="145" t="str">
        <f>'дод. 4'!A136</f>
        <v>3230</v>
      </c>
      <c r="C199" s="145" t="str">
        <f>'дод. 4'!B136</f>
        <v>1040</v>
      </c>
      <c r="D199" s="88" t="s">
        <v>565</v>
      </c>
      <c r="E199" s="89">
        <f t="shared" si="64"/>
        <v>2495700</v>
      </c>
      <c r="F199" s="89">
        <f>2695700-200000</f>
        <v>2495700</v>
      </c>
      <c r="G199" s="89"/>
      <c r="H199" s="89"/>
      <c r="I199" s="89"/>
      <c r="J199" s="89">
        <f t="shared" si="65"/>
        <v>0</v>
      </c>
      <c r="K199" s="89"/>
      <c r="L199" s="89"/>
      <c r="M199" s="89"/>
      <c r="N199" s="89"/>
      <c r="O199" s="89"/>
      <c r="P199" s="89">
        <f t="shared" si="66"/>
        <v>2495700</v>
      </c>
      <c r="Q199" s="285">
        <v>11</v>
      </c>
      <c r="R199" s="160"/>
      <c r="S199" s="160"/>
      <c r="T199" s="160"/>
    </row>
    <row r="200" spans="1:20" s="4" customFormat="1" ht="19.5" customHeight="1">
      <c r="A200" s="90"/>
      <c r="B200" s="145">
        <f>'дод. 4'!A137</f>
        <v>0</v>
      </c>
      <c r="C200" s="145">
        <f>'дод. 4'!B137</f>
        <v>0</v>
      </c>
      <c r="D200" s="111" t="str">
        <f>'дод. 4'!C137</f>
        <v>у т.ч. за рахунок субвенцій з держбюджету</v>
      </c>
      <c r="E200" s="89">
        <f t="shared" si="64"/>
        <v>2495700</v>
      </c>
      <c r="F200" s="89">
        <f>2695700-200000</f>
        <v>2495700</v>
      </c>
      <c r="G200" s="89"/>
      <c r="H200" s="89"/>
      <c r="I200" s="89"/>
      <c r="J200" s="89">
        <f t="shared" si="65"/>
        <v>0</v>
      </c>
      <c r="K200" s="89"/>
      <c r="L200" s="89"/>
      <c r="M200" s="89"/>
      <c r="N200" s="89"/>
      <c r="O200" s="89"/>
      <c r="P200" s="89">
        <f t="shared" si="66"/>
        <v>2495700</v>
      </c>
      <c r="Q200" s="285"/>
      <c r="R200" s="160"/>
      <c r="S200" s="160"/>
      <c r="T200" s="160"/>
    </row>
    <row r="201" spans="1:20" s="4" customFormat="1" ht="22.5" customHeight="1">
      <c r="A201" s="87" t="s">
        <v>483</v>
      </c>
      <c r="B201" s="87" t="str">
        <f>'дод. 4'!A138</f>
        <v>3240</v>
      </c>
      <c r="C201" s="87">
        <f>'дод. 4'!B138</f>
        <v>0</v>
      </c>
      <c r="D201" s="108" t="str">
        <f>'дод. 4'!C138</f>
        <v>Інші заклади та заходи</v>
      </c>
      <c r="E201" s="89">
        <f>E202+E203</f>
        <v>39062864.7</v>
      </c>
      <c r="F201" s="89">
        <f aca="true" t="shared" si="68" ref="F201:P201">F202+F203</f>
        <v>39062864.7</v>
      </c>
      <c r="G201" s="89">
        <f t="shared" si="68"/>
        <v>2594621</v>
      </c>
      <c r="H201" s="89">
        <f t="shared" si="68"/>
        <v>673281</v>
      </c>
      <c r="I201" s="89">
        <f t="shared" si="68"/>
        <v>0</v>
      </c>
      <c r="J201" s="89">
        <f t="shared" si="68"/>
        <v>375000</v>
      </c>
      <c r="K201" s="89">
        <f t="shared" si="68"/>
        <v>0</v>
      </c>
      <c r="L201" s="89">
        <f t="shared" si="68"/>
        <v>0</v>
      </c>
      <c r="M201" s="89">
        <f t="shared" si="68"/>
        <v>0</v>
      </c>
      <c r="N201" s="89">
        <f t="shared" si="68"/>
        <v>375000</v>
      </c>
      <c r="O201" s="89">
        <f t="shared" si="68"/>
        <v>375000</v>
      </c>
      <c r="P201" s="89">
        <f t="shared" si="68"/>
        <v>39437864.7</v>
      </c>
      <c r="Q201" s="285"/>
      <c r="R201" s="161"/>
      <c r="S201" s="161"/>
      <c r="T201" s="161"/>
    </row>
    <row r="202" spans="1:20" s="32" customFormat="1" ht="31.5" customHeight="1">
      <c r="A202" s="84" t="s">
        <v>482</v>
      </c>
      <c r="B202" s="84" t="str">
        <f>'дод. 4'!A139</f>
        <v>3241</v>
      </c>
      <c r="C202" s="84" t="str">
        <f>'дод. 4'!B139</f>
        <v>1090</v>
      </c>
      <c r="D202" s="107" t="str">
        <f>'дод. 4'!C139</f>
        <v>Забезпечення діяльності інших закладів у сфері соціального захисту і соціального забезпечення</v>
      </c>
      <c r="E202" s="86">
        <f>F202+I202</f>
        <v>4304345</v>
      </c>
      <c r="F202" s="86">
        <f>4241010+52335+11000</f>
        <v>4304345</v>
      </c>
      <c r="G202" s="86">
        <f>2332125+43090+219406</f>
        <v>2594621</v>
      </c>
      <c r="H202" s="86">
        <v>673281</v>
      </c>
      <c r="I202" s="86"/>
      <c r="J202" s="86">
        <f t="shared" si="65"/>
        <v>300000</v>
      </c>
      <c r="K202" s="86"/>
      <c r="L202" s="86"/>
      <c r="M202" s="86"/>
      <c r="N202" s="86">
        <v>300000</v>
      </c>
      <c r="O202" s="86">
        <v>300000</v>
      </c>
      <c r="P202" s="86">
        <f>E202+J202</f>
        <v>4604345</v>
      </c>
      <c r="Q202" s="285"/>
      <c r="R202" s="162"/>
      <c r="S202" s="162"/>
      <c r="T202" s="162"/>
    </row>
    <row r="203" spans="1:20" s="32" customFormat="1" ht="33" customHeight="1">
      <c r="A203" s="84" t="s">
        <v>484</v>
      </c>
      <c r="B203" s="84" t="str">
        <f>'дод. 4'!A140</f>
        <v>3242</v>
      </c>
      <c r="C203" s="84" t="str">
        <f>'дод. 4'!B140</f>
        <v>1090</v>
      </c>
      <c r="D203" s="107" t="str">
        <f>'дод. 4'!C140</f>
        <v>Інші заходи у сфері соціального захисту і соціального забезпечення</v>
      </c>
      <c r="E203" s="86">
        <f>F203+I203</f>
        <v>34758519.7</v>
      </c>
      <c r="F203" s="86">
        <f>11768030+16000000-4024-26631+175000+401100+353011+150000+274200+23310+76000+319750+1301500+10000-14400+445455+578335+190000+514525.7+22000+5000+10000+5000+10000+200000+280903+5000+5000+1100000+171900+40555+20000+290000+47000+11000</f>
        <v>34758519.7</v>
      </c>
      <c r="G203" s="86"/>
      <c r="H203" s="86"/>
      <c r="I203" s="86"/>
      <c r="J203" s="86">
        <f t="shared" si="65"/>
        <v>75000</v>
      </c>
      <c r="K203" s="86"/>
      <c r="L203" s="86"/>
      <c r="M203" s="86"/>
      <c r="N203" s="86">
        <f>75000</f>
        <v>75000</v>
      </c>
      <c r="O203" s="86">
        <f>75000</f>
        <v>75000</v>
      </c>
      <c r="P203" s="86">
        <f>E203+J203</f>
        <v>34833519.7</v>
      </c>
      <c r="Q203" s="285"/>
      <c r="R203" s="162"/>
      <c r="S203" s="162"/>
      <c r="T203" s="162"/>
    </row>
    <row r="204" spans="1:20" s="116" customFormat="1" ht="19.5" customHeight="1">
      <c r="A204" s="87" t="s">
        <v>304</v>
      </c>
      <c r="B204" s="87" t="str">
        <f>'дод. 4'!A211</f>
        <v>7640</v>
      </c>
      <c r="C204" s="87" t="str">
        <f>'дод. 4'!B211</f>
        <v>0470</v>
      </c>
      <c r="D204" s="108" t="str">
        <f>'дод. 4'!C211</f>
        <v>Заходи з енергозбереження</v>
      </c>
      <c r="E204" s="89">
        <f>F204+I204</f>
        <v>29000</v>
      </c>
      <c r="F204" s="89">
        <v>29000</v>
      </c>
      <c r="G204" s="89"/>
      <c r="H204" s="89"/>
      <c r="I204" s="89"/>
      <c r="J204" s="89">
        <f t="shared" si="65"/>
        <v>0</v>
      </c>
      <c r="K204" s="89"/>
      <c r="L204" s="89"/>
      <c r="M204" s="89"/>
      <c r="N204" s="89"/>
      <c r="O204" s="89"/>
      <c r="P204" s="89">
        <f>E204+J204</f>
        <v>29000</v>
      </c>
      <c r="Q204" s="285"/>
      <c r="R204" s="160"/>
      <c r="S204" s="160"/>
      <c r="T204" s="160"/>
    </row>
    <row r="205" spans="1:20" s="116" customFormat="1" ht="42" customHeight="1">
      <c r="A205" s="87" t="s">
        <v>623</v>
      </c>
      <c r="B205" s="87" t="str">
        <f>'дод. 4'!A221</f>
        <v>8110</v>
      </c>
      <c r="C205" s="87" t="str">
        <f>'дод. 4'!B221</f>
        <v>0320</v>
      </c>
      <c r="D205" s="108" t="str">
        <f>'дод. 4'!C221</f>
        <v>Заходи із запобігання та ліквідації надзвичайних ситуацій та наслідків стихійного лиха</v>
      </c>
      <c r="E205" s="89">
        <f>F205+I205</f>
        <v>202750</v>
      </c>
      <c r="F205" s="89">
        <f>201950+800</f>
        <v>202750</v>
      </c>
      <c r="G205" s="89"/>
      <c r="H205" s="89"/>
      <c r="I205" s="89"/>
      <c r="J205" s="89">
        <f t="shared" si="65"/>
        <v>0</v>
      </c>
      <c r="K205" s="89"/>
      <c r="L205" s="89"/>
      <c r="M205" s="89"/>
      <c r="N205" s="89"/>
      <c r="O205" s="89"/>
      <c r="P205" s="89">
        <f>E205+J205</f>
        <v>202750</v>
      </c>
      <c r="Q205" s="285"/>
      <c r="R205" s="160"/>
      <c r="S205" s="160"/>
      <c r="T205" s="160"/>
    </row>
    <row r="206" spans="1:20" s="116" customFormat="1" ht="23.25" customHeight="1">
      <c r="A206" s="87" t="s">
        <v>414</v>
      </c>
      <c r="B206" s="87" t="str">
        <f>'дод. 4'!A241</f>
        <v>9770</v>
      </c>
      <c r="C206" s="87" t="str">
        <f>'дод. 4'!B241</f>
        <v>0180</v>
      </c>
      <c r="D206" s="108" t="str">
        <f>'дод. 4'!C241</f>
        <v>Інші субвенції з місцевого бюджету </v>
      </c>
      <c r="E206" s="89">
        <f>F206+I206</f>
        <v>611000</v>
      </c>
      <c r="F206" s="89">
        <v>611000</v>
      </c>
      <c r="G206" s="89"/>
      <c r="H206" s="89"/>
      <c r="I206" s="89"/>
      <c r="J206" s="89">
        <f t="shared" si="65"/>
        <v>0</v>
      </c>
      <c r="K206" s="89"/>
      <c r="L206" s="89"/>
      <c r="M206" s="89"/>
      <c r="N206" s="89"/>
      <c r="O206" s="89"/>
      <c r="P206" s="89">
        <f>E206+J206</f>
        <v>611000</v>
      </c>
      <c r="Q206" s="285"/>
      <c r="R206" s="160"/>
      <c r="S206" s="160"/>
      <c r="T206" s="160"/>
    </row>
    <row r="207" spans="1:20" s="113" customFormat="1" ht="21" customHeight="1">
      <c r="A207" s="120" t="s">
        <v>305</v>
      </c>
      <c r="B207" s="121"/>
      <c r="C207" s="121"/>
      <c r="D207" s="35" t="s">
        <v>59</v>
      </c>
      <c r="E207" s="46">
        <f>E208</f>
        <v>3804000</v>
      </c>
      <c r="F207" s="46">
        <f aca="true" t="shared" si="69" ref="F207:P207">F208</f>
        <v>3804000</v>
      </c>
      <c r="G207" s="46">
        <f t="shared" si="69"/>
        <v>2969000</v>
      </c>
      <c r="H207" s="46">
        <f t="shared" si="69"/>
        <v>37220</v>
      </c>
      <c r="I207" s="46">
        <f t="shared" si="69"/>
        <v>0</v>
      </c>
      <c r="J207" s="46">
        <f t="shared" si="69"/>
        <v>0</v>
      </c>
      <c r="K207" s="46">
        <f t="shared" si="69"/>
        <v>0</v>
      </c>
      <c r="L207" s="46">
        <f t="shared" si="69"/>
        <v>0</v>
      </c>
      <c r="M207" s="46">
        <f t="shared" si="69"/>
        <v>0</v>
      </c>
      <c r="N207" s="46">
        <f t="shared" si="69"/>
        <v>0</v>
      </c>
      <c r="O207" s="46">
        <f t="shared" si="69"/>
        <v>0</v>
      </c>
      <c r="P207" s="46">
        <f t="shared" si="69"/>
        <v>3804000</v>
      </c>
      <c r="Q207" s="285"/>
      <c r="R207" s="158"/>
      <c r="S207" s="158"/>
      <c r="T207" s="158"/>
    </row>
    <row r="208" spans="1:20" s="115" customFormat="1" ht="21.75" customHeight="1">
      <c r="A208" s="122" t="s">
        <v>306</v>
      </c>
      <c r="B208" s="123"/>
      <c r="C208" s="123"/>
      <c r="D208" s="124" t="s">
        <v>59</v>
      </c>
      <c r="E208" s="80">
        <f>E209+E210</f>
        <v>3804000</v>
      </c>
      <c r="F208" s="80">
        <f>F209+F210</f>
        <v>3804000</v>
      </c>
      <c r="G208" s="80">
        <f aca="true" t="shared" si="70" ref="G208:P208">G209+G210</f>
        <v>2969000</v>
      </c>
      <c r="H208" s="80">
        <f t="shared" si="70"/>
        <v>37220</v>
      </c>
      <c r="I208" s="80">
        <f t="shared" si="70"/>
        <v>0</v>
      </c>
      <c r="J208" s="80">
        <f t="shared" si="70"/>
        <v>0</v>
      </c>
      <c r="K208" s="80">
        <f t="shared" si="70"/>
        <v>0</v>
      </c>
      <c r="L208" s="80">
        <f t="shared" si="70"/>
        <v>0</v>
      </c>
      <c r="M208" s="80">
        <f t="shared" si="70"/>
        <v>0</v>
      </c>
      <c r="N208" s="80">
        <f t="shared" si="70"/>
        <v>0</v>
      </c>
      <c r="O208" s="80">
        <f t="shared" si="70"/>
        <v>0</v>
      </c>
      <c r="P208" s="80">
        <f t="shared" si="70"/>
        <v>3804000</v>
      </c>
      <c r="Q208" s="285"/>
      <c r="R208" s="167"/>
      <c r="S208" s="167"/>
      <c r="T208" s="167"/>
    </row>
    <row r="209" spans="1:20" s="4" customFormat="1" ht="45">
      <c r="A209" s="81" t="s">
        <v>307</v>
      </c>
      <c r="B209" s="81" t="str">
        <f>'дод. 4'!A14</f>
        <v>0160</v>
      </c>
      <c r="C209" s="81" t="str">
        <f>'дод. 4'!B14</f>
        <v>0111</v>
      </c>
      <c r="D209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9" s="83">
        <f>F209+I209</f>
        <v>3724000</v>
      </c>
      <c r="F209" s="83">
        <f>3538900+211500-26400</f>
        <v>3724000</v>
      </c>
      <c r="G209" s="83">
        <v>2969000</v>
      </c>
      <c r="H209" s="83">
        <v>37220</v>
      </c>
      <c r="I209" s="83"/>
      <c r="J209" s="83">
        <f>K209+N209</f>
        <v>0</v>
      </c>
      <c r="K209" s="83"/>
      <c r="L209" s="83"/>
      <c r="M209" s="83"/>
      <c r="N209" s="83">
        <f>27000-27000</f>
        <v>0</v>
      </c>
      <c r="O209" s="83">
        <f>27000-27000</f>
        <v>0</v>
      </c>
      <c r="P209" s="83">
        <f>E209+J209</f>
        <v>3724000</v>
      </c>
      <c r="Q209" s="285"/>
      <c r="R209" s="160"/>
      <c r="S209" s="160"/>
      <c r="T209" s="160"/>
    </row>
    <row r="210" spans="1:20" s="4" customFormat="1" ht="30.75" customHeight="1">
      <c r="A210" s="81" t="s">
        <v>308</v>
      </c>
      <c r="B210" s="81" t="str">
        <f>'дод. 4'!A115</f>
        <v>3110</v>
      </c>
      <c r="C210" s="81">
        <f>'дод. 4'!B115</f>
        <v>0</v>
      </c>
      <c r="D210" s="110" t="str">
        <f>'дод. 4'!C115</f>
        <v>Заклади і заходи з питань дітей та їх соціального захисту</v>
      </c>
      <c r="E210" s="83">
        <f>E211</f>
        <v>80000</v>
      </c>
      <c r="F210" s="83">
        <f aca="true" t="shared" si="71" ref="F210:P210">F211</f>
        <v>80000</v>
      </c>
      <c r="G210" s="83">
        <f t="shared" si="71"/>
        <v>0</v>
      </c>
      <c r="H210" s="83">
        <f t="shared" si="71"/>
        <v>0</v>
      </c>
      <c r="I210" s="83">
        <f t="shared" si="71"/>
        <v>0</v>
      </c>
      <c r="J210" s="83">
        <f t="shared" si="71"/>
        <v>0</v>
      </c>
      <c r="K210" s="83">
        <f t="shared" si="71"/>
        <v>0</v>
      </c>
      <c r="L210" s="83">
        <f t="shared" si="71"/>
        <v>0</v>
      </c>
      <c r="M210" s="83">
        <f t="shared" si="71"/>
        <v>0</v>
      </c>
      <c r="N210" s="83">
        <f t="shared" si="71"/>
        <v>0</v>
      </c>
      <c r="O210" s="83">
        <f t="shared" si="71"/>
        <v>0</v>
      </c>
      <c r="P210" s="83">
        <f t="shared" si="71"/>
        <v>80000</v>
      </c>
      <c r="Q210" s="285"/>
      <c r="R210" s="161">
        <f>R211</f>
        <v>0</v>
      </c>
      <c r="S210" s="161">
        <f>S211</f>
        <v>0</v>
      </c>
      <c r="T210" s="161"/>
    </row>
    <row r="211" spans="1:20" s="116" customFormat="1" ht="36.75" customHeight="1">
      <c r="A211" s="84" t="s">
        <v>309</v>
      </c>
      <c r="B211" s="84" t="str">
        <f>'дод. 4'!A116</f>
        <v>3112</v>
      </c>
      <c r="C211" s="84" t="str">
        <f>'дод. 4'!B116</f>
        <v>1040</v>
      </c>
      <c r="D211" s="107" t="str">
        <f>'дод. 4'!C116</f>
        <v>Заходи державної політики з питань дітей та їх соціального захисту</v>
      </c>
      <c r="E211" s="86">
        <f>F211+I211</f>
        <v>80000</v>
      </c>
      <c r="F211" s="86">
        <v>80000</v>
      </c>
      <c r="G211" s="86"/>
      <c r="H211" s="86"/>
      <c r="I211" s="86"/>
      <c r="J211" s="86">
        <f>K211+N211</f>
        <v>0</v>
      </c>
      <c r="K211" s="86"/>
      <c r="L211" s="86"/>
      <c r="M211" s="86"/>
      <c r="N211" s="86"/>
      <c r="O211" s="86"/>
      <c r="P211" s="86">
        <f>E211+J211</f>
        <v>80000</v>
      </c>
      <c r="Q211" s="285"/>
      <c r="R211" s="162"/>
      <c r="S211" s="162"/>
      <c r="T211" s="162"/>
    </row>
    <row r="212" spans="1:20" s="113" customFormat="1" ht="37.5" customHeight="1">
      <c r="A212" s="112" t="s">
        <v>50</v>
      </c>
      <c r="B212" s="36"/>
      <c r="C212" s="36"/>
      <c r="D212" s="35" t="s">
        <v>61</v>
      </c>
      <c r="E212" s="46">
        <f>E213</f>
        <v>51388546</v>
      </c>
      <c r="F212" s="46">
        <f aca="true" t="shared" si="72" ref="F212:P212">F213</f>
        <v>51388546</v>
      </c>
      <c r="G212" s="46">
        <f t="shared" si="72"/>
        <v>36885629</v>
      </c>
      <c r="H212" s="46">
        <f t="shared" si="72"/>
        <v>1862231</v>
      </c>
      <c r="I212" s="46">
        <f t="shared" si="72"/>
        <v>0</v>
      </c>
      <c r="J212" s="46">
        <f t="shared" si="72"/>
        <v>5291000</v>
      </c>
      <c r="K212" s="46">
        <f t="shared" si="72"/>
        <v>2135830</v>
      </c>
      <c r="L212" s="46">
        <f t="shared" si="72"/>
        <v>1726450</v>
      </c>
      <c r="M212" s="46">
        <f t="shared" si="72"/>
        <v>0</v>
      </c>
      <c r="N212" s="46">
        <f t="shared" si="72"/>
        <v>3155170</v>
      </c>
      <c r="O212" s="46">
        <f t="shared" si="72"/>
        <v>3150450</v>
      </c>
      <c r="P212" s="46">
        <f t="shared" si="72"/>
        <v>56679546</v>
      </c>
      <c r="Q212" s="285"/>
      <c r="R212" s="158">
        <f>R214+R215+R216+R218+R219+R220</f>
        <v>0</v>
      </c>
      <c r="S212" s="158">
        <f>S214+S215+S216+S218+S219+S220</f>
        <v>0</v>
      </c>
      <c r="T212" s="158"/>
    </row>
    <row r="213" spans="1:20" s="115" customFormat="1" ht="24.75" customHeight="1">
      <c r="A213" s="114" t="s">
        <v>310</v>
      </c>
      <c r="B213" s="125"/>
      <c r="C213" s="125"/>
      <c r="D213" s="124" t="s">
        <v>61</v>
      </c>
      <c r="E213" s="80">
        <f>E214+E215+E216+E217+E220</f>
        <v>51388546</v>
      </c>
      <c r="F213" s="80">
        <f aca="true" t="shared" si="73" ref="F213:P213">F214+F215+F216+F217+F220</f>
        <v>51388546</v>
      </c>
      <c r="G213" s="80">
        <f t="shared" si="73"/>
        <v>36885629</v>
      </c>
      <c r="H213" s="80">
        <f t="shared" si="73"/>
        <v>1862231</v>
      </c>
      <c r="I213" s="80">
        <f t="shared" si="73"/>
        <v>0</v>
      </c>
      <c r="J213" s="80">
        <f t="shared" si="73"/>
        <v>5291000</v>
      </c>
      <c r="K213" s="80">
        <f t="shared" si="73"/>
        <v>2135830</v>
      </c>
      <c r="L213" s="80">
        <f t="shared" si="73"/>
        <v>1726450</v>
      </c>
      <c r="M213" s="80">
        <f t="shared" si="73"/>
        <v>0</v>
      </c>
      <c r="N213" s="80">
        <f t="shared" si="73"/>
        <v>3155170</v>
      </c>
      <c r="O213" s="80">
        <f t="shared" si="73"/>
        <v>3150450</v>
      </c>
      <c r="P213" s="80">
        <f t="shared" si="73"/>
        <v>56679546</v>
      </c>
      <c r="Q213" s="285"/>
      <c r="R213" s="167">
        <f>R214+R215+R216+R217+R220</f>
        <v>0</v>
      </c>
      <c r="S213" s="167">
        <f>S214+S215+S216+S217+S220</f>
        <v>0</v>
      </c>
      <c r="T213" s="167"/>
    </row>
    <row r="214" spans="1:20" s="4" customFormat="1" ht="51" customHeight="1">
      <c r="A214" s="81" t="s">
        <v>220</v>
      </c>
      <c r="B214" s="81" t="str">
        <f>'дод. 4'!A14</f>
        <v>0160</v>
      </c>
      <c r="C214" s="81" t="str">
        <f>'дод. 4'!B14</f>
        <v>0111</v>
      </c>
      <c r="D214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4" s="83">
        <f>F214+I214</f>
        <v>1423100</v>
      </c>
      <c r="F214" s="83">
        <f>1461500-38400</f>
        <v>1423100</v>
      </c>
      <c r="G214" s="83">
        <v>1101670</v>
      </c>
      <c r="H214" s="83">
        <v>14960</v>
      </c>
      <c r="I214" s="83"/>
      <c r="J214" s="83">
        <f aca="true" t="shared" si="74" ref="J214:J220">K214+N214</f>
        <v>10000</v>
      </c>
      <c r="K214" s="83"/>
      <c r="L214" s="83"/>
      <c r="M214" s="83"/>
      <c r="N214" s="83">
        <v>10000</v>
      </c>
      <c r="O214" s="83">
        <v>10000</v>
      </c>
      <c r="P214" s="83">
        <f>E214+J214</f>
        <v>1433100</v>
      </c>
      <c r="Q214" s="285"/>
      <c r="R214" s="160"/>
      <c r="S214" s="160"/>
      <c r="T214" s="160"/>
    </row>
    <row r="215" spans="1:20" s="4" customFormat="1" ht="48.75" customHeight="1">
      <c r="A215" s="81" t="s">
        <v>351</v>
      </c>
      <c r="B215" s="81" t="str">
        <f>'дод. 4'!A26</f>
        <v>1100</v>
      </c>
      <c r="C215" s="81" t="str">
        <f>'дод. 4'!B26</f>
        <v>0960</v>
      </c>
      <c r="D215" s="110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15" s="83">
        <f>F215+I215</f>
        <v>29907268</v>
      </c>
      <c r="F215" s="83">
        <f>29741300+75000+45968+20000+10000+5000+10000</f>
        <v>29907268</v>
      </c>
      <c r="G215" s="83">
        <v>23498774</v>
      </c>
      <c r="H215" s="83">
        <v>711900</v>
      </c>
      <c r="I215" s="83"/>
      <c r="J215" s="83">
        <f t="shared" si="74"/>
        <v>2325850</v>
      </c>
      <c r="K215" s="83">
        <f>2108830</f>
        <v>2108830</v>
      </c>
      <c r="L215" s="83">
        <v>1721450</v>
      </c>
      <c r="M215" s="83"/>
      <c r="N215" s="83">
        <f>200000+4720+12300</f>
        <v>217020</v>
      </c>
      <c r="O215" s="83">
        <f>200000+12300</f>
        <v>212300</v>
      </c>
      <c r="P215" s="83">
        <f>E215+J215</f>
        <v>32233118</v>
      </c>
      <c r="Q215" s="285"/>
      <c r="R215" s="160"/>
      <c r="S215" s="160"/>
      <c r="T215" s="160"/>
    </row>
    <row r="216" spans="1:20" s="4" customFormat="1" ht="21" customHeight="1">
      <c r="A216" s="81" t="s">
        <v>311</v>
      </c>
      <c r="B216" s="81" t="str">
        <f>'дод. 4'!A142</f>
        <v>4030</v>
      </c>
      <c r="C216" s="81" t="str">
        <f>'дод. 4'!B142</f>
        <v>0824</v>
      </c>
      <c r="D216" s="110" t="str">
        <f>'дод. 4'!C142</f>
        <v>Забезпечення діяльності бібліотек</v>
      </c>
      <c r="E216" s="83">
        <f>F216+I216</f>
        <v>16378546</v>
      </c>
      <c r="F216" s="83">
        <f>15733720+338000+149950+1000+4500+57000+56376-5000+12000+15000+10000+6000</f>
        <v>16378546</v>
      </c>
      <c r="G216" s="83">
        <v>11407051</v>
      </c>
      <c r="H216" s="83">
        <v>1115260</v>
      </c>
      <c r="I216" s="83"/>
      <c r="J216" s="83">
        <f t="shared" si="74"/>
        <v>1257150</v>
      </c>
      <c r="K216" s="83">
        <f>27000</f>
        <v>27000</v>
      </c>
      <c r="L216" s="83">
        <v>5000</v>
      </c>
      <c r="M216" s="83"/>
      <c r="N216" s="83">
        <f>300000+850050+23000+47100+10000</f>
        <v>1230150</v>
      </c>
      <c r="O216" s="83">
        <f>300000+850050+23000+47100+10000</f>
        <v>1230150</v>
      </c>
      <c r="P216" s="83">
        <f>E216+J216</f>
        <v>17635696</v>
      </c>
      <c r="Q216" s="285"/>
      <c r="R216" s="160"/>
      <c r="S216" s="160"/>
      <c r="T216" s="160"/>
    </row>
    <row r="217" spans="1:20" s="4" customFormat="1" ht="38.25" customHeight="1">
      <c r="A217" s="81" t="s">
        <v>312</v>
      </c>
      <c r="B217" s="81" t="str">
        <f>'дод. 4'!A144</f>
        <v>4080</v>
      </c>
      <c r="C217" s="81">
        <f>'дод. 4'!B144</f>
        <v>0</v>
      </c>
      <c r="D217" s="110" t="str">
        <f>'дод. 4'!C144</f>
        <v>Інші заклади та заходи в галузі культури і мистецтва</v>
      </c>
      <c r="E217" s="83">
        <f>E218+E219</f>
        <v>3619632</v>
      </c>
      <c r="F217" s="83">
        <f aca="true" t="shared" si="75" ref="F217:P217">F218+F219</f>
        <v>3619632</v>
      </c>
      <c r="G217" s="83">
        <f t="shared" si="75"/>
        <v>878134</v>
      </c>
      <c r="H217" s="83">
        <f t="shared" si="75"/>
        <v>20111</v>
      </c>
      <c r="I217" s="83">
        <f t="shared" si="75"/>
        <v>0</v>
      </c>
      <c r="J217" s="83">
        <f t="shared" si="75"/>
        <v>50000</v>
      </c>
      <c r="K217" s="83">
        <f t="shared" si="75"/>
        <v>0</v>
      </c>
      <c r="L217" s="83">
        <f t="shared" si="75"/>
        <v>0</v>
      </c>
      <c r="M217" s="83">
        <f t="shared" si="75"/>
        <v>0</v>
      </c>
      <c r="N217" s="83">
        <f t="shared" si="75"/>
        <v>50000</v>
      </c>
      <c r="O217" s="83">
        <f t="shared" si="75"/>
        <v>50000</v>
      </c>
      <c r="P217" s="83">
        <f t="shared" si="75"/>
        <v>3669632</v>
      </c>
      <c r="Q217" s="285"/>
      <c r="R217" s="161"/>
      <c r="S217" s="161"/>
      <c r="T217" s="161"/>
    </row>
    <row r="218" spans="1:20" s="116" customFormat="1" ht="33.75" customHeight="1">
      <c r="A218" s="94">
        <v>1014081</v>
      </c>
      <c r="B218" s="84" t="str">
        <f>'дод. 4'!A145</f>
        <v>4081</v>
      </c>
      <c r="C218" s="84" t="str">
        <f>'дод. 4'!B145</f>
        <v>0829</v>
      </c>
      <c r="D218" s="107" t="str">
        <f>'дод. 4'!C145</f>
        <v>Забезпечення діяльності інших закладів в галузі культури і мистецтва </v>
      </c>
      <c r="E218" s="86">
        <f>F218+I218</f>
        <v>1212180</v>
      </c>
      <c r="F218" s="86">
        <v>1212180</v>
      </c>
      <c r="G218" s="86">
        <v>878134</v>
      </c>
      <c r="H218" s="86">
        <v>20111</v>
      </c>
      <c r="I218" s="86"/>
      <c r="J218" s="86">
        <f t="shared" si="74"/>
        <v>50000</v>
      </c>
      <c r="K218" s="86"/>
      <c r="L218" s="86"/>
      <c r="M218" s="86"/>
      <c r="N218" s="86">
        <v>50000</v>
      </c>
      <c r="O218" s="86">
        <v>50000</v>
      </c>
      <c r="P218" s="86">
        <f>E218+J218</f>
        <v>1262180</v>
      </c>
      <c r="Q218" s="285"/>
      <c r="R218" s="162"/>
      <c r="S218" s="162"/>
      <c r="T218" s="162"/>
    </row>
    <row r="219" spans="1:20" s="116" customFormat="1" ht="25.5" customHeight="1">
      <c r="A219" s="94">
        <v>1014082</v>
      </c>
      <c r="B219" s="84" t="str">
        <f>'дод. 4'!A146</f>
        <v>4082</v>
      </c>
      <c r="C219" s="84" t="str">
        <f>'дод. 4'!B146</f>
        <v>0829</v>
      </c>
      <c r="D219" s="107" t="str">
        <f>'дод. 4'!C146</f>
        <v>Інші заходи в галузі культури і мистецтва</v>
      </c>
      <c r="E219" s="86">
        <f>F219+I219</f>
        <v>2407452</v>
      </c>
      <c r="F219" s="86">
        <f>1900000+193952+7500+186000+50000+70000</f>
        <v>2407452</v>
      </c>
      <c r="G219" s="86"/>
      <c r="H219" s="86"/>
      <c r="I219" s="86"/>
      <c r="J219" s="86">
        <f t="shared" si="74"/>
        <v>0</v>
      </c>
      <c r="K219" s="86"/>
      <c r="L219" s="86"/>
      <c r="M219" s="86"/>
      <c r="N219" s="86"/>
      <c r="O219" s="86"/>
      <c r="P219" s="86">
        <f>E219+J219</f>
        <v>2407452</v>
      </c>
      <c r="Q219" s="285"/>
      <c r="R219" s="162"/>
      <c r="S219" s="162"/>
      <c r="T219" s="162"/>
    </row>
    <row r="220" spans="1:20" s="4" customFormat="1" ht="22.5" customHeight="1">
      <c r="A220" s="81" t="s">
        <v>233</v>
      </c>
      <c r="B220" s="81" t="str">
        <f>'дод. 4'!A211</f>
        <v>7640</v>
      </c>
      <c r="C220" s="81" t="str">
        <f>'дод. 4'!B211</f>
        <v>0470</v>
      </c>
      <c r="D220" s="108" t="str">
        <f>'дод. 4'!C211</f>
        <v>Заходи з енергозбереження</v>
      </c>
      <c r="E220" s="83">
        <f>F220+I220</f>
        <v>60000</v>
      </c>
      <c r="F220" s="83">
        <v>60000</v>
      </c>
      <c r="G220" s="83"/>
      <c r="H220" s="83"/>
      <c r="I220" s="83"/>
      <c r="J220" s="83">
        <f t="shared" si="74"/>
        <v>1648000</v>
      </c>
      <c r="K220" s="83"/>
      <c r="L220" s="83"/>
      <c r="M220" s="83"/>
      <c r="N220" s="83">
        <v>1648000</v>
      </c>
      <c r="O220" s="83">
        <v>1648000</v>
      </c>
      <c r="P220" s="83">
        <f>E220+J220</f>
        <v>1708000</v>
      </c>
      <c r="Q220" s="285"/>
      <c r="R220" s="160"/>
      <c r="S220" s="160"/>
      <c r="T220" s="160"/>
    </row>
    <row r="221" spans="1:20" s="113" customFormat="1" ht="28.5">
      <c r="A221" s="112" t="s">
        <v>313</v>
      </c>
      <c r="B221" s="36"/>
      <c r="C221" s="36"/>
      <c r="D221" s="35" t="s">
        <v>63</v>
      </c>
      <c r="E221" s="46">
        <f>E222</f>
        <v>91736942.1</v>
      </c>
      <c r="F221" s="46">
        <f aca="true" t="shared" si="76" ref="F221:P221">F222</f>
        <v>76655541.94999999</v>
      </c>
      <c r="G221" s="46">
        <f t="shared" si="76"/>
        <v>7603186.1</v>
      </c>
      <c r="H221" s="46">
        <f t="shared" si="76"/>
        <v>18331620</v>
      </c>
      <c r="I221" s="46">
        <f t="shared" si="76"/>
        <v>15081400.149999999</v>
      </c>
      <c r="J221" s="46">
        <f t="shared" si="76"/>
        <v>168210194.5</v>
      </c>
      <c r="K221" s="46">
        <f t="shared" si="76"/>
        <v>2057124.01</v>
      </c>
      <c r="L221" s="46">
        <f t="shared" si="76"/>
        <v>0</v>
      </c>
      <c r="M221" s="46">
        <f t="shared" si="76"/>
        <v>0</v>
      </c>
      <c r="N221" s="46">
        <f t="shared" si="76"/>
        <v>166153070.49</v>
      </c>
      <c r="O221" s="46">
        <f t="shared" si="76"/>
        <v>148157245.94</v>
      </c>
      <c r="P221" s="46">
        <f t="shared" si="76"/>
        <v>259947136.6</v>
      </c>
      <c r="Q221" s="285"/>
      <c r="R221" s="158"/>
      <c r="S221" s="158"/>
      <c r="T221" s="158"/>
    </row>
    <row r="222" spans="1:20" s="115" customFormat="1" ht="30">
      <c r="A222" s="114" t="s">
        <v>314</v>
      </c>
      <c r="B222" s="125"/>
      <c r="C222" s="125"/>
      <c r="D222" s="124" t="s">
        <v>63</v>
      </c>
      <c r="E222" s="80">
        <f>E224+E225+E226+E232+E233+E234+E240+E241+E242+E248+E249+E251+E252+E253+E243+E239+E235</f>
        <v>91736942.1</v>
      </c>
      <c r="F222" s="80">
        <f aca="true" t="shared" si="77" ref="F222:P222">F224+F225+F226+F232+F233+F234+F240+F241+F242+F248+F249+F251+F252+F253+F243+F239+F235</f>
        <v>76655541.94999999</v>
      </c>
      <c r="G222" s="80">
        <f t="shared" si="77"/>
        <v>7603186.1</v>
      </c>
      <c r="H222" s="80">
        <f t="shared" si="77"/>
        <v>18331620</v>
      </c>
      <c r="I222" s="80">
        <f t="shared" si="77"/>
        <v>15081400.149999999</v>
      </c>
      <c r="J222" s="80">
        <f t="shared" si="77"/>
        <v>168210194.5</v>
      </c>
      <c r="K222" s="80">
        <f t="shared" si="77"/>
        <v>2057124.01</v>
      </c>
      <c r="L222" s="80">
        <f t="shared" si="77"/>
        <v>0</v>
      </c>
      <c r="M222" s="80">
        <f t="shared" si="77"/>
        <v>0</v>
      </c>
      <c r="N222" s="80">
        <f t="shared" si="77"/>
        <v>166153070.49</v>
      </c>
      <c r="O222" s="80">
        <f t="shared" si="77"/>
        <v>148157245.94</v>
      </c>
      <c r="P222" s="80">
        <f t="shared" si="77"/>
        <v>259947136.6</v>
      </c>
      <c r="Q222" s="285"/>
      <c r="R222" s="167"/>
      <c r="S222" s="167"/>
      <c r="T222" s="167"/>
    </row>
    <row r="223" spans="1:20" s="115" customFormat="1" ht="21" customHeight="1">
      <c r="A223" s="114"/>
      <c r="B223" s="125"/>
      <c r="C223" s="125"/>
      <c r="D223" s="124" t="s">
        <v>416</v>
      </c>
      <c r="E223" s="80">
        <f>E244+E236</f>
        <v>0</v>
      </c>
      <c r="F223" s="80">
        <f aca="true" t="shared" si="78" ref="F223:P223">F244+F236</f>
        <v>0</v>
      </c>
      <c r="G223" s="80">
        <f t="shared" si="78"/>
        <v>0</v>
      </c>
      <c r="H223" s="80">
        <f t="shared" si="78"/>
        <v>0</v>
      </c>
      <c r="I223" s="80">
        <f t="shared" si="78"/>
        <v>0</v>
      </c>
      <c r="J223" s="80">
        <f t="shared" si="78"/>
        <v>14478868.85</v>
      </c>
      <c r="K223" s="80">
        <f t="shared" si="78"/>
        <v>0</v>
      </c>
      <c r="L223" s="80">
        <f t="shared" si="78"/>
        <v>0</v>
      </c>
      <c r="M223" s="80">
        <f t="shared" si="78"/>
        <v>0</v>
      </c>
      <c r="N223" s="80">
        <f t="shared" si="78"/>
        <v>14478868.85</v>
      </c>
      <c r="O223" s="80">
        <f t="shared" si="78"/>
        <v>773868.85</v>
      </c>
      <c r="P223" s="80">
        <f t="shared" si="78"/>
        <v>14478868.85</v>
      </c>
      <c r="Q223" s="285"/>
      <c r="R223" s="167"/>
      <c r="S223" s="167"/>
      <c r="T223" s="167"/>
    </row>
    <row r="224" spans="1:20" s="4" customFormat="1" ht="45">
      <c r="A224" s="81" t="s">
        <v>315</v>
      </c>
      <c r="B224" s="81" t="str">
        <f>'дод. 4'!A14</f>
        <v>0160</v>
      </c>
      <c r="C224" s="81" t="str">
        <f>'дод. 4'!B14</f>
        <v>0111</v>
      </c>
      <c r="D224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4" s="83">
        <f>F224+I224</f>
        <v>9699700</v>
      </c>
      <c r="F224" s="83">
        <f>9793300-93600</f>
        <v>9699700</v>
      </c>
      <c r="G224" s="83">
        <v>7590891</v>
      </c>
      <c r="H224" s="83">
        <v>102300</v>
      </c>
      <c r="I224" s="83"/>
      <c r="J224" s="83">
        <f>K224+N224</f>
        <v>62500</v>
      </c>
      <c r="K224" s="83"/>
      <c r="L224" s="83"/>
      <c r="M224" s="83"/>
      <c r="N224" s="83">
        <f>200000-137500</f>
        <v>62500</v>
      </c>
      <c r="O224" s="83">
        <f>200000-137500</f>
        <v>62500</v>
      </c>
      <c r="P224" s="83">
        <f>E224+J224</f>
        <v>9762200</v>
      </c>
      <c r="Q224" s="285"/>
      <c r="R224" s="160"/>
      <c r="S224" s="160"/>
      <c r="T224" s="160"/>
    </row>
    <row r="225" spans="1:20" s="4" customFormat="1" ht="19.5" customHeight="1">
      <c r="A225" s="91" t="s">
        <v>474</v>
      </c>
      <c r="B225" s="91" t="str">
        <f>'дод. 4'!A131</f>
        <v>3210</v>
      </c>
      <c r="C225" s="91" t="str">
        <f>'дод. 4'!B131</f>
        <v>1050</v>
      </c>
      <c r="D225" s="109" t="str">
        <f>'дод. 4'!C131</f>
        <v>Організація та проведення громадських робіт</v>
      </c>
      <c r="E225" s="83">
        <f>F225+I225</f>
        <v>565000</v>
      </c>
      <c r="F225" s="83">
        <v>565000</v>
      </c>
      <c r="G225" s="83">
        <v>12295.1</v>
      </c>
      <c r="H225" s="83"/>
      <c r="I225" s="83"/>
      <c r="J225" s="83">
        <f aca="true" t="shared" si="79" ref="J225:J253">K225+N225</f>
        <v>0</v>
      </c>
      <c r="K225" s="83"/>
      <c r="L225" s="83"/>
      <c r="M225" s="83"/>
      <c r="N225" s="83"/>
      <c r="O225" s="83"/>
      <c r="P225" s="83">
        <f>E225+J225</f>
        <v>565000</v>
      </c>
      <c r="Q225" s="285"/>
      <c r="R225" s="160"/>
      <c r="S225" s="160"/>
      <c r="T225" s="160"/>
    </row>
    <row r="226" spans="1:20" s="4" customFormat="1" ht="32.25" customHeight="1">
      <c r="A226" s="81" t="s">
        <v>316</v>
      </c>
      <c r="B226" s="81" t="str">
        <f>'дод. 4'!A159</f>
        <v>6010</v>
      </c>
      <c r="C226" s="81">
        <f>'дод. 4'!B159</f>
        <v>0</v>
      </c>
      <c r="D226" s="110" t="str">
        <f>'дод. 4'!C159</f>
        <v>Утримання та ефективна експлуатація об’єктів житлово-комунального господарства</v>
      </c>
      <c r="E226" s="83">
        <f>E227+E228+E229+E231+E230</f>
        <v>9199142</v>
      </c>
      <c r="F226" s="83">
        <f aca="true" t="shared" si="80" ref="F226:P226">F227+F228+F229+F231+F230</f>
        <v>2343000</v>
      </c>
      <c r="G226" s="83">
        <f t="shared" si="80"/>
        <v>0</v>
      </c>
      <c r="H226" s="83">
        <f t="shared" si="80"/>
        <v>0</v>
      </c>
      <c r="I226" s="83">
        <f t="shared" si="80"/>
        <v>6856142</v>
      </c>
      <c r="J226" s="83">
        <f t="shared" si="80"/>
        <v>65654890</v>
      </c>
      <c r="K226" s="83">
        <f t="shared" si="80"/>
        <v>0</v>
      </c>
      <c r="L226" s="83">
        <f t="shared" si="80"/>
        <v>0</v>
      </c>
      <c r="M226" s="83">
        <f t="shared" si="80"/>
        <v>0</v>
      </c>
      <c r="N226" s="83">
        <f t="shared" si="80"/>
        <v>65654890</v>
      </c>
      <c r="O226" s="83">
        <f t="shared" si="80"/>
        <v>65654890</v>
      </c>
      <c r="P226" s="83">
        <f t="shared" si="80"/>
        <v>74854032</v>
      </c>
      <c r="Q226" s="285"/>
      <c r="R226" s="161"/>
      <c r="S226" s="161"/>
      <c r="T226" s="161"/>
    </row>
    <row r="227" spans="1:20" s="116" customFormat="1" ht="30">
      <c r="A227" s="84" t="s">
        <v>317</v>
      </c>
      <c r="B227" s="84" t="str">
        <f>'дод. 4'!A160</f>
        <v>6011</v>
      </c>
      <c r="C227" s="84" t="str">
        <f>'дод. 4'!B160</f>
        <v>0620</v>
      </c>
      <c r="D227" s="107" t="str">
        <f>'дод. 4'!C160</f>
        <v>Експлуатація та технічне обслуговування житлового фонду</v>
      </c>
      <c r="E227" s="86">
        <f aca="true" t="shared" si="81" ref="E227:E248">F227+I227</f>
        <v>0</v>
      </c>
      <c r="F227" s="86"/>
      <c r="G227" s="86"/>
      <c r="H227" s="86"/>
      <c r="I227" s="86"/>
      <c r="J227" s="86">
        <f t="shared" si="79"/>
        <v>32969268</v>
      </c>
      <c r="K227" s="86"/>
      <c r="L227" s="86"/>
      <c r="M227" s="86"/>
      <c r="N227" s="86">
        <f>20000000+15000000-150000-4100000+20000+350000+2000+2000+92000+35000+83268+60000+70000+1480000+25000</f>
        <v>32969268</v>
      </c>
      <c r="O227" s="86">
        <f>20000000+15000000-150000-4100000+20000+350000+2000+2000+92000+35000+83268+60000+70000+1480000+25000</f>
        <v>32969268</v>
      </c>
      <c r="P227" s="86">
        <f aca="true" t="shared" si="82" ref="P227:P248">E227+J227</f>
        <v>32969268</v>
      </c>
      <c r="Q227" s="285"/>
      <c r="R227" s="162"/>
      <c r="S227" s="162"/>
      <c r="T227" s="162"/>
    </row>
    <row r="228" spans="1:20" s="116" customFormat="1" ht="30">
      <c r="A228" s="84" t="s">
        <v>318</v>
      </c>
      <c r="B228" s="84" t="str">
        <f>'дод. 4'!A161</f>
        <v>6013</v>
      </c>
      <c r="C228" s="84" t="str">
        <f>'дод. 4'!B161</f>
        <v>0620</v>
      </c>
      <c r="D228" s="107" t="str">
        <f>'дод. 4'!C161</f>
        <v>Забезпечення діяльності водопровідно-каналізаційного господарства</v>
      </c>
      <c r="E228" s="86">
        <f t="shared" si="81"/>
        <v>7696142</v>
      </c>
      <c r="F228" s="86">
        <f>200000+90000+550000</f>
        <v>840000</v>
      </c>
      <c r="G228" s="86"/>
      <c r="H228" s="86"/>
      <c r="I228" s="86">
        <f>3096000+3760142</f>
        <v>6856142</v>
      </c>
      <c r="J228" s="86">
        <f t="shared" si="79"/>
        <v>542622</v>
      </c>
      <c r="K228" s="86"/>
      <c r="L228" s="86"/>
      <c r="M228" s="86"/>
      <c r="N228" s="86">
        <f>222622+320000</f>
        <v>542622</v>
      </c>
      <c r="O228" s="86">
        <f>222622+320000</f>
        <v>542622</v>
      </c>
      <c r="P228" s="86">
        <f t="shared" si="82"/>
        <v>8238764</v>
      </c>
      <c r="Q228" s="285"/>
      <c r="R228" s="162"/>
      <c r="S228" s="162"/>
      <c r="T228" s="162"/>
    </row>
    <row r="229" spans="1:20" s="116" customFormat="1" ht="35.25" customHeight="1">
      <c r="A229" s="84" t="s">
        <v>405</v>
      </c>
      <c r="B229" s="84" t="str">
        <f>'дод. 4'!A162</f>
        <v>6015</v>
      </c>
      <c r="C229" s="84" t="str">
        <f>'дод. 4'!B162</f>
        <v>0620</v>
      </c>
      <c r="D229" s="107" t="str">
        <f>'дод. 4'!C162</f>
        <v>Забезпечення надійної та безперебійної експлуатації ліфтів</v>
      </c>
      <c r="E229" s="86">
        <f t="shared" si="81"/>
        <v>503000</v>
      </c>
      <c r="F229" s="86">
        <f>350000+153000</f>
        <v>503000</v>
      </c>
      <c r="G229" s="86"/>
      <c r="H229" s="86"/>
      <c r="I229" s="86"/>
      <c r="J229" s="86">
        <f>K229+N229</f>
        <v>29965000</v>
      </c>
      <c r="K229" s="86"/>
      <c r="L229" s="86"/>
      <c r="M229" s="86"/>
      <c r="N229" s="86">
        <f>20000000+10000000-35000</f>
        <v>29965000</v>
      </c>
      <c r="O229" s="86">
        <f>20000000+10000000-35000</f>
        <v>29965000</v>
      </c>
      <c r="P229" s="86">
        <f t="shared" si="82"/>
        <v>30468000</v>
      </c>
      <c r="Q229" s="285"/>
      <c r="R229" s="162"/>
      <c r="S229" s="162"/>
      <c r="T229" s="162"/>
    </row>
    <row r="230" spans="1:20" s="116" customFormat="1" ht="46.5" customHeight="1">
      <c r="A230" s="84" t="s">
        <v>610</v>
      </c>
      <c r="B230" s="84" t="str">
        <f>'дод. 4'!A163</f>
        <v>6016</v>
      </c>
      <c r="C230" s="84" t="str">
        <f>'дод. 4'!B163</f>
        <v>0620</v>
      </c>
      <c r="D230" s="107" t="str">
        <f>'дод. 4'!C163</f>
        <v>Впровадження засобів обліку витрат та регулювання споживання води та теплової енергії</v>
      </c>
      <c r="E230" s="86">
        <f t="shared" si="81"/>
        <v>0</v>
      </c>
      <c r="F230" s="86"/>
      <c r="G230" s="86"/>
      <c r="H230" s="86"/>
      <c r="I230" s="86"/>
      <c r="J230" s="86">
        <f>K230+N230</f>
        <v>2178000</v>
      </c>
      <c r="K230" s="86"/>
      <c r="L230" s="86"/>
      <c r="M230" s="86"/>
      <c r="N230" s="86">
        <v>2178000</v>
      </c>
      <c r="O230" s="86">
        <v>2178000</v>
      </c>
      <c r="P230" s="86">
        <f t="shared" si="82"/>
        <v>2178000</v>
      </c>
      <c r="Q230" s="285">
        <v>12</v>
      </c>
      <c r="R230" s="162"/>
      <c r="S230" s="162"/>
      <c r="T230" s="162"/>
    </row>
    <row r="231" spans="1:20" s="116" customFormat="1" ht="38.25" customHeight="1">
      <c r="A231" s="84" t="s">
        <v>408</v>
      </c>
      <c r="B231" s="84" t="str">
        <f>'дод. 4'!A164</f>
        <v>6017</v>
      </c>
      <c r="C231" s="84" t="str">
        <f>'дод. 4'!B164</f>
        <v>0620</v>
      </c>
      <c r="D231" s="107" t="str">
        <f>'дод. 4'!C164</f>
        <v>Інша діяльність, пов’язана з експлуатацією об’єктів житлово-комунального господарства </v>
      </c>
      <c r="E231" s="86">
        <f t="shared" si="81"/>
        <v>1000000</v>
      </c>
      <c r="F231" s="86">
        <v>1000000</v>
      </c>
      <c r="G231" s="86"/>
      <c r="H231" s="86"/>
      <c r="I231" s="86"/>
      <c r="J231" s="86">
        <f t="shared" si="79"/>
        <v>0</v>
      </c>
      <c r="K231" s="86"/>
      <c r="L231" s="86"/>
      <c r="M231" s="86"/>
      <c r="N231" s="86"/>
      <c r="O231" s="86"/>
      <c r="P231" s="86">
        <f t="shared" si="82"/>
        <v>1000000</v>
      </c>
      <c r="Q231" s="285"/>
      <c r="R231" s="162"/>
      <c r="S231" s="162"/>
      <c r="T231" s="162"/>
    </row>
    <row r="232" spans="1:20" s="116" customFormat="1" ht="45">
      <c r="A232" s="87" t="s">
        <v>319</v>
      </c>
      <c r="B232" s="87" t="str">
        <f>'дод. 4'!A165</f>
        <v>6020</v>
      </c>
      <c r="C232" s="87" t="str">
        <f>'дод. 4'!B165</f>
        <v>0620</v>
      </c>
      <c r="D232" s="108" t="str">
        <f>'дод. 4'!C165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32" s="89">
        <f t="shared" si="81"/>
        <v>6402960.7</v>
      </c>
      <c r="F232" s="89"/>
      <c r="G232" s="89"/>
      <c r="H232" s="89"/>
      <c r="I232" s="89">
        <f>300000+6102960.7</f>
        <v>6402960.7</v>
      </c>
      <c r="J232" s="89">
        <f t="shared" si="79"/>
        <v>0</v>
      </c>
      <c r="K232" s="89"/>
      <c r="L232" s="89"/>
      <c r="M232" s="89"/>
      <c r="N232" s="89"/>
      <c r="O232" s="89"/>
      <c r="P232" s="89">
        <f t="shared" si="82"/>
        <v>6402960.7</v>
      </c>
      <c r="Q232" s="285"/>
      <c r="R232" s="160"/>
      <c r="S232" s="160"/>
      <c r="T232" s="160"/>
    </row>
    <row r="233" spans="1:20" s="4" customFormat="1" ht="21.75" customHeight="1">
      <c r="A233" s="87" t="s">
        <v>320</v>
      </c>
      <c r="B233" s="87" t="str">
        <f>'дод. 4'!A166</f>
        <v>6030</v>
      </c>
      <c r="C233" s="87" t="str">
        <f>'дод. 4'!B166</f>
        <v>0620</v>
      </c>
      <c r="D233" s="108" t="str">
        <f>'дод. 4'!C166</f>
        <v>Організація благоустрою населених пунктів</v>
      </c>
      <c r="E233" s="89">
        <f t="shared" si="81"/>
        <v>59500717.4</v>
      </c>
      <c r="F233" s="89">
        <f>51058210+4128000+3150000+2000000-428011-345568+1075722-757130-547750-1567100-10000+2800000-247489+500000-1440655.7-102277-5000-10000-5000-164200+500000-412000-2000-321786.35-150000-5000-5000-10000-11000+500000-20000-25000+200000</f>
        <v>59319964.949999996</v>
      </c>
      <c r="G233" s="89"/>
      <c r="H233" s="89">
        <f>16966320+500000+723000</f>
        <v>18189320</v>
      </c>
      <c r="I233" s="89">
        <f>180000+752.45</f>
        <v>180752.45</v>
      </c>
      <c r="J233" s="89">
        <f t="shared" si="79"/>
        <v>43233969.35</v>
      </c>
      <c r="K233" s="89"/>
      <c r="L233" s="89"/>
      <c r="M233" s="89"/>
      <c r="N233" s="89">
        <f>37188104+9000000+9000000+3150000-1000000-312300+497824+499005+500000-8558834-150000-56000-137000-434845-198030-185395-186000-488774-4920-175600-75000-15116.65-297115-824004-46555-130000-500000-559000-1480000-99475-77000-494000-116000</f>
        <v>43233969.35</v>
      </c>
      <c r="O233" s="89">
        <f>37188104+9000000+9000000+3150000-1000000-312300+497824+499005+500000-8558834-150000-56000-137000-434845-198030-185395-186000-488774-4920-175600-75000-15116.65-297115-824004-46555-130000-500000-559000-1480000-99475-77000-494000-116000</f>
        <v>43233969.35</v>
      </c>
      <c r="P233" s="89">
        <f t="shared" si="82"/>
        <v>102734686.75</v>
      </c>
      <c r="Q233" s="285"/>
      <c r="R233" s="160"/>
      <c r="S233" s="160"/>
      <c r="T233" s="169"/>
    </row>
    <row r="234" spans="1:20" s="4" customFormat="1" ht="31.5" customHeight="1">
      <c r="A234" s="87" t="s">
        <v>396</v>
      </c>
      <c r="B234" s="87" t="str">
        <f>'дод. 4'!A174</f>
        <v>6090</v>
      </c>
      <c r="C234" s="87" t="str">
        <f>'дод. 4'!B174</f>
        <v>0640</v>
      </c>
      <c r="D234" s="108" t="str">
        <f>'дод. 4'!C174</f>
        <v>Інша діяльність у сфері житлово-комунального господарства</v>
      </c>
      <c r="E234" s="89">
        <f t="shared" si="81"/>
        <v>3542152</v>
      </c>
      <c r="F234" s="89">
        <f>391104+1450191+670875-160875+89982+150000</f>
        <v>2591277</v>
      </c>
      <c r="G234" s="89"/>
      <c r="H234" s="89">
        <f>30000+10000</f>
        <v>40000</v>
      </c>
      <c r="I234" s="89">
        <f>160875+790000</f>
        <v>950875</v>
      </c>
      <c r="J234" s="89">
        <f t="shared" si="79"/>
        <v>0</v>
      </c>
      <c r="K234" s="89"/>
      <c r="L234" s="89"/>
      <c r="M234" s="89"/>
      <c r="N234" s="89"/>
      <c r="O234" s="89"/>
      <c r="P234" s="89">
        <f t="shared" si="82"/>
        <v>3542152</v>
      </c>
      <c r="Q234" s="285"/>
      <c r="R234" s="160"/>
      <c r="S234" s="160"/>
      <c r="T234" s="160"/>
    </row>
    <row r="235" spans="1:20" s="4" customFormat="1" ht="31.5" customHeight="1">
      <c r="A235" s="87" t="s">
        <v>639</v>
      </c>
      <c r="B235" s="87" t="str">
        <f>'дод. 4'!A167</f>
        <v>6070</v>
      </c>
      <c r="C235" s="87">
        <f>'дод. 4'!B167</f>
        <v>0</v>
      </c>
      <c r="D235" s="108" t="str">
        <f>'дод. 4'!C167</f>
        <v>Регулювання цін/тарифів на житлово-комунальні послуги</v>
      </c>
      <c r="E235" s="89">
        <f>E237</f>
        <v>0</v>
      </c>
      <c r="F235" s="89">
        <f aca="true" t="shared" si="83" ref="F235:P236">F237</f>
        <v>0</v>
      </c>
      <c r="G235" s="89">
        <f t="shared" si="83"/>
        <v>0</v>
      </c>
      <c r="H235" s="89">
        <f t="shared" si="83"/>
        <v>0</v>
      </c>
      <c r="I235" s="89">
        <f t="shared" si="83"/>
        <v>0</v>
      </c>
      <c r="J235" s="89">
        <f t="shared" si="83"/>
        <v>13705000</v>
      </c>
      <c r="K235" s="89">
        <f t="shared" si="83"/>
        <v>0</v>
      </c>
      <c r="L235" s="89">
        <f t="shared" si="83"/>
        <v>0</v>
      </c>
      <c r="M235" s="89">
        <f t="shared" si="83"/>
        <v>0</v>
      </c>
      <c r="N235" s="89">
        <f t="shared" si="83"/>
        <v>13705000</v>
      </c>
      <c r="O235" s="89">
        <f t="shared" si="83"/>
        <v>0</v>
      </c>
      <c r="P235" s="89">
        <f t="shared" si="83"/>
        <v>13705000</v>
      </c>
      <c r="Q235" s="285"/>
      <c r="R235" s="160"/>
      <c r="S235" s="160"/>
      <c r="T235" s="160"/>
    </row>
    <row r="236" spans="1:20" s="4" customFormat="1" ht="18.75" customHeight="1">
      <c r="A236" s="87"/>
      <c r="B236" s="87"/>
      <c r="C236" s="87"/>
      <c r="D236" s="108" t="s">
        <v>416</v>
      </c>
      <c r="E236" s="89">
        <f>E238</f>
        <v>0</v>
      </c>
      <c r="F236" s="89">
        <f t="shared" si="83"/>
        <v>0</v>
      </c>
      <c r="G236" s="89">
        <f t="shared" si="83"/>
        <v>0</v>
      </c>
      <c r="H236" s="89">
        <f t="shared" si="83"/>
        <v>0</v>
      </c>
      <c r="I236" s="89">
        <f t="shared" si="83"/>
        <v>0</v>
      </c>
      <c r="J236" s="89">
        <f t="shared" si="83"/>
        <v>13705000</v>
      </c>
      <c r="K236" s="89">
        <f t="shared" si="83"/>
        <v>0</v>
      </c>
      <c r="L236" s="89">
        <f t="shared" si="83"/>
        <v>0</v>
      </c>
      <c r="M236" s="89">
        <f t="shared" si="83"/>
        <v>0</v>
      </c>
      <c r="N236" s="89">
        <f t="shared" si="83"/>
        <v>13705000</v>
      </c>
      <c r="O236" s="89">
        <f t="shared" si="83"/>
        <v>0</v>
      </c>
      <c r="P236" s="89">
        <f t="shared" si="83"/>
        <v>13705000</v>
      </c>
      <c r="Q236" s="285"/>
      <c r="R236" s="160"/>
      <c r="S236" s="160"/>
      <c r="T236" s="160"/>
    </row>
    <row r="237" spans="1:20" s="116" customFormat="1" ht="216.75" customHeight="1">
      <c r="A237" s="84" t="s">
        <v>640</v>
      </c>
      <c r="B237" s="84" t="str">
        <f>'дод. 4'!A169</f>
        <v>6072</v>
      </c>
      <c r="C237" s="84" t="str">
        <f>'дод. 4'!B169</f>
        <v>0640</v>
      </c>
      <c r="D237" s="85" t="s">
        <v>638</v>
      </c>
      <c r="E237" s="86">
        <f>F237+I237</f>
        <v>0</v>
      </c>
      <c r="F237" s="86"/>
      <c r="G237" s="86"/>
      <c r="H237" s="86"/>
      <c r="I237" s="86"/>
      <c r="J237" s="86">
        <f>K237+N237</f>
        <v>13705000</v>
      </c>
      <c r="K237" s="86"/>
      <c r="L237" s="86"/>
      <c r="M237" s="86"/>
      <c r="N237" s="86">
        <v>13705000</v>
      </c>
      <c r="O237" s="86"/>
      <c r="P237" s="86">
        <f>E237+J237</f>
        <v>13705000</v>
      </c>
      <c r="Q237" s="285"/>
      <c r="R237" s="162"/>
      <c r="S237" s="162"/>
      <c r="T237" s="162"/>
    </row>
    <row r="238" spans="1:20" s="116" customFormat="1" ht="18" customHeight="1">
      <c r="A238" s="84"/>
      <c r="B238" s="84"/>
      <c r="C238" s="84"/>
      <c r="D238" s="108" t="s">
        <v>416</v>
      </c>
      <c r="E238" s="86"/>
      <c r="F238" s="86"/>
      <c r="G238" s="86"/>
      <c r="H238" s="86"/>
      <c r="I238" s="86"/>
      <c r="J238" s="86">
        <f>K238+N238</f>
        <v>13705000</v>
      </c>
      <c r="K238" s="86"/>
      <c r="L238" s="86"/>
      <c r="M238" s="86"/>
      <c r="N238" s="86">
        <v>13705000</v>
      </c>
      <c r="O238" s="86"/>
      <c r="P238" s="86">
        <f>E238+J238</f>
        <v>13705000</v>
      </c>
      <c r="Q238" s="285"/>
      <c r="R238" s="162"/>
      <c r="S238" s="162"/>
      <c r="T238" s="162"/>
    </row>
    <row r="239" spans="1:20" s="4" customFormat="1" ht="31.5" customHeight="1">
      <c r="A239" s="87" t="s">
        <v>630</v>
      </c>
      <c r="B239" s="87" t="str">
        <f>'дод. 4'!A177</f>
        <v>7130</v>
      </c>
      <c r="C239" s="87" t="str">
        <f>'дод. 4'!B177</f>
        <v>0421</v>
      </c>
      <c r="D239" s="108" t="str">
        <f>'дод. 4'!C177</f>
        <v>Здійснення  заходів із землеустрою</v>
      </c>
      <c r="E239" s="89">
        <f t="shared" si="81"/>
        <v>490670</v>
      </c>
      <c r="F239" s="89"/>
      <c r="G239" s="89"/>
      <c r="H239" s="89"/>
      <c r="I239" s="89">
        <v>490670</v>
      </c>
      <c r="J239" s="89">
        <f t="shared" si="79"/>
        <v>0</v>
      </c>
      <c r="K239" s="89"/>
      <c r="L239" s="89"/>
      <c r="M239" s="89"/>
      <c r="N239" s="89"/>
      <c r="O239" s="89"/>
      <c r="P239" s="89">
        <f t="shared" si="82"/>
        <v>490670</v>
      </c>
      <c r="Q239" s="285"/>
      <c r="R239" s="160"/>
      <c r="S239" s="160"/>
      <c r="T239" s="160"/>
    </row>
    <row r="240" spans="1:20" s="4" customFormat="1" ht="36.75" customHeight="1">
      <c r="A240" s="87" t="s">
        <v>424</v>
      </c>
      <c r="B240" s="87" t="str">
        <f>'дод. 4'!A180</f>
        <v>7310</v>
      </c>
      <c r="C240" s="87" t="str">
        <f>'дод. 4'!B180</f>
        <v>0443</v>
      </c>
      <c r="D240" s="108" t="str">
        <f>'дод. 4'!C180</f>
        <v>Будівництво об'єктів житлово-комунального господарства</v>
      </c>
      <c r="E240" s="89">
        <f t="shared" si="81"/>
        <v>0</v>
      </c>
      <c r="F240" s="89"/>
      <c r="G240" s="89"/>
      <c r="H240" s="89"/>
      <c r="I240" s="89"/>
      <c r="J240" s="89">
        <f>K240+N240</f>
        <v>27909194.13</v>
      </c>
      <c r="K240" s="89"/>
      <c r="L240" s="89"/>
      <c r="M240" s="89"/>
      <c r="N240" s="89">
        <f>2000000+500000+2000000+18725194.13+1595000-1500000+269000+1980000+20000+2120000+200000</f>
        <v>27909194.13</v>
      </c>
      <c r="O240" s="89">
        <f>2000000+500000+2000000+18725194.13+1595000-1500000+269000+1980000+20000+2120000+200000</f>
        <v>27909194.13</v>
      </c>
      <c r="P240" s="89">
        <f t="shared" si="82"/>
        <v>27909194.13</v>
      </c>
      <c r="Q240" s="285"/>
      <c r="R240" s="160"/>
      <c r="S240" s="160"/>
      <c r="T240" s="160"/>
    </row>
    <row r="241" spans="1:20" s="4" customFormat="1" ht="40.5" customHeight="1">
      <c r="A241" s="87" t="s">
        <v>426</v>
      </c>
      <c r="B241" s="87" t="str">
        <f>'дод. 4'!A185</f>
        <v>7330</v>
      </c>
      <c r="C241" s="87" t="str">
        <f>'дод. 4'!B185</f>
        <v>0443</v>
      </c>
      <c r="D241" s="108" t="str">
        <f>'дод. 4'!C185</f>
        <v>Будівництво інших об'єктів соціальної та виробничої інфраструктури комунальної власності</v>
      </c>
      <c r="E241" s="89">
        <f t="shared" si="81"/>
        <v>0</v>
      </c>
      <c r="F241" s="89"/>
      <c r="G241" s="89"/>
      <c r="H241" s="89"/>
      <c r="I241" s="89"/>
      <c r="J241" s="89">
        <f>K241+N241</f>
        <v>5655800</v>
      </c>
      <c r="K241" s="89"/>
      <c r="L241" s="89"/>
      <c r="M241" s="89"/>
      <c r="N241" s="89">
        <f>1000000+4100000+250000+376800+700000-885000+20000+94000</f>
        <v>5655800</v>
      </c>
      <c r="O241" s="89">
        <f>1000000+4100000+250000+376800+700000-885000+20000+94000</f>
        <v>5655800</v>
      </c>
      <c r="P241" s="89">
        <f t="shared" si="82"/>
        <v>5655800</v>
      </c>
      <c r="Q241" s="285"/>
      <c r="R241" s="160"/>
      <c r="S241" s="160"/>
      <c r="T241" s="160"/>
    </row>
    <row r="242" spans="1:20" s="4" customFormat="1" ht="36" customHeight="1">
      <c r="A242" s="87" t="s">
        <v>321</v>
      </c>
      <c r="B242" s="87" t="str">
        <f>'дод. 4'!A186</f>
        <v>7340</v>
      </c>
      <c r="C242" s="87" t="str">
        <f>'дод. 4'!B186</f>
        <v>0443</v>
      </c>
      <c r="D242" s="108" t="str">
        <f>'дод. 4'!C186</f>
        <v>Проектування, реставрація та охорона пам'яток архітектури</v>
      </c>
      <c r="E242" s="89">
        <f t="shared" si="81"/>
        <v>0</v>
      </c>
      <c r="F242" s="89"/>
      <c r="G242" s="89"/>
      <c r="H242" s="89"/>
      <c r="I242" s="89"/>
      <c r="J242" s="89">
        <f t="shared" si="79"/>
        <v>3200000</v>
      </c>
      <c r="K242" s="89"/>
      <c r="L242" s="89"/>
      <c r="M242" s="89"/>
      <c r="N242" s="89">
        <f>1200000+2000000+1000000-1000000</f>
        <v>3200000</v>
      </c>
      <c r="O242" s="89">
        <f>1200000+2000000+1000000-1000000</f>
        <v>3200000</v>
      </c>
      <c r="P242" s="89">
        <f t="shared" si="82"/>
        <v>3200000</v>
      </c>
      <c r="Q242" s="285"/>
      <c r="R242" s="160"/>
      <c r="S242" s="160"/>
      <c r="T242" s="160"/>
    </row>
    <row r="243" spans="1:20" s="4" customFormat="1" ht="24.75" customHeight="1">
      <c r="A243" s="87" t="s">
        <v>611</v>
      </c>
      <c r="B243" s="87" t="str">
        <f>'дод. 4'!A188</f>
        <v>7360</v>
      </c>
      <c r="C243" s="87">
        <f>'дод. 4'!B188</f>
        <v>0</v>
      </c>
      <c r="D243" s="108" t="str">
        <f>'дод. 4'!C188</f>
        <v>Виконання інвестиційних проектів</v>
      </c>
      <c r="E243" s="89">
        <f>E246+E245</f>
        <v>0</v>
      </c>
      <c r="F243" s="89">
        <f aca="true" t="shared" si="84" ref="F243:P243">F246+F245</f>
        <v>0</v>
      </c>
      <c r="G243" s="89">
        <f t="shared" si="84"/>
        <v>0</v>
      </c>
      <c r="H243" s="89">
        <f t="shared" si="84"/>
        <v>0</v>
      </c>
      <c r="I243" s="89">
        <f t="shared" si="84"/>
        <v>0</v>
      </c>
      <c r="J243" s="89">
        <f t="shared" si="84"/>
        <v>1220892.46</v>
      </c>
      <c r="K243" s="89">
        <f t="shared" si="84"/>
        <v>0</v>
      </c>
      <c r="L243" s="89">
        <f t="shared" si="84"/>
        <v>0</v>
      </c>
      <c r="M243" s="89">
        <f t="shared" si="84"/>
        <v>0</v>
      </c>
      <c r="N243" s="89">
        <f t="shared" si="84"/>
        <v>1220892.46</v>
      </c>
      <c r="O243" s="89">
        <f t="shared" si="84"/>
        <v>1220892.46</v>
      </c>
      <c r="P243" s="89">
        <f t="shared" si="84"/>
        <v>1220892.46</v>
      </c>
      <c r="Q243" s="285"/>
      <c r="R243" s="160"/>
      <c r="S243" s="160"/>
      <c r="T243" s="160"/>
    </row>
    <row r="244" spans="1:20" s="4" customFormat="1" ht="22.5" customHeight="1">
      <c r="A244" s="87"/>
      <c r="B244" s="87"/>
      <c r="C244" s="87"/>
      <c r="D244" s="88" t="s">
        <v>416</v>
      </c>
      <c r="E244" s="89">
        <f>E247</f>
        <v>0</v>
      </c>
      <c r="F244" s="89">
        <f aca="true" t="shared" si="85" ref="F244:P244">F247</f>
        <v>0</v>
      </c>
      <c r="G244" s="89">
        <f t="shared" si="85"/>
        <v>0</v>
      </c>
      <c r="H244" s="89">
        <f t="shared" si="85"/>
        <v>0</v>
      </c>
      <c r="I244" s="89">
        <f t="shared" si="85"/>
        <v>0</v>
      </c>
      <c r="J244" s="89">
        <f t="shared" si="85"/>
        <v>773868.85</v>
      </c>
      <c r="K244" s="89">
        <f t="shared" si="85"/>
        <v>0</v>
      </c>
      <c r="L244" s="89">
        <f t="shared" si="85"/>
        <v>0</v>
      </c>
      <c r="M244" s="89">
        <f t="shared" si="85"/>
        <v>0</v>
      </c>
      <c r="N244" s="89">
        <f t="shared" si="85"/>
        <v>773868.85</v>
      </c>
      <c r="O244" s="89">
        <f t="shared" si="85"/>
        <v>773868.85</v>
      </c>
      <c r="P244" s="89">
        <f t="shared" si="85"/>
        <v>773868.85</v>
      </c>
      <c r="Q244" s="285"/>
      <c r="R244" s="160"/>
      <c r="S244" s="160"/>
      <c r="T244" s="160"/>
    </row>
    <row r="245" spans="1:20" s="116" customFormat="1" ht="48" customHeight="1">
      <c r="A245" s="84" t="s">
        <v>624</v>
      </c>
      <c r="B245" s="84" t="str">
        <f>'дод. 4'!A190</f>
        <v>7361</v>
      </c>
      <c r="C245" s="84" t="str">
        <f>'дод. 4'!B190</f>
        <v>0490</v>
      </c>
      <c r="D245" s="107" t="str">
        <f>'дод. 4'!C190</f>
        <v>Співфінансування інвестиційних проектів, що реалізуються за рахунок коштів державного фонду регіонального розвитку</v>
      </c>
      <c r="E245" s="86">
        <f>F245+I245</f>
        <v>0</v>
      </c>
      <c r="F245" s="86"/>
      <c r="G245" s="86"/>
      <c r="H245" s="86"/>
      <c r="I245" s="86"/>
      <c r="J245" s="86">
        <f>K245+N245</f>
        <v>426739</v>
      </c>
      <c r="K245" s="86"/>
      <c r="L245" s="86"/>
      <c r="M245" s="86"/>
      <c r="N245" s="86">
        <v>426739</v>
      </c>
      <c r="O245" s="86">
        <v>426739</v>
      </c>
      <c r="P245" s="86">
        <f>E245+J245</f>
        <v>426739</v>
      </c>
      <c r="Q245" s="285"/>
      <c r="R245" s="162"/>
      <c r="S245" s="162"/>
      <c r="T245" s="162"/>
    </row>
    <row r="246" spans="1:20" s="116" customFormat="1" ht="54.75" customHeight="1">
      <c r="A246" s="84" t="s">
        <v>612</v>
      </c>
      <c r="B246" s="84" t="str">
        <f>'дод. 4'!A191</f>
        <v>7363</v>
      </c>
      <c r="C246" s="84" t="str">
        <f>'дод. 4'!B191</f>
        <v>0490</v>
      </c>
      <c r="D246" s="107" t="str">
        <f>'дод. 4'!C191</f>
        <v>Виконання інвестиційних проектів в рамках здійснення заходів щодо соціально-економічного розвитку окремих територій</v>
      </c>
      <c r="E246" s="86">
        <f>F246+I246</f>
        <v>0</v>
      </c>
      <c r="F246" s="86"/>
      <c r="G246" s="86"/>
      <c r="H246" s="86"/>
      <c r="I246" s="86"/>
      <c r="J246" s="86">
        <f>K246+N246</f>
        <v>794153.46</v>
      </c>
      <c r="K246" s="86"/>
      <c r="L246" s="86"/>
      <c r="M246" s="86"/>
      <c r="N246" s="86">
        <f>20284.61+773868.85</f>
        <v>794153.46</v>
      </c>
      <c r="O246" s="86">
        <f>20284.61+773868.85</f>
        <v>794153.46</v>
      </c>
      <c r="P246" s="86">
        <f>E246+J246</f>
        <v>794153.46</v>
      </c>
      <c r="Q246" s="285"/>
      <c r="R246" s="162"/>
      <c r="S246" s="162"/>
      <c r="T246" s="162"/>
    </row>
    <row r="247" spans="1:20" s="116" customFormat="1" ht="18.75" customHeight="1">
      <c r="A247" s="84"/>
      <c r="B247" s="84"/>
      <c r="C247" s="84"/>
      <c r="D247" s="85" t="s">
        <v>416</v>
      </c>
      <c r="E247" s="86">
        <f>F247+I247</f>
        <v>0</v>
      </c>
      <c r="F247" s="86"/>
      <c r="G247" s="86"/>
      <c r="H247" s="86"/>
      <c r="I247" s="86"/>
      <c r="J247" s="86">
        <f>K247+N247</f>
        <v>773868.85</v>
      </c>
      <c r="K247" s="86"/>
      <c r="L247" s="86"/>
      <c r="M247" s="86"/>
      <c r="N247" s="86">
        <v>773868.85</v>
      </c>
      <c r="O247" s="86">
        <v>773868.85</v>
      </c>
      <c r="P247" s="86">
        <f>E247+J247</f>
        <v>773868.85</v>
      </c>
      <c r="Q247" s="285"/>
      <c r="R247" s="162"/>
      <c r="S247" s="162"/>
      <c r="T247" s="162"/>
    </row>
    <row r="248" spans="1:20" s="4" customFormat="1" ht="24" customHeight="1">
      <c r="A248" s="87" t="s">
        <v>322</v>
      </c>
      <c r="B248" s="87" t="str">
        <f>'дод. 4'!A211</f>
        <v>7640</v>
      </c>
      <c r="C248" s="87" t="str">
        <f>'дод. 4'!B211</f>
        <v>0470</v>
      </c>
      <c r="D248" s="108" t="str">
        <f>'дод. 4'!C211</f>
        <v>Заходи з енергозбереження</v>
      </c>
      <c r="E248" s="89">
        <f t="shared" si="81"/>
        <v>1500000</v>
      </c>
      <c r="F248" s="89">
        <v>1300000</v>
      </c>
      <c r="G248" s="89"/>
      <c r="H248" s="89"/>
      <c r="I248" s="89">
        <v>200000</v>
      </c>
      <c r="J248" s="89">
        <f t="shared" si="79"/>
        <v>0</v>
      </c>
      <c r="K248" s="89"/>
      <c r="L248" s="89"/>
      <c r="M248" s="89"/>
      <c r="N248" s="89">
        <f>2000000-2000000</f>
        <v>0</v>
      </c>
      <c r="O248" s="89">
        <f>2000000-2000000</f>
        <v>0</v>
      </c>
      <c r="P248" s="89">
        <f t="shared" si="82"/>
        <v>1500000</v>
      </c>
      <c r="Q248" s="285"/>
      <c r="R248" s="160"/>
      <c r="S248" s="160"/>
      <c r="T248" s="160"/>
    </row>
    <row r="249" spans="1:20" s="4" customFormat="1" ht="21.75" customHeight="1">
      <c r="A249" s="87" t="s">
        <v>323</v>
      </c>
      <c r="B249" s="87" t="str">
        <f>'дод. 4'!A216</f>
        <v>7690</v>
      </c>
      <c r="C249" s="87">
        <f>'дод. 4'!B216</f>
        <v>0</v>
      </c>
      <c r="D249" s="108" t="str">
        <f>'дод. 4'!C216</f>
        <v>Інша економічна діяльність</v>
      </c>
      <c r="E249" s="89">
        <f>E250</f>
        <v>0</v>
      </c>
      <c r="F249" s="89">
        <f aca="true" t="shared" si="86" ref="F249:P249">F250</f>
        <v>0</v>
      </c>
      <c r="G249" s="89">
        <f t="shared" si="86"/>
        <v>0</v>
      </c>
      <c r="H249" s="89">
        <f t="shared" si="86"/>
        <v>0</v>
      </c>
      <c r="I249" s="89">
        <f t="shared" si="86"/>
        <v>0</v>
      </c>
      <c r="J249" s="89">
        <f t="shared" si="86"/>
        <v>938334.6900000001</v>
      </c>
      <c r="K249" s="89">
        <f t="shared" si="86"/>
        <v>138332.01</v>
      </c>
      <c r="L249" s="89">
        <f t="shared" si="86"/>
        <v>0</v>
      </c>
      <c r="M249" s="89">
        <f t="shared" si="86"/>
        <v>0</v>
      </c>
      <c r="N249" s="89">
        <f t="shared" si="86"/>
        <v>800002.68</v>
      </c>
      <c r="O249" s="89">
        <f t="shared" si="86"/>
        <v>0</v>
      </c>
      <c r="P249" s="89">
        <f t="shared" si="86"/>
        <v>938334.6900000001</v>
      </c>
      <c r="Q249" s="285"/>
      <c r="R249" s="161"/>
      <c r="S249" s="161"/>
      <c r="T249" s="161"/>
    </row>
    <row r="250" spans="1:20" s="116" customFormat="1" ht="123.75" customHeight="1">
      <c r="A250" s="117" t="s">
        <v>472</v>
      </c>
      <c r="B250" s="105">
        <v>7691</v>
      </c>
      <c r="C250" s="105" t="s">
        <v>126</v>
      </c>
      <c r="D250" s="85" t="s">
        <v>499</v>
      </c>
      <c r="E250" s="86">
        <f>F250+I250</f>
        <v>0</v>
      </c>
      <c r="F250" s="86"/>
      <c r="G250" s="86"/>
      <c r="H250" s="86"/>
      <c r="I250" s="86"/>
      <c r="J250" s="86">
        <f t="shared" si="79"/>
        <v>938334.6900000001</v>
      </c>
      <c r="K250" s="86">
        <f>80000+58332.01</f>
        <v>138332.01</v>
      </c>
      <c r="L250" s="86"/>
      <c r="M250" s="86"/>
      <c r="N250" s="86">
        <f>800000+2.68</f>
        <v>800002.68</v>
      </c>
      <c r="O250" s="86"/>
      <c r="P250" s="86">
        <f>E250+J250</f>
        <v>938334.6900000001</v>
      </c>
      <c r="Q250" s="285"/>
      <c r="R250" s="162"/>
      <c r="S250" s="162"/>
      <c r="T250" s="162"/>
    </row>
    <row r="251" spans="1:20" s="4" customFormat="1" ht="21.75" customHeight="1">
      <c r="A251" s="87" t="s">
        <v>324</v>
      </c>
      <c r="B251" s="87" t="str">
        <f>'дод. 4'!A226</f>
        <v>8320</v>
      </c>
      <c r="C251" s="87" t="str">
        <f>'дод. 4'!B226</f>
        <v>0520</v>
      </c>
      <c r="D251" s="108" t="str">
        <f>'дод. 4'!C226</f>
        <v>Збереження природно-заповідного фонду</v>
      </c>
      <c r="E251" s="89">
        <f>F251+I251</f>
        <v>76600</v>
      </c>
      <c r="F251" s="89">
        <v>76600</v>
      </c>
      <c r="G251" s="89"/>
      <c r="H251" s="89"/>
      <c r="I251" s="89"/>
      <c r="J251" s="89">
        <f t="shared" si="79"/>
        <v>0</v>
      </c>
      <c r="K251" s="89"/>
      <c r="L251" s="89"/>
      <c r="M251" s="89"/>
      <c r="N251" s="89"/>
      <c r="O251" s="89"/>
      <c r="P251" s="89">
        <f>E251+J251</f>
        <v>76600</v>
      </c>
      <c r="Q251" s="285"/>
      <c r="R251" s="160"/>
      <c r="S251" s="160"/>
      <c r="T251" s="160"/>
    </row>
    <row r="252" spans="1:20" s="4" customFormat="1" ht="36" customHeight="1">
      <c r="A252" s="87" t="s">
        <v>325</v>
      </c>
      <c r="B252" s="87" t="str">
        <f>'дод. 4'!A227</f>
        <v>8340</v>
      </c>
      <c r="C252" s="87" t="str">
        <f>'дод. 4'!B227</f>
        <v>0540</v>
      </c>
      <c r="D252" s="108" t="str">
        <f>'дод. 4'!C227</f>
        <v>Природоохоронні заходи за рахунок цільових фондів</v>
      </c>
      <c r="E252" s="89">
        <f>F252+I252</f>
        <v>0</v>
      </c>
      <c r="F252" s="89"/>
      <c r="G252" s="89"/>
      <c r="H252" s="89"/>
      <c r="I252" s="89"/>
      <c r="J252" s="89">
        <f t="shared" si="79"/>
        <v>5409613.87</v>
      </c>
      <c r="K252" s="89">
        <f>1711500+207292</f>
        <v>1918792</v>
      </c>
      <c r="L252" s="89"/>
      <c r="M252" s="89"/>
      <c r="N252" s="89">
        <f>1540000-1000000+1000000+1950821.87</f>
        <v>3490821.87</v>
      </c>
      <c r="O252" s="89"/>
      <c r="P252" s="89">
        <f>E252+J252</f>
        <v>5409613.87</v>
      </c>
      <c r="Q252" s="285"/>
      <c r="R252" s="160"/>
      <c r="S252" s="160"/>
      <c r="T252" s="160"/>
    </row>
    <row r="253" spans="1:20" s="4" customFormat="1" ht="24.75" customHeight="1">
      <c r="A253" s="87" t="s">
        <v>326</v>
      </c>
      <c r="B253" s="87" t="str">
        <f>'дод. 4'!A241</f>
        <v>9770</v>
      </c>
      <c r="C253" s="87" t="str">
        <f>'дод. 4'!B241</f>
        <v>0180</v>
      </c>
      <c r="D253" s="108" t="str">
        <f>'дод. 4'!C241</f>
        <v>Інші субвенції з місцевого бюджету </v>
      </c>
      <c r="E253" s="89">
        <f>F253+I253</f>
        <v>760000</v>
      </c>
      <c r="F253" s="89">
        <v>760000</v>
      </c>
      <c r="G253" s="89"/>
      <c r="H253" s="89"/>
      <c r="I253" s="89"/>
      <c r="J253" s="89">
        <f t="shared" si="79"/>
        <v>1220000</v>
      </c>
      <c r="K253" s="89"/>
      <c r="L253" s="89"/>
      <c r="M253" s="89"/>
      <c r="N253" s="89">
        <v>1220000</v>
      </c>
      <c r="O253" s="89">
        <v>1220000</v>
      </c>
      <c r="P253" s="89">
        <f>E253+J253</f>
        <v>1980000</v>
      </c>
      <c r="Q253" s="285"/>
      <c r="R253" s="160"/>
      <c r="S253" s="160"/>
      <c r="T253" s="160"/>
    </row>
    <row r="254" spans="1:20" s="113" customFormat="1" ht="28.5" customHeight="1">
      <c r="A254" s="112" t="s">
        <v>52</v>
      </c>
      <c r="B254" s="36"/>
      <c r="C254" s="36"/>
      <c r="D254" s="35" t="s">
        <v>66</v>
      </c>
      <c r="E254" s="46">
        <f>E255</f>
        <v>5054000</v>
      </c>
      <c r="F254" s="46">
        <f aca="true" t="shared" si="87" ref="F254:P254">F255</f>
        <v>5054000</v>
      </c>
      <c r="G254" s="46">
        <f t="shared" si="87"/>
        <v>3515000</v>
      </c>
      <c r="H254" s="46">
        <f t="shared" si="87"/>
        <v>81850</v>
      </c>
      <c r="I254" s="46">
        <f t="shared" si="87"/>
        <v>0</v>
      </c>
      <c r="J254" s="46">
        <f t="shared" si="87"/>
        <v>10000</v>
      </c>
      <c r="K254" s="46">
        <f t="shared" si="87"/>
        <v>0</v>
      </c>
      <c r="L254" s="46">
        <f t="shared" si="87"/>
        <v>0</v>
      </c>
      <c r="M254" s="46">
        <f t="shared" si="87"/>
        <v>0</v>
      </c>
      <c r="N254" s="46">
        <f t="shared" si="87"/>
        <v>10000</v>
      </c>
      <c r="O254" s="46">
        <f t="shared" si="87"/>
        <v>10000</v>
      </c>
      <c r="P254" s="46">
        <f t="shared" si="87"/>
        <v>5064000</v>
      </c>
      <c r="Q254" s="285"/>
      <c r="R254" s="158"/>
      <c r="S254" s="158"/>
      <c r="T254" s="158"/>
    </row>
    <row r="255" spans="1:20" s="115" customFormat="1" ht="33" customHeight="1">
      <c r="A255" s="114" t="s">
        <v>179</v>
      </c>
      <c r="B255" s="125"/>
      <c r="C255" s="125"/>
      <c r="D255" s="124" t="s">
        <v>66</v>
      </c>
      <c r="E255" s="80">
        <f>E256+E257</f>
        <v>5054000</v>
      </c>
      <c r="F255" s="80">
        <f aca="true" t="shared" si="88" ref="F255:P255">F256+F257</f>
        <v>5054000</v>
      </c>
      <c r="G255" s="80">
        <f t="shared" si="88"/>
        <v>3515000</v>
      </c>
      <c r="H255" s="80">
        <f t="shared" si="88"/>
        <v>81850</v>
      </c>
      <c r="I255" s="80">
        <f t="shared" si="88"/>
        <v>0</v>
      </c>
      <c r="J255" s="80">
        <f t="shared" si="88"/>
        <v>10000</v>
      </c>
      <c r="K255" s="80">
        <f t="shared" si="88"/>
        <v>0</v>
      </c>
      <c r="L255" s="80">
        <f t="shared" si="88"/>
        <v>0</v>
      </c>
      <c r="M255" s="80">
        <f t="shared" si="88"/>
        <v>0</v>
      </c>
      <c r="N255" s="80">
        <f t="shared" si="88"/>
        <v>10000</v>
      </c>
      <c r="O255" s="80">
        <f t="shared" si="88"/>
        <v>10000</v>
      </c>
      <c r="P255" s="80">
        <f t="shared" si="88"/>
        <v>5064000</v>
      </c>
      <c r="Q255" s="285"/>
      <c r="R255" s="167"/>
      <c r="S255" s="167"/>
      <c r="T255" s="167"/>
    </row>
    <row r="256" spans="1:20" s="4" customFormat="1" ht="58.5" customHeight="1">
      <c r="A256" s="81" t="s">
        <v>0</v>
      </c>
      <c r="B256" s="81" t="str">
        <f>'дод. 4'!A14</f>
        <v>0160</v>
      </c>
      <c r="C256" s="81" t="str">
        <f>'дод. 4'!B14</f>
        <v>0111</v>
      </c>
      <c r="D256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6" s="83">
        <f>F256+I256</f>
        <v>4514000</v>
      </c>
      <c r="F256" s="83">
        <f>4516800-52800+50000</f>
        <v>4514000</v>
      </c>
      <c r="G256" s="83">
        <v>3515000</v>
      </c>
      <c r="H256" s="83">
        <v>81850</v>
      </c>
      <c r="I256" s="83"/>
      <c r="J256" s="83">
        <f>K256+N256</f>
        <v>10000</v>
      </c>
      <c r="K256" s="83"/>
      <c r="L256" s="83"/>
      <c r="M256" s="83"/>
      <c r="N256" s="83">
        <f>20000-10000</f>
        <v>10000</v>
      </c>
      <c r="O256" s="83">
        <f>20000-10000</f>
        <v>10000</v>
      </c>
      <c r="P256" s="83">
        <f>E256+J256</f>
        <v>4524000</v>
      </c>
      <c r="Q256" s="285">
        <v>13</v>
      </c>
      <c r="R256" s="160"/>
      <c r="S256" s="160"/>
      <c r="T256" s="160"/>
    </row>
    <row r="257" spans="1:20" s="4" customFormat="1" ht="37.5" customHeight="1">
      <c r="A257" s="81" t="s">
        <v>404</v>
      </c>
      <c r="B257" s="81" t="str">
        <f>'дод. 4'!A174</f>
        <v>6090</v>
      </c>
      <c r="C257" s="81" t="str">
        <f>'дод. 4'!B174</f>
        <v>0640</v>
      </c>
      <c r="D257" s="110" t="str">
        <f>'дод. 4'!C174</f>
        <v>Інша діяльність у сфері житлово-комунального господарства</v>
      </c>
      <c r="E257" s="83">
        <f>F257+I257</f>
        <v>540000</v>
      </c>
      <c r="F257" s="83">
        <v>540000</v>
      </c>
      <c r="G257" s="83"/>
      <c r="H257" s="83"/>
      <c r="I257" s="83"/>
      <c r="J257" s="83">
        <f>K257+N257</f>
        <v>0</v>
      </c>
      <c r="K257" s="83"/>
      <c r="L257" s="83"/>
      <c r="M257" s="83"/>
      <c r="N257" s="83"/>
      <c r="O257" s="83"/>
      <c r="P257" s="83">
        <f>E257+J257</f>
        <v>540000</v>
      </c>
      <c r="Q257" s="285"/>
      <c r="R257" s="160"/>
      <c r="S257" s="160"/>
      <c r="T257" s="160"/>
    </row>
    <row r="258" spans="1:20" s="113" customFormat="1" ht="31.5" customHeight="1">
      <c r="A258" s="112" t="s">
        <v>54</v>
      </c>
      <c r="B258" s="36"/>
      <c r="C258" s="36"/>
      <c r="D258" s="35" t="s">
        <v>65</v>
      </c>
      <c r="E258" s="46">
        <f>E259</f>
        <v>96614067.35</v>
      </c>
      <c r="F258" s="46">
        <f aca="true" t="shared" si="89" ref="F258:P258">F259</f>
        <v>96529155</v>
      </c>
      <c r="G258" s="46">
        <f t="shared" si="89"/>
        <v>0</v>
      </c>
      <c r="H258" s="46">
        <f t="shared" si="89"/>
        <v>0</v>
      </c>
      <c r="I258" s="46">
        <f t="shared" si="89"/>
        <v>84912.35</v>
      </c>
      <c r="J258" s="46">
        <f t="shared" si="89"/>
        <v>224887501.95</v>
      </c>
      <c r="K258" s="46">
        <f>K259</f>
        <v>14150000</v>
      </c>
      <c r="L258" s="46">
        <f t="shared" si="89"/>
        <v>1725540</v>
      </c>
      <c r="M258" s="46">
        <f t="shared" si="89"/>
        <v>46200</v>
      </c>
      <c r="N258" s="46">
        <f t="shared" si="89"/>
        <v>210737501.95</v>
      </c>
      <c r="O258" s="46">
        <f t="shared" si="89"/>
        <v>179349434</v>
      </c>
      <c r="P258" s="46">
        <f t="shared" si="89"/>
        <v>321501569.29999995</v>
      </c>
      <c r="Q258" s="285"/>
      <c r="R258" s="158"/>
      <c r="S258" s="158"/>
      <c r="T258" s="158"/>
    </row>
    <row r="259" spans="1:20" s="115" customFormat="1" ht="38.25" customHeight="1">
      <c r="A259" s="114" t="s">
        <v>55</v>
      </c>
      <c r="B259" s="125"/>
      <c r="C259" s="125"/>
      <c r="D259" s="124" t="s">
        <v>65</v>
      </c>
      <c r="E259" s="80">
        <f>E261+E262+E263+E266+E267+E271+E283+E272+E273+E284+E277+E279</f>
        <v>96614067.35</v>
      </c>
      <c r="F259" s="80">
        <f aca="true" t="shared" si="90" ref="F259:P259">F261+F262+F263+F266+F267+F271+F283+F272+F273+F284+F277+F279</f>
        <v>96529155</v>
      </c>
      <c r="G259" s="80">
        <f t="shared" si="90"/>
        <v>0</v>
      </c>
      <c r="H259" s="80">
        <f t="shared" si="90"/>
        <v>0</v>
      </c>
      <c r="I259" s="80">
        <f t="shared" si="90"/>
        <v>84912.35</v>
      </c>
      <c r="J259" s="80">
        <f>J261+J262+J263+J266+J267+J271+J283+J272+J273+J284+J277+J279</f>
        <v>224887501.95</v>
      </c>
      <c r="K259" s="80">
        <f>K261+K262+K263+K266+K267+K271+K283+K272+K273+K284+K277+K279</f>
        <v>14150000</v>
      </c>
      <c r="L259" s="80">
        <f t="shared" si="90"/>
        <v>1725540</v>
      </c>
      <c r="M259" s="80">
        <f t="shared" si="90"/>
        <v>46200</v>
      </c>
      <c r="N259" s="80">
        <f t="shared" si="90"/>
        <v>210737501.95</v>
      </c>
      <c r="O259" s="80">
        <f t="shared" si="90"/>
        <v>179349434</v>
      </c>
      <c r="P259" s="80">
        <f t="shared" si="90"/>
        <v>321501569.29999995</v>
      </c>
      <c r="Q259" s="285"/>
      <c r="R259" s="164"/>
      <c r="S259" s="164"/>
      <c r="T259" s="164"/>
    </row>
    <row r="260" spans="1:20" s="115" customFormat="1" ht="25.5" customHeight="1">
      <c r="A260" s="114"/>
      <c r="B260" s="125"/>
      <c r="C260" s="125"/>
      <c r="D260" s="124" t="s">
        <v>416</v>
      </c>
      <c r="E260" s="80">
        <f>E274+E280</f>
        <v>0</v>
      </c>
      <c r="F260" s="80">
        <f aca="true" t="shared" si="91" ref="F260:P260">F274+F280</f>
        <v>0</v>
      </c>
      <c r="G260" s="80">
        <f t="shared" si="91"/>
        <v>0</v>
      </c>
      <c r="H260" s="80">
        <f t="shared" si="91"/>
        <v>0</v>
      </c>
      <c r="I260" s="80">
        <f t="shared" si="91"/>
        <v>0</v>
      </c>
      <c r="J260" s="80">
        <f t="shared" si="91"/>
        <v>41934946</v>
      </c>
      <c r="K260" s="80">
        <f t="shared" si="91"/>
        <v>11900000</v>
      </c>
      <c r="L260" s="80">
        <f t="shared" si="91"/>
        <v>0</v>
      </c>
      <c r="M260" s="80">
        <f t="shared" si="91"/>
        <v>0</v>
      </c>
      <c r="N260" s="80">
        <f t="shared" si="91"/>
        <v>30034946</v>
      </c>
      <c r="O260" s="80">
        <f t="shared" si="91"/>
        <v>91</v>
      </c>
      <c r="P260" s="80">
        <f t="shared" si="91"/>
        <v>41934946</v>
      </c>
      <c r="Q260" s="285"/>
      <c r="R260" s="224"/>
      <c r="S260" s="224"/>
      <c r="T260" s="224"/>
    </row>
    <row r="261" spans="1:20" s="4" customFormat="1" ht="45">
      <c r="A261" s="81" t="s">
        <v>221</v>
      </c>
      <c r="B261" s="81" t="str">
        <f>'дод. 4'!A14</f>
        <v>0160</v>
      </c>
      <c r="C261" s="81" t="str">
        <f>'дод. 4'!B14</f>
        <v>0111</v>
      </c>
      <c r="D261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61" s="83">
        <f>F261+I261</f>
        <v>0</v>
      </c>
      <c r="F261" s="83"/>
      <c r="G261" s="83"/>
      <c r="H261" s="83"/>
      <c r="I261" s="83"/>
      <c r="J261" s="83">
        <f>K261+N261</f>
        <v>2600000</v>
      </c>
      <c r="K261" s="83">
        <f>2250000</f>
        <v>2250000</v>
      </c>
      <c r="L261" s="83">
        <f>1725540</f>
        <v>1725540</v>
      </c>
      <c r="M261" s="83">
        <f>46200</f>
        <v>46200</v>
      </c>
      <c r="N261" s="83">
        <f>350000</f>
        <v>350000</v>
      </c>
      <c r="O261" s="83"/>
      <c r="P261" s="83">
        <f>E261+J261</f>
        <v>2600000</v>
      </c>
      <c r="Q261" s="285"/>
      <c r="R261" s="160"/>
      <c r="S261" s="160"/>
      <c r="T261" s="160"/>
    </row>
    <row r="262" spans="1:20" s="4" customFormat="1" ht="22.5" customHeight="1">
      <c r="A262" s="81" t="s">
        <v>327</v>
      </c>
      <c r="B262" s="81" t="str">
        <f>'дод. 4'!A166</f>
        <v>6030</v>
      </c>
      <c r="C262" s="81" t="str">
        <f>'дод. 4'!B166</f>
        <v>0620</v>
      </c>
      <c r="D262" s="110" t="str">
        <f>'дод. 4'!C166</f>
        <v>Організація благоустрою населених пунктів</v>
      </c>
      <c r="E262" s="83">
        <f>F262+I262</f>
        <v>96000000</v>
      </c>
      <c r="F262" s="83">
        <f>40000000+20000000-2000000+20000000+15000000+13000000-10000000</f>
        <v>96000000</v>
      </c>
      <c r="G262" s="83"/>
      <c r="H262" s="83"/>
      <c r="I262" s="83"/>
      <c r="J262" s="83">
        <f>K262+N262</f>
        <v>87015500</v>
      </c>
      <c r="K262" s="83"/>
      <c r="L262" s="83"/>
      <c r="M262" s="83"/>
      <c r="N262" s="83">
        <f>60000000+30000000-3248000+263500</f>
        <v>87015500</v>
      </c>
      <c r="O262" s="83">
        <f>60000000+30000000-3248000+263500</f>
        <v>87015500</v>
      </c>
      <c r="P262" s="83">
        <f>E262+J262</f>
        <v>183015500</v>
      </c>
      <c r="Q262" s="285"/>
      <c r="R262" s="160"/>
      <c r="S262" s="160"/>
      <c r="T262" s="169"/>
    </row>
    <row r="263" spans="1:21" s="4" customFormat="1" ht="33" customHeight="1">
      <c r="A263" s="91" t="s">
        <v>328</v>
      </c>
      <c r="B263" s="91" t="str">
        <f>'дод. 4'!A171</f>
        <v>6080</v>
      </c>
      <c r="C263" s="91">
        <f>'дод. 4'!B171</f>
        <v>0</v>
      </c>
      <c r="D263" s="109" t="str">
        <f>'дод. 4'!C171</f>
        <v>Реалізація державних та місцевих житлових програм </v>
      </c>
      <c r="E263" s="83">
        <f>E265+E264</f>
        <v>84912.35</v>
      </c>
      <c r="F263" s="83">
        <f aca="true" t="shared" si="92" ref="F263:P263">F265+F264</f>
        <v>0</v>
      </c>
      <c r="G263" s="83">
        <f t="shared" si="92"/>
        <v>0</v>
      </c>
      <c r="H263" s="83">
        <f t="shared" si="92"/>
        <v>0</v>
      </c>
      <c r="I263" s="83">
        <f t="shared" si="92"/>
        <v>84912.35</v>
      </c>
      <c r="J263" s="83">
        <f t="shared" si="92"/>
        <v>557740.69</v>
      </c>
      <c r="K263" s="83">
        <f t="shared" si="92"/>
        <v>0</v>
      </c>
      <c r="L263" s="83">
        <f t="shared" si="92"/>
        <v>0</v>
      </c>
      <c r="M263" s="83">
        <f t="shared" si="92"/>
        <v>0</v>
      </c>
      <c r="N263" s="83">
        <f t="shared" si="92"/>
        <v>557740.69</v>
      </c>
      <c r="O263" s="83">
        <f t="shared" si="92"/>
        <v>500000</v>
      </c>
      <c r="P263" s="83">
        <f t="shared" si="92"/>
        <v>642653.04</v>
      </c>
      <c r="Q263" s="285"/>
      <c r="R263" s="161"/>
      <c r="S263" s="161"/>
      <c r="T263" s="161"/>
      <c r="U263" s="149"/>
    </row>
    <row r="264" spans="1:21" s="116" customFormat="1" ht="33" customHeight="1">
      <c r="A264" s="84" t="s">
        <v>629</v>
      </c>
      <c r="B264" s="84" t="str">
        <f>'дод. 4'!A172</f>
        <v>6082</v>
      </c>
      <c r="C264" s="84" t="str">
        <f>'дод. 4'!B172</f>
        <v>0610</v>
      </c>
      <c r="D264" s="107" t="str">
        <f>'дод. 4'!C172</f>
        <v>Придбання житла для окремих категорій населення відповідно до законодавства</v>
      </c>
      <c r="E264" s="86">
        <f>F264+I264</f>
        <v>0</v>
      </c>
      <c r="F264" s="86"/>
      <c r="G264" s="86"/>
      <c r="H264" s="86"/>
      <c r="I264" s="86"/>
      <c r="J264" s="86">
        <f>K264+N264</f>
        <v>500000</v>
      </c>
      <c r="K264" s="86"/>
      <c r="L264" s="86"/>
      <c r="M264" s="86"/>
      <c r="N264" s="86">
        <f>250000+250000</f>
        <v>500000</v>
      </c>
      <c r="O264" s="86">
        <f>250000+250000</f>
        <v>500000</v>
      </c>
      <c r="P264" s="86">
        <f>E264+J264</f>
        <v>500000</v>
      </c>
      <c r="Q264" s="285"/>
      <c r="R264" s="226"/>
      <c r="S264" s="226"/>
      <c r="T264" s="226"/>
      <c r="U264" s="227"/>
    </row>
    <row r="265" spans="1:20" s="116" customFormat="1" ht="68.25" customHeight="1">
      <c r="A265" s="84" t="s">
        <v>329</v>
      </c>
      <c r="B265" s="84" t="str">
        <f>'дод. 4'!A173</f>
        <v>6084</v>
      </c>
      <c r="C265" s="84" t="str">
        <f>'дод. 4'!B173</f>
        <v>0610</v>
      </c>
      <c r="D265" s="107" t="str">
        <f>'дод. 4'!C173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65" s="86">
        <f>F265+I265</f>
        <v>84912.35</v>
      </c>
      <c r="F265" s="86"/>
      <c r="G265" s="86"/>
      <c r="H265" s="86"/>
      <c r="I265" s="86">
        <f>84906+6.35</f>
        <v>84912.35</v>
      </c>
      <c r="J265" s="86">
        <f>K265+N265</f>
        <v>57740.69</v>
      </c>
      <c r="K265" s="86"/>
      <c r="L265" s="86"/>
      <c r="M265" s="86"/>
      <c r="N265" s="86">
        <f>39048+18692.69</f>
        <v>57740.69</v>
      </c>
      <c r="O265" s="86"/>
      <c r="P265" s="86">
        <f>E265+J265</f>
        <v>142653.04</v>
      </c>
      <c r="Q265" s="285"/>
      <c r="R265" s="162"/>
      <c r="S265" s="162"/>
      <c r="T265" s="162"/>
    </row>
    <row r="266" spans="1:20" s="4" customFormat="1" ht="36" customHeight="1">
      <c r="A266" s="81" t="s">
        <v>428</v>
      </c>
      <c r="B266" s="81" t="str">
        <f>'дод. 4'!A180</f>
        <v>7310</v>
      </c>
      <c r="C266" s="81" t="str">
        <f>'дод. 4'!B180</f>
        <v>0443</v>
      </c>
      <c r="D266" s="108" t="str">
        <f>'дод. 4'!C180</f>
        <v>Будівництво об'єктів житлово-комунального господарства</v>
      </c>
      <c r="E266" s="83">
        <f>F266+I266</f>
        <v>0</v>
      </c>
      <c r="F266" s="83"/>
      <c r="G266" s="83"/>
      <c r="H266" s="83"/>
      <c r="I266" s="83"/>
      <c r="J266" s="83">
        <f>K266+N266</f>
        <v>9601000</v>
      </c>
      <c r="K266" s="83"/>
      <c r="L266" s="83"/>
      <c r="M266" s="83"/>
      <c r="N266" s="83">
        <f>9900000+42500+8500+50000-400000</f>
        <v>9601000</v>
      </c>
      <c r="O266" s="83">
        <f>9900000+42500+8500+50000-400000</f>
        <v>9601000</v>
      </c>
      <c r="P266" s="83">
        <f>E266+J266</f>
        <v>9601000</v>
      </c>
      <c r="Q266" s="285"/>
      <c r="R266" s="160"/>
      <c r="S266" s="160"/>
      <c r="T266" s="169"/>
    </row>
    <row r="267" spans="1:20" s="4" customFormat="1" ht="36" customHeight="1">
      <c r="A267" s="81" t="s">
        <v>429</v>
      </c>
      <c r="B267" s="81" t="str">
        <f>'дод. 4'!A181</f>
        <v>7320</v>
      </c>
      <c r="C267" s="81">
        <f>'дод. 4'!B181</f>
        <v>0</v>
      </c>
      <c r="D267" s="108" t="str">
        <f>'дод. 4'!C181</f>
        <v>Будівництво об'єктів соціально-культурного призначення</v>
      </c>
      <c r="E267" s="83">
        <f>E268+E269+E270</f>
        <v>0</v>
      </c>
      <c r="F267" s="83">
        <f aca="true" t="shared" si="93" ref="F267:P267">F268+F269+F270</f>
        <v>0</v>
      </c>
      <c r="G267" s="83">
        <f t="shared" si="93"/>
        <v>0</v>
      </c>
      <c r="H267" s="83">
        <f t="shared" si="93"/>
        <v>0</v>
      </c>
      <c r="I267" s="83">
        <f t="shared" si="93"/>
        <v>0</v>
      </c>
      <c r="J267" s="83">
        <f t="shared" si="93"/>
        <v>19231755</v>
      </c>
      <c r="K267" s="83">
        <f t="shared" si="93"/>
        <v>0</v>
      </c>
      <c r="L267" s="83">
        <f t="shared" si="93"/>
        <v>0</v>
      </c>
      <c r="M267" s="83">
        <f t="shared" si="93"/>
        <v>0</v>
      </c>
      <c r="N267" s="83">
        <f t="shared" si="93"/>
        <v>19231755</v>
      </c>
      <c r="O267" s="83">
        <f t="shared" si="93"/>
        <v>19231755</v>
      </c>
      <c r="P267" s="83">
        <f t="shared" si="93"/>
        <v>19231755</v>
      </c>
      <c r="Q267" s="285"/>
      <c r="R267" s="161"/>
      <c r="S267" s="161"/>
      <c r="T267" s="161"/>
    </row>
    <row r="268" spans="1:20" s="116" customFormat="1" ht="25.5" customHeight="1">
      <c r="A268" s="84" t="s">
        <v>431</v>
      </c>
      <c r="B268" s="84" t="str">
        <f>'дод. 4'!A182</f>
        <v>7321</v>
      </c>
      <c r="C268" s="84" t="str">
        <f>'дод. 4'!B182</f>
        <v>0443</v>
      </c>
      <c r="D268" s="107" t="str">
        <f>'дод. 4'!C182</f>
        <v>Будівництво освітніх установ та закладів</v>
      </c>
      <c r="E268" s="86">
        <f>F268+I268</f>
        <v>0</v>
      </c>
      <c r="F268" s="86"/>
      <c r="G268" s="86"/>
      <c r="H268" s="86"/>
      <c r="I268" s="86"/>
      <c r="J268" s="86">
        <f>K268+N268</f>
        <v>6110755</v>
      </c>
      <c r="K268" s="86"/>
      <c r="L268" s="86"/>
      <c r="M268" s="86"/>
      <c r="N268" s="86">
        <f>3741000+7000000+221500+603037+318+125500+500000+100000-3000000-50000+400000-60600-3500000+30000</f>
        <v>6110755</v>
      </c>
      <c r="O268" s="86">
        <f>3741000+7000000+221500+603037+318+125500+500000+100000-3000000-50000+400000-60600-3500000+30000</f>
        <v>6110755</v>
      </c>
      <c r="P268" s="86">
        <f>E268+J268</f>
        <v>6110755</v>
      </c>
      <c r="Q268" s="285"/>
      <c r="R268" s="162"/>
      <c r="S268" s="162"/>
      <c r="T268" s="163"/>
    </row>
    <row r="269" spans="1:20" s="116" customFormat="1" ht="25.5" customHeight="1">
      <c r="A269" s="84" t="s">
        <v>433</v>
      </c>
      <c r="B269" s="84" t="str">
        <f>'дод. 4'!A183</f>
        <v>7322</v>
      </c>
      <c r="C269" s="84" t="str">
        <f>'дод. 4'!B183</f>
        <v>0443</v>
      </c>
      <c r="D269" s="107" t="str">
        <f>'дод. 4'!C183</f>
        <v>Будівництво медичних установ та закладів</v>
      </c>
      <c r="E269" s="86">
        <f>F269+I269</f>
        <v>0</v>
      </c>
      <c r="F269" s="86"/>
      <c r="G269" s="86"/>
      <c r="H269" s="86"/>
      <c r="I269" s="86"/>
      <c r="J269" s="86">
        <f>K269+N269</f>
        <v>5560000</v>
      </c>
      <c r="K269" s="86"/>
      <c r="L269" s="86"/>
      <c r="M269" s="86"/>
      <c r="N269" s="86">
        <f>5500000+259000-150000-37000-12000</f>
        <v>5560000</v>
      </c>
      <c r="O269" s="86">
        <f>5500000+259000-150000-37000-12000</f>
        <v>5560000</v>
      </c>
      <c r="P269" s="86">
        <f>E269+J269</f>
        <v>5560000</v>
      </c>
      <c r="Q269" s="285"/>
      <c r="R269" s="162"/>
      <c r="S269" s="162"/>
      <c r="T269" s="162"/>
    </row>
    <row r="270" spans="1:20" s="116" customFormat="1" ht="36" customHeight="1">
      <c r="A270" s="84" t="s">
        <v>435</v>
      </c>
      <c r="B270" s="84" t="str">
        <f>'дод. 4'!A184</f>
        <v>7325</v>
      </c>
      <c r="C270" s="84" t="str">
        <f>'дод. 4'!B184</f>
        <v>0443</v>
      </c>
      <c r="D270" s="107" t="str">
        <f>'дод. 4'!C184</f>
        <v>Будівництво споруд, установ та закладів фізичної культури і спорту</v>
      </c>
      <c r="E270" s="86">
        <f>F270+I270</f>
        <v>0</v>
      </c>
      <c r="F270" s="86"/>
      <c r="G270" s="86"/>
      <c r="H270" s="86"/>
      <c r="I270" s="86"/>
      <c r="J270" s="86">
        <f>K270+N270</f>
        <v>7561000</v>
      </c>
      <c r="K270" s="86"/>
      <c r="L270" s="86"/>
      <c r="M270" s="86"/>
      <c r="N270" s="86">
        <f>8500000-125000-580000-234000</f>
        <v>7561000</v>
      </c>
      <c r="O270" s="86">
        <f>8500000-125000-580000-234000</f>
        <v>7561000</v>
      </c>
      <c r="P270" s="86">
        <f>E270+J270</f>
        <v>7561000</v>
      </c>
      <c r="Q270" s="285"/>
      <c r="R270" s="162"/>
      <c r="S270" s="162"/>
      <c r="T270" s="162"/>
    </row>
    <row r="271" spans="1:20" s="4" customFormat="1" ht="36" customHeight="1">
      <c r="A271" s="81" t="s">
        <v>437</v>
      </c>
      <c r="B271" s="81" t="str">
        <f>'дод. 4'!A185</f>
        <v>7330</v>
      </c>
      <c r="C271" s="81" t="str">
        <f>'дод. 4'!B185</f>
        <v>0443</v>
      </c>
      <c r="D271" s="108" t="str">
        <f>'дод. 4'!C185</f>
        <v>Будівництво інших об'єктів соціальної та виробничої інфраструктури комунальної власності</v>
      </c>
      <c r="E271" s="83">
        <f>F271+I271</f>
        <v>0</v>
      </c>
      <c r="F271" s="83"/>
      <c r="G271" s="83"/>
      <c r="H271" s="83"/>
      <c r="I271" s="83"/>
      <c r="J271" s="83">
        <f>K271+N271</f>
        <v>42625486</v>
      </c>
      <c r="K271" s="83"/>
      <c r="L271" s="83"/>
      <c r="M271" s="83"/>
      <c r="N271" s="83">
        <f>30359000+870000-1111500+240000+300000+998900+425207+489680+498116+409160+482174+998774+468130+100000+1000+8500-448500+100000+234845+600000+1000000+215000+1741000+127400-800000-33200+255800-500000+4000000+75000+200000+75000-29000+275000</f>
        <v>42625486</v>
      </c>
      <c r="O271" s="83">
        <f>30359000+870000-1111500+240000+300000+998900+425207+489680+498116+409160+482174+998774+468130+100000+1000+8500-448500+100000+234845+600000+1000000+215000+1741000+127400-800000-33200+255800-500000+4000000+75000+200000+75000-29000+275000</f>
        <v>42625486</v>
      </c>
      <c r="P271" s="83">
        <f>E271+J271</f>
        <v>42625486</v>
      </c>
      <c r="Q271" s="285"/>
      <c r="R271" s="160"/>
      <c r="S271" s="160"/>
      <c r="T271" s="160"/>
    </row>
    <row r="272" spans="1:20" s="4" customFormat="1" ht="36" customHeight="1">
      <c r="A272" s="81" t="s">
        <v>585</v>
      </c>
      <c r="B272" s="81" t="str">
        <f>'дод. 4'!A186</f>
        <v>7340</v>
      </c>
      <c r="C272" s="81" t="str">
        <f>'дод. 4'!B186</f>
        <v>0443</v>
      </c>
      <c r="D272" s="108" t="str">
        <f>'дод. 4'!C186</f>
        <v>Проектування, реставрація та охорона пам'яток архітектури</v>
      </c>
      <c r="E272" s="83">
        <f>F272+I272</f>
        <v>0</v>
      </c>
      <c r="F272" s="83"/>
      <c r="G272" s="83"/>
      <c r="H272" s="83"/>
      <c r="I272" s="83"/>
      <c r="J272" s="83">
        <f>K272+N272</f>
        <v>1000000</v>
      </c>
      <c r="K272" s="83"/>
      <c r="L272" s="83"/>
      <c r="M272" s="83"/>
      <c r="N272" s="83">
        <f>650000-150000+500000</f>
        <v>1000000</v>
      </c>
      <c r="O272" s="83">
        <f>650000-150000+500000</f>
        <v>1000000</v>
      </c>
      <c r="P272" s="83">
        <f>E272+J272</f>
        <v>1000000</v>
      </c>
      <c r="Q272" s="285"/>
      <c r="R272" s="160"/>
      <c r="S272" s="160"/>
      <c r="T272" s="160"/>
    </row>
    <row r="273" spans="1:20" s="4" customFormat="1" ht="24" customHeight="1">
      <c r="A273" s="81" t="s">
        <v>613</v>
      </c>
      <c r="B273" s="81" t="str">
        <f>'дод. 4'!A188</f>
        <v>7360</v>
      </c>
      <c r="C273" s="81">
        <f>'дод. 4'!B188</f>
        <v>0</v>
      </c>
      <c r="D273" s="108" t="str">
        <f>'дод. 4'!C188</f>
        <v>Виконання інвестиційних проектів</v>
      </c>
      <c r="E273" s="83">
        <f>E275</f>
        <v>0</v>
      </c>
      <c r="F273" s="83">
        <f aca="true" t="shared" si="94" ref="F273:P274">F275</f>
        <v>0</v>
      </c>
      <c r="G273" s="83">
        <f t="shared" si="94"/>
        <v>0</v>
      </c>
      <c r="H273" s="83">
        <f t="shared" si="94"/>
        <v>0</v>
      </c>
      <c r="I273" s="83">
        <f t="shared" si="94"/>
        <v>0</v>
      </c>
      <c r="J273" s="83">
        <f t="shared" si="94"/>
        <v>324393</v>
      </c>
      <c r="K273" s="83">
        <f t="shared" si="94"/>
        <v>0</v>
      </c>
      <c r="L273" s="83">
        <f t="shared" si="94"/>
        <v>0</v>
      </c>
      <c r="M273" s="83">
        <f t="shared" si="94"/>
        <v>0</v>
      </c>
      <c r="N273" s="83">
        <f t="shared" si="94"/>
        <v>324393</v>
      </c>
      <c r="O273" s="83">
        <f t="shared" si="94"/>
        <v>289538</v>
      </c>
      <c r="P273" s="83">
        <f t="shared" si="94"/>
        <v>324393</v>
      </c>
      <c r="Q273" s="285"/>
      <c r="R273" s="160"/>
      <c r="S273" s="160"/>
      <c r="T273" s="160"/>
    </row>
    <row r="274" spans="1:20" s="4" customFormat="1" ht="17.25" customHeight="1">
      <c r="A274" s="81"/>
      <c r="B274" s="81"/>
      <c r="C274" s="81"/>
      <c r="D274" s="88" t="s">
        <v>416</v>
      </c>
      <c r="E274" s="83">
        <f>E276</f>
        <v>0</v>
      </c>
      <c r="F274" s="83">
        <f t="shared" si="94"/>
        <v>0</v>
      </c>
      <c r="G274" s="83">
        <f t="shared" si="94"/>
        <v>0</v>
      </c>
      <c r="H274" s="83">
        <f t="shared" si="94"/>
        <v>0</v>
      </c>
      <c r="I274" s="83">
        <f t="shared" si="94"/>
        <v>0</v>
      </c>
      <c r="J274" s="83">
        <f t="shared" si="94"/>
        <v>34946</v>
      </c>
      <c r="K274" s="83">
        <f t="shared" si="94"/>
        <v>0</v>
      </c>
      <c r="L274" s="83">
        <f t="shared" si="94"/>
        <v>0</v>
      </c>
      <c r="M274" s="83">
        <f t="shared" si="94"/>
        <v>0</v>
      </c>
      <c r="N274" s="83">
        <f t="shared" si="94"/>
        <v>34946</v>
      </c>
      <c r="O274" s="83">
        <f t="shared" si="94"/>
        <v>91</v>
      </c>
      <c r="P274" s="83">
        <f t="shared" si="94"/>
        <v>34946</v>
      </c>
      <c r="Q274" s="285"/>
      <c r="R274" s="160"/>
      <c r="S274" s="160"/>
      <c r="T274" s="160"/>
    </row>
    <row r="275" spans="1:20" s="116" customFormat="1" ht="48.75" customHeight="1">
      <c r="A275" s="84" t="s">
        <v>614</v>
      </c>
      <c r="B275" s="84" t="str">
        <f>'дод. 4'!A191</f>
        <v>7363</v>
      </c>
      <c r="C275" s="84" t="str">
        <f>'дод. 4'!B191</f>
        <v>0490</v>
      </c>
      <c r="D275" s="107" t="str">
        <f>'дод. 4'!C191</f>
        <v>Виконання інвестиційних проектів в рамках здійснення заходів щодо соціально-економічного розвитку окремих територій</v>
      </c>
      <c r="E275" s="86">
        <f>F275+I275</f>
        <v>0</v>
      </c>
      <c r="F275" s="86"/>
      <c r="G275" s="86"/>
      <c r="H275" s="86"/>
      <c r="I275" s="86"/>
      <c r="J275" s="86">
        <f>K275+N275</f>
        <v>324393</v>
      </c>
      <c r="K275" s="86"/>
      <c r="L275" s="86"/>
      <c r="M275" s="86"/>
      <c r="N275" s="86">
        <f>289447+34946</f>
        <v>324393</v>
      </c>
      <c r="O275" s="86">
        <f>289447+91</f>
        <v>289538</v>
      </c>
      <c r="P275" s="86">
        <f>E275+J275</f>
        <v>324393</v>
      </c>
      <c r="Q275" s="285"/>
      <c r="R275" s="162"/>
      <c r="S275" s="162"/>
      <c r="T275" s="162"/>
    </row>
    <row r="276" spans="1:20" s="116" customFormat="1" ht="22.5" customHeight="1">
      <c r="A276" s="84"/>
      <c r="B276" s="84"/>
      <c r="C276" s="84"/>
      <c r="D276" s="85" t="s">
        <v>416</v>
      </c>
      <c r="E276" s="86">
        <f>F276+I276</f>
        <v>0</v>
      </c>
      <c r="F276" s="86"/>
      <c r="G276" s="86"/>
      <c r="H276" s="86"/>
      <c r="I276" s="86"/>
      <c r="J276" s="86">
        <f>K276+N276</f>
        <v>34946</v>
      </c>
      <c r="K276" s="86"/>
      <c r="L276" s="86"/>
      <c r="M276" s="86"/>
      <c r="N276" s="86">
        <v>34946</v>
      </c>
      <c r="O276" s="86">
        <v>91</v>
      </c>
      <c r="P276" s="86">
        <f>E276+J276</f>
        <v>34946</v>
      </c>
      <c r="Q276" s="285"/>
      <c r="R276" s="162"/>
      <c r="S276" s="162"/>
      <c r="T276" s="162"/>
    </row>
    <row r="277" spans="1:20" s="4" customFormat="1" ht="27.75" customHeight="1">
      <c r="A277" s="81" t="s">
        <v>621</v>
      </c>
      <c r="B277" s="81" t="str">
        <f>'дод. 4'!A200</f>
        <v>7440</v>
      </c>
      <c r="C277" s="81">
        <f>'дод. 4'!B200</f>
        <v>0</v>
      </c>
      <c r="D277" s="108" t="str">
        <f>'дод. 4'!C200</f>
        <v>Утримання та розвиток транспортної інфраструктури</v>
      </c>
      <c r="E277" s="83">
        <f>E278</f>
        <v>0</v>
      </c>
      <c r="F277" s="83">
        <f aca="true" t="shared" si="95" ref="F277:P277">F278</f>
        <v>0</v>
      </c>
      <c r="G277" s="83">
        <f t="shared" si="95"/>
        <v>0</v>
      </c>
      <c r="H277" s="83">
        <f t="shared" si="95"/>
        <v>0</v>
      </c>
      <c r="I277" s="83">
        <f t="shared" si="95"/>
        <v>0</v>
      </c>
      <c r="J277" s="83">
        <f t="shared" si="95"/>
        <v>73389.14</v>
      </c>
      <c r="K277" s="83">
        <f t="shared" si="95"/>
        <v>0</v>
      </c>
      <c r="L277" s="83">
        <f t="shared" si="95"/>
        <v>0</v>
      </c>
      <c r="M277" s="83">
        <f t="shared" si="95"/>
        <v>0</v>
      </c>
      <c r="N277" s="83">
        <f t="shared" si="95"/>
        <v>73389.14</v>
      </c>
      <c r="O277" s="83">
        <f t="shared" si="95"/>
        <v>0</v>
      </c>
      <c r="P277" s="83">
        <f t="shared" si="95"/>
        <v>73389.14</v>
      </c>
      <c r="Q277" s="285"/>
      <c r="R277" s="160"/>
      <c r="S277" s="160"/>
      <c r="T277" s="160"/>
    </row>
    <row r="278" spans="1:20" s="116" customFormat="1" ht="36" customHeight="1">
      <c r="A278" s="84" t="s">
        <v>622</v>
      </c>
      <c r="B278" s="84" t="str">
        <f>'дод. 4'!A201</f>
        <v>7442</v>
      </c>
      <c r="C278" s="84" t="str">
        <f>'дод. 4'!B201</f>
        <v>0456</v>
      </c>
      <c r="D278" s="107" t="str">
        <f>'дод. 4'!C201</f>
        <v>Утримання та розвиток інших об’єктів транспортної інфраструктури</v>
      </c>
      <c r="E278" s="86">
        <f>F278+I278</f>
        <v>0</v>
      </c>
      <c r="F278" s="86"/>
      <c r="G278" s="86"/>
      <c r="H278" s="86"/>
      <c r="I278" s="86"/>
      <c r="J278" s="86">
        <f>K278+N278</f>
        <v>73389.14</v>
      </c>
      <c r="K278" s="86"/>
      <c r="L278" s="86"/>
      <c r="M278" s="86"/>
      <c r="N278" s="86">
        <v>73389.14</v>
      </c>
      <c r="O278" s="86"/>
      <c r="P278" s="86">
        <f>E278+J278</f>
        <v>73389.14</v>
      </c>
      <c r="Q278" s="285"/>
      <c r="R278" s="162"/>
      <c r="S278" s="162"/>
      <c r="T278" s="162"/>
    </row>
    <row r="279" spans="1:20" s="116" customFormat="1" ht="36" customHeight="1">
      <c r="A279" s="81" t="s">
        <v>641</v>
      </c>
      <c r="B279" s="93" t="s">
        <v>642</v>
      </c>
      <c r="C279" s="94"/>
      <c r="D279" s="251" t="s">
        <v>643</v>
      </c>
      <c r="E279" s="89">
        <f>F279+I279</f>
        <v>0</v>
      </c>
      <c r="F279" s="86"/>
      <c r="G279" s="86"/>
      <c r="H279" s="86"/>
      <c r="I279" s="86"/>
      <c r="J279" s="86">
        <f>J281</f>
        <v>41900000</v>
      </c>
      <c r="K279" s="86">
        <f aca="true" t="shared" si="96" ref="K279:P279">K281</f>
        <v>11900000</v>
      </c>
      <c r="L279" s="86">
        <f t="shared" si="96"/>
        <v>0</v>
      </c>
      <c r="M279" s="86">
        <f t="shared" si="96"/>
        <v>0</v>
      </c>
      <c r="N279" s="86">
        <f t="shared" si="96"/>
        <v>30000000</v>
      </c>
      <c r="O279" s="86">
        <f t="shared" si="96"/>
        <v>0</v>
      </c>
      <c r="P279" s="86">
        <f t="shared" si="96"/>
        <v>41900000</v>
      </c>
      <c r="Q279" s="285"/>
      <c r="R279" s="166"/>
      <c r="S279" s="166"/>
      <c r="T279" s="166"/>
    </row>
    <row r="280" spans="1:20" s="116" customFormat="1" ht="18.75" customHeight="1">
      <c r="A280" s="81"/>
      <c r="B280" s="93"/>
      <c r="C280" s="243"/>
      <c r="D280" s="252" t="str">
        <f aca="true" t="shared" si="97" ref="D280:I280">D282</f>
        <v>у т.ч. за рахунок субвенцій з держбюджету</v>
      </c>
      <c r="E280" s="89">
        <f t="shared" si="97"/>
        <v>0</v>
      </c>
      <c r="F280" s="89">
        <f t="shared" si="97"/>
        <v>0</v>
      </c>
      <c r="G280" s="89">
        <f t="shared" si="97"/>
        <v>0</v>
      </c>
      <c r="H280" s="89">
        <f t="shared" si="97"/>
        <v>0</v>
      </c>
      <c r="I280" s="89">
        <f t="shared" si="97"/>
        <v>0</v>
      </c>
      <c r="J280" s="89">
        <f>J282</f>
        <v>41900000</v>
      </c>
      <c r="K280" s="89">
        <f aca="true" t="shared" si="98" ref="K280:P280">K282</f>
        <v>11900000</v>
      </c>
      <c r="L280" s="89">
        <f t="shared" si="98"/>
        <v>0</v>
      </c>
      <c r="M280" s="89">
        <f t="shared" si="98"/>
        <v>0</v>
      </c>
      <c r="N280" s="89">
        <f t="shared" si="98"/>
        <v>30000000</v>
      </c>
      <c r="O280" s="89">
        <f t="shared" si="98"/>
        <v>0</v>
      </c>
      <c r="P280" s="89">
        <f t="shared" si="98"/>
        <v>41900000</v>
      </c>
      <c r="Q280" s="285"/>
      <c r="R280" s="166"/>
      <c r="S280" s="166"/>
      <c r="T280" s="166"/>
    </row>
    <row r="281" spans="1:20" s="116" customFormat="1" ht="50.25" customHeight="1">
      <c r="A281" s="84" t="s">
        <v>644</v>
      </c>
      <c r="B281" s="94" t="s">
        <v>645</v>
      </c>
      <c r="C281" s="248" t="s">
        <v>493</v>
      </c>
      <c r="D281" s="249" t="s">
        <v>646</v>
      </c>
      <c r="E281" s="89">
        <f>F281+I281</f>
        <v>0</v>
      </c>
      <c r="F281" s="86"/>
      <c r="G281" s="86"/>
      <c r="H281" s="86"/>
      <c r="I281" s="86"/>
      <c r="J281" s="86">
        <f>K281+N281</f>
        <v>41900000</v>
      </c>
      <c r="K281" s="86">
        <f>15900000-4000000</f>
        <v>11900000</v>
      </c>
      <c r="L281" s="86"/>
      <c r="M281" s="86"/>
      <c r="N281" s="86">
        <v>30000000</v>
      </c>
      <c r="O281" s="86"/>
      <c r="P281" s="86">
        <f>E281+J281</f>
        <v>41900000</v>
      </c>
      <c r="Q281" s="285"/>
      <c r="R281" s="166"/>
      <c r="S281" s="166"/>
      <c r="T281" s="166"/>
    </row>
    <row r="282" spans="1:20" s="116" customFormat="1" ht="24" customHeight="1">
      <c r="A282" s="84"/>
      <c r="B282" s="84"/>
      <c r="C282" s="250"/>
      <c r="D282" s="85" t="s">
        <v>416</v>
      </c>
      <c r="E282" s="86">
        <f>F282+I282</f>
        <v>0</v>
      </c>
      <c r="F282" s="86"/>
      <c r="G282" s="86"/>
      <c r="H282" s="86"/>
      <c r="I282" s="86"/>
      <c r="J282" s="86">
        <f>K282+N282</f>
        <v>41900000</v>
      </c>
      <c r="K282" s="86">
        <f>15900000-4000000</f>
        <v>11900000</v>
      </c>
      <c r="L282" s="86"/>
      <c r="M282" s="86"/>
      <c r="N282" s="86">
        <v>30000000</v>
      </c>
      <c r="O282" s="86"/>
      <c r="P282" s="86">
        <f>J282+E282</f>
        <v>41900000</v>
      </c>
      <c r="Q282" s="285"/>
      <c r="R282" s="166"/>
      <c r="S282" s="166"/>
      <c r="T282" s="166"/>
    </row>
    <row r="283" spans="1:20" s="4" customFormat="1" ht="28.5" customHeight="1">
      <c r="A283" s="87" t="s">
        <v>234</v>
      </c>
      <c r="B283" s="87" t="str">
        <f>'дод. 4'!A211</f>
        <v>7640</v>
      </c>
      <c r="C283" s="87" t="str">
        <f>'дод. 4'!B211</f>
        <v>0470</v>
      </c>
      <c r="D283" s="108" t="str">
        <f>'дод. 4'!C211</f>
        <v>Заходи з енергозбереження</v>
      </c>
      <c r="E283" s="89">
        <f>F283+I283</f>
        <v>529155</v>
      </c>
      <c r="F283" s="89">
        <f>529155+160000-160000</f>
        <v>529155</v>
      </c>
      <c r="G283" s="89"/>
      <c r="H283" s="89"/>
      <c r="I283" s="89"/>
      <c r="J283" s="89">
        <f>K283+N283</f>
        <v>19086155</v>
      </c>
      <c r="K283" s="89"/>
      <c r="L283" s="89"/>
      <c r="M283" s="89"/>
      <c r="N283" s="89">
        <f>18557000+529155-160000+160000</f>
        <v>19086155</v>
      </c>
      <c r="O283" s="89">
        <f>18557000+529155-160000+160000</f>
        <v>19086155</v>
      </c>
      <c r="P283" s="89">
        <f>E283+J283</f>
        <v>19615310</v>
      </c>
      <c r="Q283" s="285"/>
      <c r="R283" s="160"/>
      <c r="S283" s="160"/>
      <c r="T283" s="169"/>
    </row>
    <row r="284" spans="1:20" s="4" customFormat="1" ht="30" customHeight="1">
      <c r="A284" s="87" t="s">
        <v>615</v>
      </c>
      <c r="B284" s="87" t="str">
        <f>'дод. 4'!A216</f>
        <v>7690</v>
      </c>
      <c r="C284" s="87">
        <f>'дод. 4'!B216</f>
        <v>0</v>
      </c>
      <c r="D284" s="108" t="str">
        <f>'дод. 4'!C216</f>
        <v>Інша економічна діяльність</v>
      </c>
      <c r="E284" s="89">
        <f>E285</f>
        <v>0</v>
      </c>
      <c r="F284" s="89">
        <f aca="true" t="shared" si="99" ref="F284:P284">F285</f>
        <v>0</v>
      </c>
      <c r="G284" s="89">
        <f t="shared" si="99"/>
        <v>0</v>
      </c>
      <c r="H284" s="89">
        <f t="shared" si="99"/>
        <v>0</v>
      </c>
      <c r="I284" s="89">
        <f t="shared" si="99"/>
        <v>0</v>
      </c>
      <c r="J284" s="89">
        <f t="shared" si="99"/>
        <v>872083.12</v>
      </c>
      <c r="K284" s="89">
        <f t="shared" si="99"/>
        <v>0</v>
      </c>
      <c r="L284" s="89">
        <f t="shared" si="99"/>
        <v>0</v>
      </c>
      <c r="M284" s="89">
        <f t="shared" si="99"/>
        <v>0</v>
      </c>
      <c r="N284" s="89">
        <f t="shared" si="99"/>
        <v>872083.12</v>
      </c>
      <c r="O284" s="89">
        <f t="shared" si="99"/>
        <v>0</v>
      </c>
      <c r="P284" s="89">
        <f t="shared" si="99"/>
        <v>872083.12</v>
      </c>
      <c r="Q284" s="285"/>
      <c r="R284" s="160"/>
      <c r="S284" s="160"/>
      <c r="T284" s="169"/>
    </row>
    <row r="285" spans="1:20" s="116" customFormat="1" ht="108.75" customHeight="1">
      <c r="A285" s="84" t="s">
        <v>616</v>
      </c>
      <c r="B285" s="84" t="str">
        <f>'дод. 4'!A217</f>
        <v>7691</v>
      </c>
      <c r="C285" s="84" t="str">
        <f>'дод. 4'!B217</f>
        <v>0490</v>
      </c>
      <c r="D285" s="85" t="s">
        <v>499</v>
      </c>
      <c r="E285" s="86">
        <f>F285+I285</f>
        <v>0</v>
      </c>
      <c r="F285" s="86"/>
      <c r="G285" s="86"/>
      <c r="H285" s="86"/>
      <c r="I285" s="86"/>
      <c r="J285" s="86">
        <f>K285+N285</f>
        <v>872083.12</v>
      </c>
      <c r="K285" s="86"/>
      <c r="L285" s="86"/>
      <c r="M285" s="86"/>
      <c r="N285" s="86">
        <v>872083.12</v>
      </c>
      <c r="O285" s="86"/>
      <c r="P285" s="86">
        <f>E285+J285</f>
        <v>872083.12</v>
      </c>
      <c r="Q285" s="285"/>
      <c r="R285" s="162"/>
      <c r="S285" s="162"/>
      <c r="T285" s="163"/>
    </row>
    <row r="286" spans="1:20" s="115" customFormat="1" ht="28.5" customHeight="1">
      <c r="A286" s="112" t="s">
        <v>330</v>
      </c>
      <c r="B286" s="36"/>
      <c r="C286" s="36"/>
      <c r="D286" s="35" t="s">
        <v>72</v>
      </c>
      <c r="E286" s="46">
        <f>E287</f>
        <v>6329600</v>
      </c>
      <c r="F286" s="46">
        <f aca="true" t="shared" si="100" ref="F286:P286">F287</f>
        <v>6329600</v>
      </c>
      <c r="G286" s="46">
        <f t="shared" si="100"/>
        <v>4858230</v>
      </c>
      <c r="H286" s="46">
        <f t="shared" si="100"/>
        <v>81200</v>
      </c>
      <c r="I286" s="46">
        <f t="shared" si="100"/>
        <v>0</v>
      </c>
      <c r="J286" s="46">
        <f t="shared" si="100"/>
        <v>1263974.04</v>
      </c>
      <c r="K286" s="46">
        <f t="shared" si="100"/>
        <v>1123974.04</v>
      </c>
      <c r="L286" s="46">
        <f t="shared" si="100"/>
        <v>0</v>
      </c>
      <c r="M286" s="46">
        <f t="shared" si="100"/>
        <v>0</v>
      </c>
      <c r="N286" s="46">
        <f t="shared" si="100"/>
        <v>140000</v>
      </c>
      <c r="O286" s="46">
        <f t="shared" si="100"/>
        <v>140000</v>
      </c>
      <c r="P286" s="46">
        <f t="shared" si="100"/>
        <v>7593574.04</v>
      </c>
      <c r="Q286" s="285">
        <v>14</v>
      </c>
      <c r="R286" s="158"/>
      <c r="S286" s="158"/>
      <c r="T286" s="158"/>
    </row>
    <row r="287" spans="1:21" s="115" customFormat="1" ht="30">
      <c r="A287" s="114" t="s">
        <v>331</v>
      </c>
      <c r="B287" s="125"/>
      <c r="C287" s="125"/>
      <c r="D287" s="124" t="s">
        <v>72</v>
      </c>
      <c r="E287" s="80">
        <f>E288+E291+E289+E290</f>
        <v>6329600</v>
      </c>
      <c r="F287" s="80">
        <f aca="true" t="shared" si="101" ref="F287:P287">F288+F291+F289+F290</f>
        <v>6329600</v>
      </c>
      <c r="G287" s="80">
        <f t="shared" si="101"/>
        <v>4858230</v>
      </c>
      <c r="H287" s="80">
        <f t="shared" si="101"/>
        <v>81200</v>
      </c>
      <c r="I287" s="80">
        <f t="shared" si="101"/>
        <v>0</v>
      </c>
      <c r="J287" s="80">
        <f t="shared" si="101"/>
        <v>1263974.04</v>
      </c>
      <c r="K287" s="80">
        <f t="shared" si="101"/>
        <v>1123974.04</v>
      </c>
      <c r="L287" s="80">
        <f t="shared" si="101"/>
        <v>0</v>
      </c>
      <c r="M287" s="80">
        <f t="shared" si="101"/>
        <v>0</v>
      </c>
      <c r="N287" s="80">
        <f t="shared" si="101"/>
        <v>140000</v>
      </c>
      <c r="O287" s="80">
        <f t="shared" si="101"/>
        <v>140000</v>
      </c>
      <c r="P287" s="80">
        <f t="shared" si="101"/>
        <v>7593574.04</v>
      </c>
      <c r="Q287" s="285"/>
      <c r="R287" s="167"/>
      <c r="S287" s="167"/>
      <c r="T287" s="167"/>
      <c r="U287" s="150"/>
    </row>
    <row r="288" spans="1:20" s="4" customFormat="1" ht="45">
      <c r="A288" s="81" t="s">
        <v>332</v>
      </c>
      <c r="B288" s="81" t="str">
        <f>'дод. 4'!A14</f>
        <v>0160</v>
      </c>
      <c r="C288" s="81" t="str">
        <f>'дод. 4'!B14</f>
        <v>0111</v>
      </c>
      <c r="D288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88" s="83">
        <f>F288+I288</f>
        <v>6179600</v>
      </c>
      <c r="F288" s="83">
        <f>6208400-28800</f>
        <v>6179600</v>
      </c>
      <c r="G288" s="83">
        <v>4858230</v>
      </c>
      <c r="H288" s="83">
        <v>81200</v>
      </c>
      <c r="I288" s="83"/>
      <c r="J288" s="83">
        <f>K288+N288</f>
        <v>0</v>
      </c>
      <c r="K288" s="83"/>
      <c r="L288" s="83"/>
      <c r="M288" s="83"/>
      <c r="N288" s="83">
        <f>20000-20000</f>
        <v>0</v>
      </c>
      <c r="O288" s="83">
        <f>20000-20000</f>
        <v>0</v>
      </c>
      <c r="P288" s="83">
        <f>E288+J288</f>
        <v>6179600</v>
      </c>
      <c r="Q288" s="285"/>
      <c r="R288" s="160"/>
      <c r="S288" s="160"/>
      <c r="T288" s="160"/>
    </row>
    <row r="289" spans="1:20" s="4" customFormat="1" ht="32.25" customHeight="1">
      <c r="A289" s="81" t="s">
        <v>489</v>
      </c>
      <c r="B289" s="138" t="str">
        <f>'дод. 4'!A174</f>
        <v>6090</v>
      </c>
      <c r="C289" s="138" t="str">
        <f>'дод. 4'!B174</f>
        <v>0640</v>
      </c>
      <c r="D289" s="110" t="str">
        <f>'дод. 4'!C174</f>
        <v>Інша діяльність у сфері житлово-комунального господарства</v>
      </c>
      <c r="E289" s="83">
        <f>F289+I289</f>
        <v>150000</v>
      </c>
      <c r="F289" s="83">
        <v>150000</v>
      </c>
      <c r="G289" s="83"/>
      <c r="H289" s="83"/>
      <c r="I289" s="83"/>
      <c r="J289" s="83">
        <f>K289+N289</f>
        <v>0</v>
      </c>
      <c r="K289" s="83"/>
      <c r="L289" s="83"/>
      <c r="M289" s="83"/>
      <c r="N289" s="83"/>
      <c r="O289" s="83"/>
      <c r="P289" s="83">
        <f>E289+J289</f>
        <v>150000</v>
      </c>
      <c r="Q289" s="285"/>
      <c r="R289" s="160"/>
      <c r="S289" s="160"/>
      <c r="T289" s="160"/>
    </row>
    <row r="290" spans="1:20" s="4" customFormat="1" ht="32.25" customHeight="1">
      <c r="A290" s="81" t="s">
        <v>632</v>
      </c>
      <c r="B290" s="138" t="str">
        <f>'дод. 4'!A187</f>
        <v>7350</v>
      </c>
      <c r="C290" s="138" t="str">
        <f>'дод. 4'!B187</f>
        <v>0443</v>
      </c>
      <c r="D290" s="110" t="str">
        <f>'дод. 4'!C187</f>
        <v>Розроблення схем планування та забудови територій (містобудівної документації)</v>
      </c>
      <c r="E290" s="83">
        <f>F290+I290</f>
        <v>0</v>
      </c>
      <c r="F290" s="83"/>
      <c r="G290" s="83"/>
      <c r="H290" s="83"/>
      <c r="I290" s="83"/>
      <c r="J290" s="83">
        <f>K290+N290</f>
        <v>140000</v>
      </c>
      <c r="K290" s="83"/>
      <c r="L290" s="83"/>
      <c r="M290" s="83"/>
      <c r="N290" s="83">
        <v>140000</v>
      </c>
      <c r="O290" s="83">
        <v>140000</v>
      </c>
      <c r="P290" s="83">
        <f>E290+J290</f>
        <v>140000</v>
      </c>
      <c r="Q290" s="285"/>
      <c r="R290" s="160"/>
      <c r="S290" s="160"/>
      <c r="T290" s="160"/>
    </row>
    <row r="291" spans="1:20" s="4" customFormat="1" ht="18.75" customHeight="1">
      <c r="A291" s="91" t="s">
        <v>333</v>
      </c>
      <c r="B291" s="91" t="str">
        <f>'дод. 4'!A216</f>
        <v>7690</v>
      </c>
      <c r="C291" s="91">
        <f>'дод. 4'!B216</f>
        <v>0</v>
      </c>
      <c r="D291" s="109" t="str">
        <f>'дод. 4'!C216</f>
        <v>Інша економічна діяльність</v>
      </c>
      <c r="E291" s="83">
        <f>E292</f>
        <v>0</v>
      </c>
      <c r="F291" s="83">
        <f aca="true" t="shared" si="102" ref="F291:P291">F292</f>
        <v>0</v>
      </c>
      <c r="G291" s="83">
        <f t="shared" si="102"/>
        <v>0</v>
      </c>
      <c r="H291" s="83">
        <f t="shared" si="102"/>
        <v>0</v>
      </c>
      <c r="I291" s="83">
        <f t="shared" si="102"/>
        <v>0</v>
      </c>
      <c r="J291" s="83">
        <f t="shared" si="102"/>
        <v>1123974.04</v>
      </c>
      <c r="K291" s="83">
        <f t="shared" si="102"/>
        <v>1123974.04</v>
      </c>
      <c r="L291" s="83">
        <f t="shared" si="102"/>
        <v>0</v>
      </c>
      <c r="M291" s="83">
        <f t="shared" si="102"/>
        <v>0</v>
      </c>
      <c r="N291" s="83">
        <f t="shared" si="102"/>
        <v>0</v>
      </c>
      <c r="O291" s="83">
        <f t="shared" si="102"/>
        <v>0</v>
      </c>
      <c r="P291" s="83">
        <f t="shared" si="102"/>
        <v>1123974.04</v>
      </c>
      <c r="Q291" s="285"/>
      <c r="R291" s="161"/>
      <c r="S291" s="161"/>
      <c r="T291" s="161"/>
    </row>
    <row r="292" spans="1:20" s="116" customFormat="1" ht="110.25" customHeight="1">
      <c r="A292" s="117" t="s">
        <v>471</v>
      </c>
      <c r="B292" s="139" t="str">
        <f>'дод. 4'!A217</f>
        <v>7691</v>
      </c>
      <c r="C292" s="139" t="str">
        <f>'дод. 4'!B217</f>
        <v>0490</v>
      </c>
      <c r="D292" s="85" t="s">
        <v>499</v>
      </c>
      <c r="E292" s="86">
        <f>F292+I292</f>
        <v>0</v>
      </c>
      <c r="F292" s="86"/>
      <c r="G292" s="86"/>
      <c r="H292" s="86"/>
      <c r="I292" s="86"/>
      <c r="J292" s="86">
        <f>K292+N292</f>
        <v>1123974.04</v>
      </c>
      <c r="K292" s="86">
        <f>341539+752435.04+30000</f>
        <v>1123974.04</v>
      </c>
      <c r="L292" s="86"/>
      <c r="M292" s="86"/>
      <c r="N292" s="86"/>
      <c r="O292" s="86"/>
      <c r="P292" s="86">
        <f>E292+J292</f>
        <v>1123974.04</v>
      </c>
      <c r="Q292" s="285"/>
      <c r="R292" s="162"/>
      <c r="S292" s="162"/>
      <c r="T292" s="162"/>
    </row>
    <row r="293" spans="1:20" s="115" customFormat="1" ht="36.75" customHeight="1">
      <c r="A293" s="112" t="s">
        <v>336</v>
      </c>
      <c r="B293" s="36"/>
      <c r="C293" s="36"/>
      <c r="D293" s="35" t="s">
        <v>75</v>
      </c>
      <c r="E293" s="46">
        <f>E294</f>
        <v>3656700</v>
      </c>
      <c r="F293" s="46">
        <f aca="true" t="shared" si="103" ref="F293:P294">F294</f>
        <v>3656700</v>
      </c>
      <c r="G293" s="46">
        <f t="shared" si="103"/>
        <v>2745200</v>
      </c>
      <c r="H293" s="46">
        <f t="shared" si="103"/>
        <v>36300</v>
      </c>
      <c r="I293" s="46">
        <f t="shared" si="103"/>
        <v>0</v>
      </c>
      <c r="J293" s="46">
        <f t="shared" si="103"/>
        <v>40000</v>
      </c>
      <c r="K293" s="46">
        <f t="shared" si="103"/>
        <v>0</v>
      </c>
      <c r="L293" s="46">
        <f t="shared" si="103"/>
        <v>0</v>
      </c>
      <c r="M293" s="46">
        <f t="shared" si="103"/>
        <v>0</v>
      </c>
      <c r="N293" s="46">
        <f t="shared" si="103"/>
        <v>40000</v>
      </c>
      <c r="O293" s="46">
        <f t="shared" si="103"/>
        <v>40000</v>
      </c>
      <c r="P293" s="46">
        <f t="shared" si="103"/>
        <v>3696700</v>
      </c>
      <c r="Q293" s="285"/>
      <c r="R293" s="158"/>
      <c r="S293" s="158"/>
      <c r="T293" s="158"/>
    </row>
    <row r="294" spans="1:20" s="115" customFormat="1" ht="41.25" customHeight="1">
      <c r="A294" s="114" t="s">
        <v>334</v>
      </c>
      <c r="B294" s="125"/>
      <c r="C294" s="125"/>
      <c r="D294" s="124" t="s">
        <v>75</v>
      </c>
      <c r="E294" s="80">
        <f>E295</f>
        <v>3656700</v>
      </c>
      <c r="F294" s="80">
        <f t="shared" si="103"/>
        <v>3656700</v>
      </c>
      <c r="G294" s="80">
        <f t="shared" si="103"/>
        <v>2745200</v>
      </c>
      <c r="H294" s="80">
        <f t="shared" si="103"/>
        <v>36300</v>
      </c>
      <c r="I294" s="80">
        <f t="shared" si="103"/>
        <v>0</v>
      </c>
      <c r="J294" s="80">
        <f t="shared" si="103"/>
        <v>40000</v>
      </c>
      <c r="K294" s="80">
        <f t="shared" si="103"/>
        <v>0</v>
      </c>
      <c r="L294" s="80">
        <f t="shared" si="103"/>
        <v>0</v>
      </c>
      <c r="M294" s="80">
        <f t="shared" si="103"/>
        <v>0</v>
      </c>
      <c r="N294" s="80">
        <f t="shared" si="103"/>
        <v>40000</v>
      </c>
      <c r="O294" s="80">
        <f t="shared" si="103"/>
        <v>40000</v>
      </c>
      <c r="P294" s="80">
        <f t="shared" si="103"/>
        <v>3696700</v>
      </c>
      <c r="Q294" s="285"/>
      <c r="R294" s="159"/>
      <c r="S294" s="159"/>
      <c r="T294" s="159"/>
    </row>
    <row r="295" spans="1:20" s="116" customFormat="1" ht="47.25" customHeight="1">
      <c r="A295" s="81" t="s">
        <v>335</v>
      </c>
      <c r="B295" s="81" t="str">
        <f>'дод. 4'!A14</f>
        <v>0160</v>
      </c>
      <c r="C295" s="81" t="str">
        <f>'дод. 4'!B14</f>
        <v>0111</v>
      </c>
      <c r="D295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95" s="83">
        <f>F295+I295</f>
        <v>3656700</v>
      </c>
      <c r="F295" s="83">
        <f>3525900-19200+150000</f>
        <v>3656700</v>
      </c>
      <c r="G295" s="83">
        <v>2745200</v>
      </c>
      <c r="H295" s="83">
        <v>36300</v>
      </c>
      <c r="I295" s="83"/>
      <c r="J295" s="83">
        <f>K295+N295</f>
        <v>40000</v>
      </c>
      <c r="K295" s="83"/>
      <c r="L295" s="83"/>
      <c r="M295" s="83"/>
      <c r="N295" s="83">
        <v>40000</v>
      </c>
      <c r="O295" s="83">
        <v>40000</v>
      </c>
      <c r="P295" s="83">
        <f>E295+J295</f>
        <v>3696700</v>
      </c>
      <c r="Q295" s="285"/>
      <c r="R295" s="160"/>
      <c r="S295" s="160"/>
      <c r="T295" s="160"/>
    </row>
    <row r="296" spans="1:20" s="113" customFormat="1" ht="28.5">
      <c r="A296" s="112" t="s">
        <v>337</v>
      </c>
      <c r="B296" s="36"/>
      <c r="C296" s="36"/>
      <c r="D296" s="35" t="s">
        <v>71</v>
      </c>
      <c r="E296" s="46">
        <f>E297</f>
        <v>17567206</v>
      </c>
      <c r="F296" s="46">
        <f aca="true" t="shared" si="104" ref="F296:P296">F297</f>
        <v>16667206</v>
      </c>
      <c r="G296" s="46">
        <f t="shared" si="104"/>
        <v>11700000</v>
      </c>
      <c r="H296" s="46">
        <f t="shared" si="104"/>
        <v>328583.65</v>
      </c>
      <c r="I296" s="46">
        <f t="shared" si="104"/>
        <v>900000</v>
      </c>
      <c r="J296" s="46">
        <f t="shared" si="104"/>
        <v>287843.33</v>
      </c>
      <c r="K296" s="46">
        <f t="shared" si="104"/>
        <v>14343.33</v>
      </c>
      <c r="L296" s="46">
        <f t="shared" si="104"/>
        <v>0</v>
      </c>
      <c r="M296" s="46">
        <f t="shared" si="104"/>
        <v>0</v>
      </c>
      <c r="N296" s="46">
        <f t="shared" si="104"/>
        <v>273500</v>
      </c>
      <c r="O296" s="46">
        <f t="shared" si="104"/>
        <v>273500</v>
      </c>
      <c r="P296" s="46">
        <f t="shared" si="104"/>
        <v>17855049.33</v>
      </c>
      <c r="Q296" s="285"/>
      <c r="R296" s="158"/>
      <c r="S296" s="158"/>
      <c r="T296" s="158"/>
    </row>
    <row r="297" spans="1:20" s="115" customFormat="1" ht="30.75" customHeight="1">
      <c r="A297" s="114" t="s">
        <v>338</v>
      </c>
      <c r="B297" s="125"/>
      <c r="C297" s="125"/>
      <c r="D297" s="124" t="s">
        <v>71</v>
      </c>
      <c r="E297" s="80">
        <f>E298+E299+E300+E301+E302+E303+E305</f>
        <v>17567206</v>
      </c>
      <c r="F297" s="80">
        <f aca="true" t="shared" si="105" ref="F297:O297">F298+F299+F300+F301+F302+F303+F305</f>
        <v>16667206</v>
      </c>
      <c r="G297" s="80">
        <f t="shared" si="105"/>
        <v>11700000</v>
      </c>
      <c r="H297" s="80">
        <f t="shared" si="105"/>
        <v>328583.65</v>
      </c>
      <c r="I297" s="80">
        <f t="shared" si="105"/>
        <v>900000</v>
      </c>
      <c r="J297" s="80">
        <f t="shared" si="105"/>
        <v>287843.33</v>
      </c>
      <c r="K297" s="80">
        <f t="shared" si="105"/>
        <v>14343.33</v>
      </c>
      <c r="L297" s="80">
        <f t="shared" si="105"/>
        <v>0</v>
      </c>
      <c r="M297" s="80">
        <f t="shared" si="105"/>
        <v>0</v>
      </c>
      <c r="N297" s="80">
        <f t="shared" si="105"/>
        <v>273500</v>
      </c>
      <c r="O297" s="80">
        <f t="shared" si="105"/>
        <v>273500</v>
      </c>
      <c r="P297" s="80">
        <f>P298+P299+P300+P301+P302+P303+P305</f>
        <v>17855049.33</v>
      </c>
      <c r="Q297" s="285"/>
      <c r="R297" s="167"/>
      <c r="S297" s="167"/>
      <c r="T297" s="167"/>
    </row>
    <row r="298" spans="1:20" s="113" customFormat="1" ht="54" customHeight="1">
      <c r="A298" s="81" t="s">
        <v>339</v>
      </c>
      <c r="B298" s="81" t="str">
        <f>'дод. 4'!A14</f>
        <v>0160</v>
      </c>
      <c r="C298" s="81" t="str">
        <f>'дод. 4'!B14</f>
        <v>0111</v>
      </c>
      <c r="D298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98" s="83">
        <f>F298+I298</f>
        <v>15013300</v>
      </c>
      <c r="F298" s="83">
        <f>15102100-88800</f>
        <v>15013300</v>
      </c>
      <c r="G298" s="83">
        <v>11700000</v>
      </c>
      <c r="H298" s="83">
        <v>250267</v>
      </c>
      <c r="I298" s="83"/>
      <c r="J298" s="83">
        <f>K298+N298</f>
        <v>19500</v>
      </c>
      <c r="K298" s="83"/>
      <c r="L298" s="83"/>
      <c r="M298" s="83"/>
      <c r="N298" s="83">
        <f>150000-130500</f>
        <v>19500</v>
      </c>
      <c r="O298" s="83">
        <f>150000-130500</f>
        <v>19500</v>
      </c>
      <c r="P298" s="83">
        <f>E298+J298</f>
        <v>15032800</v>
      </c>
      <c r="Q298" s="285"/>
      <c r="R298" s="160"/>
      <c r="S298" s="160"/>
      <c r="T298" s="160"/>
    </row>
    <row r="299" spans="1:20" s="130" customFormat="1" ht="29.25" customHeight="1">
      <c r="A299" s="81" t="s">
        <v>340</v>
      </c>
      <c r="B299" s="81" t="str">
        <f>'дод. 4'!A177</f>
        <v>7130</v>
      </c>
      <c r="C299" s="81" t="str">
        <f>'дод. 4'!B177</f>
        <v>0421</v>
      </c>
      <c r="D299" s="110" t="str">
        <f>'дод. 4'!C177</f>
        <v>Здійснення  заходів із землеустрою</v>
      </c>
      <c r="E299" s="83">
        <f>F299+I299</f>
        <v>650000</v>
      </c>
      <c r="F299" s="128">
        <f>50000+500000+50000+50000</f>
        <v>650000</v>
      </c>
      <c r="G299" s="129"/>
      <c r="H299" s="129"/>
      <c r="I299" s="129"/>
      <c r="J299" s="83">
        <f>K299+N299</f>
        <v>14343.33</v>
      </c>
      <c r="K299" s="129">
        <v>14343.33</v>
      </c>
      <c r="L299" s="129"/>
      <c r="M299" s="129"/>
      <c r="N299" s="129"/>
      <c r="O299" s="129"/>
      <c r="P299" s="83">
        <f>E299+J299</f>
        <v>664343.33</v>
      </c>
      <c r="Q299" s="285"/>
      <c r="R299" s="160"/>
      <c r="S299" s="160"/>
      <c r="T299" s="160"/>
    </row>
    <row r="300" spans="1:20" s="4" customFormat="1" ht="15">
      <c r="A300" s="91" t="s">
        <v>341</v>
      </c>
      <c r="B300" s="91" t="str">
        <f>'дод. 4'!A210</f>
        <v>7610</v>
      </c>
      <c r="C300" s="91" t="str">
        <f>'дод. 4'!B210</f>
        <v>0411</v>
      </c>
      <c r="D300" s="109" t="str">
        <f>'дод. 4'!C210</f>
        <v>Сприяння розвитку малого та середнього підприємництва</v>
      </c>
      <c r="E300" s="83">
        <f>F300+I300</f>
        <v>1152000</v>
      </c>
      <c r="F300" s="83">
        <f>185000+67000</f>
        <v>252000</v>
      </c>
      <c r="G300" s="83"/>
      <c r="H300" s="83"/>
      <c r="I300" s="83">
        <v>900000</v>
      </c>
      <c r="J300" s="83">
        <f>K300+N300</f>
        <v>0</v>
      </c>
      <c r="K300" s="83"/>
      <c r="L300" s="83"/>
      <c r="M300" s="83"/>
      <c r="N300" s="83"/>
      <c r="O300" s="83"/>
      <c r="P300" s="83">
        <f>E300+J300</f>
        <v>1152000</v>
      </c>
      <c r="Q300" s="285"/>
      <c r="R300" s="160"/>
      <c r="S300" s="160"/>
      <c r="T300" s="160"/>
    </row>
    <row r="301" spans="1:20" s="119" customFormat="1" ht="37.5" customHeight="1">
      <c r="A301" s="91" t="s">
        <v>417</v>
      </c>
      <c r="B301" s="91" t="str">
        <f>'дод. 4'!A212</f>
        <v>7650</v>
      </c>
      <c r="C301" s="91" t="str">
        <f>'дод. 4'!B212</f>
        <v>0490</v>
      </c>
      <c r="D301" s="109" t="str">
        <f>'дод. 4'!C212</f>
        <v>Проведення експертної  грошової  оцінки  земельної ділянки чи права на неї</v>
      </c>
      <c r="E301" s="83">
        <f>F301+I301</f>
        <v>0</v>
      </c>
      <c r="F301" s="83"/>
      <c r="G301" s="83"/>
      <c r="H301" s="83"/>
      <c r="I301" s="83"/>
      <c r="J301" s="83">
        <f>K301+N301</f>
        <v>50000</v>
      </c>
      <c r="K301" s="83"/>
      <c r="L301" s="83"/>
      <c r="M301" s="83"/>
      <c r="N301" s="83">
        <f>25000+25000</f>
        <v>50000</v>
      </c>
      <c r="O301" s="83">
        <f>25000+25000</f>
        <v>50000</v>
      </c>
      <c r="P301" s="83">
        <f>E301+J301</f>
        <v>50000</v>
      </c>
      <c r="Q301" s="285"/>
      <c r="R301" s="160"/>
      <c r="S301" s="160"/>
      <c r="T301" s="160"/>
    </row>
    <row r="302" spans="1:20" s="119" customFormat="1" ht="45">
      <c r="A302" s="91" t="s">
        <v>419</v>
      </c>
      <c r="B302" s="91" t="str">
        <f>'дод. 4'!A213</f>
        <v>7660</v>
      </c>
      <c r="C302" s="91" t="str">
        <f>'дод. 4'!B213</f>
        <v>0490</v>
      </c>
      <c r="D302" s="109" t="str">
        <f>'дод. 4'!C213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02" s="83">
        <f>F302+I302</f>
        <v>0</v>
      </c>
      <c r="F302" s="83"/>
      <c r="G302" s="83"/>
      <c r="H302" s="83"/>
      <c r="I302" s="83"/>
      <c r="J302" s="83">
        <f>K302+N302</f>
        <v>25000</v>
      </c>
      <c r="K302" s="83"/>
      <c r="L302" s="83"/>
      <c r="M302" s="83"/>
      <c r="N302" s="83">
        <v>25000</v>
      </c>
      <c r="O302" s="83">
        <v>25000</v>
      </c>
      <c r="P302" s="83">
        <f>E302+J302</f>
        <v>25000</v>
      </c>
      <c r="Q302" s="285"/>
      <c r="R302" s="160"/>
      <c r="S302" s="160"/>
      <c r="T302" s="160"/>
    </row>
    <row r="303" spans="1:20" s="4" customFormat="1" ht="22.5" customHeight="1">
      <c r="A303" s="91" t="s">
        <v>411</v>
      </c>
      <c r="B303" s="91" t="str">
        <f>'дод. 4'!A216</f>
        <v>7690</v>
      </c>
      <c r="C303" s="91">
        <f>'дод. 4'!B216</f>
        <v>0</v>
      </c>
      <c r="D303" s="109" t="str">
        <f>'дод. 4'!C216</f>
        <v>Інша економічна діяльність</v>
      </c>
      <c r="E303" s="83">
        <f>E304</f>
        <v>731906</v>
      </c>
      <c r="F303" s="83">
        <f aca="true" t="shared" si="106" ref="F303:P303">F304</f>
        <v>731906</v>
      </c>
      <c r="G303" s="83">
        <f t="shared" si="106"/>
        <v>0</v>
      </c>
      <c r="H303" s="83">
        <f t="shared" si="106"/>
        <v>78316.65</v>
      </c>
      <c r="I303" s="83">
        <f t="shared" si="106"/>
        <v>0</v>
      </c>
      <c r="J303" s="83">
        <f t="shared" si="106"/>
        <v>0</v>
      </c>
      <c r="K303" s="83">
        <f t="shared" si="106"/>
        <v>0</v>
      </c>
      <c r="L303" s="83">
        <f t="shared" si="106"/>
        <v>0</v>
      </c>
      <c r="M303" s="83">
        <f t="shared" si="106"/>
        <v>0</v>
      </c>
      <c r="N303" s="83">
        <f t="shared" si="106"/>
        <v>0</v>
      </c>
      <c r="O303" s="83">
        <f t="shared" si="106"/>
        <v>0</v>
      </c>
      <c r="P303" s="83">
        <f t="shared" si="106"/>
        <v>731906</v>
      </c>
      <c r="Q303" s="285"/>
      <c r="R303" s="161">
        <f>R304</f>
        <v>0</v>
      </c>
      <c r="S303" s="161">
        <f>S304</f>
        <v>0</v>
      </c>
      <c r="T303" s="161"/>
    </row>
    <row r="304" spans="1:20" s="116" customFormat="1" ht="23.25" customHeight="1">
      <c r="A304" s="117" t="s">
        <v>412</v>
      </c>
      <c r="B304" s="117" t="str">
        <f>'дод. 4'!A218</f>
        <v>7693</v>
      </c>
      <c r="C304" s="117" t="str">
        <f>'дод. 4'!B218</f>
        <v>0490</v>
      </c>
      <c r="D304" s="118" t="str">
        <f>'дод. 4'!C218</f>
        <v>Інші заходи, пов'язані з економічною діяльністю</v>
      </c>
      <c r="E304" s="86">
        <f>F304+I304</f>
        <v>731906</v>
      </c>
      <c r="F304" s="86">
        <f>642000+89906</f>
        <v>731906</v>
      </c>
      <c r="G304" s="86"/>
      <c r="H304" s="86">
        <v>78316.65</v>
      </c>
      <c r="I304" s="86"/>
      <c r="J304" s="86">
        <f>K304+N304</f>
        <v>0</v>
      </c>
      <c r="K304" s="86"/>
      <c r="L304" s="86"/>
      <c r="M304" s="86"/>
      <c r="N304" s="86"/>
      <c r="O304" s="86"/>
      <c r="P304" s="86">
        <f>E304+J304</f>
        <v>731906</v>
      </c>
      <c r="Q304" s="285"/>
      <c r="R304" s="162"/>
      <c r="S304" s="162"/>
      <c r="T304" s="162"/>
    </row>
    <row r="305" spans="1:20" s="4" customFormat="1" ht="55.5" customHeight="1">
      <c r="A305" s="91" t="s">
        <v>597</v>
      </c>
      <c r="B305" s="222" t="str">
        <f>'дод. 4'!A243</f>
        <v>9800</v>
      </c>
      <c r="C305" s="222" t="str">
        <f>'дод. 4'!B243</f>
        <v>0180</v>
      </c>
      <c r="D305" s="111" t="str">
        <f>'дод. 4'!C243</f>
        <v>Субвенція з місцевого бюджету державному бюджету на виконання програм соціально-економічного розвитку регіонів </v>
      </c>
      <c r="E305" s="83">
        <f>F305+I305</f>
        <v>20000</v>
      </c>
      <c r="F305" s="83">
        <v>20000</v>
      </c>
      <c r="G305" s="83"/>
      <c r="H305" s="83"/>
      <c r="I305" s="83"/>
      <c r="J305" s="83">
        <f>K305+N305</f>
        <v>179000</v>
      </c>
      <c r="K305" s="83"/>
      <c r="L305" s="83"/>
      <c r="M305" s="83"/>
      <c r="N305" s="83">
        <v>179000</v>
      </c>
      <c r="O305" s="83">
        <v>179000</v>
      </c>
      <c r="P305" s="83">
        <f>E305+J305</f>
        <v>199000</v>
      </c>
      <c r="Q305" s="285"/>
      <c r="R305" s="160"/>
      <c r="S305" s="160"/>
      <c r="T305" s="160"/>
    </row>
    <row r="306" spans="1:20" s="113" customFormat="1" ht="31.5" customHeight="1">
      <c r="A306" s="112" t="s">
        <v>347</v>
      </c>
      <c r="B306" s="36"/>
      <c r="C306" s="36"/>
      <c r="D306" s="35" t="s">
        <v>350</v>
      </c>
      <c r="E306" s="46">
        <f>E307</f>
        <v>232370</v>
      </c>
      <c r="F306" s="46">
        <f aca="true" t="shared" si="107" ref="F306:P307">F307</f>
        <v>232370</v>
      </c>
      <c r="G306" s="46">
        <f t="shared" si="107"/>
        <v>190467</v>
      </c>
      <c r="H306" s="46">
        <f t="shared" si="107"/>
        <v>0</v>
      </c>
      <c r="I306" s="46">
        <f t="shared" si="107"/>
        <v>0</v>
      </c>
      <c r="J306" s="46">
        <f t="shared" si="107"/>
        <v>0</v>
      </c>
      <c r="K306" s="46">
        <f t="shared" si="107"/>
        <v>0</v>
      </c>
      <c r="L306" s="46">
        <f t="shared" si="107"/>
        <v>0</v>
      </c>
      <c r="M306" s="46">
        <f t="shared" si="107"/>
        <v>0</v>
      </c>
      <c r="N306" s="46">
        <f t="shared" si="107"/>
        <v>0</v>
      </c>
      <c r="O306" s="46">
        <f t="shared" si="107"/>
        <v>0</v>
      </c>
      <c r="P306" s="46">
        <f t="shared" si="107"/>
        <v>232370</v>
      </c>
      <c r="Q306" s="285"/>
      <c r="R306" s="158">
        <f>R308</f>
        <v>0</v>
      </c>
      <c r="S306" s="158">
        <f>S308</f>
        <v>0</v>
      </c>
      <c r="T306" s="158">
        <f>T308</f>
        <v>0</v>
      </c>
    </row>
    <row r="307" spans="1:20" s="115" customFormat="1" ht="36.75" customHeight="1">
      <c r="A307" s="114" t="s">
        <v>348</v>
      </c>
      <c r="B307" s="125"/>
      <c r="C307" s="125"/>
      <c r="D307" s="124" t="s">
        <v>350</v>
      </c>
      <c r="E307" s="80">
        <f>E308</f>
        <v>232370</v>
      </c>
      <c r="F307" s="80">
        <f t="shared" si="107"/>
        <v>232370</v>
      </c>
      <c r="G307" s="80">
        <f t="shared" si="107"/>
        <v>190467</v>
      </c>
      <c r="H307" s="80">
        <f t="shared" si="107"/>
        <v>0</v>
      </c>
      <c r="I307" s="80">
        <f t="shared" si="107"/>
        <v>0</v>
      </c>
      <c r="J307" s="80">
        <f t="shared" si="107"/>
        <v>0</v>
      </c>
      <c r="K307" s="80">
        <f t="shared" si="107"/>
        <v>0</v>
      </c>
      <c r="L307" s="80">
        <f t="shared" si="107"/>
        <v>0</v>
      </c>
      <c r="M307" s="80">
        <f t="shared" si="107"/>
        <v>0</v>
      </c>
      <c r="N307" s="80">
        <f t="shared" si="107"/>
        <v>0</v>
      </c>
      <c r="O307" s="80">
        <f t="shared" si="107"/>
        <v>0</v>
      </c>
      <c r="P307" s="80">
        <f t="shared" si="107"/>
        <v>232370</v>
      </c>
      <c r="Q307" s="285"/>
      <c r="R307" s="167">
        <f>R308</f>
        <v>0</v>
      </c>
      <c r="S307" s="167">
        <f>S308</f>
        <v>0</v>
      </c>
      <c r="T307" s="167">
        <f>T308</f>
        <v>0</v>
      </c>
    </row>
    <row r="308" spans="1:20" s="4" customFormat="1" ht="45">
      <c r="A308" s="81" t="s">
        <v>349</v>
      </c>
      <c r="B308" s="81" t="str">
        <f>'дод. 4'!A14</f>
        <v>0160</v>
      </c>
      <c r="C308" s="81" t="str">
        <f>'дод. 4'!B14</f>
        <v>0111</v>
      </c>
      <c r="D308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8" s="83">
        <f>F308+I308</f>
        <v>232370</v>
      </c>
      <c r="F308" s="83">
        <f>146700+85670</f>
        <v>232370</v>
      </c>
      <c r="G308" s="83">
        <f>120245+70222</f>
        <v>190467</v>
      </c>
      <c r="H308" s="83"/>
      <c r="I308" s="83"/>
      <c r="J308" s="83">
        <f>K308+N308</f>
        <v>0</v>
      </c>
      <c r="K308" s="83"/>
      <c r="L308" s="83"/>
      <c r="M308" s="83"/>
      <c r="N308" s="83"/>
      <c r="O308" s="83"/>
      <c r="P308" s="83">
        <f>E308+J308</f>
        <v>232370</v>
      </c>
      <c r="Q308" s="285"/>
      <c r="R308" s="160"/>
      <c r="S308" s="160"/>
      <c r="T308" s="160"/>
    </row>
    <row r="309" spans="1:20" s="113" customFormat="1" ht="33" customHeight="1">
      <c r="A309" s="112" t="s">
        <v>342</v>
      </c>
      <c r="B309" s="36"/>
      <c r="C309" s="36"/>
      <c r="D309" s="35" t="s">
        <v>73</v>
      </c>
      <c r="E309" s="46">
        <f>E310</f>
        <v>107892750.97</v>
      </c>
      <c r="F309" s="46">
        <f>F310</f>
        <v>104420643.41</v>
      </c>
      <c r="G309" s="46">
        <f aca="true" t="shared" si="108" ref="G309:P309">G310</f>
        <v>13148077</v>
      </c>
      <c r="H309" s="46">
        <f t="shared" si="108"/>
        <v>183655</v>
      </c>
      <c r="I309" s="46">
        <f t="shared" si="108"/>
        <v>0</v>
      </c>
      <c r="J309" s="46">
        <f t="shared" si="108"/>
        <v>4633800</v>
      </c>
      <c r="K309" s="46">
        <f t="shared" si="108"/>
        <v>4020000</v>
      </c>
      <c r="L309" s="46">
        <f t="shared" si="108"/>
        <v>0</v>
      </c>
      <c r="M309" s="46">
        <f t="shared" si="108"/>
        <v>0</v>
      </c>
      <c r="N309" s="46">
        <f t="shared" si="108"/>
        <v>613800</v>
      </c>
      <c r="O309" s="46">
        <f t="shared" si="108"/>
        <v>613800</v>
      </c>
      <c r="P309" s="46">
        <f t="shared" si="108"/>
        <v>112526550.97</v>
      </c>
      <c r="Q309" s="285"/>
      <c r="R309" s="158"/>
      <c r="S309" s="158"/>
      <c r="T309" s="158"/>
    </row>
    <row r="310" spans="1:20" s="115" customFormat="1" ht="30.75" customHeight="1">
      <c r="A310" s="114" t="s">
        <v>343</v>
      </c>
      <c r="B310" s="125"/>
      <c r="C310" s="125"/>
      <c r="D310" s="124" t="s">
        <v>73</v>
      </c>
      <c r="E310" s="80">
        <f>E312+E313+E314+E315+E316+E317+E318+E320</f>
        <v>107892750.97</v>
      </c>
      <c r="F310" s="80">
        <f>F312+F313+F314+F315+F316+F317+F318+F320</f>
        <v>104420643.41</v>
      </c>
      <c r="G310" s="80">
        <f>G312+G313+G314+G315+G316+G317+G318+G320</f>
        <v>13148077</v>
      </c>
      <c r="H310" s="80">
        <f aca="true" t="shared" si="109" ref="H310:P310">H312+H313+H314+H315+H316+H317+H318+H320</f>
        <v>183655</v>
      </c>
      <c r="I310" s="80">
        <f t="shared" si="109"/>
        <v>0</v>
      </c>
      <c r="J310" s="80">
        <f t="shared" si="109"/>
        <v>4633800</v>
      </c>
      <c r="K310" s="80">
        <f t="shared" si="109"/>
        <v>4020000</v>
      </c>
      <c r="L310" s="80">
        <f t="shared" si="109"/>
        <v>0</v>
      </c>
      <c r="M310" s="80">
        <f t="shared" si="109"/>
        <v>0</v>
      </c>
      <c r="N310" s="80">
        <f t="shared" si="109"/>
        <v>613800</v>
      </c>
      <c r="O310" s="80">
        <f t="shared" si="109"/>
        <v>613800</v>
      </c>
      <c r="P310" s="80">
        <f t="shared" si="109"/>
        <v>112526550.97</v>
      </c>
      <c r="Q310" s="285"/>
      <c r="R310" s="164"/>
      <c r="S310" s="164"/>
      <c r="T310" s="164"/>
    </row>
    <row r="311" spans="1:20" s="115" customFormat="1" ht="19.5" customHeight="1">
      <c r="A311" s="114"/>
      <c r="B311" s="125"/>
      <c r="C311" s="125"/>
      <c r="D311" s="85" t="s">
        <v>416</v>
      </c>
      <c r="E311" s="80"/>
      <c r="F311" s="80"/>
      <c r="G311" s="80"/>
      <c r="H311" s="80"/>
      <c r="I311" s="80"/>
      <c r="J311" s="80">
        <v>4000000</v>
      </c>
      <c r="K311" s="80">
        <v>4000000</v>
      </c>
      <c r="L311" s="80"/>
      <c r="M311" s="80"/>
      <c r="N311" s="80"/>
      <c r="O311" s="80"/>
      <c r="P311" s="80">
        <f>J311+E311</f>
        <v>4000000</v>
      </c>
      <c r="Q311" s="285"/>
      <c r="R311" s="224"/>
      <c r="S311" s="224"/>
      <c r="T311" s="224"/>
    </row>
    <row r="312" spans="1:20" s="4" customFormat="1" ht="45">
      <c r="A312" s="81" t="s">
        <v>344</v>
      </c>
      <c r="B312" s="81" t="str">
        <f>'дод. 4'!A14</f>
        <v>0160</v>
      </c>
      <c r="C312" s="81" t="str">
        <f>'дод. 4'!B14</f>
        <v>0111</v>
      </c>
      <c r="D312" s="88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2" s="83">
        <f>F312+I312</f>
        <v>16851191</v>
      </c>
      <c r="F312" s="83">
        <f>16667200-105600+267991+21600</f>
        <v>16851191</v>
      </c>
      <c r="G312" s="83">
        <f>12928412+219665</f>
        <v>13148077</v>
      </c>
      <c r="H312" s="83">
        <v>183655</v>
      </c>
      <c r="I312" s="83"/>
      <c r="J312" s="83">
        <f aca="true" t="shared" si="110" ref="J312:J320">K312+N312</f>
        <v>61000</v>
      </c>
      <c r="K312" s="83"/>
      <c r="L312" s="83"/>
      <c r="M312" s="83"/>
      <c r="N312" s="83">
        <f>184000-123000</f>
        <v>61000</v>
      </c>
      <c r="O312" s="83">
        <f>184000-123000</f>
        <v>61000</v>
      </c>
      <c r="P312" s="83">
        <f>E312+J312</f>
        <v>16912191</v>
      </c>
      <c r="Q312" s="285"/>
      <c r="R312" s="160"/>
      <c r="S312" s="160"/>
      <c r="T312" s="160"/>
    </row>
    <row r="313" spans="1:20" s="4" customFormat="1" ht="23.25" customHeight="1">
      <c r="A313" s="81" t="s">
        <v>403</v>
      </c>
      <c r="B313" s="81" t="str">
        <f>'дод. 4'!A211</f>
        <v>7640</v>
      </c>
      <c r="C313" s="81" t="str">
        <f>'дод. 4'!B211</f>
        <v>0470</v>
      </c>
      <c r="D313" s="108" t="str">
        <f>'дод. 4'!C211</f>
        <v>Заходи з енергозбереження</v>
      </c>
      <c r="E313" s="83">
        <f>F313+I313</f>
        <v>75000</v>
      </c>
      <c r="F313" s="83">
        <v>75000</v>
      </c>
      <c r="G313" s="83"/>
      <c r="H313" s="83"/>
      <c r="I313" s="83"/>
      <c r="J313" s="83">
        <f>K313+N313</f>
        <v>0</v>
      </c>
      <c r="K313" s="83"/>
      <c r="L313" s="83"/>
      <c r="M313" s="83"/>
      <c r="N313" s="83"/>
      <c r="O313" s="83"/>
      <c r="P313" s="83">
        <f aca="true" t="shared" si="111" ref="P313:P320">E313+J313</f>
        <v>75000</v>
      </c>
      <c r="Q313" s="285"/>
      <c r="R313" s="160"/>
      <c r="S313" s="160"/>
      <c r="T313" s="160"/>
    </row>
    <row r="314" spans="1:20" s="4" customFormat="1" ht="27" customHeight="1">
      <c r="A314" s="81" t="s">
        <v>345</v>
      </c>
      <c r="B314" s="81" t="str">
        <f>'дод. 4'!A227</f>
        <v>8340</v>
      </c>
      <c r="C314" s="81" t="str">
        <f>'дод. 4'!B227</f>
        <v>0540</v>
      </c>
      <c r="D314" s="108" t="str">
        <f>'дод. 4'!C227</f>
        <v>Природоохоронні заходи за рахунок цільових фондів</v>
      </c>
      <c r="E314" s="83">
        <f>F314+I314</f>
        <v>0</v>
      </c>
      <c r="F314" s="83"/>
      <c r="G314" s="83"/>
      <c r="H314" s="83"/>
      <c r="I314" s="83"/>
      <c r="J314" s="83">
        <f t="shared" si="110"/>
        <v>20000</v>
      </c>
      <c r="K314" s="83">
        <v>20000</v>
      </c>
      <c r="L314" s="83"/>
      <c r="M314" s="83"/>
      <c r="N314" s="83"/>
      <c r="O314" s="83"/>
      <c r="P314" s="83">
        <f t="shared" si="111"/>
        <v>20000</v>
      </c>
      <c r="Q314" s="285"/>
      <c r="R314" s="160"/>
      <c r="S314" s="160"/>
      <c r="T314" s="160"/>
    </row>
    <row r="315" spans="1:20" s="4" customFormat="1" ht="22.5" customHeight="1">
      <c r="A315" s="81" t="s">
        <v>346</v>
      </c>
      <c r="B315" s="81" t="str">
        <f>'дод. 4'!A230</f>
        <v>8600</v>
      </c>
      <c r="C315" s="81" t="str">
        <f>'дод. 4'!B230</f>
        <v>0170</v>
      </c>
      <c r="D315" s="108" t="str">
        <f>'дод. 4'!C230</f>
        <v>Обслуговування місцевого боргу</v>
      </c>
      <c r="E315" s="83">
        <f>F315+I315</f>
        <v>177952.41</v>
      </c>
      <c r="F315" s="83">
        <f>180850-2897.59</f>
        <v>177952.41</v>
      </c>
      <c r="G315" s="83"/>
      <c r="H315" s="83"/>
      <c r="I315" s="83"/>
      <c r="J315" s="83">
        <f t="shared" si="110"/>
        <v>0</v>
      </c>
      <c r="K315" s="83"/>
      <c r="L315" s="83"/>
      <c r="M315" s="83"/>
      <c r="N315" s="83"/>
      <c r="O315" s="83"/>
      <c r="P315" s="83">
        <f t="shared" si="111"/>
        <v>177952.41</v>
      </c>
      <c r="R315" s="160"/>
      <c r="S315" s="160"/>
      <c r="T315" s="160"/>
    </row>
    <row r="316" spans="1:20" s="4" customFormat="1" ht="21" customHeight="1">
      <c r="A316" s="81" t="s">
        <v>374</v>
      </c>
      <c r="B316" s="81" t="str">
        <f>'дод. 4'!A231</f>
        <v>8700</v>
      </c>
      <c r="C316" s="81" t="str">
        <f>'дод. 4'!B231</f>
        <v>0133</v>
      </c>
      <c r="D316" s="108" t="str">
        <f>'дод. 4'!C231</f>
        <v>Резервний фонд</v>
      </c>
      <c r="E316" s="83">
        <f>15430600-500000-700000-211500+200000+41298+669995.82-6700-262200-22626-43510-50000-50000-30100+313616-175000-500000+42959.44+25000+13710+15100+55000-6102960.7-800000-2000000-150000+9000000-7500-100000-201950-426739+17520+3000-10000000-800+164894-7330-85670-86000</f>
        <v>3472107.5599999987</v>
      </c>
      <c r="F316" s="83"/>
      <c r="G316" s="83"/>
      <c r="H316" s="83"/>
      <c r="I316" s="83"/>
      <c r="J316" s="83">
        <f t="shared" si="110"/>
        <v>0</v>
      </c>
      <c r="K316" s="83"/>
      <c r="L316" s="83"/>
      <c r="M316" s="83"/>
      <c r="N316" s="83"/>
      <c r="O316" s="83"/>
      <c r="P316" s="83">
        <f t="shared" si="111"/>
        <v>3472107.5599999987</v>
      </c>
      <c r="Q316" s="228"/>
      <c r="R316" s="160"/>
      <c r="S316" s="160"/>
      <c r="T316" s="160"/>
    </row>
    <row r="317" spans="1:20" s="4" customFormat="1" ht="21.75" customHeight="1">
      <c r="A317" s="81" t="s">
        <v>375</v>
      </c>
      <c r="B317" s="81" t="str">
        <f>'дод. 4'!A235</f>
        <v>9110</v>
      </c>
      <c r="C317" s="81" t="str">
        <f>'дод. 4'!B235</f>
        <v>0180</v>
      </c>
      <c r="D317" s="108" t="str">
        <f>'дод. 4'!C235</f>
        <v>Реверсна дотація</v>
      </c>
      <c r="E317" s="83">
        <f>F317+I317</f>
        <v>87299600</v>
      </c>
      <c r="F317" s="83">
        <v>87299600</v>
      </c>
      <c r="G317" s="83"/>
      <c r="H317" s="83"/>
      <c r="I317" s="83"/>
      <c r="J317" s="83">
        <f t="shared" si="110"/>
        <v>0</v>
      </c>
      <c r="K317" s="83"/>
      <c r="L317" s="83"/>
      <c r="M317" s="83"/>
      <c r="N317" s="83"/>
      <c r="O317" s="83"/>
      <c r="P317" s="83">
        <f t="shared" si="111"/>
        <v>87299600</v>
      </c>
      <c r="Q317" s="228"/>
      <c r="R317" s="160"/>
      <c r="S317" s="160"/>
      <c r="T317" s="160"/>
    </row>
    <row r="318" spans="1:20" s="4" customFormat="1" ht="89.25" customHeight="1">
      <c r="A318" s="81" t="s">
        <v>649</v>
      </c>
      <c r="B318" s="81" t="s">
        <v>651</v>
      </c>
      <c r="C318" s="81" t="s">
        <v>78</v>
      </c>
      <c r="D318" s="265" t="s">
        <v>650</v>
      </c>
      <c r="E318" s="83">
        <f>F318+I318</f>
        <v>0</v>
      </c>
      <c r="F318" s="83"/>
      <c r="G318" s="83"/>
      <c r="H318" s="83"/>
      <c r="I318" s="83"/>
      <c r="J318" s="83">
        <f>K318+N318</f>
        <v>4000000</v>
      </c>
      <c r="K318" s="83">
        <v>4000000</v>
      </c>
      <c r="L318" s="83"/>
      <c r="M318" s="83"/>
      <c r="N318" s="83"/>
      <c r="O318" s="83"/>
      <c r="P318" s="83">
        <f t="shared" si="111"/>
        <v>4000000</v>
      </c>
      <c r="Q318" s="228"/>
      <c r="R318" s="247"/>
      <c r="S318" s="247"/>
      <c r="T318" s="247"/>
    </row>
    <row r="319" spans="1:20" s="4" customFormat="1" ht="24" customHeight="1">
      <c r="A319" s="81"/>
      <c r="B319" s="81"/>
      <c r="C319" s="81"/>
      <c r="D319" s="85" t="s">
        <v>416</v>
      </c>
      <c r="E319" s="83"/>
      <c r="F319" s="83"/>
      <c r="G319" s="83"/>
      <c r="H319" s="83"/>
      <c r="I319" s="83"/>
      <c r="J319" s="83">
        <v>4000000</v>
      </c>
      <c r="K319" s="83">
        <v>4000000</v>
      </c>
      <c r="L319" s="83"/>
      <c r="M319" s="83"/>
      <c r="N319" s="83"/>
      <c r="O319" s="83"/>
      <c r="P319" s="83">
        <f>J319+E319</f>
        <v>4000000</v>
      </c>
      <c r="Q319" s="228"/>
      <c r="R319" s="247"/>
      <c r="S319" s="247"/>
      <c r="T319" s="247"/>
    </row>
    <row r="320" spans="1:20" s="4" customFormat="1" ht="21.75" customHeight="1">
      <c r="A320" s="81" t="s">
        <v>500</v>
      </c>
      <c r="B320" s="81" t="str">
        <f>'дод. 4'!A241</f>
        <v>9770</v>
      </c>
      <c r="C320" s="81" t="str">
        <f>'дод. 4'!B241</f>
        <v>0180</v>
      </c>
      <c r="D320" s="108" t="str">
        <f>'дод. 4'!C241</f>
        <v>Інші субвенції з місцевого бюджету </v>
      </c>
      <c r="E320" s="83">
        <f>F320+I320</f>
        <v>16900</v>
      </c>
      <c r="F320" s="83">
        <f>4900+12000</f>
        <v>16900</v>
      </c>
      <c r="G320" s="83"/>
      <c r="H320" s="83"/>
      <c r="I320" s="83"/>
      <c r="J320" s="83">
        <f t="shared" si="110"/>
        <v>552800</v>
      </c>
      <c r="K320" s="83"/>
      <c r="L320" s="83"/>
      <c r="M320" s="83"/>
      <c r="N320" s="83">
        <f>500000+14800+38000</f>
        <v>552800</v>
      </c>
      <c r="O320" s="83">
        <f>500000+14800+38000</f>
        <v>552800</v>
      </c>
      <c r="P320" s="83">
        <f t="shared" si="111"/>
        <v>569700</v>
      </c>
      <c r="Q320" s="228"/>
      <c r="R320" s="160"/>
      <c r="S320" s="160"/>
      <c r="T320" s="160"/>
    </row>
    <row r="321" spans="1:20" s="113" customFormat="1" ht="20.25" customHeight="1">
      <c r="A321" s="37"/>
      <c r="B321" s="36"/>
      <c r="C321" s="36"/>
      <c r="D321" s="35" t="s">
        <v>39</v>
      </c>
      <c r="E321" s="46">
        <f aca="true" t="shared" si="112" ref="E321:P321">E13+E62+E95+E131+E207+E212+E221+E254+E258+E286+E293+E296+E306+E309</f>
        <v>2904150133.2599998</v>
      </c>
      <c r="F321" s="46">
        <f t="shared" si="112"/>
        <v>2856869177.2</v>
      </c>
      <c r="G321" s="46">
        <f t="shared" si="112"/>
        <v>670634786.1</v>
      </c>
      <c r="H321" s="46">
        <f t="shared" si="112"/>
        <v>96170501.65</v>
      </c>
      <c r="I321" s="46">
        <f t="shared" si="112"/>
        <v>43808848.5</v>
      </c>
      <c r="J321" s="46">
        <f t="shared" si="112"/>
        <v>614380013.58</v>
      </c>
      <c r="K321" s="46">
        <f t="shared" si="112"/>
        <v>89333187.86</v>
      </c>
      <c r="L321" s="46">
        <f t="shared" si="112"/>
        <v>6315206</v>
      </c>
      <c r="M321" s="46">
        <f t="shared" si="112"/>
        <v>2472134</v>
      </c>
      <c r="N321" s="46">
        <f t="shared" si="112"/>
        <v>525046825.71999997</v>
      </c>
      <c r="O321" s="46">
        <f t="shared" si="112"/>
        <v>472871005.17</v>
      </c>
      <c r="P321" s="46">
        <f t="shared" si="112"/>
        <v>3518530146.8399997</v>
      </c>
      <c r="Q321" s="228"/>
      <c r="R321" s="158">
        <f>P321-E321-J321</f>
        <v>0</v>
      </c>
      <c r="S321" s="158"/>
      <c r="T321" s="158"/>
    </row>
    <row r="322" spans="1:20" s="113" customFormat="1" ht="27.75" customHeight="1">
      <c r="A322" s="59"/>
      <c r="B322" s="60"/>
      <c r="C322" s="60"/>
      <c r="D322" s="35" t="s">
        <v>416</v>
      </c>
      <c r="E322" s="47">
        <f>E64+E97+E133+E223+E260</f>
        <v>1637408712.9</v>
      </c>
      <c r="F322" s="47">
        <f>F64+F97+F133+F223+F260</f>
        <v>1637408712.9</v>
      </c>
      <c r="G322" s="47">
        <f>G64+G97+G133+G223+G260</f>
        <v>213388985</v>
      </c>
      <c r="H322" s="47">
        <f>H64+H97+H133+H223+H260</f>
        <v>0</v>
      </c>
      <c r="I322" s="47">
        <f>I64+I97+I133+I223+I260</f>
        <v>0</v>
      </c>
      <c r="J322" s="47">
        <f>J64+J97+J133+J223+J260+J318</f>
        <v>77222964.55</v>
      </c>
      <c r="K322" s="47">
        <f>K64+K97+K133+K223+K260+K311</f>
        <v>15900000</v>
      </c>
      <c r="L322" s="47">
        <f>L64+L97+L133+L223+L260</f>
        <v>0</v>
      </c>
      <c r="M322" s="47">
        <f>M64+M97+M133+M223+M260</f>
        <v>0</v>
      </c>
      <c r="N322" s="47">
        <f>N64+N97+N133+N223+N260</f>
        <v>61322964.55</v>
      </c>
      <c r="O322" s="47">
        <f>O64+O97+O133+O223+O260</f>
        <v>15037601.499999998</v>
      </c>
      <c r="P322" s="47">
        <f>P64+P97+P133+P223+P260+P318</f>
        <v>1714631677.4499998</v>
      </c>
      <c r="Q322" s="228"/>
      <c r="R322" s="97"/>
      <c r="S322" s="97"/>
      <c r="T322" s="97"/>
    </row>
    <row r="323" spans="1:17" s="170" customFormat="1" ht="19.5" customHeight="1">
      <c r="A323" s="98"/>
      <c r="B323" s="95"/>
      <c r="C323" s="95"/>
      <c r="D323" s="96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228"/>
    </row>
    <row r="324" spans="1:17" s="170" customFormat="1" ht="27.75" customHeight="1">
      <c r="A324" s="98"/>
      <c r="B324" s="95"/>
      <c r="C324" s="95"/>
      <c r="D324" s="96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228"/>
    </row>
    <row r="325" spans="1:20" s="33" customFormat="1" ht="27.75" customHeight="1">
      <c r="A325" s="210"/>
      <c r="B325" s="216"/>
      <c r="C325" s="216"/>
      <c r="D325" s="77"/>
      <c r="E325" s="244">
        <f>E321-'дод. 4'!D244</f>
        <v>0</v>
      </c>
      <c r="F325" s="244">
        <f>F321-'дод. 4'!E244</f>
        <v>0</v>
      </c>
      <c r="G325" s="244">
        <f>G321-'дод. 4'!F244</f>
        <v>0</v>
      </c>
      <c r="H325" s="244">
        <f>H321-'дод. 4'!G244</f>
        <v>0</v>
      </c>
      <c r="I325" s="244">
        <f>I321-'дод. 4'!H244</f>
        <v>0</v>
      </c>
      <c r="J325" s="244"/>
      <c r="K325" s="244"/>
      <c r="L325" s="244"/>
      <c r="M325" s="244"/>
      <c r="N325" s="244"/>
      <c r="O325" s="244"/>
      <c r="P325" s="244"/>
      <c r="Q325" s="228"/>
      <c r="R325" s="170"/>
      <c r="S325" s="170"/>
      <c r="T325" s="170"/>
    </row>
    <row r="326" spans="1:25" s="33" customFormat="1" ht="27.75" customHeight="1">
      <c r="A326" s="98"/>
      <c r="B326" s="95"/>
      <c r="C326" s="95"/>
      <c r="D326" s="96"/>
      <c r="E326" s="244">
        <f>E322-'дод. 4'!D245</f>
        <v>0</v>
      </c>
      <c r="F326" s="244">
        <f>F322-'дод. 4'!E245</f>
        <v>0</v>
      </c>
      <c r="G326" s="244">
        <f>G322-'дод. 4'!F245</f>
        <v>0</v>
      </c>
      <c r="H326" s="244">
        <f>H322-'дод. 4'!G245</f>
        <v>0</v>
      </c>
      <c r="I326" s="244">
        <f>I322-'дод. 4'!H245</f>
        <v>0</v>
      </c>
      <c r="J326" s="244">
        <f>J322-'дод. 4'!I245</f>
        <v>0</v>
      </c>
      <c r="K326" s="244">
        <f>K322-'дод. 4'!J245</f>
        <v>0</v>
      </c>
      <c r="L326" s="244">
        <f>L322-'дод. 4'!K245</f>
        <v>0</v>
      </c>
      <c r="M326" s="244">
        <f>M322-'дод. 4'!L245</f>
        <v>0</v>
      </c>
      <c r="N326" s="244">
        <f>N322-'дод. 4'!M245</f>
        <v>0</v>
      </c>
      <c r="O326" s="244">
        <f>O322-'дод. 4'!N245</f>
        <v>0</v>
      </c>
      <c r="P326" s="244">
        <f>P322-'дод. 4'!O245</f>
        <v>0</v>
      </c>
      <c r="Q326" s="228"/>
      <c r="R326" s="97"/>
      <c r="S326" s="97">
        <f>S321-'дод. 4'!AH244</f>
        <v>0</v>
      </c>
      <c r="T326" s="97">
        <f>T321-'дод. 4'!AI244</f>
        <v>0</v>
      </c>
      <c r="U326" s="97">
        <f>U321-'дод. 4'!AJ244</f>
        <v>0</v>
      </c>
      <c r="V326" s="97">
        <f>V321-'дод. 4'!AK244</f>
        <v>0</v>
      </c>
      <c r="W326" s="97">
        <f>W321-'дод. 4'!AL244</f>
        <v>0</v>
      </c>
      <c r="X326" s="97">
        <f>X321-'дод. 4'!AM244</f>
        <v>0</v>
      </c>
      <c r="Y326" s="97">
        <f>Y321-'дод. 4'!AN244</f>
        <v>0</v>
      </c>
    </row>
    <row r="327" spans="1:25" s="33" customFormat="1" ht="27.75" customHeight="1">
      <c r="A327" s="282" t="s">
        <v>666</v>
      </c>
      <c r="B327" s="283"/>
      <c r="C327" s="283"/>
      <c r="D327" s="234"/>
      <c r="E327" s="204"/>
      <c r="F327" s="204"/>
      <c r="G327" s="204"/>
      <c r="H327" s="204"/>
      <c r="I327" s="204"/>
      <c r="J327" s="204"/>
      <c r="K327" s="204"/>
      <c r="L327" s="204"/>
      <c r="M327" s="233" t="s">
        <v>667</v>
      </c>
      <c r="N327" s="207"/>
      <c r="O327" s="253"/>
      <c r="P327" s="255"/>
      <c r="Q327" s="255"/>
      <c r="R327" s="255"/>
      <c r="S327" s="255"/>
      <c r="T327" s="97"/>
      <c r="U327" s="97"/>
      <c r="V327" s="254"/>
      <c r="W327" s="97">
        <f>W322-'дод. 4'!AL245</f>
        <v>0</v>
      </c>
      <c r="X327" s="97">
        <f>X322-'дод. 4'!AM245</f>
        <v>0</v>
      </c>
      <c r="Y327" s="97">
        <f>Y322-'дод. 4'!AN245</f>
        <v>0</v>
      </c>
    </row>
    <row r="328" spans="1:22" s="4" customFormat="1" ht="20.25" customHeight="1">
      <c r="A328" s="205"/>
      <c r="B328" s="231"/>
      <c r="C328" s="231"/>
      <c r="D328" s="231"/>
      <c r="E328" s="231"/>
      <c r="F328" s="231"/>
      <c r="G328" s="231"/>
      <c r="H328" s="231"/>
      <c r="I328" s="204"/>
      <c r="J328" s="204"/>
      <c r="K328" s="206"/>
      <c r="L328" s="204"/>
      <c r="M328" s="207"/>
      <c r="N328" s="207"/>
      <c r="O328" s="277"/>
      <c r="P328" s="277"/>
      <c r="Q328" s="277"/>
      <c r="R328" s="256"/>
      <c r="S328" s="256"/>
      <c r="T328" s="257"/>
      <c r="U328" s="257"/>
      <c r="V328" s="254"/>
    </row>
    <row r="329" spans="1:22" ht="22.5" customHeight="1">
      <c r="A329" s="275" t="s">
        <v>668</v>
      </c>
      <c r="B329" s="275"/>
      <c r="C329" s="275"/>
      <c r="D329" s="208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258"/>
      <c r="P329" s="258"/>
      <c r="Q329" s="259"/>
      <c r="R329" s="259"/>
      <c r="S329" s="259"/>
      <c r="T329" s="257"/>
      <c r="U329" s="257"/>
      <c r="V329" s="254"/>
    </row>
    <row r="330" spans="1:20" s="132" customFormat="1" ht="22.5" customHeight="1">
      <c r="A330" s="261"/>
      <c r="B330" s="262"/>
      <c r="C330" s="262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69"/>
      <c r="P330" s="78"/>
      <c r="Q330" s="201"/>
      <c r="R330" s="147"/>
      <c r="S330" s="147"/>
      <c r="T330" s="147"/>
    </row>
    <row r="331" spans="1:20" s="132" customFormat="1" ht="22.5" customHeight="1">
      <c r="A331" s="17"/>
      <c r="B331" s="6"/>
      <c r="C331" s="43"/>
      <c r="D331" s="57"/>
      <c r="E331" s="57"/>
      <c r="F331" s="16"/>
      <c r="G331" s="16"/>
      <c r="H331" s="16"/>
      <c r="I331" s="16"/>
      <c r="J331" s="20"/>
      <c r="K331" s="20"/>
      <c r="L331" s="16"/>
      <c r="M331" s="16"/>
      <c r="N331" s="16"/>
      <c r="O331" s="69"/>
      <c r="P331" s="78"/>
      <c r="Q331" s="201"/>
      <c r="R331" s="147"/>
      <c r="S331" s="134"/>
      <c r="T331" s="148"/>
    </row>
    <row r="332" spans="1:20" s="132" customFormat="1" ht="22.5" customHeight="1">
      <c r="A332" s="17"/>
      <c r="B332" s="6"/>
      <c r="C332" s="43"/>
      <c r="D332" s="16"/>
      <c r="E332" s="56">
        <f>E321-'дод. 4'!D244</f>
        <v>0</v>
      </c>
      <c r="F332" s="56">
        <f>F321-'дод. 4'!E244</f>
        <v>0</v>
      </c>
      <c r="G332" s="56">
        <f>G321-'дод. 4'!F244</f>
        <v>0</v>
      </c>
      <c r="H332" s="56">
        <f>H321-'дод. 4'!G244</f>
        <v>0</v>
      </c>
      <c r="I332" s="56">
        <f>I321-'дод. 4'!H244</f>
        <v>0</v>
      </c>
      <c r="J332" s="56">
        <f>J321-'дод. 4'!I244</f>
        <v>0</v>
      </c>
      <c r="K332" s="56">
        <f>K321-'дод. 4'!J244</f>
        <v>0</v>
      </c>
      <c r="L332" s="56">
        <f>L321-'дод. 4'!K244</f>
        <v>0</v>
      </c>
      <c r="M332" s="56">
        <f>M321-'дод. 4'!L244</f>
        <v>0</v>
      </c>
      <c r="N332" s="56">
        <f>N321-'дод. 4'!M244</f>
        <v>0</v>
      </c>
      <c r="O332" s="56">
        <f>O321-'дод. 4'!N244</f>
        <v>0</v>
      </c>
      <c r="P332" s="56">
        <f>P321-'дод. 4'!O244</f>
        <v>0</v>
      </c>
      <c r="Q332" s="201"/>
      <c r="R332" s="147"/>
      <c r="S332" s="134"/>
      <c r="T332" s="148"/>
    </row>
    <row r="333" spans="1:20" s="132" customFormat="1" ht="22.5" customHeight="1">
      <c r="A333" s="67"/>
      <c r="B333" s="68"/>
      <c r="C333" s="68"/>
      <c r="D333" s="217"/>
      <c r="E333" s="56">
        <f>E322-'дод. 4'!D245</f>
        <v>0</v>
      </c>
      <c r="F333" s="56">
        <f>F322-'дод. 4'!E245</f>
        <v>0</v>
      </c>
      <c r="G333" s="56">
        <f>G322-'дод. 4'!F245</f>
        <v>0</v>
      </c>
      <c r="H333" s="56">
        <f>H322-'дод. 4'!G245</f>
        <v>0</v>
      </c>
      <c r="I333" s="56">
        <f>I322-'дод. 4'!H245</f>
        <v>0</v>
      </c>
      <c r="J333" s="56">
        <f>J322-'дод. 4'!I245</f>
        <v>0</v>
      </c>
      <c r="K333" s="56">
        <f>K322-'дод. 4'!J245</f>
        <v>0</v>
      </c>
      <c r="L333" s="56">
        <f>L322-'дод. 4'!K245</f>
        <v>0</v>
      </c>
      <c r="M333" s="56">
        <f>M322-'дод. 4'!L245</f>
        <v>0</v>
      </c>
      <c r="N333" s="56">
        <f>N322-'дод. 4'!M245</f>
        <v>0</v>
      </c>
      <c r="O333" s="56">
        <f>O322-'дод. 4'!N245</f>
        <v>0</v>
      </c>
      <c r="P333" s="56">
        <f>P322-'дод. 4'!O245</f>
        <v>0</v>
      </c>
      <c r="Q333" s="201"/>
      <c r="R333" s="147"/>
      <c r="S333" s="134"/>
      <c r="T333" s="148"/>
    </row>
    <row r="334" spans="1:20" s="132" customFormat="1" ht="22.5" customHeight="1">
      <c r="A334" s="67"/>
      <c r="B334" s="68"/>
      <c r="C334" s="68"/>
      <c r="D334" s="217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78"/>
      <c r="Q334" s="201"/>
      <c r="R334" s="147"/>
      <c r="S334" s="134"/>
      <c r="T334" s="148"/>
    </row>
    <row r="335" spans="1:20" s="132" customFormat="1" ht="22.5" customHeight="1">
      <c r="A335" s="67"/>
      <c r="B335" s="68"/>
      <c r="C335" s="68"/>
      <c r="D335" s="217"/>
      <c r="E335" s="69"/>
      <c r="F335" s="69"/>
      <c r="G335" s="69"/>
      <c r="H335" s="69"/>
      <c r="I335" s="69"/>
      <c r="J335" s="69"/>
      <c r="K335" s="69"/>
      <c r="L335" s="69"/>
      <c r="M335" s="69"/>
      <c r="N335" s="68"/>
      <c r="O335" s="69"/>
      <c r="P335" s="78"/>
      <c r="Q335" s="201"/>
      <c r="R335" s="147"/>
      <c r="S335" s="134"/>
      <c r="T335" s="148"/>
    </row>
    <row r="336" spans="1:20" s="132" customFormat="1" ht="35.25" customHeight="1">
      <c r="A336" s="67"/>
      <c r="B336" s="68"/>
      <c r="C336" s="68"/>
      <c r="D336" s="217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78"/>
      <c r="Q336" s="201"/>
      <c r="R336" s="147"/>
      <c r="T336" s="148"/>
    </row>
    <row r="337" spans="1:20" s="132" customFormat="1" ht="22.5" customHeight="1">
      <c r="A337" s="67"/>
      <c r="B337" s="68"/>
      <c r="C337" s="68"/>
      <c r="D337" s="217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78"/>
      <c r="Q337" s="201"/>
      <c r="R337" s="147"/>
      <c r="S337" s="134"/>
      <c r="T337" s="148"/>
    </row>
    <row r="338" spans="1:20" s="132" customFormat="1" ht="22.5" customHeight="1">
      <c r="A338" s="67"/>
      <c r="B338" s="68"/>
      <c r="C338" s="68"/>
      <c r="D338" s="217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78"/>
      <c r="Q338" s="201"/>
      <c r="R338" s="147"/>
      <c r="S338" s="134"/>
      <c r="T338" s="148"/>
    </row>
    <row r="339" spans="1:20" s="132" customFormat="1" ht="22.5" customHeight="1">
      <c r="A339" s="67"/>
      <c r="B339" s="68"/>
      <c r="C339" s="68"/>
      <c r="D339" s="217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78"/>
      <c r="Q339" s="201"/>
      <c r="R339" s="147"/>
      <c r="S339" s="134"/>
      <c r="T339" s="148"/>
    </row>
    <row r="340" spans="1:20" s="132" customFormat="1" ht="22.5" customHeight="1">
      <c r="A340" s="67"/>
      <c r="B340" s="68"/>
      <c r="C340" s="68"/>
      <c r="D340" s="217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78"/>
      <c r="Q340" s="201"/>
      <c r="R340" s="147"/>
      <c r="S340" s="147"/>
      <c r="T340" s="147"/>
    </row>
    <row r="341" spans="1:20" s="29" customFormat="1" ht="24.75" customHeight="1">
      <c r="A341" s="102"/>
      <c r="B341" s="292"/>
      <c r="C341" s="292"/>
      <c r="D341" s="292"/>
      <c r="E341" s="69"/>
      <c r="F341" s="68"/>
      <c r="G341" s="68"/>
      <c r="H341" s="68"/>
      <c r="I341" s="68"/>
      <c r="J341" s="68"/>
      <c r="K341" s="68"/>
      <c r="L341" s="68"/>
      <c r="M341" s="68"/>
      <c r="N341" s="68"/>
      <c r="O341" s="69"/>
      <c r="P341" s="79"/>
      <c r="Q341" s="201"/>
      <c r="R341" s="147"/>
      <c r="S341" s="147"/>
      <c r="T341" s="147"/>
    </row>
    <row r="342" spans="1:20" s="29" customFormat="1" ht="24.75" customHeight="1">
      <c r="A342" s="102"/>
      <c r="B342" s="77"/>
      <c r="C342" s="77"/>
      <c r="D342" s="77"/>
      <c r="E342" s="69"/>
      <c r="F342" s="68"/>
      <c r="G342" s="68"/>
      <c r="H342" s="68"/>
      <c r="I342" s="68"/>
      <c r="J342" s="68"/>
      <c r="K342" s="68"/>
      <c r="L342" s="68"/>
      <c r="M342" s="68"/>
      <c r="N342" s="68"/>
      <c r="O342" s="69"/>
      <c r="P342" s="79"/>
      <c r="Q342" s="201"/>
      <c r="R342" s="147"/>
      <c r="S342" s="147"/>
      <c r="T342" s="147"/>
    </row>
    <row r="343" spans="1:20" s="29" customFormat="1" ht="24.75" customHeight="1">
      <c r="A343" s="102"/>
      <c r="B343" s="77"/>
      <c r="C343" s="77"/>
      <c r="D343" s="77"/>
      <c r="E343" s="69"/>
      <c r="F343" s="68"/>
      <c r="G343" s="68"/>
      <c r="H343" s="68"/>
      <c r="I343" s="68"/>
      <c r="J343" s="68"/>
      <c r="K343" s="68"/>
      <c r="L343" s="68"/>
      <c r="M343" s="68"/>
      <c r="N343" s="68"/>
      <c r="O343" s="69"/>
      <c r="P343" s="79"/>
      <c r="Q343" s="201"/>
      <c r="R343" s="147"/>
      <c r="S343" s="147"/>
      <c r="T343" s="147"/>
    </row>
    <row r="344" spans="1:20" s="29" customFormat="1" ht="24.75" customHeight="1">
      <c r="A344" s="102"/>
      <c r="B344" s="77"/>
      <c r="C344" s="77"/>
      <c r="D344" s="77"/>
      <c r="E344" s="69"/>
      <c r="F344" s="68"/>
      <c r="G344" s="68"/>
      <c r="H344" s="68"/>
      <c r="I344" s="68"/>
      <c r="J344" s="68"/>
      <c r="K344" s="68"/>
      <c r="L344" s="68"/>
      <c r="M344" s="68"/>
      <c r="N344" s="68"/>
      <c r="O344" s="69"/>
      <c r="P344" s="79"/>
      <c r="Q344" s="201"/>
      <c r="R344" s="147"/>
      <c r="S344" s="147"/>
      <c r="T344" s="147"/>
    </row>
    <row r="345" spans="1:20" s="29" customFormat="1" ht="15">
      <c r="A345" s="72"/>
      <c r="B345" s="74"/>
      <c r="C345" s="68"/>
      <c r="D345" s="218"/>
      <c r="E345" s="69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79"/>
      <c r="Q345" s="201"/>
      <c r="R345" s="147"/>
      <c r="S345" s="147"/>
      <c r="T345" s="147"/>
    </row>
    <row r="346" spans="1:20" s="29" customFormat="1" ht="15">
      <c r="A346" s="103"/>
      <c r="B346" s="68"/>
      <c r="C346" s="68"/>
      <c r="D346" s="217"/>
      <c r="E346" s="69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01"/>
      <c r="R346" s="147"/>
      <c r="S346" s="147"/>
      <c r="T346" s="147"/>
    </row>
    <row r="347" spans="1:20" s="29" customFormat="1" ht="15">
      <c r="A347" s="67"/>
      <c r="B347" s="73"/>
      <c r="C347" s="74"/>
      <c r="D347" s="218"/>
      <c r="E347" s="69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01"/>
      <c r="R347" s="147"/>
      <c r="S347" s="147"/>
      <c r="T347" s="147"/>
    </row>
    <row r="348" spans="1:20" s="29" customFormat="1" ht="15">
      <c r="A348" s="73"/>
      <c r="B348" s="74"/>
      <c r="C348" s="74"/>
      <c r="D348" s="219"/>
      <c r="E348" s="68"/>
      <c r="F348" s="68"/>
      <c r="G348" s="69"/>
      <c r="H348" s="69"/>
      <c r="I348" s="69"/>
      <c r="J348" s="68"/>
      <c r="K348" s="68"/>
      <c r="L348" s="68"/>
      <c r="M348" s="68"/>
      <c r="N348" s="68"/>
      <c r="O348" s="68"/>
      <c r="P348" s="68"/>
      <c r="Q348" s="201"/>
      <c r="R348" s="147"/>
      <c r="S348" s="147"/>
      <c r="T348" s="147"/>
    </row>
    <row r="349" spans="1:20" s="29" customFormat="1" ht="15">
      <c r="A349" s="102"/>
      <c r="B349" s="104"/>
      <c r="C349" s="104"/>
      <c r="D349" s="21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201"/>
      <c r="R349" s="147"/>
      <c r="S349" s="147"/>
      <c r="T349" s="147"/>
    </row>
    <row r="350" spans="1:20" s="29" customFormat="1" ht="15">
      <c r="A350" s="102"/>
      <c r="B350" s="104"/>
      <c r="C350" s="104"/>
      <c r="D350" s="21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201"/>
      <c r="R350" s="147"/>
      <c r="S350" s="147"/>
      <c r="T350" s="147"/>
    </row>
    <row r="351" spans="1:20" s="29" customFormat="1" ht="15">
      <c r="A351" s="102"/>
      <c r="B351" s="104"/>
      <c r="C351" s="104"/>
      <c r="D351" s="21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01"/>
      <c r="R351" s="147"/>
      <c r="S351" s="147"/>
      <c r="T351" s="147"/>
    </row>
    <row r="352" spans="1:20" s="29" customFormat="1" ht="15">
      <c r="A352" s="102"/>
      <c r="B352" s="104"/>
      <c r="C352" s="104"/>
      <c r="D352" s="21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201"/>
      <c r="R352" s="147"/>
      <c r="S352" s="147"/>
      <c r="T352" s="147"/>
    </row>
    <row r="353" spans="1:20" s="29" customFormat="1" ht="15">
      <c r="A353" s="102"/>
      <c r="B353" s="104"/>
      <c r="C353" s="104"/>
      <c r="D353" s="21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201"/>
      <c r="R353" s="147"/>
      <c r="S353" s="147"/>
      <c r="T353" s="147"/>
    </row>
    <row r="354" spans="1:20" s="29" customFormat="1" ht="15">
      <c r="A354" s="102"/>
      <c r="B354" s="104"/>
      <c r="C354" s="104"/>
      <c r="D354" s="21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201"/>
      <c r="R354" s="147"/>
      <c r="S354" s="147"/>
      <c r="T354" s="147"/>
    </row>
    <row r="355" spans="1:20" s="29" customFormat="1" ht="26.25" customHeight="1">
      <c r="A355" s="102"/>
      <c r="B355" s="104"/>
      <c r="C355" s="104"/>
      <c r="D355" s="21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201"/>
      <c r="R355" s="147"/>
      <c r="S355" s="147"/>
      <c r="T355" s="147"/>
    </row>
    <row r="356" spans="1:20" s="29" customFormat="1" ht="26.25" customHeight="1">
      <c r="A356" s="70"/>
      <c r="B356" s="71"/>
      <c r="C356" s="71"/>
      <c r="D356" s="220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201"/>
      <c r="R356" s="147"/>
      <c r="S356" s="147"/>
      <c r="T356" s="147"/>
    </row>
    <row r="357" spans="1:20" s="29" customFormat="1" ht="26.25" customHeight="1">
      <c r="A357" s="70"/>
      <c r="B357" s="71"/>
      <c r="C357" s="71"/>
      <c r="D357" s="220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201"/>
      <c r="R357" s="147"/>
      <c r="S357" s="147"/>
      <c r="T357" s="147"/>
    </row>
    <row r="358" spans="1:20" s="29" customFormat="1" ht="26.25" customHeight="1">
      <c r="A358" s="70"/>
      <c r="B358" s="71"/>
      <c r="C358" s="71"/>
      <c r="D358" s="220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201"/>
      <c r="R358" s="147"/>
      <c r="S358" s="147"/>
      <c r="T358" s="147"/>
    </row>
    <row r="359" spans="1:20" s="29" customFormat="1" ht="26.25" customHeight="1">
      <c r="A359" s="70"/>
      <c r="B359" s="71"/>
      <c r="C359" s="71"/>
      <c r="D359" s="220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201"/>
      <c r="R359" s="147"/>
      <c r="S359" s="147"/>
      <c r="T359" s="147"/>
    </row>
    <row r="360" spans="1:20" s="29" customFormat="1" ht="15">
      <c r="A360" s="70"/>
      <c r="B360" s="71"/>
      <c r="C360" s="71"/>
      <c r="D360" s="220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201"/>
      <c r="R360" s="147"/>
      <c r="S360" s="147"/>
      <c r="T360" s="147"/>
    </row>
    <row r="361" spans="1:20" s="29" customFormat="1" ht="15">
      <c r="A361" s="70"/>
      <c r="B361" s="71"/>
      <c r="C361" s="71"/>
      <c r="D361" s="220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201"/>
      <c r="R361" s="147"/>
      <c r="S361" s="147"/>
      <c r="T361" s="147"/>
    </row>
    <row r="362" spans="1:20" s="29" customFormat="1" ht="15">
      <c r="A362" s="70"/>
      <c r="B362" s="71"/>
      <c r="C362" s="71"/>
      <c r="D362" s="220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201"/>
      <c r="R362" s="147"/>
      <c r="S362" s="147"/>
      <c r="T362" s="147"/>
    </row>
    <row r="363" spans="1:20" s="29" customFormat="1" ht="15">
      <c r="A363" s="70"/>
      <c r="B363" s="71"/>
      <c r="C363" s="71"/>
      <c r="D363" s="220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201"/>
      <c r="R363" s="147"/>
      <c r="S363" s="147"/>
      <c r="T363" s="147"/>
    </row>
    <row r="364" spans="1:20" s="29" customFormat="1" ht="15">
      <c r="A364" s="70"/>
      <c r="B364" s="71"/>
      <c r="C364" s="71"/>
      <c r="D364" s="220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201"/>
      <c r="R364" s="147"/>
      <c r="S364" s="147"/>
      <c r="T364" s="147"/>
    </row>
    <row r="365" spans="1:20" s="29" customFormat="1" ht="15">
      <c r="A365" s="70"/>
      <c r="B365" s="71"/>
      <c r="C365" s="71"/>
      <c r="D365" s="220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201"/>
      <c r="R365" s="147"/>
      <c r="S365" s="147"/>
      <c r="T365" s="147"/>
    </row>
    <row r="366" spans="1:20" s="29" customFormat="1" ht="15">
      <c r="A366" s="70"/>
      <c r="B366" s="71"/>
      <c r="C366" s="71"/>
      <c r="D366" s="220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201"/>
      <c r="R366" s="147"/>
      <c r="S366" s="147"/>
      <c r="T366" s="147"/>
    </row>
    <row r="367" spans="1:20" s="29" customFormat="1" ht="15">
      <c r="A367" s="70"/>
      <c r="B367" s="71"/>
      <c r="C367" s="71"/>
      <c r="D367" s="220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201"/>
      <c r="R367" s="147"/>
      <c r="S367" s="147"/>
      <c r="T367" s="147"/>
    </row>
    <row r="368" spans="1:20" s="29" customFormat="1" ht="15">
      <c r="A368" s="70"/>
      <c r="B368" s="71"/>
      <c r="C368" s="71"/>
      <c r="D368" s="220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201"/>
      <c r="R368" s="147"/>
      <c r="S368" s="147"/>
      <c r="T368" s="147"/>
    </row>
    <row r="369" spans="1:20" s="29" customFormat="1" ht="15">
      <c r="A369" s="70"/>
      <c r="B369" s="71"/>
      <c r="C369" s="71"/>
      <c r="D369" s="220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201"/>
      <c r="R369" s="147"/>
      <c r="S369" s="147"/>
      <c r="T369" s="147"/>
    </row>
    <row r="370" spans="1:20" s="29" customFormat="1" ht="15">
      <c r="A370" s="70"/>
      <c r="B370" s="71"/>
      <c r="C370" s="71"/>
      <c r="D370" s="220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201"/>
      <c r="R370" s="147"/>
      <c r="S370" s="147"/>
      <c r="T370" s="147"/>
    </row>
    <row r="371" spans="1:20" s="29" customFormat="1" ht="15">
      <c r="A371" s="70"/>
      <c r="B371" s="71"/>
      <c r="C371" s="71"/>
      <c r="D371" s="220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201"/>
      <c r="R371" s="147"/>
      <c r="S371" s="147"/>
      <c r="T371" s="147"/>
    </row>
    <row r="372" spans="1:20" s="29" customFormat="1" ht="15">
      <c r="A372" s="70"/>
      <c r="B372" s="71"/>
      <c r="C372" s="71"/>
      <c r="D372" s="220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201"/>
      <c r="R372" s="147"/>
      <c r="S372" s="147"/>
      <c r="T372" s="147"/>
    </row>
    <row r="373" spans="1:20" s="29" customFormat="1" ht="15">
      <c r="A373" s="70"/>
      <c r="B373" s="71"/>
      <c r="C373" s="71"/>
      <c r="D373" s="220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201"/>
      <c r="R373" s="147"/>
      <c r="S373" s="147"/>
      <c r="T373" s="147"/>
    </row>
    <row r="374" spans="1:20" s="29" customFormat="1" ht="15">
      <c r="A374" s="70"/>
      <c r="B374" s="71"/>
      <c r="C374" s="71"/>
      <c r="D374" s="220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201"/>
      <c r="R374" s="147"/>
      <c r="S374" s="147"/>
      <c r="T374" s="147"/>
    </row>
    <row r="375" spans="1:20" s="29" customFormat="1" ht="15">
      <c r="A375" s="70"/>
      <c r="B375" s="71"/>
      <c r="C375" s="71"/>
      <c r="D375" s="220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201"/>
      <c r="R375" s="147"/>
      <c r="S375" s="147"/>
      <c r="T375" s="147"/>
    </row>
    <row r="376" spans="1:20" s="29" customFormat="1" ht="15">
      <c r="A376" s="70"/>
      <c r="B376" s="71"/>
      <c r="C376" s="71"/>
      <c r="D376" s="220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137"/>
      <c r="Q376" s="201"/>
      <c r="R376" s="147"/>
      <c r="S376" s="147"/>
      <c r="T376" s="147"/>
    </row>
    <row r="377" spans="1:20" s="29" customFormat="1" ht="15">
      <c r="A377" s="70"/>
      <c r="B377" s="71"/>
      <c r="C377" s="71"/>
      <c r="D377" s="220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135"/>
      <c r="Q377" s="201"/>
      <c r="R377" s="147"/>
      <c r="S377" s="147"/>
      <c r="T377" s="147"/>
    </row>
    <row r="378" spans="1:20" s="29" customFormat="1" ht="15">
      <c r="A378" s="70"/>
      <c r="B378" s="71"/>
      <c r="C378" s="71"/>
      <c r="D378" s="220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135"/>
      <c r="Q378" s="201"/>
      <c r="R378" s="147"/>
      <c r="S378" s="147"/>
      <c r="T378" s="147"/>
    </row>
    <row r="379" spans="1:20" s="29" customFormat="1" ht="15">
      <c r="A379" s="70"/>
      <c r="B379" s="71"/>
      <c r="C379" s="71"/>
      <c r="D379" s="220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135"/>
      <c r="Q379" s="201"/>
      <c r="R379" s="147"/>
      <c r="S379" s="147"/>
      <c r="T379" s="147"/>
    </row>
    <row r="380" spans="1:20" s="29" customFormat="1" ht="15">
      <c r="A380" s="70"/>
      <c r="B380" s="71"/>
      <c r="C380" s="71"/>
      <c r="D380" s="220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135"/>
      <c r="Q380" s="201"/>
      <c r="R380" s="147"/>
      <c r="S380" s="147"/>
      <c r="T380" s="147"/>
    </row>
    <row r="381" spans="1:20" s="29" customFormat="1" ht="15">
      <c r="A381" s="70"/>
      <c r="B381" s="71"/>
      <c r="C381" s="71"/>
      <c r="D381" s="220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135"/>
      <c r="Q381" s="201"/>
      <c r="R381" s="147"/>
      <c r="S381" s="147"/>
      <c r="T381" s="147"/>
    </row>
    <row r="382" spans="1:20" s="29" customFormat="1" ht="15">
      <c r="A382" s="70"/>
      <c r="B382" s="71"/>
      <c r="C382" s="71"/>
      <c r="D382" s="220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135"/>
      <c r="Q382" s="201"/>
      <c r="R382" s="147"/>
      <c r="S382" s="147"/>
      <c r="T382" s="147"/>
    </row>
    <row r="383" ht="15">
      <c r="B383" s="71"/>
    </row>
    <row r="384" ht="15">
      <c r="B384" s="71"/>
    </row>
    <row r="385" ht="15">
      <c r="B385" s="71"/>
    </row>
    <row r="386" ht="15">
      <c r="B386" s="71"/>
    </row>
    <row r="387" ht="15">
      <c r="B387" s="71"/>
    </row>
    <row r="388" ht="15">
      <c r="B388" s="71"/>
    </row>
    <row r="389" ht="15">
      <c r="B389" s="71"/>
    </row>
    <row r="390" ht="15">
      <c r="B390" s="71"/>
    </row>
    <row r="391" ht="15">
      <c r="B391" s="71"/>
    </row>
    <row r="392" ht="15">
      <c r="B392" s="71"/>
    </row>
    <row r="393" ht="15">
      <c r="B393" s="71"/>
    </row>
    <row r="394" ht="15">
      <c r="B394" s="71"/>
    </row>
    <row r="395" ht="15">
      <c r="B395" s="71"/>
    </row>
    <row r="396" ht="15">
      <c r="B396" s="71"/>
    </row>
    <row r="397" ht="15">
      <c r="B397" s="71"/>
    </row>
    <row r="398" ht="15">
      <c r="B398" s="71"/>
    </row>
    <row r="399" ht="15">
      <c r="B399" s="71"/>
    </row>
    <row r="400" ht="15">
      <c r="B400" s="71"/>
    </row>
    <row r="401" ht="15">
      <c r="B401" s="71"/>
    </row>
    <row r="402" ht="15">
      <c r="B402" s="71"/>
    </row>
    <row r="403" ht="15">
      <c r="B403" s="71"/>
    </row>
    <row r="404" ht="15">
      <c r="B404" s="71"/>
    </row>
    <row r="405" ht="15">
      <c r="B405" s="71"/>
    </row>
    <row r="406" ht="15">
      <c r="B406" s="71"/>
    </row>
    <row r="407" ht="15">
      <c r="B407" s="71"/>
    </row>
    <row r="408" ht="15">
      <c r="B408" s="71"/>
    </row>
    <row r="409" ht="15">
      <c r="B409" s="71"/>
    </row>
    <row r="410" ht="15">
      <c r="B410" s="71"/>
    </row>
    <row r="411" ht="15">
      <c r="B411" s="71"/>
    </row>
    <row r="412" ht="15">
      <c r="B412" s="71"/>
    </row>
    <row r="413" ht="15">
      <c r="B413" s="71"/>
    </row>
    <row r="414" ht="15">
      <c r="B414" s="71"/>
    </row>
    <row r="415" ht="15">
      <c r="B415" s="71"/>
    </row>
    <row r="416" ht="15">
      <c r="B416" s="71"/>
    </row>
    <row r="417" ht="15">
      <c r="B417" s="71"/>
    </row>
    <row r="418" ht="15">
      <c r="B418" s="71"/>
    </row>
    <row r="419" ht="15">
      <c r="B419" s="71"/>
    </row>
    <row r="420" ht="15">
      <c r="B420" s="71"/>
    </row>
    <row r="421" ht="15">
      <c r="B421" s="71"/>
    </row>
    <row r="422" ht="15">
      <c r="B422" s="71"/>
    </row>
    <row r="423" ht="15">
      <c r="B423" s="71"/>
    </row>
    <row r="424" ht="15">
      <c r="B424" s="71"/>
    </row>
    <row r="425" ht="15">
      <c r="B425" s="71"/>
    </row>
    <row r="426" ht="15">
      <c r="B426" s="71"/>
    </row>
    <row r="427" ht="15">
      <c r="B427" s="71"/>
    </row>
    <row r="428" ht="15">
      <c r="B428" s="71"/>
    </row>
    <row r="429" ht="15">
      <c r="B429" s="71"/>
    </row>
    <row r="430" ht="15">
      <c r="B430" s="71"/>
    </row>
    <row r="431" ht="15">
      <c r="B431" s="71"/>
    </row>
    <row r="432" ht="15">
      <c r="B432" s="71"/>
    </row>
    <row r="433" ht="15">
      <c r="B433" s="71"/>
    </row>
    <row r="434" ht="15">
      <c r="B434" s="71"/>
    </row>
    <row r="435" ht="15">
      <c r="B435" s="71"/>
    </row>
    <row r="436" ht="15">
      <c r="B436" s="71"/>
    </row>
    <row r="437" ht="15">
      <c r="B437" s="71"/>
    </row>
    <row r="438" ht="15">
      <c r="B438" s="71"/>
    </row>
    <row r="439" ht="15">
      <c r="B439" s="71"/>
    </row>
    <row r="440" ht="15">
      <c r="B440" s="71"/>
    </row>
    <row r="441" ht="15">
      <c r="B441" s="71"/>
    </row>
    <row r="442" ht="15">
      <c r="B442" s="71"/>
    </row>
    <row r="443" ht="15">
      <c r="B443" s="71"/>
    </row>
    <row r="444" ht="15">
      <c r="B444" s="71"/>
    </row>
    <row r="445" ht="15">
      <c r="B445" s="71"/>
    </row>
    <row r="446" ht="15">
      <c r="B446" s="71"/>
    </row>
    <row r="447" ht="15">
      <c r="B447" s="71"/>
    </row>
    <row r="448" ht="15">
      <c r="B448" s="71"/>
    </row>
    <row r="449" ht="15">
      <c r="B449" s="71"/>
    </row>
    <row r="450" ht="15">
      <c r="B450" s="71"/>
    </row>
    <row r="451" ht="15">
      <c r="B451" s="71"/>
    </row>
    <row r="452" ht="15">
      <c r="B452" s="71"/>
    </row>
    <row r="453" ht="15">
      <c r="B453" s="71"/>
    </row>
    <row r="454" ht="15">
      <c r="B454" s="71"/>
    </row>
    <row r="455" ht="15">
      <c r="B455" s="71"/>
    </row>
    <row r="456" ht="15">
      <c r="B456" s="71"/>
    </row>
    <row r="457" ht="15">
      <c r="B457" s="71"/>
    </row>
    <row r="458" ht="15">
      <c r="B458" s="71"/>
    </row>
    <row r="459" ht="15">
      <c r="B459" s="71"/>
    </row>
    <row r="460" ht="15">
      <c r="B460" s="71"/>
    </row>
    <row r="461" ht="15">
      <c r="B461" s="71"/>
    </row>
    <row r="462" ht="15">
      <c r="B462" s="71"/>
    </row>
    <row r="463" ht="15">
      <c r="B463" s="71"/>
    </row>
    <row r="464" ht="15">
      <c r="B464" s="71"/>
    </row>
    <row r="465" ht="15">
      <c r="B465" s="71"/>
    </row>
    <row r="466" ht="15">
      <c r="B466" s="71"/>
    </row>
    <row r="467" ht="15">
      <c r="B467" s="71"/>
    </row>
    <row r="468" ht="15">
      <c r="B468" s="71"/>
    </row>
    <row r="469" ht="15">
      <c r="B469" s="71"/>
    </row>
    <row r="470" ht="15">
      <c r="B470" s="71"/>
    </row>
    <row r="471" ht="15">
      <c r="B471" s="71"/>
    </row>
    <row r="472" ht="15">
      <c r="B472" s="71"/>
    </row>
    <row r="473" ht="15">
      <c r="B473" s="71"/>
    </row>
    <row r="474" ht="15">
      <c r="B474" s="71"/>
    </row>
    <row r="475" ht="15">
      <c r="B475" s="71"/>
    </row>
    <row r="476" ht="15">
      <c r="B476" s="71"/>
    </row>
    <row r="477" ht="15">
      <c r="B477" s="71"/>
    </row>
    <row r="478" ht="15">
      <c r="B478" s="71"/>
    </row>
    <row r="479" ht="15">
      <c r="B479" s="71"/>
    </row>
    <row r="480" ht="15">
      <c r="B480" s="71"/>
    </row>
    <row r="481" ht="15">
      <c r="B481" s="71"/>
    </row>
    <row r="482" ht="15">
      <c r="B482" s="71"/>
    </row>
    <row r="483" ht="15">
      <c r="B483" s="71"/>
    </row>
    <row r="484" ht="15">
      <c r="B484" s="71"/>
    </row>
    <row r="485" ht="15">
      <c r="B485" s="71"/>
    </row>
    <row r="486" ht="15">
      <c r="B486" s="71"/>
    </row>
    <row r="487" ht="15">
      <c r="B487" s="71"/>
    </row>
    <row r="488" ht="15">
      <c r="B488" s="71"/>
    </row>
    <row r="489" ht="15">
      <c r="B489" s="71"/>
    </row>
    <row r="490" ht="15">
      <c r="B490" s="71"/>
    </row>
    <row r="491" ht="15">
      <c r="B491" s="71"/>
    </row>
    <row r="492" ht="15">
      <c r="B492" s="71"/>
    </row>
    <row r="493" ht="15">
      <c r="B493" s="71"/>
    </row>
  </sheetData>
  <sheetProtection/>
  <mergeCells count="38">
    <mergeCell ref="Q141:Q171"/>
    <mergeCell ref="Q172:Q194"/>
    <mergeCell ref="Q199:Q229"/>
    <mergeCell ref="Q230:Q255"/>
    <mergeCell ref="Q1:Q37"/>
    <mergeCell ref="Q38:Q70"/>
    <mergeCell ref="Q71:Q105"/>
    <mergeCell ref="Q106:Q140"/>
    <mergeCell ref="B341:D341"/>
    <mergeCell ref="G10:H10"/>
    <mergeCell ref="E10:E12"/>
    <mergeCell ref="H11:H12"/>
    <mergeCell ref="G11:G12"/>
    <mergeCell ref="D9:D12"/>
    <mergeCell ref="C9:C12"/>
    <mergeCell ref="B9:B12"/>
    <mergeCell ref="F10:F12"/>
    <mergeCell ref="E9:I9"/>
    <mergeCell ref="Q256:Q285"/>
    <mergeCell ref="Q286:Q314"/>
    <mergeCell ref="P9:P12"/>
    <mergeCell ref="A9:A12"/>
    <mergeCell ref="N10:N12"/>
    <mergeCell ref="M11:M12"/>
    <mergeCell ref="O11:O12"/>
    <mergeCell ref="J9:O9"/>
    <mergeCell ref="L11:L12"/>
    <mergeCell ref="L10:M10"/>
    <mergeCell ref="A329:C329"/>
    <mergeCell ref="L1:O1"/>
    <mergeCell ref="O328:Q328"/>
    <mergeCell ref="D7:O7"/>
    <mergeCell ref="J10:J12"/>
    <mergeCell ref="I10:I12"/>
    <mergeCell ref="K10:K12"/>
    <mergeCell ref="A327:C327"/>
    <mergeCell ref="L4:P4"/>
    <mergeCell ref="L5:P5"/>
  </mergeCells>
  <printOptions horizontalCentered="1"/>
  <pageMargins left="0.3" right="0.31" top="0.48" bottom="0.3937007874015748" header="0.1968503937007874" footer="0.1968503937007874"/>
  <pageSetup fitToHeight="100" fitToWidth="1" horizontalDpi="600" verticalDpi="600" orientation="landscape" paperSize="9" scale="44" r:id="rId3"/>
  <headerFooter alignWithMargins="0">
    <oddFooter xml:space="preserve">&amp;R&amp;20Сторінка  &amp;P </oddFooter>
  </headerFooter>
  <rowBreaks count="1" manualBreakCount="1">
    <brk id="3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0"/>
  <sheetViews>
    <sheetView showGridLines="0" showZeros="0" tabSelected="1" view="pageBreakPreview" zoomScale="55" zoomScaleNormal="70" zoomScaleSheetLayoutView="55" zoomScalePageLayoutView="0" workbookViewId="0" topLeftCell="A129">
      <selection activeCell="B135" sqref="B135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201" customWidth="1"/>
    <col min="17" max="17" width="21.5" style="132" customWidth="1"/>
    <col min="18" max="18" width="23" style="132" customWidth="1"/>
    <col min="19" max="26" width="17.5" style="132" customWidth="1"/>
    <col min="27" max="27" width="20.83203125" style="132" customWidth="1"/>
    <col min="28" max="28" width="21.5" style="132" customWidth="1"/>
    <col min="29" max="29" width="17.5" style="132" customWidth="1"/>
    <col min="30" max="30" width="19.66015625" style="132" customWidth="1"/>
    <col min="31" max="34" width="17.5" style="132" customWidth="1"/>
    <col min="35" max="35" width="17.5" style="133" customWidth="1"/>
    <col min="36" max="16384" width="9.16015625" style="2" customWidth="1"/>
  </cols>
  <sheetData>
    <row r="1" spans="1:16" ht="26.25" customHeight="1">
      <c r="A1" s="17"/>
      <c r="K1" s="276" t="s">
        <v>660</v>
      </c>
      <c r="L1" s="276"/>
      <c r="M1" s="276"/>
      <c r="N1" s="276"/>
      <c r="O1" s="203"/>
      <c r="P1" s="293">
        <v>16</v>
      </c>
    </row>
    <row r="2" spans="1:16" ht="26.25" customHeight="1">
      <c r="A2" s="17"/>
      <c r="K2" s="203" t="s">
        <v>661</v>
      </c>
      <c r="L2" s="203"/>
      <c r="M2" s="203"/>
      <c r="N2" s="203"/>
      <c r="O2" s="203"/>
      <c r="P2" s="293"/>
    </row>
    <row r="3" spans="1:16" ht="26.25" customHeight="1">
      <c r="A3" s="17"/>
      <c r="K3" s="203" t="s">
        <v>662</v>
      </c>
      <c r="L3" s="203"/>
      <c r="M3" s="203"/>
      <c r="N3" s="203"/>
      <c r="O3" s="271"/>
      <c r="P3" s="293"/>
    </row>
    <row r="4" spans="1:16" ht="24.75" customHeight="1">
      <c r="A4" s="17"/>
      <c r="K4" s="284" t="s">
        <v>663</v>
      </c>
      <c r="L4" s="284"/>
      <c r="M4" s="284"/>
      <c r="N4" s="284"/>
      <c r="O4" s="284"/>
      <c r="P4" s="293"/>
    </row>
    <row r="5" spans="1:16" ht="27" customHeight="1">
      <c r="A5" s="17"/>
      <c r="K5" s="284" t="s">
        <v>664</v>
      </c>
      <c r="L5" s="284"/>
      <c r="M5" s="284"/>
      <c r="N5" s="284"/>
      <c r="O5" s="284"/>
      <c r="P5" s="293"/>
    </row>
    <row r="6" spans="1:16" ht="39.75" customHeight="1">
      <c r="A6" s="17"/>
      <c r="K6" s="271"/>
      <c r="L6" s="271"/>
      <c r="M6" s="271"/>
      <c r="N6" s="271"/>
      <c r="O6" s="271"/>
      <c r="P6" s="293"/>
    </row>
    <row r="7" spans="1:16" ht="45.75" customHeight="1">
      <c r="A7" s="278" t="s">
        <v>361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93"/>
    </row>
    <row r="8" spans="1:35" s="16" customFormat="1" ht="24" customHeight="1">
      <c r="A8" s="17"/>
      <c r="B8" s="23"/>
      <c r="C8" s="44"/>
      <c r="O8" s="16" t="s">
        <v>373</v>
      </c>
      <c r="P8" s="293"/>
      <c r="Q8" s="192"/>
      <c r="R8" s="192"/>
      <c r="S8" s="192"/>
      <c r="T8" s="192"/>
      <c r="U8" s="192"/>
      <c r="V8" s="192"/>
      <c r="W8" s="192"/>
      <c r="X8" s="192"/>
      <c r="Y8" s="192"/>
      <c r="Z8" s="297"/>
      <c r="AA8" s="297"/>
      <c r="AB8" s="297"/>
      <c r="AC8" s="297"/>
      <c r="AD8" s="297"/>
      <c r="AE8" s="297"/>
      <c r="AF8" s="297"/>
      <c r="AG8" s="297"/>
      <c r="AH8" s="297"/>
      <c r="AI8" s="297"/>
    </row>
    <row r="9" spans="1:35" ht="21.75" customHeight="1">
      <c r="A9" s="295" t="s">
        <v>165</v>
      </c>
      <c r="B9" s="295" t="s">
        <v>80</v>
      </c>
      <c r="C9" s="295" t="s">
        <v>178</v>
      </c>
      <c r="D9" s="294" t="s">
        <v>362</v>
      </c>
      <c r="E9" s="294"/>
      <c r="F9" s="294"/>
      <c r="G9" s="294"/>
      <c r="H9" s="294"/>
      <c r="I9" s="294" t="s">
        <v>363</v>
      </c>
      <c r="J9" s="294"/>
      <c r="K9" s="294"/>
      <c r="L9" s="294"/>
      <c r="M9" s="294"/>
      <c r="N9" s="294"/>
      <c r="O9" s="294" t="s">
        <v>364</v>
      </c>
      <c r="P9" s="293"/>
      <c r="Q9" s="192"/>
      <c r="R9" s="192"/>
      <c r="S9" s="192"/>
      <c r="T9" s="192"/>
      <c r="U9" s="192"/>
      <c r="V9" s="192"/>
      <c r="W9" s="192"/>
      <c r="X9" s="192"/>
      <c r="Y9" s="192"/>
      <c r="Z9" s="298"/>
      <c r="AA9" s="298"/>
      <c r="AB9" s="298"/>
      <c r="AC9" s="298"/>
      <c r="AD9" s="298"/>
      <c r="AE9" s="298"/>
      <c r="AF9" s="298"/>
      <c r="AG9" s="298"/>
      <c r="AH9" s="298"/>
      <c r="AI9" s="298"/>
    </row>
    <row r="10" spans="1:35" ht="29.25" customHeight="1">
      <c r="A10" s="295"/>
      <c r="B10" s="295"/>
      <c r="C10" s="295"/>
      <c r="D10" s="294" t="s">
        <v>365</v>
      </c>
      <c r="E10" s="294" t="s">
        <v>366</v>
      </c>
      <c r="F10" s="294"/>
      <c r="G10" s="294"/>
      <c r="H10" s="294" t="s">
        <v>368</v>
      </c>
      <c r="I10" s="294" t="s">
        <v>365</v>
      </c>
      <c r="J10" s="294" t="s">
        <v>366</v>
      </c>
      <c r="K10" s="294" t="s">
        <v>367</v>
      </c>
      <c r="L10" s="294"/>
      <c r="M10" s="294" t="s">
        <v>368</v>
      </c>
      <c r="N10" s="38" t="s">
        <v>367</v>
      </c>
      <c r="O10" s="294"/>
      <c r="P10" s="293"/>
      <c r="Q10" s="192"/>
      <c r="R10" s="192"/>
      <c r="S10" s="192"/>
      <c r="T10" s="192"/>
      <c r="U10" s="192"/>
      <c r="V10" s="192"/>
      <c r="W10" s="192"/>
      <c r="X10" s="192"/>
      <c r="Y10" s="191"/>
      <c r="Z10" s="298"/>
      <c r="AA10" s="298"/>
      <c r="AB10" s="298"/>
      <c r="AC10" s="298"/>
      <c r="AD10" s="298"/>
      <c r="AE10" s="298"/>
      <c r="AF10" s="298"/>
      <c r="AG10" s="171"/>
      <c r="AH10" s="171"/>
      <c r="AI10" s="172"/>
    </row>
    <row r="11" spans="1:35" ht="20.25" customHeight="1">
      <c r="A11" s="295"/>
      <c r="B11" s="295"/>
      <c r="C11" s="295"/>
      <c r="D11" s="294"/>
      <c r="E11" s="294"/>
      <c r="F11" s="294" t="s">
        <v>369</v>
      </c>
      <c r="G11" s="294" t="s">
        <v>370</v>
      </c>
      <c r="H11" s="294"/>
      <c r="I11" s="294"/>
      <c r="J11" s="294"/>
      <c r="K11" s="294" t="s">
        <v>369</v>
      </c>
      <c r="L11" s="294" t="s">
        <v>370</v>
      </c>
      <c r="M11" s="294"/>
      <c r="N11" s="294" t="s">
        <v>371</v>
      </c>
      <c r="O11" s="294"/>
      <c r="P11" s="293"/>
      <c r="Q11" s="193"/>
      <c r="R11" s="194"/>
      <c r="S11" s="194"/>
      <c r="T11" s="192"/>
      <c r="U11" s="192"/>
      <c r="V11" s="192"/>
      <c r="W11" s="194"/>
      <c r="X11" s="194"/>
      <c r="Y11" s="194"/>
      <c r="Z11" s="196"/>
      <c r="AA11" s="197"/>
      <c r="AB11" s="174"/>
      <c r="AC11" s="174"/>
      <c r="AD11" s="298"/>
      <c r="AE11" s="298"/>
      <c r="AF11" s="298"/>
      <c r="AG11" s="174"/>
      <c r="AH11" s="174"/>
      <c r="AI11" s="175"/>
    </row>
    <row r="12" spans="1:35" ht="71.25" customHeight="1">
      <c r="A12" s="295"/>
      <c r="B12" s="295"/>
      <c r="C12" s="295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3"/>
      <c r="Q12" s="191"/>
      <c r="R12" s="191"/>
      <c r="S12" s="195"/>
      <c r="T12" s="192"/>
      <c r="U12" s="192"/>
      <c r="V12" s="192"/>
      <c r="W12" s="192"/>
      <c r="X12" s="192"/>
      <c r="Y12" s="195"/>
      <c r="Z12" s="196"/>
      <c r="AA12" s="198"/>
      <c r="AB12" s="171"/>
      <c r="AC12" s="173"/>
      <c r="AD12" s="298"/>
      <c r="AE12" s="298"/>
      <c r="AF12" s="298"/>
      <c r="AG12" s="171"/>
      <c r="AH12" s="171"/>
      <c r="AI12" s="176"/>
    </row>
    <row r="13" spans="1:35" s="21" customFormat="1" ht="27.75" customHeight="1">
      <c r="A13" s="22" t="s">
        <v>76</v>
      </c>
      <c r="B13" s="34"/>
      <c r="C13" s="39" t="s">
        <v>77</v>
      </c>
      <c r="D13" s="55">
        <f>D14+D15</f>
        <v>179614663</v>
      </c>
      <c r="E13" s="55">
        <f aca="true" t="shared" si="0" ref="E13:N13">E14+E15</f>
        <v>179614663</v>
      </c>
      <c r="F13" s="55">
        <f t="shared" si="0"/>
        <v>135306129</v>
      </c>
      <c r="G13" s="55">
        <f t="shared" si="0"/>
        <v>3676960</v>
      </c>
      <c r="H13" s="55">
        <f t="shared" si="0"/>
        <v>0</v>
      </c>
      <c r="I13" s="55">
        <f t="shared" si="0"/>
        <v>6398014</v>
      </c>
      <c r="J13" s="55">
        <f t="shared" si="0"/>
        <v>2250000</v>
      </c>
      <c r="K13" s="55">
        <f t="shared" si="0"/>
        <v>1725540</v>
      </c>
      <c r="L13" s="55">
        <f t="shared" si="0"/>
        <v>46200</v>
      </c>
      <c r="M13" s="55">
        <f t="shared" si="0"/>
        <v>4148014</v>
      </c>
      <c r="N13" s="55">
        <f t="shared" si="0"/>
        <v>3798014</v>
      </c>
      <c r="O13" s="55">
        <f>O14+O15</f>
        <v>186012677</v>
      </c>
      <c r="P13" s="293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57.75" customHeight="1">
      <c r="A14" s="5" t="s">
        <v>180</v>
      </c>
      <c r="B14" s="5" t="s">
        <v>79</v>
      </c>
      <c r="C14" s="18" t="s">
        <v>181</v>
      </c>
      <c r="D14" s="51">
        <f>'дод. 3'!E15+'дод. 3'!E65+'дод. 3'!E98+'дод. 3'!E134+'дод. 3'!E209+'дод. 3'!E214+'дод. 3'!E224+'дод. 3'!E256+'дод. 3'!E261+'дод. 3'!E288+'дод. 3'!E295+'дод. 3'!E298+'дод. 3'!E308+'дод. 3'!E312</f>
        <v>179487163</v>
      </c>
      <c r="E14" s="51">
        <f>'дод. 3'!F15+'дод. 3'!F65+'дод. 3'!F98+'дод. 3'!F134+'дод. 3'!F209+'дод. 3'!F214+'дод. 3'!F224+'дод. 3'!F256+'дод. 3'!F261+'дод. 3'!F288+'дод. 3'!F295+'дод. 3'!F298+'дод. 3'!F308+'дод. 3'!F312</f>
        <v>179487163</v>
      </c>
      <c r="F14" s="51">
        <f>'дод. 3'!G15+'дод. 3'!G65+'дод. 3'!G98+'дод. 3'!G134+'дод. 3'!G209+'дод. 3'!G214+'дод. 3'!G224+'дод. 3'!G256+'дод. 3'!G261+'дод. 3'!G288+'дод. 3'!G295+'дод. 3'!G298+'дод. 3'!G308+'дод. 3'!G312</f>
        <v>135306129</v>
      </c>
      <c r="G14" s="51">
        <f>'дод. 3'!H15+'дод. 3'!H65+'дод. 3'!H98+'дод. 3'!H134+'дод. 3'!H209+'дод. 3'!H214+'дод. 3'!H224+'дод. 3'!H256+'дод. 3'!H261+'дод. 3'!H288+'дод. 3'!H295+'дод. 3'!H298+'дод. 3'!H308+'дод. 3'!H312</f>
        <v>3676960</v>
      </c>
      <c r="H14" s="51">
        <f>'дод. 3'!I15+'дод. 3'!I65+'дод. 3'!I98+'дод. 3'!I134+'дод. 3'!I209+'дод. 3'!I214+'дод. 3'!I224+'дод. 3'!I256+'дод. 3'!I261+'дод. 3'!I288+'дод. 3'!I295+'дод. 3'!I298+'дод. 3'!I308+'дод. 3'!I312</f>
        <v>0</v>
      </c>
      <c r="I14" s="51">
        <f>'дод. 3'!J15+'дод. 3'!J65+'дод. 3'!J98+'дод. 3'!J134+'дод. 3'!J209+'дод. 3'!J214+'дод. 3'!J224+'дод. 3'!J256+'дод. 3'!J261+'дод. 3'!J288+'дод. 3'!J295+'дод. 3'!J298+'дод. 3'!J308+'дод. 3'!J312</f>
        <v>6398014</v>
      </c>
      <c r="J14" s="51">
        <f>'дод. 3'!K15+'дод. 3'!K65+'дод. 3'!K98+'дод. 3'!K134+'дод. 3'!K209+'дод. 3'!K214+'дод. 3'!K224+'дод. 3'!K256+'дод. 3'!K261+'дод. 3'!K288+'дод. 3'!K295+'дод. 3'!K298+'дод. 3'!K308+'дод. 3'!K312</f>
        <v>2250000</v>
      </c>
      <c r="K14" s="51">
        <f>'дод. 3'!L15+'дод. 3'!L65+'дод. 3'!L98+'дод. 3'!L134+'дод. 3'!L209+'дод. 3'!L214+'дод. 3'!L224+'дод. 3'!L256+'дод. 3'!L261+'дод. 3'!L288+'дод. 3'!L295+'дод. 3'!L298+'дод. 3'!L308+'дод. 3'!L312</f>
        <v>1725540</v>
      </c>
      <c r="L14" s="51">
        <f>'дод. 3'!M15+'дод. 3'!M65+'дод. 3'!M98+'дод. 3'!M134+'дод. 3'!M209+'дод. 3'!M214+'дод. 3'!M224+'дод. 3'!M256+'дод. 3'!M261+'дод. 3'!M288+'дод. 3'!M295+'дод. 3'!M298+'дод. 3'!M308+'дод. 3'!M312</f>
        <v>46200</v>
      </c>
      <c r="M14" s="51">
        <f>'дод. 3'!N15+'дод. 3'!N65+'дод. 3'!N98+'дод. 3'!N134+'дод. 3'!N209+'дод. 3'!N214+'дод. 3'!N224+'дод. 3'!N256+'дод. 3'!N261+'дод. 3'!N288+'дод. 3'!N295+'дод. 3'!N298+'дод. 3'!N308+'дод. 3'!N312</f>
        <v>4148014</v>
      </c>
      <c r="N14" s="51">
        <f>'дод. 3'!O15+'дод. 3'!O65+'дод. 3'!O98+'дод. 3'!O134+'дод. 3'!O209+'дод. 3'!O214+'дод. 3'!O224+'дод. 3'!O256+'дод. 3'!O261+'дод. 3'!O288+'дод. 3'!O295+'дод. 3'!O298+'дод. 3'!O308+'дод. 3'!O312</f>
        <v>3798014</v>
      </c>
      <c r="O14" s="51">
        <f>'дод. 3'!P15+'дод. 3'!P65+'дод. 3'!P98+'дод. 3'!P134+'дод. 3'!P209+'дод. 3'!P214+'дод. 3'!P224+'дод. 3'!P256+'дод. 3'!P261+'дод. 3'!P288+'дод. 3'!P295+'дод. 3'!P298+'дод. 3'!P308+'дод. 3'!P312</f>
        <v>185885177</v>
      </c>
      <c r="P14" s="293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27" customHeight="1">
      <c r="A15" s="5" t="s">
        <v>78</v>
      </c>
      <c r="B15" s="5" t="s">
        <v>140</v>
      </c>
      <c r="C15" s="18" t="s">
        <v>386</v>
      </c>
      <c r="D15" s="51">
        <f>'дод. 3'!E16</f>
        <v>127500</v>
      </c>
      <c r="E15" s="51">
        <f>'дод. 3'!F16</f>
        <v>127500</v>
      </c>
      <c r="F15" s="51">
        <f>'дод. 3'!G16</f>
        <v>0</v>
      </c>
      <c r="G15" s="51">
        <f>'дод. 3'!H16</f>
        <v>0</v>
      </c>
      <c r="H15" s="51">
        <f>'дод. 3'!I16</f>
        <v>0</v>
      </c>
      <c r="I15" s="51">
        <f>'дод. 3'!J16</f>
        <v>0</v>
      </c>
      <c r="J15" s="51">
        <f>'дод. 3'!K16</f>
        <v>0</v>
      </c>
      <c r="K15" s="51">
        <f>'дод. 3'!L16</f>
        <v>0</v>
      </c>
      <c r="L15" s="51">
        <f>'дод. 3'!M16</f>
        <v>0</v>
      </c>
      <c r="M15" s="51">
        <f>'дод. 3'!N16</f>
        <v>0</v>
      </c>
      <c r="N15" s="51">
        <f>'дод. 3'!O16</f>
        <v>0</v>
      </c>
      <c r="O15" s="51">
        <f>'дод. 3'!P16</f>
        <v>127500</v>
      </c>
      <c r="P15" s="293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s="21" customFormat="1" ht="24" customHeight="1">
      <c r="A16" s="22" t="s">
        <v>81</v>
      </c>
      <c r="B16" s="34"/>
      <c r="C16" s="39" t="s">
        <v>82</v>
      </c>
      <c r="D16" s="55">
        <f aca="true" t="shared" si="1" ref="D16:O16">D18+D19+D21+D23+D25+D26+D27+D29+D30</f>
        <v>767689370.25</v>
      </c>
      <c r="E16" s="55">
        <f t="shared" si="1"/>
        <v>767689370.25</v>
      </c>
      <c r="F16" s="55">
        <f t="shared" si="1"/>
        <v>496892361</v>
      </c>
      <c r="G16" s="55">
        <f t="shared" si="1"/>
        <v>70210860</v>
      </c>
      <c r="H16" s="55">
        <f t="shared" si="1"/>
        <v>0</v>
      </c>
      <c r="I16" s="55">
        <f t="shared" si="1"/>
        <v>78070485.65</v>
      </c>
      <c r="J16" s="55">
        <f t="shared" si="1"/>
        <v>50066378</v>
      </c>
      <c r="K16" s="55">
        <f t="shared" si="1"/>
        <v>4398944</v>
      </c>
      <c r="L16" s="55">
        <f t="shared" si="1"/>
        <v>2371330</v>
      </c>
      <c r="M16" s="55">
        <f t="shared" si="1"/>
        <v>28004107.65</v>
      </c>
      <c r="N16" s="55">
        <f t="shared" si="1"/>
        <v>27804687.65</v>
      </c>
      <c r="O16" s="55">
        <f t="shared" si="1"/>
        <v>845759855.9</v>
      </c>
      <c r="P16" s="293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</row>
    <row r="17" spans="1:35" s="28" customFormat="1" ht="24" customHeight="1">
      <c r="A17" s="22"/>
      <c r="B17" s="34"/>
      <c r="C17" s="11" t="s">
        <v>416</v>
      </c>
      <c r="D17" s="55">
        <f>D20+D22+D24+D28+D31</f>
        <v>267908342.9</v>
      </c>
      <c r="E17" s="55">
        <f aca="true" t="shared" si="2" ref="E17:O17">E20+E22+E24+E28+E31</f>
        <v>267908342.9</v>
      </c>
      <c r="F17" s="55">
        <f t="shared" si="2"/>
        <v>213388985</v>
      </c>
      <c r="G17" s="55">
        <f t="shared" si="2"/>
        <v>0</v>
      </c>
      <c r="H17" s="55">
        <f t="shared" si="2"/>
        <v>0</v>
      </c>
      <c r="I17" s="55">
        <f t="shared" si="2"/>
        <v>6154492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6154492</v>
      </c>
      <c r="N17" s="55">
        <f t="shared" si="2"/>
        <v>6154492</v>
      </c>
      <c r="O17" s="55">
        <f t="shared" si="2"/>
        <v>274062834.9</v>
      </c>
      <c r="P17" s="293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1:35" ht="27" customHeight="1">
      <c r="A18" s="5" t="s">
        <v>83</v>
      </c>
      <c r="B18" s="5" t="s">
        <v>84</v>
      </c>
      <c r="C18" s="18" t="s">
        <v>222</v>
      </c>
      <c r="D18" s="51">
        <f>'дод. 3'!E66</f>
        <v>190668766.35</v>
      </c>
      <c r="E18" s="51">
        <f>'дод. 3'!F66</f>
        <v>190668766.35</v>
      </c>
      <c r="F18" s="51">
        <f>'дод. 3'!G66</f>
        <v>119291300</v>
      </c>
      <c r="G18" s="51">
        <f>'дод. 3'!H66</f>
        <v>22031690</v>
      </c>
      <c r="H18" s="51">
        <f>'дод. 3'!I66</f>
        <v>0</v>
      </c>
      <c r="I18" s="51">
        <f>'дод. 3'!J66</f>
        <v>20383896.65</v>
      </c>
      <c r="J18" s="51">
        <f>'дод. 3'!K66</f>
        <v>16065511</v>
      </c>
      <c r="K18" s="51">
        <f>'дод. 3'!L66</f>
        <v>0</v>
      </c>
      <c r="L18" s="51">
        <f>'дод. 3'!M66</f>
        <v>0</v>
      </c>
      <c r="M18" s="51">
        <f>'дод. 3'!N66</f>
        <v>4318385.65</v>
      </c>
      <c r="N18" s="51">
        <f>'дод. 3'!O66</f>
        <v>4318385.65</v>
      </c>
      <c r="O18" s="51">
        <f>'дод. 3'!P66</f>
        <v>211052663</v>
      </c>
      <c r="P18" s="293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1:35" ht="71.25" customHeight="1">
      <c r="A19" s="5" t="s">
        <v>85</v>
      </c>
      <c r="B19" s="5" t="s">
        <v>86</v>
      </c>
      <c r="C19" s="18" t="s">
        <v>580</v>
      </c>
      <c r="D19" s="51">
        <f>'дод. 3'!E67</f>
        <v>412339600.9</v>
      </c>
      <c r="E19" s="51">
        <f>'дод. 3'!F67</f>
        <v>412339600.9</v>
      </c>
      <c r="F19" s="51">
        <f>'дод. 3'!G67</f>
        <v>272601385</v>
      </c>
      <c r="G19" s="51">
        <f>'дод. 3'!H67</f>
        <v>34867640</v>
      </c>
      <c r="H19" s="51">
        <f>'дод. 3'!I67</f>
        <v>0</v>
      </c>
      <c r="I19" s="51">
        <f>'дод. 3'!J67</f>
        <v>43190819</v>
      </c>
      <c r="J19" s="51">
        <f>'дод. 3'!K67</f>
        <v>25377767</v>
      </c>
      <c r="K19" s="51">
        <f>'дод. 3'!L67</f>
        <v>624000</v>
      </c>
      <c r="L19" s="51">
        <f>'дод. 3'!M67</f>
        <v>36920</v>
      </c>
      <c r="M19" s="51">
        <f>'дод. 3'!N67</f>
        <v>17813052</v>
      </c>
      <c r="N19" s="51">
        <f>'дод. 3'!O67</f>
        <v>17813052</v>
      </c>
      <c r="O19" s="51">
        <f>'дод. 3'!P67</f>
        <v>455530419.9</v>
      </c>
      <c r="P19" s="293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28.5" customHeight="1">
      <c r="B20" s="5"/>
      <c r="C20" s="13" t="s">
        <v>416</v>
      </c>
      <c r="D20" s="51">
        <f>'дод. 3'!E68</f>
        <v>252514507.9</v>
      </c>
      <c r="E20" s="51">
        <f>'дод. 3'!F68</f>
        <v>252514507.9</v>
      </c>
      <c r="F20" s="51">
        <f>'дод. 3'!G68</f>
        <v>201155985</v>
      </c>
      <c r="G20" s="51">
        <f>'дод. 3'!H68</f>
        <v>0</v>
      </c>
      <c r="H20" s="51">
        <f>'дод. 3'!I68</f>
        <v>0</v>
      </c>
      <c r="I20" s="51">
        <f>'дод. 3'!J68</f>
        <v>1416542</v>
      </c>
      <c r="J20" s="51">
        <f>'дод. 3'!K68</f>
        <v>0</v>
      </c>
      <c r="K20" s="51">
        <f>'дод. 3'!L68</f>
        <v>0</v>
      </c>
      <c r="L20" s="51">
        <f>'дод. 3'!M68</f>
        <v>0</v>
      </c>
      <c r="M20" s="51">
        <f>'дод. 3'!N68</f>
        <v>1416542</v>
      </c>
      <c r="N20" s="51">
        <f>'дод. 3'!O68</f>
        <v>1416542</v>
      </c>
      <c r="O20" s="51">
        <f>'дод. 3'!P68</f>
        <v>253931049.9</v>
      </c>
      <c r="P20" s="293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1:35" ht="42.75" customHeight="1">
      <c r="A21" s="5" t="s">
        <v>87</v>
      </c>
      <c r="B21" s="5" t="s">
        <v>86</v>
      </c>
      <c r="C21" s="18" t="s">
        <v>49</v>
      </c>
      <c r="D21" s="51">
        <f>'дод. 3'!E69</f>
        <v>778340</v>
      </c>
      <c r="E21" s="51">
        <f>'дод. 3'!F69</f>
        <v>778340</v>
      </c>
      <c r="F21" s="51">
        <f>'дод. 3'!G69</f>
        <v>637000</v>
      </c>
      <c r="G21" s="51">
        <f>'дод. 3'!H69</f>
        <v>0</v>
      </c>
      <c r="H21" s="51">
        <f>'дод. 3'!I69</f>
        <v>0</v>
      </c>
      <c r="I21" s="51">
        <f>'дод. 3'!J69</f>
        <v>0</v>
      </c>
      <c r="J21" s="51">
        <f>'дод. 3'!K69</f>
        <v>0</v>
      </c>
      <c r="K21" s="51">
        <f>'дод. 3'!L69</f>
        <v>0</v>
      </c>
      <c r="L21" s="51">
        <f>'дод. 3'!M69</f>
        <v>0</v>
      </c>
      <c r="M21" s="51">
        <f>'дод. 3'!N69</f>
        <v>0</v>
      </c>
      <c r="N21" s="51">
        <f>'дод. 3'!O69</f>
        <v>0</v>
      </c>
      <c r="O21" s="51">
        <f>'дод. 3'!P69</f>
        <v>778340</v>
      </c>
      <c r="P21" s="293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24.75" customHeight="1">
      <c r="B22" s="5"/>
      <c r="C22" s="13" t="s">
        <v>416</v>
      </c>
      <c r="D22" s="51">
        <f>'дод. 3'!E70</f>
        <v>777140</v>
      </c>
      <c r="E22" s="51">
        <f>'дод. 3'!F70</f>
        <v>777140</v>
      </c>
      <c r="F22" s="51">
        <f>'дод. 3'!G70</f>
        <v>637000</v>
      </c>
      <c r="G22" s="51">
        <f>'дод. 3'!H70</f>
        <v>0</v>
      </c>
      <c r="H22" s="51">
        <f>'дод. 3'!I70</f>
        <v>0</v>
      </c>
      <c r="I22" s="51">
        <f>'дод. 3'!J70</f>
        <v>0</v>
      </c>
      <c r="J22" s="51">
        <f>'дод. 3'!K70</f>
        <v>0</v>
      </c>
      <c r="K22" s="51">
        <f>'дод. 3'!L70</f>
        <v>0</v>
      </c>
      <c r="L22" s="51">
        <f>'дод. 3'!M70</f>
        <v>0</v>
      </c>
      <c r="M22" s="51">
        <f>'дод. 3'!N70</f>
        <v>0</v>
      </c>
      <c r="N22" s="51">
        <f>'дод. 3'!O70</f>
        <v>0</v>
      </c>
      <c r="O22" s="51">
        <f>'дод. 3'!P70</f>
        <v>777140</v>
      </c>
      <c r="P22" s="293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</row>
    <row r="23" spans="1:35" ht="87" customHeight="1">
      <c r="A23" s="5" t="s">
        <v>89</v>
      </c>
      <c r="B23" s="5" t="s">
        <v>90</v>
      </c>
      <c r="C23" s="18" t="s">
        <v>182</v>
      </c>
      <c r="D23" s="51">
        <f>'дод. 3'!E71</f>
        <v>7485765</v>
      </c>
      <c r="E23" s="51">
        <f>'дод. 3'!F71</f>
        <v>7485765</v>
      </c>
      <c r="F23" s="51">
        <f>'дод. 3'!G71</f>
        <v>5205700</v>
      </c>
      <c r="G23" s="51">
        <f>'дод. 3'!H71</f>
        <v>615230</v>
      </c>
      <c r="H23" s="51">
        <f>'дод. 3'!I71</f>
        <v>0</v>
      </c>
      <c r="I23" s="51">
        <f>'дод. 3'!J71</f>
        <v>100000</v>
      </c>
      <c r="J23" s="51">
        <f>'дод. 3'!K71</f>
        <v>0</v>
      </c>
      <c r="K23" s="51">
        <f>'дод. 3'!L71</f>
        <v>0</v>
      </c>
      <c r="L23" s="51">
        <f>'дод. 3'!M71</f>
        <v>0</v>
      </c>
      <c r="M23" s="51">
        <f>'дод. 3'!N71</f>
        <v>100000</v>
      </c>
      <c r="N23" s="51">
        <f>'дод. 3'!O71</f>
        <v>100000</v>
      </c>
      <c r="O23" s="51">
        <f>'дод. 3'!P71</f>
        <v>7585765</v>
      </c>
      <c r="P23" s="293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2:35" ht="21.75" customHeight="1">
      <c r="B24" s="5"/>
      <c r="C24" s="13" t="s">
        <v>416</v>
      </c>
      <c r="D24" s="51">
        <f>'дод. 3'!E72</f>
        <v>4964695</v>
      </c>
      <c r="E24" s="51">
        <f>'дод. 3'!F72</f>
        <v>4964695</v>
      </c>
      <c r="F24" s="51">
        <f>'дод. 3'!G72</f>
        <v>4070000</v>
      </c>
      <c r="G24" s="51">
        <f>'дод. 3'!H72</f>
        <v>0</v>
      </c>
      <c r="H24" s="51">
        <f>'дод. 3'!I72</f>
        <v>0</v>
      </c>
      <c r="I24" s="51">
        <f>'дод. 3'!J72</f>
        <v>0</v>
      </c>
      <c r="J24" s="51">
        <f>'дод. 3'!K72</f>
        <v>0</v>
      </c>
      <c r="K24" s="51">
        <f>'дод. 3'!L72</f>
        <v>0</v>
      </c>
      <c r="L24" s="51">
        <f>'дод. 3'!M72</f>
        <v>0</v>
      </c>
      <c r="M24" s="51">
        <f>'дод. 3'!N72</f>
        <v>0</v>
      </c>
      <c r="N24" s="51">
        <f>'дод. 3'!O72</f>
        <v>0</v>
      </c>
      <c r="O24" s="51">
        <f>'дод. 3'!P72</f>
        <v>4964695</v>
      </c>
      <c r="P24" s="293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</row>
    <row r="25" spans="1:35" ht="33" customHeight="1">
      <c r="A25" s="5" t="s">
        <v>91</v>
      </c>
      <c r="B25" s="5" t="s">
        <v>92</v>
      </c>
      <c r="C25" s="18" t="s">
        <v>223</v>
      </c>
      <c r="D25" s="51">
        <f>'дод. 3'!E73</f>
        <v>21606690</v>
      </c>
      <c r="E25" s="51">
        <f>'дод. 3'!F73</f>
        <v>21606690</v>
      </c>
      <c r="F25" s="51">
        <f>'дод. 3'!G73</f>
        <v>15425500</v>
      </c>
      <c r="G25" s="51">
        <f>'дод. 3'!H73</f>
        <v>2331620</v>
      </c>
      <c r="H25" s="51">
        <f>'дод. 3'!I73</f>
        <v>0</v>
      </c>
      <c r="I25" s="51">
        <f>'дод. 3'!J73</f>
        <v>430000</v>
      </c>
      <c r="J25" s="51">
        <f>'дод. 3'!K73</f>
        <v>0</v>
      </c>
      <c r="K25" s="51">
        <f>'дод. 3'!L73</f>
        <v>0</v>
      </c>
      <c r="L25" s="51">
        <f>'дод. 3'!M73</f>
        <v>0</v>
      </c>
      <c r="M25" s="51">
        <f>'дод. 3'!N73</f>
        <v>430000</v>
      </c>
      <c r="N25" s="51">
        <f>'дод. 3'!O73</f>
        <v>430000</v>
      </c>
      <c r="O25" s="51">
        <f>'дод. 3'!P73</f>
        <v>22036690</v>
      </c>
      <c r="P25" s="293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</row>
    <row r="26" spans="1:35" ht="57.75" customHeight="1">
      <c r="A26" s="5" t="s">
        <v>93</v>
      </c>
      <c r="B26" s="5" t="s">
        <v>92</v>
      </c>
      <c r="C26" s="18" t="s">
        <v>30</v>
      </c>
      <c r="D26" s="51">
        <f>'дод. 3'!E215</f>
        <v>29907268</v>
      </c>
      <c r="E26" s="51">
        <f>'дод. 3'!F215</f>
        <v>29907268</v>
      </c>
      <c r="F26" s="51">
        <f>'дод. 3'!G215</f>
        <v>23498774</v>
      </c>
      <c r="G26" s="51">
        <f>'дод. 3'!H215</f>
        <v>711900</v>
      </c>
      <c r="H26" s="51">
        <f>'дод. 3'!I215</f>
        <v>0</v>
      </c>
      <c r="I26" s="51">
        <f>'дод. 3'!J215</f>
        <v>2325850</v>
      </c>
      <c r="J26" s="51">
        <f>'дод. 3'!K215</f>
        <v>2108830</v>
      </c>
      <c r="K26" s="51">
        <f>'дод. 3'!L215</f>
        <v>1721450</v>
      </c>
      <c r="L26" s="51">
        <f>'дод. 3'!M215</f>
        <v>0</v>
      </c>
      <c r="M26" s="51">
        <f>'дод. 3'!N215</f>
        <v>217020</v>
      </c>
      <c r="N26" s="51">
        <f>'дод. 3'!O215</f>
        <v>212300</v>
      </c>
      <c r="O26" s="51">
        <f>'дод. 3'!P215</f>
        <v>32233118</v>
      </c>
      <c r="P26" s="293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</row>
    <row r="27" spans="1:35" ht="39.75" customHeight="1">
      <c r="A27" s="5" t="s">
        <v>352</v>
      </c>
      <c r="B27" s="5" t="s">
        <v>94</v>
      </c>
      <c r="C27" s="18" t="s">
        <v>183</v>
      </c>
      <c r="D27" s="51">
        <f>'дод. 3'!E74</f>
        <v>94925900</v>
      </c>
      <c r="E27" s="51">
        <f>'дод. 3'!F74</f>
        <v>94925900</v>
      </c>
      <c r="F27" s="51">
        <f>'дод. 3'!G74</f>
        <v>52999200</v>
      </c>
      <c r="G27" s="51">
        <f>'дод. 3'!H74</f>
        <v>9089100</v>
      </c>
      <c r="H27" s="51">
        <f>'дод. 3'!I74</f>
        <v>0</v>
      </c>
      <c r="I27" s="51">
        <f>'дод. 3'!J74</f>
        <v>11338970</v>
      </c>
      <c r="J27" s="51">
        <f>'дод. 3'!K74</f>
        <v>6514270</v>
      </c>
      <c r="K27" s="51">
        <f>'дод. 3'!L74</f>
        <v>2053494</v>
      </c>
      <c r="L27" s="51">
        <f>'дод. 3'!M74</f>
        <v>2334410</v>
      </c>
      <c r="M27" s="51">
        <f>'дод. 3'!N74</f>
        <v>4824700</v>
      </c>
      <c r="N27" s="51">
        <f>'дод. 3'!O74</f>
        <v>4630000</v>
      </c>
      <c r="O27" s="51">
        <f>'дод. 3'!P74</f>
        <v>106264870</v>
      </c>
      <c r="P27" s="293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5" ht="21" customHeight="1">
      <c r="B28" s="5"/>
      <c r="C28" s="13" t="s">
        <v>416</v>
      </c>
      <c r="D28" s="51">
        <f>'дод. 3'!E75</f>
        <v>9652000</v>
      </c>
      <c r="E28" s="51">
        <f>'дод. 3'!F75</f>
        <v>9652000</v>
      </c>
      <c r="F28" s="51">
        <f>'дод. 3'!G75</f>
        <v>7526000</v>
      </c>
      <c r="G28" s="51">
        <f>'дод. 3'!H75</f>
        <v>0</v>
      </c>
      <c r="H28" s="51">
        <f>'дод. 3'!I75</f>
        <v>0</v>
      </c>
      <c r="I28" s="51">
        <f>'дод. 3'!J75</f>
        <v>4630000</v>
      </c>
      <c r="J28" s="51">
        <f>'дод. 3'!K75</f>
        <v>0</v>
      </c>
      <c r="K28" s="51">
        <f>'дод. 3'!L75</f>
        <v>0</v>
      </c>
      <c r="L28" s="51">
        <f>'дод. 3'!M75</f>
        <v>0</v>
      </c>
      <c r="M28" s="51">
        <f>'дод. 3'!N75</f>
        <v>4630000</v>
      </c>
      <c r="N28" s="51">
        <f>'дод. 3'!O75</f>
        <v>4630000</v>
      </c>
      <c r="O28" s="51">
        <f>'дод. 3'!P75</f>
        <v>14282000</v>
      </c>
      <c r="P28" s="293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1:35" ht="33" customHeight="1">
      <c r="A29" s="5" t="s">
        <v>184</v>
      </c>
      <c r="B29" s="5" t="s">
        <v>95</v>
      </c>
      <c r="C29" s="18" t="s">
        <v>581</v>
      </c>
      <c r="D29" s="51">
        <f>'дод. 3'!E76</f>
        <v>2805917</v>
      </c>
      <c r="E29" s="51">
        <f>'дод. 3'!F76</f>
        <v>2805917</v>
      </c>
      <c r="F29" s="51">
        <f>'дод. 3'!G76</f>
        <v>2181762</v>
      </c>
      <c r="G29" s="51">
        <f>'дод. 3'!H76</f>
        <v>103210</v>
      </c>
      <c r="H29" s="51">
        <f>'дод. 3'!I76</f>
        <v>0</v>
      </c>
      <c r="I29" s="51">
        <f>'дод. 3'!J76</f>
        <v>13000</v>
      </c>
      <c r="J29" s="51">
        <f>'дод. 3'!K76</f>
        <v>0</v>
      </c>
      <c r="K29" s="51">
        <f>'дод. 3'!L76</f>
        <v>0</v>
      </c>
      <c r="L29" s="51">
        <f>'дод. 3'!M76</f>
        <v>0</v>
      </c>
      <c r="M29" s="51">
        <f>'дод. 3'!N76</f>
        <v>13000</v>
      </c>
      <c r="N29" s="51">
        <f>'дод. 3'!O76</f>
        <v>13000</v>
      </c>
      <c r="O29" s="51">
        <f>'дод. 3'!P76</f>
        <v>2818917</v>
      </c>
      <c r="P29" s="293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1:35" ht="25.5" customHeight="1">
      <c r="A30" s="5" t="s">
        <v>358</v>
      </c>
      <c r="B30" s="5"/>
      <c r="C30" s="18" t="s">
        <v>356</v>
      </c>
      <c r="D30" s="51">
        <f>D32+D34</f>
        <v>7171123</v>
      </c>
      <c r="E30" s="51">
        <f aca="true" t="shared" si="3" ref="E30:O30">E32+E34</f>
        <v>7171123</v>
      </c>
      <c r="F30" s="51">
        <f t="shared" si="3"/>
        <v>5051740</v>
      </c>
      <c r="G30" s="51">
        <f t="shared" si="3"/>
        <v>460470</v>
      </c>
      <c r="H30" s="51">
        <f t="shared" si="3"/>
        <v>0</v>
      </c>
      <c r="I30" s="51">
        <f t="shared" si="3"/>
        <v>287950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287950</v>
      </c>
      <c r="N30" s="51">
        <f t="shared" si="3"/>
        <v>287950</v>
      </c>
      <c r="O30" s="51">
        <f t="shared" si="3"/>
        <v>7459073</v>
      </c>
      <c r="P30" s="293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5" ht="25.5" customHeight="1">
      <c r="B31" s="5"/>
      <c r="C31" s="13" t="s">
        <v>416</v>
      </c>
      <c r="D31" s="51">
        <f>D33</f>
        <v>0</v>
      </c>
      <c r="E31" s="51">
        <f aca="true" t="shared" si="4" ref="E31:O31">E33</f>
        <v>0</v>
      </c>
      <c r="F31" s="51">
        <f t="shared" si="4"/>
        <v>0</v>
      </c>
      <c r="G31" s="51">
        <f t="shared" si="4"/>
        <v>0</v>
      </c>
      <c r="H31" s="51">
        <f t="shared" si="4"/>
        <v>0</v>
      </c>
      <c r="I31" s="51">
        <f t="shared" si="4"/>
        <v>107950</v>
      </c>
      <c r="J31" s="51">
        <f t="shared" si="4"/>
        <v>0</v>
      </c>
      <c r="K31" s="51">
        <f t="shared" si="4"/>
        <v>0</v>
      </c>
      <c r="L31" s="51">
        <f t="shared" si="4"/>
        <v>0</v>
      </c>
      <c r="M31" s="51">
        <f t="shared" si="4"/>
        <v>107950</v>
      </c>
      <c r="N31" s="51">
        <f t="shared" si="4"/>
        <v>107950</v>
      </c>
      <c r="O31" s="51">
        <f t="shared" si="4"/>
        <v>107950</v>
      </c>
      <c r="P31" s="293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1:35" s="8" customFormat="1" ht="36" customHeight="1">
      <c r="A32" s="7" t="s">
        <v>444</v>
      </c>
      <c r="B32" s="7" t="s">
        <v>95</v>
      </c>
      <c r="C32" s="40" t="s">
        <v>446</v>
      </c>
      <c r="D32" s="52">
        <f>'дод. 3'!E79</f>
        <v>7095323</v>
      </c>
      <c r="E32" s="52">
        <f>'дод. 3'!F79</f>
        <v>7095323</v>
      </c>
      <c r="F32" s="52">
        <f>'дод. 3'!G79</f>
        <v>5051740</v>
      </c>
      <c r="G32" s="52">
        <f>'дод. 3'!H79</f>
        <v>460470</v>
      </c>
      <c r="H32" s="52">
        <f>'дод. 3'!I79</f>
        <v>0</v>
      </c>
      <c r="I32" s="52">
        <f>'дод. 3'!J79</f>
        <v>287950</v>
      </c>
      <c r="J32" s="52">
        <f>'дод. 3'!K79</f>
        <v>0</v>
      </c>
      <c r="K32" s="52">
        <f>'дод. 3'!L79</f>
        <v>0</v>
      </c>
      <c r="L32" s="52">
        <f>'дод. 3'!M79</f>
        <v>0</v>
      </c>
      <c r="M32" s="52">
        <f>'дод. 3'!N79</f>
        <v>287950</v>
      </c>
      <c r="N32" s="52">
        <f>'дод. 3'!O79</f>
        <v>287950</v>
      </c>
      <c r="O32" s="52">
        <f>'дод. 3'!P79</f>
        <v>7383273</v>
      </c>
      <c r="P32" s="293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</row>
    <row r="33" spans="1:35" s="8" customFormat="1" ht="21" customHeight="1">
      <c r="A33" s="7"/>
      <c r="B33" s="7"/>
      <c r="C33" s="14" t="s">
        <v>416</v>
      </c>
      <c r="D33" s="52">
        <f>'дод. 3'!E80</f>
        <v>0</v>
      </c>
      <c r="E33" s="52">
        <f>'дод. 3'!F80</f>
        <v>0</v>
      </c>
      <c r="F33" s="52">
        <f>'дод. 3'!G80</f>
        <v>0</v>
      </c>
      <c r="G33" s="52">
        <f>'дод. 3'!H80</f>
        <v>0</v>
      </c>
      <c r="H33" s="52">
        <f>'дод. 3'!I80</f>
        <v>0</v>
      </c>
      <c r="I33" s="52">
        <f>'дод. 3'!J80</f>
        <v>107950</v>
      </c>
      <c r="J33" s="52">
        <f>'дод. 3'!K80</f>
        <v>0</v>
      </c>
      <c r="K33" s="52">
        <f>'дод. 3'!L80</f>
        <v>0</v>
      </c>
      <c r="L33" s="52">
        <f>'дод. 3'!M80</f>
        <v>0</v>
      </c>
      <c r="M33" s="52">
        <f>'дод. 3'!N80</f>
        <v>107950</v>
      </c>
      <c r="N33" s="52">
        <f>'дод. 3'!O80</f>
        <v>107950</v>
      </c>
      <c r="O33" s="52">
        <f>'дод. 3'!P80</f>
        <v>107950</v>
      </c>
      <c r="P33" s="293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</row>
    <row r="34" spans="1:35" s="8" customFormat="1" ht="25.5" customHeight="1">
      <c r="A34" s="7" t="s">
        <v>445</v>
      </c>
      <c r="B34" s="7" t="s">
        <v>95</v>
      </c>
      <c r="C34" s="40" t="s">
        <v>447</v>
      </c>
      <c r="D34" s="52">
        <f>'дод. 3'!E81</f>
        <v>75800</v>
      </c>
      <c r="E34" s="52">
        <f>'дод. 3'!F81</f>
        <v>75800</v>
      </c>
      <c r="F34" s="52">
        <f>'дод. 3'!G81</f>
        <v>0</v>
      </c>
      <c r="G34" s="52">
        <f>'дод. 3'!H81</f>
        <v>0</v>
      </c>
      <c r="H34" s="52">
        <f>'дод. 3'!I81</f>
        <v>0</v>
      </c>
      <c r="I34" s="52">
        <f>'дод. 3'!J81</f>
        <v>0</v>
      </c>
      <c r="J34" s="52">
        <f>'дод. 3'!K81</f>
        <v>0</v>
      </c>
      <c r="K34" s="52">
        <f>'дод. 3'!L81</f>
        <v>0</v>
      </c>
      <c r="L34" s="52">
        <f>'дод. 3'!M81</f>
        <v>0</v>
      </c>
      <c r="M34" s="52">
        <f>'дод. 3'!N81</f>
        <v>0</v>
      </c>
      <c r="N34" s="52">
        <f>'дод. 3'!O81</f>
        <v>0</v>
      </c>
      <c r="O34" s="52">
        <f>'дод. 3'!P81</f>
        <v>75800</v>
      </c>
      <c r="P34" s="293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</row>
    <row r="35" spans="1:35" s="21" customFormat="1" ht="23.25" customHeight="1">
      <c r="A35" s="22" t="s">
        <v>96</v>
      </c>
      <c r="B35" s="34"/>
      <c r="C35" s="39" t="s">
        <v>97</v>
      </c>
      <c r="D35" s="55">
        <f>D37+D39+D41+D43+D45+D51+D57</f>
        <v>329273066</v>
      </c>
      <c r="E35" s="55">
        <f aca="true" t="shared" si="5" ref="E35:O35">E37+E39+E41+E43+E45+E51+E57</f>
        <v>329273066</v>
      </c>
      <c r="F35" s="55">
        <f t="shared" si="5"/>
        <v>0</v>
      </c>
      <c r="G35" s="55">
        <f t="shared" si="5"/>
        <v>0</v>
      </c>
      <c r="H35" s="55">
        <f t="shared" si="5"/>
        <v>0</v>
      </c>
      <c r="I35" s="55">
        <f t="shared" si="5"/>
        <v>49212074</v>
      </c>
      <c r="J35" s="55">
        <f t="shared" si="5"/>
        <v>16983749</v>
      </c>
      <c r="K35" s="55">
        <f t="shared" si="5"/>
        <v>0</v>
      </c>
      <c r="L35" s="55">
        <f t="shared" si="5"/>
        <v>0</v>
      </c>
      <c r="M35" s="55">
        <f t="shared" si="5"/>
        <v>32228325</v>
      </c>
      <c r="N35" s="55">
        <f t="shared" si="5"/>
        <v>32228325</v>
      </c>
      <c r="O35" s="55">
        <f t="shared" si="5"/>
        <v>378485140</v>
      </c>
      <c r="P35" s="293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1:35" s="21" customFormat="1" ht="23.25" customHeight="1">
      <c r="A36" s="22"/>
      <c r="B36" s="34"/>
      <c r="C36" s="11" t="s">
        <v>416</v>
      </c>
      <c r="D36" s="55">
        <f aca="true" t="shared" si="6" ref="D36:O36">D38+D40+D42+D44+D46+D58+D52</f>
        <v>239913470</v>
      </c>
      <c r="E36" s="55">
        <f t="shared" si="6"/>
        <v>239913470</v>
      </c>
      <c r="F36" s="55">
        <f t="shared" si="6"/>
        <v>0</v>
      </c>
      <c r="G36" s="55">
        <f t="shared" si="6"/>
        <v>0</v>
      </c>
      <c r="H36" s="55">
        <f t="shared" si="6"/>
        <v>0</v>
      </c>
      <c r="I36" s="55">
        <f t="shared" si="6"/>
        <v>0</v>
      </c>
      <c r="J36" s="55">
        <f t="shared" si="6"/>
        <v>0</v>
      </c>
      <c r="K36" s="55">
        <f t="shared" si="6"/>
        <v>0</v>
      </c>
      <c r="L36" s="55">
        <f t="shared" si="6"/>
        <v>0</v>
      </c>
      <c r="M36" s="55">
        <f t="shared" si="6"/>
        <v>0</v>
      </c>
      <c r="N36" s="55">
        <f t="shared" si="6"/>
        <v>0</v>
      </c>
      <c r="O36" s="55">
        <f t="shared" si="6"/>
        <v>239913470</v>
      </c>
      <c r="P36" s="293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</row>
    <row r="37" spans="1:35" ht="31.5">
      <c r="A37" s="5" t="s">
        <v>98</v>
      </c>
      <c r="B37" s="5" t="s">
        <v>99</v>
      </c>
      <c r="C37" s="18" t="s">
        <v>53</v>
      </c>
      <c r="D37" s="51">
        <f>'дод. 3'!E99</f>
        <v>229059953</v>
      </c>
      <c r="E37" s="51">
        <f>'дод. 3'!F99</f>
        <v>229059953</v>
      </c>
      <c r="F37" s="51">
        <f>'дод. 3'!G99</f>
        <v>0</v>
      </c>
      <c r="G37" s="51">
        <f>'дод. 3'!H99</f>
        <v>0</v>
      </c>
      <c r="H37" s="51">
        <f>'дод. 3'!I99</f>
        <v>0</v>
      </c>
      <c r="I37" s="51">
        <f>'дод. 3'!J99</f>
        <v>39920589</v>
      </c>
      <c r="J37" s="51">
        <f>'дод. 3'!K99</f>
        <v>11318360</v>
      </c>
      <c r="K37" s="51">
        <f>'дод. 3'!L99</f>
        <v>0</v>
      </c>
      <c r="L37" s="51">
        <f>'дод. 3'!M99</f>
        <v>0</v>
      </c>
      <c r="M37" s="51">
        <f>'дод. 3'!N99</f>
        <v>28602229</v>
      </c>
      <c r="N37" s="51">
        <f>'дод. 3'!O99</f>
        <v>28602229</v>
      </c>
      <c r="O37" s="51">
        <f>'дод. 3'!P99</f>
        <v>268980542</v>
      </c>
      <c r="P37" s="293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</row>
    <row r="38" spans="2:35" ht="15.75" customHeight="1">
      <c r="B38" s="5"/>
      <c r="C38" s="13" t="s">
        <v>416</v>
      </c>
      <c r="D38" s="51">
        <f>'дод. 3'!E100</f>
        <v>155879126</v>
      </c>
      <c r="E38" s="51">
        <f>'дод. 3'!F100</f>
        <v>155879126</v>
      </c>
      <c r="F38" s="51">
        <f>'дод. 3'!G100</f>
        <v>0</v>
      </c>
      <c r="G38" s="51">
        <f>'дод. 3'!H100</f>
        <v>0</v>
      </c>
      <c r="H38" s="51">
        <f>'дод. 3'!I100</f>
        <v>0</v>
      </c>
      <c r="I38" s="51">
        <f>'дод. 3'!J100</f>
        <v>0</v>
      </c>
      <c r="J38" s="51">
        <f>'дод. 3'!K100</f>
        <v>0</v>
      </c>
      <c r="K38" s="51">
        <f>'дод. 3'!L100</f>
        <v>0</v>
      </c>
      <c r="L38" s="51">
        <f>'дод. 3'!M100</f>
        <v>0</v>
      </c>
      <c r="M38" s="51">
        <f>'дод. 3'!N100</f>
        <v>0</v>
      </c>
      <c r="N38" s="51">
        <f>'дод. 3'!O100</f>
        <v>0</v>
      </c>
      <c r="O38" s="51">
        <f>'дод. 3'!P100</f>
        <v>155879126</v>
      </c>
      <c r="P38" s="293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</row>
    <row r="39" spans="1:35" ht="42.75" customHeight="1">
      <c r="A39" s="5" t="s">
        <v>185</v>
      </c>
      <c r="B39" s="5" t="s">
        <v>100</v>
      </c>
      <c r="C39" s="18" t="s">
        <v>186</v>
      </c>
      <c r="D39" s="51">
        <f>'дод. 3'!E101</f>
        <v>34056517</v>
      </c>
      <c r="E39" s="51">
        <f>'дод. 3'!F101</f>
        <v>34056517</v>
      </c>
      <c r="F39" s="51">
        <f>'дод. 3'!G101</f>
        <v>0</v>
      </c>
      <c r="G39" s="51">
        <f>'дод. 3'!H101</f>
        <v>0</v>
      </c>
      <c r="H39" s="51">
        <f>'дод. 3'!I101</f>
        <v>0</v>
      </c>
      <c r="I39" s="51">
        <f>'дод. 3'!J101</f>
        <v>157300</v>
      </c>
      <c r="J39" s="51">
        <f>'дод. 3'!K101</f>
        <v>27300</v>
      </c>
      <c r="K39" s="51">
        <f>'дод. 3'!L101</f>
        <v>0</v>
      </c>
      <c r="L39" s="51">
        <f>'дод. 3'!M101</f>
        <v>0</v>
      </c>
      <c r="M39" s="51">
        <f>'дод. 3'!N101</f>
        <v>130000</v>
      </c>
      <c r="N39" s="51">
        <f>'дод. 3'!O101</f>
        <v>130000</v>
      </c>
      <c r="O39" s="51">
        <f>'дод. 3'!P101</f>
        <v>34213817</v>
      </c>
      <c r="P39" s="285">
        <v>17</v>
      </c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</row>
    <row r="40" spans="2:35" ht="24" customHeight="1">
      <c r="B40" s="5"/>
      <c r="C40" s="13" t="s">
        <v>416</v>
      </c>
      <c r="D40" s="51">
        <f>'дод. 3'!E102</f>
        <v>24253709</v>
      </c>
      <c r="E40" s="51">
        <f>'дод. 3'!F102</f>
        <v>24253709</v>
      </c>
      <c r="F40" s="51">
        <f>'дод. 3'!G102</f>
        <v>0</v>
      </c>
      <c r="G40" s="51">
        <f>'дод. 3'!H102</f>
        <v>0</v>
      </c>
      <c r="H40" s="51">
        <f>'дод. 3'!I102</f>
        <v>0</v>
      </c>
      <c r="I40" s="51">
        <f>'дод. 3'!J102</f>
        <v>0</v>
      </c>
      <c r="J40" s="51">
        <f>'дод. 3'!K102</f>
        <v>0</v>
      </c>
      <c r="K40" s="51">
        <f>'дод. 3'!L102</f>
        <v>0</v>
      </c>
      <c r="L40" s="51">
        <f>'дод. 3'!M102</f>
        <v>0</v>
      </c>
      <c r="M40" s="51">
        <f>'дод. 3'!N102</f>
        <v>0</v>
      </c>
      <c r="N40" s="51">
        <f>'дод. 3'!O102</f>
        <v>0</v>
      </c>
      <c r="O40" s="51">
        <f>'дод. 3'!P102</f>
        <v>24253709</v>
      </c>
      <c r="P40" s="285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</row>
    <row r="41" spans="1:35" ht="33" customHeight="1">
      <c r="A41" s="5" t="s">
        <v>187</v>
      </c>
      <c r="B41" s="5" t="s">
        <v>101</v>
      </c>
      <c r="C41" s="18" t="s">
        <v>495</v>
      </c>
      <c r="D41" s="51">
        <f>'дод. 3'!E103</f>
        <v>1058928</v>
      </c>
      <c r="E41" s="51">
        <f>'дод. 3'!F103</f>
        <v>1058928</v>
      </c>
      <c r="F41" s="51">
        <f>'дод. 3'!G103</f>
        <v>0</v>
      </c>
      <c r="G41" s="51">
        <f>'дод. 3'!H103</f>
        <v>0</v>
      </c>
      <c r="H41" s="51">
        <f>'дод. 3'!I103</f>
        <v>0</v>
      </c>
      <c r="I41" s="51">
        <f>'дод. 3'!J103</f>
        <v>412100</v>
      </c>
      <c r="J41" s="51">
        <f>'дод. 3'!K103</f>
        <v>412100</v>
      </c>
      <c r="K41" s="51">
        <f>'дод. 3'!L103</f>
        <v>0</v>
      </c>
      <c r="L41" s="51">
        <f>'дод. 3'!M103</f>
        <v>0</v>
      </c>
      <c r="M41" s="51">
        <f>'дод. 3'!N103</f>
        <v>0</v>
      </c>
      <c r="N41" s="51">
        <f>'дод. 3'!O103</f>
        <v>0</v>
      </c>
      <c r="O41" s="51">
        <f>'дод. 3'!P103</f>
        <v>1471028</v>
      </c>
      <c r="P41" s="285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</row>
    <row r="42" spans="2:35" ht="27" customHeight="1">
      <c r="B42" s="5"/>
      <c r="C42" s="13" t="s">
        <v>416</v>
      </c>
      <c r="D42" s="51">
        <f>'дод. 3'!E104</f>
        <v>925907</v>
      </c>
      <c r="E42" s="51">
        <f>'дод. 3'!F104</f>
        <v>925907</v>
      </c>
      <c r="F42" s="51">
        <f>'дод. 3'!G104</f>
        <v>0</v>
      </c>
      <c r="G42" s="51">
        <f>'дод. 3'!H104</f>
        <v>0</v>
      </c>
      <c r="H42" s="51">
        <f>'дод. 3'!I104</f>
        <v>0</v>
      </c>
      <c r="I42" s="51">
        <f>'дод. 3'!J104</f>
        <v>0</v>
      </c>
      <c r="J42" s="51">
        <f>'дод. 3'!K104</f>
        <v>0</v>
      </c>
      <c r="K42" s="51">
        <f>'дод. 3'!L104</f>
        <v>0</v>
      </c>
      <c r="L42" s="51">
        <f>'дод. 3'!M104</f>
        <v>0</v>
      </c>
      <c r="M42" s="51">
        <f>'дод. 3'!N104</f>
        <v>0</v>
      </c>
      <c r="N42" s="51">
        <f>'дод. 3'!O104</f>
        <v>0</v>
      </c>
      <c r="O42" s="51">
        <f>'дод. 3'!P104</f>
        <v>925907</v>
      </c>
      <c r="P42" s="285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</row>
    <row r="43" spans="1:35" ht="25.5" customHeight="1">
      <c r="A43" s="5" t="s">
        <v>188</v>
      </c>
      <c r="B43" s="5" t="s">
        <v>102</v>
      </c>
      <c r="C43" s="18" t="s">
        <v>189</v>
      </c>
      <c r="D43" s="51">
        <f>'дод. 3'!E105</f>
        <v>6369842</v>
      </c>
      <c r="E43" s="51">
        <f>'дод. 3'!F105</f>
        <v>6369842</v>
      </c>
      <c r="F43" s="51">
        <f>'дод. 3'!G105</f>
        <v>0</v>
      </c>
      <c r="G43" s="51">
        <f>'дод. 3'!H105</f>
        <v>0</v>
      </c>
      <c r="H43" s="51">
        <f>'дод. 3'!I105</f>
        <v>0</v>
      </c>
      <c r="I43" s="51">
        <f>'дод. 3'!J105</f>
        <v>5058989</v>
      </c>
      <c r="J43" s="51">
        <f>'дод. 3'!K105</f>
        <v>5058989</v>
      </c>
      <c r="K43" s="51">
        <f>'дод. 3'!L105</f>
        <v>0</v>
      </c>
      <c r="L43" s="51">
        <f>'дод. 3'!M105</f>
        <v>0</v>
      </c>
      <c r="M43" s="51">
        <f>'дод. 3'!N105</f>
        <v>0</v>
      </c>
      <c r="N43" s="51">
        <f>'дод. 3'!O105</f>
        <v>0</v>
      </c>
      <c r="O43" s="51">
        <f>'дод. 3'!P105</f>
        <v>11428831</v>
      </c>
      <c r="P43" s="285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</row>
    <row r="44" spans="2:35" ht="25.5" customHeight="1">
      <c r="B44" s="5"/>
      <c r="C44" s="13" t="s">
        <v>416</v>
      </c>
      <c r="D44" s="51">
        <f>'дод. 3'!E106</f>
        <v>5240025</v>
      </c>
      <c r="E44" s="51">
        <f>'дод. 3'!F106</f>
        <v>5240025</v>
      </c>
      <c r="F44" s="51">
        <f>'дод. 3'!G106</f>
        <v>0</v>
      </c>
      <c r="G44" s="51">
        <f>'дод. 3'!H106</f>
        <v>0</v>
      </c>
      <c r="H44" s="51">
        <f>'дод. 3'!I106</f>
        <v>0</v>
      </c>
      <c r="I44" s="51">
        <f>'дод. 3'!J106</f>
        <v>0</v>
      </c>
      <c r="J44" s="51">
        <f>'дод. 3'!K106</f>
        <v>0</v>
      </c>
      <c r="K44" s="51">
        <f>'дод. 3'!L106</f>
        <v>0</v>
      </c>
      <c r="L44" s="51">
        <f>'дод. 3'!M106</f>
        <v>0</v>
      </c>
      <c r="M44" s="51">
        <f>'дод. 3'!N106</f>
        <v>0</v>
      </c>
      <c r="N44" s="51">
        <f>'дод. 3'!O106</f>
        <v>0</v>
      </c>
      <c r="O44" s="51">
        <f>'дод. 3'!P106</f>
        <v>5240025</v>
      </c>
      <c r="P44" s="285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</row>
    <row r="45" spans="1:35" ht="22.5" customHeight="1">
      <c r="A45" s="5" t="s">
        <v>190</v>
      </c>
      <c r="B45" s="5"/>
      <c r="C45" s="41" t="s">
        <v>496</v>
      </c>
      <c r="D45" s="51">
        <f>D47+D49</f>
        <v>37657378</v>
      </c>
      <c r="E45" s="51">
        <f aca="true" t="shared" si="7" ref="E45:O45">E47+E49</f>
        <v>37657378</v>
      </c>
      <c r="F45" s="51">
        <f t="shared" si="7"/>
        <v>0</v>
      </c>
      <c r="G45" s="51">
        <f t="shared" si="7"/>
        <v>0</v>
      </c>
      <c r="H45" s="51">
        <f t="shared" si="7"/>
        <v>0</v>
      </c>
      <c r="I45" s="51">
        <f t="shared" si="7"/>
        <v>256600</v>
      </c>
      <c r="J45" s="51">
        <f t="shared" si="7"/>
        <v>167000</v>
      </c>
      <c r="K45" s="51">
        <f t="shared" si="7"/>
        <v>0</v>
      </c>
      <c r="L45" s="51">
        <f t="shared" si="7"/>
        <v>0</v>
      </c>
      <c r="M45" s="51">
        <f t="shared" si="7"/>
        <v>89600</v>
      </c>
      <c r="N45" s="51">
        <f t="shared" si="7"/>
        <v>89600</v>
      </c>
      <c r="O45" s="51">
        <f t="shared" si="7"/>
        <v>37913978</v>
      </c>
      <c r="P45" s="285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</row>
    <row r="46" spans="2:35" ht="22.5" customHeight="1">
      <c r="B46" s="5"/>
      <c r="C46" s="13" t="s">
        <v>416</v>
      </c>
      <c r="D46" s="51">
        <f>D48+D50</f>
        <v>35777500</v>
      </c>
      <c r="E46" s="51">
        <f aca="true" t="shared" si="8" ref="E46:O46">E48+E50</f>
        <v>35777500</v>
      </c>
      <c r="F46" s="51">
        <f t="shared" si="8"/>
        <v>0</v>
      </c>
      <c r="G46" s="51">
        <f t="shared" si="8"/>
        <v>0</v>
      </c>
      <c r="H46" s="51">
        <f t="shared" si="8"/>
        <v>0</v>
      </c>
      <c r="I46" s="51">
        <f t="shared" si="8"/>
        <v>0</v>
      </c>
      <c r="J46" s="51">
        <f t="shared" si="8"/>
        <v>0</v>
      </c>
      <c r="K46" s="51">
        <f t="shared" si="8"/>
        <v>0</v>
      </c>
      <c r="L46" s="51">
        <f t="shared" si="8"/>
        <v>0</v>
      </c>
      <c r="M46" s="51">
        <f t="shared" si="8"/>
        <v>0</v>
      </c>
      <c r="N46" s="51">
        <f t="shared" si="8"/>
        <v>0</v>
      </c>
      <c r="O46" s="51">
        <f t="shared" si="8"/>
        <v>35777500</v>
      </c>
      <c r="P46" s="285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</row>
    <row r="47" spans="1:35" s="8" customFormat="1" ht="54" customHeight="1">
      <c r="A47" s="7" t="s">
        <v>191</v>
      </c>
      <c r="B47" s="7" t="s">
        <v>497</v>
      </c>
      <c r="C47" s="40" t="s">
        <v>192</v>
      </c>
      <c r="D47" s="52">
        <f>'дод. 3'!E109</f>
        <v>9014905</v>
      </c>
      <c r="E47" s="52">
        <f>'дод. 3'!F109</f>
        <v>9014905</v>
      </c>
      <c r="F47" s="52">
        <f>'дод. 3'!G109</f>
        <v>0</v>
      </c>
      <c r="G47" s="52">
        <f>'дод. 3'!H109</f>
        <v>0</v>
      </c>
      <c r="H47" s="52">
        <f>'дод. 3'!I109</f>
        <v>0</v>
      </c>
      <c r="I47" s="52">
        <f>'дод. 3'!J109</f>
        <v>202000</v>
      </c>
      <c r="J47" s="52">
        <f>'дод. 3'!K109</f>
        <v>167000</v>
      </c>
      <c r="K47" s="52">
        <f>'дод. 3'!L109</f>
        <v>0</v>
      </c>
      <c r="L47" s="52">
        <f>'дод. 3'!M109</f>
        <v>0</v>
      </c>
      <c r="M47" s="52">
        <f>'дод. 3'!N109</f>
        <v>35000</v>
      </c>
      <c r="N47" s="52">
        <f>'дод. 3'!O109</f>
        <v>35000</v>
      </c>
      <c r="O47" s="52">
        <f>'дод. 3'!P109</f>
        <v>9216905</v>
      </c>
      <c r="P47" s="285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</row>
    <row r="48" spans="1:35" s="8" customFormat="1" ht="21.75" customHeight="1">
      <c r="A48" s="7"/>
      <c r="B48" s="7"/>
      <c r="C48" s="14" t="s">
        <v>416</v>
      </c>
      <c r="D48" s="52">
        <f>'дод. 3'!E110</f>
        <v>8129599</v>
      </c>
      <c r="E48" s="52">
        <f>'дод. 3'!F110</f>
        <v>8129599</v>
      </c>
      <c r="F48" s="52">
        <f>'дод. 3'!G110</f>
        <v>0</v>
      </c>
      <c r="G48" s="52">
        <f>'дод. 3'!H110</f>
        <v>0</v>
      </c>
      <c r="H48" s="52">
        <f>'дод. 3'!I110</f>
        <v>0</v>
      </c>
      <c r="I48" s="52">
        <f>'дод. 3'!J110</f>
        <v>0</v>
      </c>
      <c r="J48" s="52">
        <f>'дод. 3'!K110</f>
        <v>0</v>
      </c>
      <c r="K48" s="52">
        <f>'дод. 3'!L110</f>
        <v>0</v>
      </c>
      <c r="L48" s="52">
        <f>'дод. 3'!M110</f>
        <v>0</v>
      </c>
      <c r="M48" s="52">
        <f>'дод. 3'!N110</f>
        <v>0</v>
      </c>
      <c r="N48" s="52">
        <f>'дод. 3'!O110</f>
        <v>0</v>
      </c>
      <c r="O48" s="52">
        <f>'дод. 3'!P110</f>
        <v>8129599</v>
      </c>
      <c r="P48" s="285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</row>
    <row r="49" spans="1:35" s="8" customFormat="1" ht="52.5" customHeight="1">
      <c r="A49" s="7" t="s">
        <v>584</v>
      </c>
      <c r="B49" s="7" t="s">
        <v>101</v>
      </c>
      <c r="C49" s="40" t="s">
        <v>582</v>
      </c>
      <c r="D49" s="52">
        <f>'дод. 3'!E111</f>
        <v>28642473</v>
      </c>
      <c r="E49" s="52">
        <f>'дод. 3'!F111</f>
        <v>28642473</v>
      </c>
      <c r="F49" s="52">
        <f>'дод. 3'!G111</f>
        <v>0</v>
      </c>
      <c r="G49" s="52">
        <f>'дод. 3'!H111</f>
        <v>0</v>
      </c>
      <c r="H49" s="52">
        <f>'дод. 3'!I111</f>
        <v>0</v>
      </c>
      <c r="I49" s="52">
        <f>'дод. 3'!J111</f>
        <v>54600</v>
      </c>
      <c r="J49" s="52">
        <f>'дод. 3'!K111</f>
        <v>0</v>
      </c>
      <c r="K49" s="52">
        <f>'дод. 3'!L111</f>
        <v>0</v>
      </c>
      <c r="L49" s="52">
        <f>'дод. 3'!M111</f>
        <v>0</v>
      </c>
      <c r="M49" s="52">
        <f>'дод. 3'!N111</f>
        <v>54600</v>
      </c>
      <c r="N49" s="52">
        <f>'дод. 3'!O111</f>
        <v>54600</v>
      </c>
      <c r="O49" s="52">
        <f>'дод. 3'!P111</f>
        <v>28697073</v>
      </c>
      <c r="P49" s="285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</row>
    <row r="50" spans="1:35" s="8" customFormat="1" ht="21.75" customHeight="1">
      <c r="A50" s="7"/>
      <c r="B50" s="7"/>
      <c r="C50" s="14" t="s">
        <v>416</v>
      </c>
      <c r="D50" s="52">
        <f>'дод. 3'!E112</f>
        <v>27647901</v>
      </c>
      <c r="E50" s="52">
        <f>'дод. 3'!F112</f>
        <v>27647901</v>
      </c>
      <c r="F50" s="52">
        <f>'дод. 3'!G112</f>
        <v>0</v>
      </c>
      <c r="G50" s="52">
        <f>'дод. 3'!H112</f>
        <v>0</v>
      </c>
      <c r="H50" s="52">
        <f>'дод. 3'!I112</f>
        <v>0</v>
      </c>
      <c r="I50" s="52">
        <f>'дод. 3'!J112</f>
        <v>0</v>
      </c>
      <c r="J50" s="52">
        <f>'дод. 3'!K112</f>
        <v>0</v>
      </c>
      <c r="K50" s="52">
        <f>'дод. 3'!L112</f>
        <v>0</v>
      </c>
      <c r="L50" s="52">
        <f>'дод. 3'!M112</f>
        <v>0</v>
      </c>
      <c r="M50" s="52">
        <f>'дод. 3'!N112</f>
        <v>0</v>
      </c>
      <c r="N50" s="52">
        <f>'дод. 3'!O112</f>
        <v>0</v>
      </c>
      <c r="O50" s="52">
        <f>'дод. 3'!P112</f>
        <v>27647901</v>
      </c>
      <c r="P50" s="285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</row>
    <row r="51" spans="1:35" ht="40.5" customHeight="1">
      <c r="A51" s="24">
        <v>2140</v>
      </c>
      <c r="B51" s="24"/>
      <c r="C51" s="41" t="s">
        <v>167</v>
      </c>
      <c r="D51" s="51">
        <f aca="true" t="shared" si="9" ref="D51:O51">D53+D55</f>
        <v>14043000</v>
      </c>
      <c r="E51" s="51">
        <f t="shared" si="9"/>
        <v>14043000</v>
      </c>
      <c r="F51" s="51">
        <f t="shared" si="9"/>
        <v>0</v>
      </c>
      <c r="G51" s="51">
        <f t="shared" si="9"/>
        <v>0</v>
      </c>
      <c r="H51" s="51">
        <f t="shared" si="9"/>
        <v>0</v>
      </c>
      <c r="I51" s="51">
        <f t="shared" si="9"/>
        <v>0</v>
      </c>
      <c r="J51" s="51">
        <f t="shared" si="9"/>
        <v>0</v>
      </c>
      <c r="K51" s="51">
        <f t="shared" si="9"/>
        <v>0</v>
      </c>
      <c r="L51" s="51">
        <f t="shared" si="9"/>
        <v>0</v>
      </c>
      <c r="M51" s="51">
        <f t="shared" si="9"/>
        <v>0</v>
      </c>
      <c r="N51" s="51">
        <f t="shared" si="9"/>
        <v>0</v>
      </c>
      <c r="O51" s="51">
        <f t="shared" si="9"/>
        <v>14043000</v>
      </c>
      <c r="P51" s="285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</row>
    <row r="52" spans="1:35" ht="22.5" customHeight="1">
      <c r="A52" s="24"/>
      <c r="B52" s="24"/>
      <c r="C52" s="13" t="s">
        <v>416</v>
      </c>
      <c r="D52" s="51">
        <f aca="true" t="shared" si="10" ref="D52:O52">D53+D56</f>
        <v>14043000</v>
      </c>
      <c r="E52" s="51">
        <f t="shared" si="10"/>
        <v>14043000</v>
      </c>
      <c r="F52" s="51">
        <f t="shared" si="10"/>
        <v>0</v>
      </c>
      <c r="G52" s="51">
        <f t="shared" si="10"/>
        <v>0</v>
      </c>
      <c r="H52" s="51">
        <f t="shared" si="10"/>
        <v>0</v>
      </c>
      <c r="I52" s="51">
        <f t="shared" si="10"/>
        <v>0</v>
      </c>
      <c r="J52" s="51">
        <f t="shared" si="10"/>
        <v>0</v>
      </c>
      <c r="K52" s="51">
        <f t="shared" si="10"/>
        <v>0</v>
      </c>
      <c r="L52" s="51">
        <f t="shared" si="10"/>
        <v>0</v>
      </c>
      <c r="M52" s="51">
        <f t="shared" si="10"/>
        <v>0</v>
      </c>
      <c r="N52" s="51">
        <f t="shared" si="10"/>
        <v>0</v>
      </c>
      <c r="O52" s="51">
        <f t="shared" si="10"/>
        <v>14043000</v>
      </c>
      <c r="P52" s="285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</row>
    <row r="53" spans="1:35" s="8" customFormat="1" ht="36.75" customHeight="1">
      <c r="A53" s="25">
        <v>2144</v>
      </c>
      <c r="B53" s="7" t="s">
        <v>103</v>
      </c>
      <c r="C53" s="45" t="s">
        <v>193</v>
      </c>
      <c r="D53" s="52">
        <f>'дод. 3'!E115</f>
        <v>7131500</v>
      </c>
      <c r="E53" s="52">
        <f>'дод. 3'!F115</f>
        <v>7131500</v>
      </c>
      <c r="F53" s="52">
        <f>'дод. 3'!G115</f>
        <v>0</v>
      </c>
      <c r="G53" s="52">
        <f>'дод. 3'!H115</f>
        <v>0</v>
      </c>
      <c r="H53" s="52">
        <f>'дод. 3'!I115</f>
        <v>0</v>
      </c>
      <c r="I53" s="52">
        <f>'дод. 3'!J115</f>
        <v>0</v>
      </c>
      <c r="J53" s="52">
        <f>'дод. 3'!K115</f>
        <v>0</v>
      </c>
      <c r="K53" s="52">
        <f>'дод. 3'!L115</f>
        <v>0</v>
      </c>
      <c r="L53" s="52">
        <f>'дод. 3'!M115</f>
        <v>0</v>
      </c>
      <c r="M53" s="52">
        <f>'дод. 3'!N115</f>
        <v>0</v>
      </c>
      <c r="N53" s="52">
        <f>'дод. 3'!O115</f>
        <v>0</v>
      </c>
      <c r="O53" s="52">
        <f>'дод. 3'!P115</f>
        <v>7131500</v>
      </c>
      <c r="P53" s="285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</row>
    <row r="54" spans="1:35" s="8" customFormat="1" ht="24.75" customHeight="1">
      <c r="A54" s="25"/>
      <c r="B54" s="7"/>
      <c r="C54" s="14" t="s">
        <v>416</v>
      </c>
      <c r="D54" s="52">
        <f>'дод. 3'!E116</f>
        <v>7131500</v>
      </c>
      <c r="E54" s="52">
        <f>'дод. 3'!F116</f>
        <v>7131500</v>
      </c>
      <c r="F54" s="52">
        <f>'дод. 3'!G116</f>
        <v>0</v>
      </c>
      <c r="G54" s="52">
        <f>'дод. 3'!H116</f>
        <v>0</v>
      </c>
      <c r="H54" s="52">
        <f>'дод. 3'!I116</f>
        <v>0</v>
      </c>
      <c r="I54" s="52">
        <f>'дод. 3'!J116</f>
        <v>0</v>
      </c>
      <c r="J54" s="52">
        <f>'дод. 3'!K116</f>
        <v>0</v>
      </c>
      <c r="K54" s="52">
        <f>'дод. 3'!L116</f>
        <v>0</v>
      </c>
      <c r="L54" s="52">
        <f>'дод. 3'!M116</f>
        <v>0</v>
      </c>
      <c r="M54" s="52">
        <f>'дод. 3'!N116</f>
        <v>0</v>
      </c>
      <c r="N54" s="52">
        <f>'дод. 3'!O116</f>
        <v>0</v>
      </c>
      <c r="O54" s="52">
        <f>'дод. 3'!P116</f>
        <v>7131500</v>
      </c>
      <c r="P54" s="285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</row>
    <row r="55" spans="1:35" s="8" customFormat="1" ht="32.25" customHeight="1">
      <c r="A55" s="25">
        <v>2146</v>
      </c>
      <c r="B55" s="7" t="s">
        <v>103</v>
      </c>
      <c r="C55" s="45" t="s">
        <v>513</v>
      </c>
      <c r="D55" s="52">
        <f>'дод. 3'!E117</f>
        <v>6911500</v>
      </c>
      <c r="E55" s="52">
        <f>'дод. 3'!F117</f>
        <v>6911500</v>
      </c>
      <c r="F55" s="52">
        <f>'дод. 3'!G117</f>
        <v>0</v>
      </c>
      <c r="G55" s="52">
        <f>'дод. 3'!H117</f>
        <v>0</v>
      </c>
      <c r="H55" s="52">
        <f>'дод. 3'!I117</f>
        <v>0</v>
      </c>
      <c r="I55" s="52">
        <f>'дод. 3'!J117</f>
        <v>0</v>
      </c>
      <c r="J55" s="52">
        <f>'дод. 3'!K117</f>
        <v>0</v>
      </c>
      <c r="K55" s="52">
        <f>'дод. 3'!L117</f>
        <v>0</v>
      </c>
      <c r="L55" s="52">
        <f>'дод. 3'!M117</f>
        <v>0</v>
      </c>
      <c r="M55" s="52">
        <f>'дод. 3'!N117</f>
        <v>0</v>
      </c>
      <c r="N55" s="52">
        <f>'дод. 3'!O117</f>
        <v>0</v>
      </c>
      <c r="O55" s="52">
        <f>'дод. 3'!P117</f>
        <v>6911500</v>
      </c>
      <c r="P55" s="285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</row>
    <row r="56" spans="1:35" s="8" customFormat="1" ht="24.75" customHeight="1">
      <c r="A56" s="25"/>
      <c r="B56" s="7"/>
      <c r="C56" s="14" t="s">
        <v>416</v>
      </c>
      <c r="D56" s="52">
        <f>'дод. 3'!E118</f>
        <v>6911500</v>
      </c>
      <c r="E56" s="52">
        <f>'дод. 3'!F118</f>
        <v>6911500</v>
      </c>
      <c r="F56" s="52">
        <f>'дод. 3'!G118</f>
        <v>0</v>
      </c>
      <c r="G56" s="52">
        <f>'дод. 3'!H118</f>
        <v>0</v>
      </c>
      <c r="H56" s="52">
        <f>'дод. 3'!I118</f>
        <v>0</v>
      </c>
      <c r="I56" s="52">
        <f>'дод. 3'!J118</f>
        <v>0</v>
      </c>
      <c r="J56" s="52">
        <f>'дод. 3'!K118</f>
        <v>0</v>
      </c>
      <c r="K56" s="52">
        <f>'дод. 3'!L118</f>
        <v>0</v>
      </c>
      <c r="L56" s="52">
        <f>'дод. 3'!M118</f>
        <v>0</v>
      </c>
      <c r="M56" s="52">
        <f>'дод. 3'!N118</f>
        <v>0</v>
      </c>
      <c r="N56" s="52">
        <f>'дод. 3'!O118</f>
        <v>0</v>
      </c>
      <c r="O56" s="52">
        <f>'дод. 3'!P118</f>
        <v>6911500</v>
      </c>
      <c r="P56" s="285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</row>
    <row r="57" spans="1:35" ht="35.25" customHeight="1">
      <c r="A57" s="5" t="s">
        <v>194</v>
      </c>
      <c r="B57" s="5"/>
      <c r="C57" s="18" t="s">
        <v>359</v>
      </c>
      <c r="D57" s="51">
        <f>D59+D61</f>
        <v>7027448</v>
      </c>
      <c r="E57" s="51">
        <f aca="true" t="shared" si="11" ref="E57:O57">E59+E61</f>
        <v>7027448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3406496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3406496</v>
      </c>
      <c r="N57" s="51">
        <f t="shared" si="11"/>
        <v>3406496</v>
      </c>
      <c r="O57" s="51">
        <f t="shared" si="11"/>
        <v>10433944</v>
      </c>
      <c r="P57" s="285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</row>
    <row r="58" spans="2:35" ht="21.75" customHeight="1">
      <c r="B58" s="5"/>
      <c r="C58" s="13" t="s">
        <v>416</v>
      </c>
      <c r="D58" s="51">
        <f>D60+D62</f>
        <v>3794203</v>
      </c>
      <c r="E58" s="51">
        <f aca="true" t="shared" si="12" ref="E58:O58">E60+E62</f>
        <v>3794203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3794203</v>
      </c>
      <c r="P58" s="285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</row>
    <row r="59" spans="1:35" s="8" customFormat="1" ht="37.5" customHeight="1">
      <c r="A59" s="7" t="s">
        <v>448</v>
      </c>
      <c r="B59" s="7" t="s">
        <v>103</v>
      </c>
      <c r="C59" s="14" t="s">
        <v>450</v>
      </c>
      <c r="D59" s="52">
        <f>'дод. 3'!E121</f>
        <v>1975455</v>
      </c>
      <c r="E59" s="52">
        <f>'дод. 3'!F121</f>
        <v>1975455</v>
      </c>
      <c r="F59" s="52">
        <f>'дод. 3'!G121</f>
        <v>0</v>
      </c>
      <c r="G59" s="52">
        <f>'дод. 3'!H121</f>
        <v>0</v>
      </c>
      <c r="H59" s="52">
        <f>'дод. 3'!I121</f>
        <v>0</v>
      </c>
      <c r="I59" s="52">
        <f>'дод. 3'!J121</f>
        <v>0</v>
      </c>
      <c r="J59" s="52">
        <f>'дод. 3'!K121</f>
        <v>0</v>
      </c>
      <c r="K59" s="52">
        <f>'дод. 3'!L121</f>
        <v>0</v>
      </c>
      <c r="L59" s="52">
        <f>'дод. 3'!M121</f>
        <v>0</v>
      </c>
      <c r="M59" s="52">
        <f>'дод. 3'!N121</f>
        <v>0</v>
      </c>
      <c r="N59" s="52">
        <f>'дод. 3'!O121</f>
        <v>0</v>
      </c>
      <c r="O59" s="52">
        <f>'дод. 3'!P121</f>
        <v>1975455</v>
      </c>
      <c r="P59" s="285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</row>
    <row r="60" spans="1:35" s="8" customFormat="1" ht="21.75" customHeight="1">
      <c r="A60" s="7"/>
      <c r="B60" s="7"/>
      <c r="C60" s="14" t="s">
        <v>416</v>
      </c>
      <c r="D60" s="52">
        <f>'дод. 3'!E122</f>
        <v>1938677</v>
      </c>
      <c r="E60" s="52">
        <f>'дод. 3'!F122</f>
        <v>1938677</v>
      </c>
      <c r="F60" s="52">
        <f>'дод. 3'!G122</f>
        <v>0</v>
      </c>
      <c r="G60" s="52">
        <f>'дод. 3'!H122</f>
        <v>0</v>
      </c>
      <c r="H60" s="52">
        <f>'дод. 3'!I122</f>
        <v>0</v>
      </c>
      <c r="I60" s="52">
        <f>'дод. 3'!J122</f>
        <v>0</v>
      </c>
      <c r="J60" s="52">
        <f>'дод. 3'!K122</f>
        <v>0</v>
      </c>
      <c r="K60" s="52">
        <f>'дод. 3'!L122</f>
        <v>0</v>
      </c>
      <c r="L60" s="52">
        <f>'дод. 3'!M122</f>
        <v>0</v>
      </c>
      <c r="M60" s="52">
        <f>'дод. 3'!N122</f>
        <v>0</v>
      </c>
      <c r="N60" s="52">
        <f>'дод. 3'!O122</f>
        <v>0</v>
      </c>
      <c r="O60" s="52">
        <f>'дод. 3'!P122</f>
        <v>1938677</v>
      </c>
      <c r="P60" s="285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</row>
    <row r="61" spans="1:35" s="8" customFormat="1" ht="21.75" customHeight="1">
      <c r="A61" s="7" t="s">
        <v>449</v>
      </c>
      <c r="B61" s="7" t="s">
        <v>103</v>
      </c>
      <c r="C61" s="14" t="s">
        <v>451</v>
      </c>
      <c r="D61" s="52">
        <f>'дод. 3'!E123</f>
        <v>5051993</v>
      </c>
      <c r="E61" s="52">
        <f>'дод. 3'!F123</f>
        <v>5051993</v>
      </c>
      <c r="F61" s="52">
        <f>'дод. 3'!G123</f>
        <v>0</v>
      </c>
      <c r="G61" s="52">
        <f>'дод. 3'!H123</f>
        <v>0</v>
      </c>
      <c r="H61" s="52">
        <f>'дод. 3'!I123</f>
        <v>0</v>
      </c>
      <c r="I61" s="52">
        <f>'дод. 3'!J123</f>
        <v>3406496</v>
      </c>
      <c r="J61" s="52">
        <f>'дод. 3'!K123</f>
        <v>0</v>
      </c>
      <c r="K61" s="52">
        <f>'дод. 3'!L123</f>
        <v>0</v>
      </c>
      <c r="L61" s="52">
        <f>'дод. 3'!M123</f>
        <v>0</v>
      </c>
      <c r="M61" s="52">
        <f>'дод. 3'!N123</f>
        <v>3406496</v>
      </c>
      <c r="N61" s="52">
        <f>'дод. 3'!O123</f>
        <v>3406496</v>
      </c>
      <c r="O61" s="52">
        <f>'дод. 3'!P123</f>
        <v>8458489</v>
      </c>
      <c r="P61" s="285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</row>
    <row r="62" spans="1:35" s="8" customFormat="1" ht="21.75" customHeight="1">
      <c r="A62" s="7"/>
      <c r="B62" s="7"/>
      <c r="C62" s="14" t="s">
        <v>416</v>
      </c>
      <c r="D62" s="52">
        <f>'дод. 3'!E124</f>
        <v>1855526</v>
      </c>
      <c r="E62" s="52">
        <f>'дод. 3'!F124</f>
        <v>1855526</v>
      </c>
      <c r="F62" s="52">
        <f>'дод. 3'!G124</f>
        <v>0</v>
      </c>
      <c r="G62" s="52">
        <f>'дод. 3'!H124</f>
        <v>0</v>
      </c>
      <c r="H62" s="52">
        <f>'дод. 3'!I124</f>
        <v>0</v>
      </c>
      <c r="I62" s="52">
        <f>'дод. 3'!J124</f>
        <v>0</v>
      </c>
      <c r="J62" s="52">
        <f>'дод. 3'!K124</f>
        <v>0</v>
      </c>
      <c r="K62" s="52">
        <f>'дод. 3'!L124</f>
        <v>0</v>
      </c>
      <c r="L62" s="52">
        <f>'дод. 3'!M124</f>
        <v>0</v>
      </c>
      <c r="M62" s="52">
        <f>'дод. 3'!N124</f>
        <v>0</v>
      </c>
      <c r="N62" s="52">
        <f>'дод. 3'!O124</f>
        <v>0</v>
      </c>
      <c r="O62" s="52">
        <f>'дод. 3'!P124</f>
        <v>1855526</v>
      </c>
      <c r="P62" s="285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</row>
    <row r="63" spans="1:35" s="21" customFormat="1" ht="34.5" customHeight="1">
      <c r="A63" s="22" t="s">
        <v>104</v>
      </c>
      <c r="B63" s="11"/>
      <c r="C63" s="11" t="s">
        <v>105</v>
      </c>
      <c r="D63" s="55">
        <f>D77+D99+D113+D115+D117+D119+D121+D122+D126+D127+D130+D131+D138+D112+D123+D65+D71+D83+D100+D136+D132</f>
        <v>1250512414.5900002</v>
      </c>
      <c r="E63" s="55">
        <f aca="true" t="shared" si="13" ref="E63:O63">E77+E99+E113+E115+E117+E119+E121+E122+E126+E127+E130+E131+E138+E112+E123+E65+E71+E83+E100+E136+E132</f>
        <v>1250512414.5900002</v>
      </c>
      <c r="F63" s="55">
        <f t="shared" si="13"/>
        <v>11813689.1</v>
      </c>
      <c r="G63" s="55">
        <f t="shared" si="13"/>
        <v>1027783</v>
      </c>
      <c r="H63" s="55">
        <f t="shared" si="13"/>
        <v>0</v>
      </c>
      <c r="I63" s="55">
        <f t="shared" si="13"/>
        <v>5910481.21</v>
      </c>
      <c r="J63" s="55">
        <f t="shared" si="13"/>
        <v>57900</v>
      </c>
      <c r="K63" s="55">
        <f t="shared" si="13"/>
        <v>44700</v>
      </c>
      <c r="L63" s="55">
        <f t="shared" si="13"/>
        <v>0</v>
      </c>
      <c r="M63" s="55">
        <f t="shared" si="13"/>
        <v>5852581.21</v>
      </c>
      <c r="N63" s="55">
        <f t="shared" si="13"/>
        <v>5852581.21</v>
      </c>
      <c r="O63" s="55">
        <f t="shared" si="13"/>
        <v>1256422895.8000002</v>
      </c>
      <c r="P63" s="285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</row>
    <row r="64" spans="1:35" s="21" customFormat="1" ht="21.75" customHeight="1">
      <c r="A64" s="22"/>
      <c r="B64" s="11"/>
      <c r="C64" s="11" t="s">
        <v>416</v>
      </c>
      <c r="D64" s="55">
        <f>D66+D72+D84+D101+D133+D137</f>
        <v>1129586900</v>
      </c>
      <c r="E64" s="55">
        <f aca="true" t="shared" si="14" ref="E64:O64">E66+E72+E84+E101+E133+E137</f>
        <v>1129586900</v>
      </c>
      <c r="F64" s="55">
        <f t="shared" si="14"/>
        <v>0</v>
      </c>
      <c r="G64" s="55">
        <f t="shared" si="14"/>
        <v>0</v>
      </c>
      <c r="H64" s="55">
        <f t="shared" si="14"/>
        <v>0</v>
      </c>
      <c r="I64" s="55">
        <f t="shared" si="14"/>
        <v>4839581.21</v>
      </c>
      <c r="J64" s="55">
        <f t="shared" si="14"/>
        <v>0</v>
      </c>
      <c r="K64" s="55">
        <f t="shared" si="14"/>
        <v>0</v>
      </c>
      <c r="L64" s="55">
        <f t="shared" si="14"/>
        <v>0</v>
      </c>
      <c r="M64" s="55">
        <f t="shared" si="14"/>
        <v>4839581.21</v>
      </c>
      <c r="N64" s="55">
        <f t="shared" si="14"/>
        <v>4839581.21</v>
      </c>
      <c r="O64" s="55">
        <f t="shared" si="14"/>
        <v>1134426481.21</v>
      </c>
      <c r="P64" s="285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</row>
    <row r="65" spans="1:35" ht="67.5" customHeight="1">
      <c r="A65" s="5" t="s">
        <v>515</v>
      </c>
      <c r="B65" s="13"/>
      <c r="C65" s="13" t="s">
        <v>521</v>
      </c>
      <c r="D65" s="51">
        <f aca="true" t="shared" si="15" ref="D65:O65">D67+D69</f>
        <v>772232100</v>
      </c>
      <c r="E65" s="51">
        <f t="shared" si="15"/>
        <v>772232100</v>
      </c>
      <c r="F65" s="51">
        <f t="shared" si="15"/>
        <v>0</v>
      </c>
      <c r="G65" s="51">
        <f t="shared" si="15"/>
        <v>0</v>
      </c>
      <c r="H65" s="51">
        <f t="shared" si="15"/>
        <v>0</v>
      </c>
      <c r="I65" s="51">
        <f t="shared" si="15"/>
        <v>0</v>
      </c>
      <c r="J65" s="51">
        <f t="shared" si="15"/>
        <v>0</v>
      </c>
      <c r="K65" s="51">
        <f t="shared" si="15"/>
        <v>0</v>
      </c>
      <c r="L65" s="51">
        <f t="shared" si="15"/>
        <v>0</v>
      </c>
      <c r="M65" s="51">
        <f t="shared" si="15"/>
        <v>0</v>
      </c>
      <c r="N65" s="51">
        <f t="shared" si="15"/>
        <v>0</v>
      </c>
      <c r="O65" s="51">
        <f t="shared" si="15"/>
        <v>772232100</v>
      </c>
      <c r="P65" s="285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</row>
    <row r="66" spans="2:35" ht="21.75" customHeight="1">
      <c r="B66" s="13"/>
      <c r="C66" s="13" t="s">
        <v>416</v>
      </c>
      <c r="D66" s="51">
        <f aca="true" t="shared" si="16" ref="D66:O66">D68+D70</f>
        <v>772232100</v>
      </c>
      <c r="E66" s="51">
        <f t="shared" si="16"/>
        <v>772232100</v>
      </c>
      <c r="F66" s="51">
        <f t="shared" si="16"/>
        <v>0</v>
      </c>
      <c r="G66" s="51">
        <f t="shared" si="16"/>
        <v>0</v>
      </c>
      <c r="H66" s="51">
        <f t="shared" si="16"/>
        <v>0</v>
      </c>
      <c r="I66" s="51">
        <f t="shared" si="16"/>
        <v>0</v>
      </c>
      <c r="J66" s="51">
        <f t="shared" si="16"/>
        <v>0</v>
      </c>
      <c r="K66" s="51">
        <f t="shared" si="16"/>
        <v>0</v>
      </c>
      <c r="L66" s="51">
        <f t="shared" si="16"/>
        <v>0</v>
      </c>
      <c r="M66" s="51">
        <f t="shared" si="16"/>
        <v>0</v>
      </c>
      <c r="N66" s="51">
        <f t="shared" si="16"/>
        <v>0</v>
      </c>
      <c r="O66" s="51">
        <f t="shared" si="16"/>
        <v>772232100</v>
      </c>
      <c r="P66" s="285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</row>
    <row r="67" spans="1:35" s="8" customFormat="1" ht="49.5" customHeight="1">
      <c r="A67" s="7" t="s">
        <v>516</v>
      </c>
      <c r="B67" s="144">
        <v>1030</v>
      </c>
      <c r="C67" s="14" t="s">
        <v>522</v>
      </c>
      <c r="D67" s="52">
        <f>'дод. 3'!E137</f>
        <v>66261200</v>
      </c>
      <c r="E67" s="52">
        <f>'дод. 3'!F137</f>
        <v>66261200</v>
      </c>
      <c r="F67" s="52">
        <f>'дод. 3'!G137</f>
        <v>0</v>
      </c>
      <c r="G67" s="52">
        <f>'дод. 3'!H137</f>
        <v>0</v>
      </c>
      <c r="H67" s="52">
        <f>'дод. 3'!I137</f>
        <v>0</v>
      </c>
      <c r="I67" s="52">
        <f>'дод. 3'!J137</f>
        <v>0</v>
      </c>
      <c r="J67" s="52">
        <f>'дод. 3'!K137</f>
        <v>0</v>
      </c>
      <c r="K67" s="52">
        <f>'дод. 3'!L137</f>
        <v>0</v>
      </c>
      <c r="L67" s="52">
        <f>'дод. 3'!M137</f>
        <v>0</v>
      </c>
      <c r="M67" s="52">
        <f>'дод. 3'!N137</f>
        <v>0</v>
      </c>
      <c r="N67" s="52">
        <f>'дод. 3'!O137</f>
        <v>0</v>
      </c>
      <c r="O67" s="52">
        <f>'дод. 3'!P137</f>
        <v>66261200</v>
      </c>
      <c r="P67" s="285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</row>
    <row r="68" spans="1:35" s="8" customFormat="1" ht="21.75" customHeight="1">
      <c r="A68" s="7"/>
      <c r="B68" s="144"/>
      <c r="C68" s="14" t="s">
        <v>416</v>
      </c>
      <c r="D68" s="52">
        <f>'дод. 3'!E138</f>
        <v>66261200</v>
      </c>
      <c r="E68" s="52">
        <f>'дод. 3'!F138</f>
        <v>66261200</v>
      </c>
      <c r="F68" s="52">
        <f>'дод. 3'!G138</f>
        <v>0</v>
      </c>
      <c r="G68" s="52">
        <f>'дод. 3'!H138</f>
        <v>0</v>
      </c>
      <c r="H68" s="52">
        <f>'дод. 3'!I138</f>
        <v>0</v>
      </c>
      <c r="I68" s="52">
        <f>'дод. 3'!J138</f>
        <v>0</v>
      </c>
      <c r="J68" s="52">
        <f>'дод. 3'!K138</f>
        <v>0</v>
      </c>
      <c r="K68" s="52">
        <f>'дод. 3'!L138</f>
        <v>0</v>
      </c>
      <c r="L68" s="52">
        <f>'дод. 3'!M138</f>
        <v>0</v>
      </c>
      <c r="M68" s="52">
        <f>'дод. 3'!N138</f>
        <v>0</v>
      </c>
      <c r="N68" s="52">
        <f>'дод. 3'!O138</f>
        <v>0</v>
      </c>
      <c r="O68" s="52">
        <f>'дод. 3'!P138</f>
        <v>66261200</v>
      </c>
      <c r="P68" s="285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</row>
    <row r="69" spans="1:35" s="8" customFormat="1" ht="33" customHeight="1">
      <c r="A69" s="7" t="s">
        <v>517</v>
      </c>
      <c r="B69" s="144">
        <v>1060</v>
      </c>
      <c r="C69" s="14" t="s">
        <v>523</v>
      </c>
      <c r="D69" s="52">
        <f>'дод. 3'!E139</f>
        <v>705970900</v>
      </c>
      <c r="E69" s="52">
        <f>'дод. 3'!F139</f>
        <v>705970900</v>
      </c>
      <c r="F69" s="52">
        <f>'дод. 3'!G139</f>
        <v>0</v>
      </c>
      <c r="G69" s="52">
        <f>'дод. 3'!H139</f>
        <v>0</v>
      </c>
      <c r="H69" s="52">
        <f>'дод. 3'!I139</f>
        <v>0</v>
      </c>
      <c r="I69" s="52">
        <f>'дод. 3'!J139</f>
        <v>0</v>
      </c>
      <c r="J69" s="52">
        <f>'дод. 3'!K139</f>
        <v>0</v>
      </c>
      <c r="K69" s="52">
        <f>'дод. 3'!L139</f>
        <v>0</v>
      </c>
      <c r="L69" s="52">
        <f>'дод. 3'!M139</f>
        <v>0</v>
      </c>
      <c r="M69" s="52">
        <f>'дод. 3'!N139</f>
        <v>0</v>
      </c>
      <c r="N69" s="52">
        <f>'дод. 3'!O139</f>
        <v>0</v>
      </c>
      <c r="O69" s="52">
        <f>'дод. 3'!P139</f>
        <v>705970900</v>
      </c>
      <c r="P69" s="285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</row>
    <row r="70" spans="1:35" s="8" customFormat="1" ht="21.75" customHeight="1">
      <c r="A70" s="7"/>
      <c r="B70" s="14"/>
      <c r="C70" s="14" t="s">
        <v>416</v>
      </c>
      <c r="D70" s="52">
        <f>'дод. 3'!E140</f>
        <v>705970900</v>
      </c>
      <c r="E70" s="52">
        <f>'дод. 3'!F140</f>
        <v>705970900</v>
      </c>
      <c r="F70" s="52">
        <f>'дод. 3'!G140</f>
        <v>0</v>
      </c>
      <c r="G70" s="52">
        <f>'дод. 3'!H140</f>
        <v>0</v>
      </c>
      <c r="H70" s="52">
        <f>'дод. 3'!I140</f>
        <v>0</v>
      </c>
      <c r="I70" s="52">
        <f>'дод. 3'!J140</f>
        <v>0</v>
      </c>
      <c r="J70" s="52">
        <f>'дод. 3'!K140</f>
        <v>0</v>
      </c>
      <c r="K70" s="52">
        <f>'дод. 3'!L140</f>
        <v>0</v>
      </c>
      <c r="L70" s="52">
        <f>'дод. 3'!M140</f>
        <v>0</v>
      </c>
      <c r="M70" s="52">
        <f>'дод. 3'!N140</f>
        <v>0</v>
      </c>
      <c r="N70" s="52">
        <f>'дод. 3'!O140</f>
        <v>0</v>
      </c>
      <c r="O70" s="52">
        <f>'дод. 3'!P140</f>
        <v>705970900</v>
      </c>
      <c r="P70" s="285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</row>
    <row r="71" spans="1:35" ht="52.5" customHeight="1">
      <c r="A71" s="5" t="s">
        <v>518</v>
      </c>
      <c r="B71" s="13"/>
      <c r="C71" s="13" t="s">
        <v>524</v>
      </c>
      <c r="D71" s="51">
        <f aca="true" t="shared" si="17" ref="D71:O71">D73+D75</f>
        <v>375400</v>
      </c>
      <c r="E71" s="51">
        <f t="shared" si="17"/>
        <v>375400</v>
      </c>
      <c r="F71" s="51">
        <f t="shared" si="17"/>
        <v>0</v>
      </c>
      <c r="G71" s="51">
        <f t="shared" si="17"/>
        <v>0</v>
      </c>
      <c r="H71" s="51">
        <f t="shared" si="17"/>
        <v>0</v>
      </c>
      <c r="I71" s="51">
        <f t="shared" si="17"/>
        <v>0</v>
      </c>
      <c r="J71" s="51">
        <f t="shared" si="17"/>
        <v>0</v>
      </c>
      <c r="K71" s="51">
        <f t="shared" si="17"/>
        <v>0</v>
      </c>
      <c r="L71" s="51">
        <f t="shared" si="17"/>
        <v>0</v>
      </c>
      <c r="M71" s="51">
        <f t="shared" si="17"/>
        <v>0</v>
      </c>
      <c r="N71" s="51">
        <f t="shared" si="17"/>
        <v>0</v>
      </c>
      <c r="O71" s="51">
        <f t="shared" si="17"/>
        <v>375400</v>
      </c>
      <c r="P71" s="285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</row>
    <row r="72" spans="2:35" ht="21.75" customHeight="1">
      <c r="B72" s="13"/>
      <c r="C72" s="13" t="s">
        <v>416</v>
      </c>
      <c r="D72" s="51">
        <f aca="true" t="shared" si="18" ref="D72:O72">D74+D76</f>
        <v>375400</v>
      </c>
      <c r="E72" s="51">
        <f t="shared" si="18"/>
        <v>375400</v>
      </c>
      <c r="F72" s="51">
        <f t="shared" si="18"/>
        <v>0</v>
      </c>
      <c r="G72" s="51">
        <f t="shared" si="18"/>
        <v>0</v>
      </c>
      <c r="H72" s="51">
        <f t="shared" si="18"/>
        <v>0</v>
      </c>
      <c r="I72" s="51">
        <f t="shared" si="18"/>
        <v>0</v>
      </c>
      <c r="J72" s="51">
        <f t="shared" si="18"/>
        <v>0</v>
      </c>
      <c r="K72" s="51">
        <f t="shared" si="18"/>
        <v>0</v>
      </c>
      <c r="L72" s="51">
        <f t="shared" si="18"/>
        <v>0</v>
      </c>
      <c r="M72" s="51">
        <f t="shared" si="18"/>
        <v>0</v>
      </c>
      <c r="N72" s="51">
        <f t="shared" si="18"/>
        <v>0</v>
      </c>
      <c r="O72" s="51">
        <f t="shared" si="18"/>
        <v>375400</v>
      </c>
      <c r="P72" s="285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</row>
    <row r="73" spans="1:35" s="8" customFormat="1" ht="64.5" customHeight="1">
      <c r="A73" s="7" t="s">
        <v>519</v>
      </c>
      <c r="B73" s="144">
        <v>1030</v>
      </c>
      <c r="C73" s="14" t="s">
        <v>525</v>
      </c>
      <c r="D73" s="52">
        <f>'дод. 3'!E143</f>
        <v>57630</v>
      </c>
      <c r="E73" s="52">
        <f>'дод. 3'!F143</f>
        <v>57630</v>
      </c>
      <c r="F73" s="52">
        <f>'дод. 3'!G143</f>
        <v>0</v>
      </c>
      <c r="G73" s="52">
        <f>'дод. 3'!H143</f>
        <v>0</v>
      </c>
      <c r="H73" s="52">
        <f>'дод. 3'!I143</f>
        <v>0</v>
      </c>
      <c r="I73" s="52">
        <f>'дод. 3'!J143</f>
        <v>0</v>
      </c>
      <c r="J73" s="52">
        <f>'дод. 3'!K143</f>
        <v>0</v>
      </c>
      <c r="K73" s="52">
        <f>'дод. 3'!L143</f>
        <v>0</v>
      </c>
      <c r="L73" s="52">
        <f>'дод. 3'!M143</f>
        <v>0</v>
      </c>
      <c r="M73" s="52">
        <f>'дод. 3'!N143</f>
        <v>0</v>
      </c>
      <c r="N73" s="52">
        <f>'дод. 3'!O143</f>
        <v>0</v>
      </c>
      <c r="O73" s="52">
        <f>'дод. 3'!P143</f>
        <v>57630</v>
      </c>
      <c r="P73" s="296">
        <v>18</v>
      </c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1:35" s="8" customFormat="1" ht="21.75" customHeight="1">
      <c r="A74" s="7"/>
      <c r="B74" s="14"/>
      <c r="C74" s="14" t="s">
        <v>416</v>
      </c>
      <c r="D74" s="52">
        <f>'дод. 3'!E144</f>
        <v>57630</v>
      </c>
      <c r="E74" s="52">
        <f>'дод. 3'!F144</f>
        <v>57630</v>
      </c>
      <c r="F74" s="52">
        <f>'дод. 3'!G144</f>
        <v>0</v>
      </c>
      <c r="G74" s="52">
        <f>'дод. 3'!H144</f>
        <v>0</v>
      </c>
      <c r="H74" s="52">
        <f>'дод. 3'!I144</f>
        <v>0</v>
      </c>
      <c r="I74" s="52">
        <f>'дод. 3'!J144</f>
        <v>0</v>
      </c>
      <c r="J74" s="52">
        <f>'дод. 3'!K144</f>
        <v>0</v>
      </c>
      <c r="K74" s="52">
        <f>'дод. 3'!L144</f>
        <v>0</v>
      </c>
      <c r="L74" s="52">
        <f>'дод. 3'!M144</f>
        <v>0</v>
      </c>
      <c r="M74" s="52">
        <f>'дод. 3'!N144</f>
        <v>0</v>
      </c>
      <c r="N74" s="52">
        <f>'дод. 3'!O144</f>
        <v>0</v>
      </c>
      <c r="O74" s="52">
        <f>'дод. 3'!P144</f>
        <v>57630</v>
      </c>
      <c r="P74" s="296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  <row r="75" spans="1:35" s="8" customFormat="1" ht="55.5" customHeight="1">
      <c r="A75" s="7" t="s">
        <v>520</v>
      </c>
      <c r="B75" s="144">
        <v>1060</v>
      </c>
      <c r="C75" s="14" t="s">
        <v>526</v>
      </c>
      <c r="D75" s="52">
        <f>'дод. 3'!E145</f>
        <v>317770</v>
      </c>
      <c r="E75" s="52">
        <f>'дод. 3'!F145</f>
        <v>317770</v>
      </c>
      <c r="F75" s="52">
        <f>'дод. 3'!G145</f>
        <v>0</v>
      </c>
      <c r="G75" s="52">
        <f>'дод. 3'!H145</f>
        <v>0</v>
      </c>
      <c r="H75" s="52">
        <f>'дод. 3'!I145</f>
        <v>0</v>
      </c>
      <c r="I75" s="52">
        <f>'дод. 3'!J145</f>
        <v>0</v>
      </c>
      <c r="J75" s="52">
        <f>'дод. 3'!K145</f>
        <v>0</v>
      </c>
      <c r="K75" s="52">
        <f>'дод. 3'!L145</f>
        <v>0</v>
      </c>
      <c r="L75" s="52">
        <f>'дод. 3'!M145</f>
        <v>0</v>
      </c>
      <c r="M75" s="52">
        <f>'дод. 3'!N145</f>
        <v>0</v>
      </c>
      <c r="N75" s="52">
        <f>'дод. 3'!O145</f>
        <v>0</v>
      </c>
      <c r="O75" s="52">
        <f>'дод. 3'!P145</f>
        <v>317770</v>
      </c>
      <c r="P75" s="296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</row>
    <row r="76" spans="1:35" s="8" customFormat="1" ht="21.75" customHeight="1">
      <c r="A76" s="7"/>
      <c r="B76" s="14"/>
      <c r="C76" s="14" t="s">
        <v>416</v>
      </c>
      <c r="D76" s="52">
        <f>'дод. 3'!E146</f>
        <v>317770</v>
      </c>
      <c r="E76" s="52">
        <f>'дод. 3'!F146</f>
        <v>317770</v>
      </c>
      <c r="F76" s="52">
        <f>'дод. 3'!G146</f>
        <v>0</v>
      </c>
      <c r="G76" s="52">
        <f>'дод. 3'!H146</f>
        <v>0</v>
      </c>
      <c r="H76" s="52">
        <f>'дод. 3'!I146</f>
        <v>0</v>
      </c>
      <c r="I76" s="52">
        <f>'дод. 3'!J146</f>
        <v>0</v>
      </c>
      <c r="J76" s="52">
        <f>'дод. 3'!K146</f>
        <v>0</v>
      </c>
      <c r="K76" s="52">
        <f>'дод. 3'!L146</f>
        <v>0</v>
      </c>
      <c r="L76" s="52">
        <f>'дод. 3'!M146</f>
        <v>0</v>
      </c>
      <c r="M76" s="52">
        <f>'дод. 3'!N146</f>
        <v>0</v>
      </c>
      <c r="N76" s="52">
        <f>'дод. 3'!O146</f>
        <v>0</v>
      </c>
      <c r="O76" s="52">
        <f>'дод. 3'!P146</f>
        <v>317770</v>
      </c>
      <c r="P76" s="296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1:35" ht="63">
      <c r="A77" s="5" t="s">
        <v>145</v>
      </c>
      <c r="B77" s="31"/>
      <c r="C77" s="13" t="s">
        <v>195</v>
      </c>
      <c r="D77" s="51">
        <f>D78+D79+D80+D82+D81</f>
        <v>51606439.89</v>
      </c>
      <c r="E77" s="51">
        <f aca="true" t="shared" si="19" ref="E77:O77">E78+E79+E80+E82+E81</f>
        <v>51606439.89</v>
      </c>
      <c r="F77" s="51">
        <f t="shared" si="19"/>
        <v>0</v>
      </c>
      <c r="G77" s="51">
        <f t="shared" si="19"/>
        <v>0</v>
      </c>
      <c r="H77" s="51">
        <f t="shared" si="19"/>
        <v>0</v>
      </c>
      <c r="I77" s="51">
        <f t="shared" si="19"/>
        <v>214000</v>
      </c>
      <c r="J77" s="51">
        <f t="shared" si="19"/>
        <v>0</v>
      </c>
      <c r="K77" s="51">
        <f t="shared" si="19"/>
        <v>0</v>
      </c>
      <c r="L77" s="51">
        <f t="shared" si="19"/>
        <v>0</v>
      </c>
      <c r="M77" s="51">
        <f t="shared" si="19"/>
        <v>214000</v>
      </c>
      <c r="N77" s="51">
        <f t="shared" si="19"/>
        <v>214000</v>
      </c>
      <c r="O77" s="51">
        <f t="shared" si="19"/>
        <v>51820439.89</v>
      </c>
      <c r="P77" s="296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</row>
    <row r="78" spans="1:35" s="8" customFormat="1" ht="45" customHeight="1">
      <c r="A78" s="7" t="s">
        <v>146</v>
      </c>
      <c r="B78" s="7" t="s">
        <v>87</v>
      </c>
      <c r="C78" s="14" t="s">
        <v>196</v>
      </c>
      <c r="D78" s="52">
        <f>'дод. 3'!E148</f>
        <v>371502</v>
      </c>
      <c r="E78" s="52">
        <f>'дод. 3'!F148</f>
        <v>371502</v>
      </c>
      <c r="F78" s="52">
        <f>'дод. 3'!G148</f>
        <v>0</v>
      </c>
      <c r="G78" s="52">
        <f>'дод. 3'!H148</f>
        <v>0</v>
      </c>
      <c r="H78" s="52">
        <f>'дод. 3'!I148</f>
        <v>0</v>
      </c>
      <c r="I78" s="52">
        <f>'дод. 3'!J148</f>
        <v>214000</v>
      </c>
      <c r="J78" s="52">
        <f>'дод. 3'!K148</f>
        <v>0</v>
      </c>
      <c r="K78" s="52">
        <f>'дод. 3'!L148</f>
        <v>0</v>
      </c>
      <c r="L78" s="52">
        <f>'дод. 3'!M148</f>
        <v>0</v>
      </c>
      <c r="M78" s="52">
        <f>'дод. 3'!N148</f>
        <v>214000</v>
      </c>
      <c r="N78" s="52">
        <f>'дод. 3'!O148</f>
        <v>214000</v>
      </c>
      <c r="O78" s="52">
        <f>'дод. 3'!P148</f>
        <v>585502</v>
      </c>
      <c r="P78" s="296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</row>
    <row r="79" spans="1:35" s="8" customFormat="1" ht="32.25" customHeight="1">
      <c r="A79" s="7" t="s">
        <v>198</v>
      </c>
      <c r="B79" s="7" t="s">
        <v>89</v>
      </c>
      <c r="C79" s="14" t="s">
        <v>197</v>
      </c>
      <c r="D79" s="52">
        <f>'дод. 3'!E149</f>
        <v>1541402</v>
      </c>
      <c r="E79" s="52">
        <f>'дод. 3'!F149</f>
        <v>1541402</v>
      </c>
      <c r="F79" s="52">
        <f>'дод. 3'!G149</f>
        <v>0</v>
      </c>
      <c r="G79" s="52">
        <f>'дод. 3'!H149</f>
        <v>0</v>
      </c>
      <c r="H79" s="52">
        <f>'дод. 3'!I149</f>
        <v>0</v>
      </c>
      <c r="I79" s="52">
        <f>'дод. 3'!J149</f>
        <v>0</v>
      </c>
      <c r="J79" s="52">
        <f>'дод. 3'!K149</f>
        <v>0</v>
      </c>
      <c r="K79" s="52">
        <f>'дод. 3'!L149</f>
        <v>0</v>
      </c>
      <c r="L79" s="52">
        <f>'дод. 3'!M149</f>
        <v>0</v>
      </c>
      <c r="M79" s="52">
        <f>'дод. 3'!N149</f>
        <v>0</v>
      </c>
      <c r="N79" s="52">
        <f>'дод. 3'!O149</f>
        <v>0</v>
      </c>
      <c r="O79" s="52">
        <f>'дод. 3'!P149</f>
        <v>1541402</v>
      </c>
      <c r="P79" s="296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</row>
    <row r="80" spans="1:35" s="8" customFormat="1" ht="54.75" customHeight="1">
      <c r="A80" s="7" t="s">
        <v>147</v>
      </c>
      <c r="B80" s="7" t="s">
        <v>89</v>
      </c>
      <c r="C80" s="14" t="s">
        <v>74</v>
      </c>
      <c r="D80" s="52">
        <f>'дод. 3'!E150+'дод. 3'!E18</f>
        <v>14361809.89</v>
      </c>
      <c r="E80" s="52">
        <f>'дод. 3'!F150+'дод. 3'!F18</f>
        <v>14361809.89</v>
      </c>
      <c r="F80" s="52">
        <f>'дод. 3'!G150+'дод. 3'!G18</f>
        <v>0</v>
      </c>
      <c r="G80" s="52">
        <f>'дод. 3'!H150+'дод. 3'!H18</f>
        <v>0</v>
      </c>
      <c r="H80" s="52">
        <f>'дод. 3'!I150+'дод. 3'!I18</f>
        <v>0</v>
      </c>
      <c r="I80" s="52">
        <f>'дод. 3'!J150+'дод. 3'!J18</f>
        <v>0</v>
      </c>
      <c r="J80" s="52">
        <f>'дод. 3'!K150+'дод. 3'!K18</f>
        <v>0</v>
      </c>
      <c r="K80" s="52">
        <f>'дод. 3'!L150+'дод. 3'!L18</f>
        <v>0</v>
      </c>
      <c r="L80" s="52">
        <f>'дод. 3'!M150+'дод. 3'!M18</f>
        <v>0</v>
      </c>
      <c r="M80" s="52">
        <f>'дод. 3'!N150+'дод. 3'!N18</f>
        <v>0</v>
      </c>
      <c r="N80" s="52">
        <f>'дод. 3'!O150+'дод. 3'!O18</f>
        <v>0</v>
      </c>
      <c r="O80" s="52">
        <f>'дод. 3'!P150+'дод. 3'!P18</f>
        <v>14361809.89</v>
      </c>
      <c r="P80" s="296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</row>
    <row r="81" spans="1:35" s="8" customFormat="1" ht="54.75" customHeight="1">
      <c r="A81" s="7" t="s">
        <v>595</v>
      </c>
      <c r="B81" s="7" t="s">
        <v>89</v>
      </c>
      <c r="C81" s="14" t="s">
        <v>594</v>
      </c>
      <c r="D81" s="52">
        <f>'дод. 3'!E151</f>
        <v>2000000</v>
      </c>
      <c r="E81" s="52">
        <f>'дод. 3'!F151</f>
        <v>2000000</v>
      </c>
      <c r="F81" s="52">
        <f>'дод. 3'!G151</f>
        <v>0</v>
      </c>
      <c r="G81" s="52">
        <f>'дод. 3'!H151</f>
        <v>0</v>
      </c>
      <c r="H81" s="52">
        <f>'дод. 3'!I151</f>
        <v>0</v>
      </c>
      <c r="I81" s="52">
        <f>'дод. 3'!J151</f>
        <v>0</v>
      </c>
      <c r="J81" s="52">
        <f>'дод. 3'!K151</f>
        <v>0</v>
      </c>
      <c r="K81" s="52">
        <f>'дод. 3'!L151</f>
        <v>0</v>
      </c>
      <c r="L81" s="52">
        <f>'дод. 3'!M151</f>
        <v>0</v>
      </c>
      <c r="M81" s="52">
        <f>'дод. 3'!N151</f>
        <v>0</v>
      </c>
      <c r="N81" s="52">
        <f>'дод. 3'!O151</f>
        <v>0</v>
      </c>
      <c r="O81" s="52">
        <f>'дод. 3'!P151</f>
        <v>2000000</v>
      </c>
      <c r="P81" s="296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</row>
    <row r="82" spans="1:35" s="8" customFormat="1" ht="58.5" customHeight="1">
      <c r="A82" s="7" t="s">
        <v>199</v>
      </c>
      <c r="B82" s="7" t="s">
        <v>89</v>
      </c>
      <c r="C82" s="14" t="s">
        <v>37</v>
      </c>
      <c r="D82" s="52">
        <f>'дод. 3'!E152+'дод. 3'!E19</f>
        <v>33331726</v>
      </c>
      <c r="E82" s="52">
        <f>'дод. 3'!F152+'дод. 3'!F19</f>
        <v>33331726</v>
      </c>
      <c r="F82" s="52">
        <f>'дод. 3'!G152+'дод. 3'!G19</f>
        <v>0</v>
      </c>
      <c r="G82" s="52">
        <f>'дод. 3'!H152+'дод. 3'!H19</f>
        <v>0</v>
      </c>
      <c r="H82" s="52">
        <f>'дод. 3'!I152+'дод. 3'!I19</f>
        <v>0</v>
      </c>
      <c r="I82" s="52">
        <f>'дод. 3'!J152+'дод. 3'!J19</f>
        <v>0</v>
      </c>
      <c r="J82" s="52">
        <f>'дод. 3'!K152+'дод. 3'!K19</f>
        <v>0</v>
      </c>
      <c r="K82" s="52">
        <f>'дод. 3'!L152+'дод. 3'!L19</f>
        <v>0</v>
      </c>
      <c r="L82" s="52">
        <f>'дод. 3'!M152+'дод. 3'!M19</f>
        <v>0</v>
      </c>
      <c r="M82" s="52">
        <f>'дод. 3'!N152+'дод. 3'!N19</f>
        <v>0</v>
      </c>
      <c r="N82" s="52">
        <f>'дод. 3'!O152+'дод. 3'!O19</f>
        <v>0</v>
      </c>
      <c r="O82" s="52">
        <f>'дод. 3'!P152+'дод. 3'!P19</f>
        <v>33331726</v>
      </c>
      <c r="P82" s="296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</row>
    <row r="83" spans="1:35" ht="39" customHeight="1">
      <c r="A83" s="5" t="s">
        <v>533</v>
      </c>
      <c r="B83" s="5"/>
      <c r="C83" s="13" t="s">
        <v>541</v>
      </c>
      <c r="D83" s="51">
        <f aca="true" t="shared" si="20" ref="D83:O83">D85+D87+D89+D91+D93+D95+D97</f>
        <v>257256180</v>
      </c>
      <c r="E83" s="51">
        <f t="shared" si="20"/>
        <v>257256180</v>
      </c>
      <c r="F83" s="51">
        <f t="shared" si="20"/>
        <v>0</v>
      </c>
      <c r="G83" s="51">
        <f t="shared" si="20"/>
        <v>0</v>
      </c>
      <c r="H83" s="51">
        <f t="shared" si="20"/>
        <v>0</v>
      </c>
      <c r="I83" s="51">
        <f t="shared" si="20"/>
        <v>0</v>
      </c>
      <c r="J83" s="51">
        <f t="shared" si="20"/>
        <v>0</v>
      </c>
      <c r="K83" s="51">
        <f t="shared" si="20"/>
        <v>0</v>
      </c>
      <c r="L83" s="51">
        <f t="shared" si="20"/>
        <v>0</v>
      </c>
      <c r="M83" s="51">
        <f t="shared" si="20"/>
        <v>0</v>
      </c>
      <c r="N83" s="51">
        <f t="shared" si="20"/>
        <v>0</v>
      </c>
      <c r="O83" s="51">
        <f t="shared" si="20"/>
        <v>257256180</v>
      </c>
      <c r="P83" s="296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</row>
    <row r="84" spans="2:35" ht="24" customHeight="1">
      <c r="B84" s="5"/>
      <c r="C84" s="13" t="s">
        <v>416</v>
      </c>
      <c r="D84" s="51">
        <f aca="true" t="shared" si="21" ref="D84:O84">D86+D88+D90+D92+D94+D96+D98</f>
        <v>257256180</v>
      </c>
      <c r="E84" s="51">
        <f t="shared" si="21"/>
        <v>257256180</v>
      </c>
      <c r="F84" s="51">
        <f t="shared" si="21"/>
        <v>0</v>
      </c>
      <c r="G84" s="51">
        <f t="shared" si="21"/>
        <v>0</v>
      </c>
      <c r="H84" s="51">
        <f t="shared" si="21"/>
        <v>0</v>
      </c>
      <c r="I84" s="51">
        <f t="shared" si="21"/>
        <v>0</v>
      </c>
      <c r="J84" s="51">
        <f t="shared" si="21"/>
        <v>0</v>
      </c>
      <c r="K84" s="51">
        <f t="shared" si="21"/>
        <v>0</v>
      </c>
      <c r="L84" s="51">
        <f t="shared" si="21"/>
        <v>0</v>
      </c>
      <c r="M84" s="51">
        <f t="shared" si="21"/>
        <v>0</v>
      </c>
      <c r="N84" s="51">
        <f t="shared" si="21"/>
        <v>0</v>
      </c>
      <c r="O84" s="51">
        <f t="shared" si="21"/>
        <v>257256180</v>
      </c>
      <c r="P84" s="296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</row>
    <row r="85" spans="1:35" s="8" customFormat="1" ht="27" customHeight="1">
      <c r="A85" s="7" t="s">
        <v>534</v>
      </c>
      <c r="B85" s="7" t="s">
        <v>148</v>
      </c>
      <c r="C85" s="14" t="s">
        <v>542</v>
      </c>
      <c r="D85" s="52">
        <f>'дод. 3'!E155</f>
        <v>3598320</v>
      </c>
      <c r="E85" s="52">
        <f>'дод. 3'!F155</f>
        <v>3598320</v>
      </c>
      <c r="F85" s="52">
        <f>'дод. 3'!G155</f>
        <v>0</v>
      </c>
      <c r="G85" s="52">
        <f>'дод. 3'!H155</f>
        <v>0</v>
      </c>
      <c r="H85" s="52">
        <f>'дод. 3'!I155</f>
        <v>0</v>
      </c>
      <c r="I85" s="52">
        <f>'дод. 3'!J155</f>
        <v>0</v>
      </c>
      <c r="J85" s="52">
        <f>'дод. 3'!K155</f>
        <v>0</v>
      </c>
      <c r="K85" s="52">
        <f>'дод. 3'!L155</f>
        <v>0</v>
      </c>
      <c r="L85" s="52">
        <f>'дод. 3'!M155</f>
        <v>0</v>
      </c>
      <c r="M85" s="52">
        <f>'дод. 3'!N155</f>
        <v>0</v>
      </c>
      <c r="N85" s="52">
        <f>'дод. 3'!O155</f>
        <v>0</v>
      </c>
      <c r="O85" s="52">
        <f>'дод. 3'!P155</f>
        <v>3598320</v>
      </c>
      <c r="P85" s="296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1:35" s="8" customFormat="1" ht="16.5" customHeight="1">
      <c r="A86" s="7"/>
      <c r="B86" s="7"/>
      <c r="C86" s="14" t="s">
        <v>416</v>
      </c>
      <c r="D86" s="52">
        <f>'дод. 3'!E156</f>
        <v>3598320</v>
      </c>
      <c r="E86" s="52">
        <f>'дод. 3'!F156</f>
        <v>3598320</v>
      </c>
      <c r="F86" s="52">
        <f>'дод. 3'!G156</f>
        <v>0</v>
      </c>
      <c r="G86" s="52">
        <f>'дод. 3'!H156</f>
        <v>0</v>
      </c>
      <c r="H86" s="52">
        <f>'дод. 3'!I156</f>
        <v>0</v>
      </c>
      <c r="I86" s="52">
        <f>'дод. 3'!J156</f>
        <v>0</v>
      </c>
      <c r="J86" s="52">
        <f>'дод. 3'!K156</f>
        <v>0</v>
      </c>
      <c r="K86" s="52">
        <f>'дод. 3'!L156</f>
        <v>0</v>
      </c>
      <c r="L86" s="52">
        <f>'дод. 3'!M156</f>
        <v>0</v>
      </c>
      <c r="M86" s="52">
        <f>'дод. 3'!N156</f>
        <v>0</v>
      </c>
      <c r="N86" s="52">
        <f>'дод. 3'!O156</f>
        <v>0</v>
      </c>
      <c r="O86" s="52">
        <f>'дод. 3'!P156</f>
        <v>3598320</v>
      </c>
      <c r="P86" s="296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1:35" s="8" customFormat="1" ht="27" customHeight="1">
      <c r="A87" s="7" t="s">
        <v>535</v>
      </c>
      <c r="B87" s="7" t="s">
        <v>148</v>
      </c>
      <c r="C87" s="14" t="s">
        <v>543</v>
      </c>
      <c r="D87" s="52">
        <f>'дод. 3'!E157</f>
        <v>392160</v>
      </c>
      <c r="E87" s="52">
        <f>'дод. 3'!F157</f>
        <v>392160</v>
      </c>
      <c r="F87" s="52">
        <f>'дод. 3'!G157</f>
        <v>0</v>
      </c>
      <c r="G87" s="52">
        <f>'дод. 3'!H157</f>
        <v>0</v>
      </c>
      <c r="H87" s="52">
        <f>'дод. 3'!I157</f>
        <v>0</v>
      </c>
      <c r="I87" s="52">
        <f>'дод. 3'!J157</f>
        <v>0</v>
      </c>
      <c r="J87" s="52">
        <f>'дод. 3'!K157</f>
        <v>0</v>
      </c>
      <c r="K87" s="52">
        <f>'дод. 3'!L157</f>
        <v>0</v>
      </c>
      <c r="L87" s="52">
        <f>'дод. 3'!M157</f>
        <v>0</v>
      </c>
      <c r="M87" s="52">
        <f>'дод. 3'!N157</f>
        <v>0</v>
      </c>
      <c r="N87" s="52">
        <f>'дод. 3'!O157</f>
        <v>0</v>
      </c>
      <c r="O87" s="52">
        <f>'дод. 3'!P157</f>
        <v>392160</v>
      </c>
      <c r="P87" s="296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1:35" s="8" customFormat="1" ht="15.75" customHeight="1">
      <c r="A88" s="7"/>
      <c r="B88" s="7"/>
      <c r="C88" s="14" t="s">
        <v>416</v>
      </c>
      <c r="D88" s="52">
        <f>'дод. 3'!E158</f>
        <v>392160</v>
      </c>
      <c r="E88" s="52">
        <f>'дод. 3'!F158</f>
        <v>392160</v>
      </c>
      <c r="F88" s="52">
        <f>'дод. 3'!G158</f>
        <v>0</v>
      </c>
      <c r="G88" s="52">
        <f>'дод. 3'!H158</f>
        <v>0</v>
      </c>
      <c r="H88" s="52">
        <f>'дод. 3'!I158</f>
        <v>0</v>
      </c>
      <c r="I88" s="52">
        <f>'дод. 3'!J158</f>
        <v>0</v>
      </c>
      <c r="J88" s="52">
        <f>'дод. 3'!K158</f>
        <v>0</v>
      </c>
      <c r="K88" s="52">
        <f>'дод. 3'!L158</f>
        <v>0</v>
      </c>
      <c r="L88" s="52">
        <f>'дод. 3'!M158</f>
        <v>0</v>
      </c>
      <c r="M88" s="52">
        <f>'дод. 3'!N158</f>
        <v>0</v>
      </c>
      <c r="N88" s="52">
        <f>'дод. 3'!O158</f>
        <v>0</v>
      </c>
      <c r="O88" s="52">
        <f>'дод. 3'!P158</f>
        <v>392160</v>
      </c>
      <c r="P88" s="296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1:35" s="8" customFormat="1" ht="27" customHeight="1">
      <c r="A89" s="7" t="s">
        <v>536</v>
      </c>
      <c r="B89" s="7" t="s">
        <v>148</v>
      </c>
      <c r="C89" s="14" t="s">
        <v>544</v>
      </c>
      <c r="D89" s="52">
        <f>'дод. 3'!E159</f>
        <v>134165700</v>
      </c>
      <c r="E89" s="52">
        <f>'дод. 3'!F159</f>
        <v>134165700</v>
      </c>
      <c r="F89" s="52">
        <f>'дод. 3'!G159</f>
        <v>0</v>
      </c>
      <c r="G89" s="52">
        <f>'дод. 3'!H159</f>
        <v>0</v>
      </c>
      <c r="H89" s="52">
        <f>'дод. 3'!I159</f>
        <v>0</v>
      </c>
      <c r="I89" s="52">
        <f>'дод. 3'!J159</f>
        <v>0</v>
      </c>
      <c r="J89" s="52">
        <f>'дод. 3'!K159</f>
        <v>0</v>
      </c>
      <c r="K89" s="52">
        <f>'дод. 3'!L159</f>
        <v>0</v>
      </c>
      <c r="L89" s="52">
        <f>'дод. 3'!M159</f>
        <v>0</v>
      </c>
      <c r="M89" s="52">
        <f>'дод. 3'!N159</f>
        <v>0</v>
      </c>
      <c r="N89" s="52">
        <f>'дод. 3'!O159</f>
        <v>0</v>
      </c>
      <c r="O89" s="52">
        <f>'дод. 3'!P159</f>
        <v>134165700</v>
      </c>
      <c r="P89" s="296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1:35" s="8" customFormat="1" ht="16.5" customHeight="1">
      <c r="A90" s="7"/>
      <c r="B90" s="7"/>
      <c r="C90" s="14" t="s">
        <v>416</v>
      </c>
      <c r="D90" s="52">
        <f>'дод. 3'!E160</f>
        <v>134165700</v>
      </c>
      <c r="E90" s="52">
        <f>'дод. 3'!F160</f>
        <v>134165700</v>
      </c>
      <c r="F90" s="52">
        <f>'дод. 3'!G160</f>
        <v>0</v>
      </c>
      <c r="G90" s="52">
        <f>'дод. 3'!H160</f>
        <v>0</v>
      </c>
      <c r="H90" s="52">
        <f>'дод. 3'!I160</f>
        <v>0</v>
      </c>
      <c r="I90" s="52">
        <f>'дод. 3'!J160</f>
        <v>0</v>
      </c>
      <c r="J90" s="52">
        <f>'дод. 3'!K160</f>
        <v>0</v>
      </c>
      <c r="K90" s="52">
        <f>'дод. 3'!L160</f>
        <v>0</v>
      </c>
      <c r="L90" s="52">
        <f>'дод. 3'!M160</f>
        <v>0</v>
      </c>
      <c r="M90" s="52">
        <f>'дод. 3'!N160</f>
        <v>0</v>
      </c>
      <c r="N90" s="52">
        <f>'дод. 3'!O160</f>
        <v>0</v>
      </c>
      <c r="O90" s="52">
        <f>'дод. 3'!P160</f>
        <v>134165700</v>
      </c>
      <c r="P90" s="296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1:35" s="8" customFormat="1" ht="36" customHeight="1">
      <c r="A91" s="7" t="s">
        <v>537</v>
      </c>
      <c r="B91" s="7" t="s">
        <v>148</v>
      </c>
      <c r="C91" s="14" t="s">
        <v>545</v>
      </c>
      <c r="D91" s="52">
        <f>'дод. 3'!E161</f>
        <v>10265200</v>
      </c>
      <c r="E91" s="52">
        <f>'дод. 3'!F161</f>
        <v>10265200</v>
      </c>
      <c r="F91" s="52">
        <f>'дод. 3'!G161</f>
        <v>0</v>
      </c>
      <c r="G91" s="52">
        <f>'дод. 3'!H161</f>
        <v>0</v>
      </c>
      <c r="H91" s="52">
        <f>'дод. 3'!I161</f>
        <v>0</v>
      </c>
      <c r="I91" s="52">
        <f>'дод. 3'!J161</f>
        <v>0</v>
      </c>
      <c r="J91" s="52">
        <f>'дод. 3'!K161</f>
        <v>0</v>
      </c>
      <c r="K91" s="52">
        <f>'дод. 3'!L161</f>
        <v>0</v>
      </c>
      <c r="L91" s="52">
        <f>'дод. 3'!M161</f>
        <v>0</v>
      </c>
      <c r="M91" s="52">
        <f>'дод. 3'!N161</f>
        <v>0</v>
      </c>
      <c r="N91" s="52">
        <f>'дод. 3'!O161</f>
        <v>0</v>
      </c>
      <c r="O91" s="52">
        <f>'дод. 3'!P161</f>
        <v>10265200</v>
      </c>
      <c r="P91" s="296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1:35" s="8" customFormat="1" ht="15" customHeight="1">
      <c r="A92" s="7"/>
      <c r="B92" s="7"/>
      <c r="C92" s="14" t="s">
        <v>416</v>
      </c>
      <c r="D92" s="52">
        <f>'дод. 3'!E162</f>
        <v>10265200</v>
      </c>
      <c r="E92" s="52">
        <f>'дод. 3'!F162</f>
        <v>10265200</v>
      </c>
      <c r="F92" s="52">
        <f>'дод. 3'!G162</f>
        <v>0</v>
      </c>
      <c r="G92" s="52">
        <f>'дод. 3'!H162</f>
        <v>0</v>
      </c>
      <c r="H92" s="52">
        <f>'дод. 3'!I162</f>
        <v>0</v>
      </c>
      <c r="I92" s="52">
        <f>'дод. 3'!J162</f>
        <v>0</v>
      </c>
      <c r="J92" s="52">
        <f>'дод. 3'!K162</f>
        <v>0</v>
      </c>
      <c r="K92" s="52">
        <f>'дод. 3'!L162</f>
        <v>0</v>
      </c>
      <c r="L92" s="52">
        <f>'дод. 3'!M162</f>
        <v>0</v>
      </c>
      <c r="M92" s="52">
        <f>'дод. 3'!N162</f>
        <v>0</v>
      </c>
      <c r="N92" s="52">
        <f>'дод. 3'!O162</f>
        <v>0</v>
      </c>
      <c r="O92" s="52">
        <f>'дод. 3'!P162</f>
        <v>10265200</v>
      </c>
      <c r="P92" s="296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1:35" s="8" customFormat="1" ht="27" customHeight="1">
      <c r="A93" s="7" t="s">
        <v>538</v>
      </c>
      <c r="B93" s="7" t="s">
        <v>148</v>
      </c>
      <c r="C93" s="14" t="s">
        <v>546</v>
      </c>
      <c r="D93" s="52">
        <f>'дод. 3'!E163</f>
        <v>50558840</v>
      </c>
      <c r="E93" s="52">
        <f>'дод. 3'!F163</f>
        <v>50558840</v>
      </c>
      <c r="F93" s="52">
        <f>'дод. 3'!G163</f>
        <v>0</v>
      </c>
      <c r="G93" s="52">
        <f>'дод. 3'!H163</f>
        <v>0</v>
      </c>
      <c r="H93" s="52">
        <f>'дод. 3'!I163</f>
        <v>0</v>
      </c>
      <c r="I93" s="52">
        <f>'дод. 3'!J163</f>
        <v>0</v>
      </c>
      <c r="J93" s="52">
        <f>'дод. 3'!K163</f>
        <v>0</v>
      </c>
      <c r="K93" s="52">
        <f>'дод. 3'!L163</f>
        <v>0</v>
      </c>
      <c r="L93" s="52">
        <f>'дод. 3'!M163</f>
        <v>0</v>
      </c>
      <c r="M93" s="52">
        <f>'дод. 3'!N163</f>
        <v>0</v>
      </c>
      <c r="N93" s="52">
        <f>'дод. 3'!O163</f>
        <v>0</v>
      </c>
      <c r="O93" s="52">
        <f>'дод. 3'!P163</f>
        <v>50558840</v>
      </c>
      <c r="P93" s="296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1:35" s="8" customFormat="1" ht="17.25" customHeight="1">
      <c r="A94" s="7"/>
      <c r="B94" s="7"/>
      <c r="C94" s="14" t="s">
        <v>416</v>
      </c>
      <c r="D94" s="52">
        <f>'дод. 3'!E164</f>
        <v>50558840</v>
      </c>
      <c r="E94" s="52">
        <f>'дод. 3'!F164</f>
        <v>50558840</v>
      </c>
      <c r="F94" s="52">
        <f>'дод. 3'!G164</f>
        <v>0</v>
      </c>
      <c r="G94" s="52">
        <f>'дод. 3'!H164</f>
        <v>0</v>
      </c>
      <c r="H94" s="52">
        <f>'дод. 3'!I164</f>
        <v>0</v>
      </c>
      <c r="I94" s="52">
        <f>'дод. 3'!J164</f>
        <v>0</v>
      </c>
      <c r="J94" s="52">
        <f>'дод. 3'!K164</f>
        <v>0</v>
      </c>
      <c r="K94" s="52">
        <f>'дод. 3'!L164</f>
        <v>0</v>
      </c>
      <c r="L94" s="52">
        <f>'дод. 3'!M164</f>
        <v>0</v>
      </c>
      <c r="M94" s="52">
        <f>'дод. 3'!N164</f>
        <v>0</v>
      </c>
      <c r="N94" s="52">
        <f>'дод. 3'!O164</f>
        <v>0</v>
      </c>
      <c r="O94" s="52">
        <f>'дод. 3'!P164</f>
        <v>50558840</v>
      </c>
      <c r="P94" s="296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1:35" s="8" customFormat="1" ht="27" customHeight="1">
      <c r="A95" s="7" t="s">
        <v>539</v>
      </c>
      <c r="B95" s="7" t="s">
        <v>148</v>
      </c>
      <c r="C95" s="14" t="s">
        <v>547</v>
      </c>
      <c r="D95" s="52">
        <f>'дод. 3'!E165</f>
        <v>2245360</v>
      </c>
      <c r="E95" s="52">
        <f>'дод. 3'!F165</f>
        <v>2245360</v>
      </c>
      <c r="F95" s="52">
        <f>'дод. 3'!G165</f>
        <v>0</v>
      </c>
      <c r="G95" s="52">
        <f>'дод. 3'!H165</f>
        <v>0</v>
      </c>
      <c r="H95" s="52">
        <f>'дод. 3'!I165</f>
        <v>0</v>
      </c>
      <c r="I95" s="52">
        <f>'дод. 3'!J165</f>
        <v>0</v>
      </c>
      <c r="J95" s="52">
        <f>'дод. 3'!K165</f>
        <v>0</v>
      </c>
      <c r="K95" s="52">
        <f>'дод. 3'!L165</f>
        <v>0</v>
      </c>
      <c r="L95" s="52">
        <f>'дод. 3'!M165</f>
        <v>0</v>
      </c>
      <c r="M95" s="52">
        <f>'дод. 3'!N165</f>
        <v>0</v>
      </c>
      <c r="N95" s="52">
        <f>'дод. 3'!O165</f>
        <v>0</v>
      </c>
      <c r="O95" s="52">
        <f>'дод. 3'!P165</f>
        <v>2245360</v>
      </c>
      <c r="P95" s="296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1:35" s="8" customFormat="1" ht="16.5" customHeight="1">
      <c r="A96" s="7"/>
      <c r="B96" s="7"/>
      <c r="C96" s="14" t="s">
        <v>416</v>
      </c>
      <c r="D96" s="52">
        <f>'дод. 3'!E166</f>
        <v>2245360</v>
      </c>
      <c r="E96" s="52">
        <f>'дод. 3'!F166</f>
        <v>2245360</v>
      </c>
      <c r="F96" s="52">
        <f>'дод. 3'!G166</f>
        <v>0</v>
      </c>
      <c r="G96" s="52">
        <f>'дод. 3'!H166</f>
        <v>0</v>
      </c>
      <c r="H96" s="52">
        <f>'дод. 3'!I166</f>
        <v>0</v>
      </c>
      <c r="I96" s="52">
        <f>'дод. 3'!J166</f>
        <v>0</v>
      </c>
      <c r="J96" s="52">
        <f>'дод. 3'!K166</f>
        <v>0</v>
      </c>
      <c r="K96" s="52">
        <f>'дод. 3'!L166</f>
        <v>0</v>
      </c>
      <c r="L96" s="52">
        <f>'дод. 3'!M166</f>
        <v>0</v>
      </c>
      <c r="M96" s="52">
        <f>'дод. 3'!N166</f>
        <v>0</v>
      </c>
      <c r="N96" s="52">
        <f>'дод. 3'!O166</f>
        <v>0</v>
      </c>
      <c r="O96" s="52">
        <f>'дод. 3'!P166</f>
        <v>2245360</v>
      </c>
      <c r="P96" s="296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1:35" s="8" customFormat="1" ht="32.25" customHeight="1">
      <c r="A97" s="7" t="s">
        <v>540</v>
      </c>
      <c r="B97" s="7" t="s">
        <v>148</v>
      </c>
      <c r="C97" s="14" t="s">
        <v>548</v>
      </c>
      <c r="D97" s="52">
        <f>'дод. 3'!E167</f>
        <v>56030600</v>
      </c>
      <c r="E97" s="52">
        <f>'дод. 3'!F167</f>
        <v>56030600</v>
      </c>
      <c r="F97" s="52">
        <f>'дод. 3'!G167</f>
        <v>0</v>
      </c>
      <c r="G97" s="52">
        <f>'дод. 3'!H167</f>
        <v>0</v>
      </c>
      <c r="H97" s="52">
        <f>'дод. 3'!I167</f>
        <v>0</v>
      </c>
      <c r="I97" s="52">
        <f>'дод. 3'!J167</f>
        <v>0</v>
      </c>
      <c r="J97" s="52">
        <f>'дод. 3'!K167</f>
        <v>0</v>
      </c>
      <c r="K97" s="52">
        <f>'дод. 3'!L167</f>
        <v>0</v>
      </c>
      <c r="L97" s="52">
        <f>'дод. 3'!M167</f>
        <v>0</v>
      </c>
      <c r="M97" s="52">
        <f>'дод. 3'!N167</f>
        <v>0</v>
      </c>
      <c r="N97" s="52">
        <f>'дод. 3'!O167</f>
        <v>0</v>
      </c>
      <c r="O97" s="52">
        <f>'дод. 3'!P167</f>
        <v>56030600</v>
      </c>
      <c r="P97" s="296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1:35" s="8" customFormat="1" ht="22.5" customHeight="1">
      <c r="A98" s="7"/>
      <c r="B98" s="7"/>
      <c r="C98" s="14" t="s">
        <v>416</v>
      </c>
      <c r="D98" s="52">
        <f>'дод. 3'!E168</f>
        <v>56030600</v>
      </c>
      <c r="E98" s="52">
        <f>'дод. 3'!F168</f>
        <v>56030600</v>
      </c>
      <c r="F98" s="52">
        <f>'дод. 3'!G168</f>
        <v>0</v>
      </c>
      <c r="G98" s="52">
        <f>'дод. 3'!H168</f>
        <v>0</v>
      </c>
      <c r="H98" s="52">
        <f>'дод. 3'!I168</f>
        <v>0</v>
      </c>
      <c r="I98" s="52">
        <f>'дод. 3'!J168</f>
        <v>0</v>
      </c>
      <c r="J98" s="52">
        <f>'дод. 3'!K168</f>
        <v>0</v>
      </c>
      <c r="K98" s="52">
        <f>'дод. 3'!L168</f>
        <v>0</v>
      </c>
      <c r="L98" s="52">
        <f>'дод. 3'!M168</f>
        <v>0</v>
      </c>
      <c r="M98" s="52">
        <f>'дод. 3'!N168</f>
        <v>0</v>
      </c>
      <c r="N98" s="52">
        <f>'дод. 3'!O168</f>
        <v>0</v>
      </c>
      <c r="O98" s="52">
        <f>'дод. 3'!P168</f>
        <v>56030600</v>
      </c>
      <c r="P98" s="296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1:35" ht="40.5" customHeight="1">
      <c r="A99" s="5" t="s">
        <v>149</v>
      </c>
      <c r="B99" s="5" t="s">
        <v>89</v>
      </c>
      <c r="C99" s="13" t="s">
        <v>56</v>
      </c>
      <c r="D99" s="51">
        <f>'дод. 3'!E169</f>
        <v>625100</v>
      </c>
      <c r="E99" s="51">
        <f>'дод. 3'!F169</f>
        <v>625100</v>
      </c>
      <c r="F99" s="51">
        <f>'дод. 3'!G169</f>
        <v>0</v>
      </c>
      <c r="G99" s="51">
        <f>'дод. 3'!H169</f>
        <v>0</v>
      </c>
      <c r="H99" s="51">
        <f>'дод. 3'!I169</f>
        <v>0</v>
      </c>
      <c r="I99" s="51">
        <f>'дод. 3'!J169</f>
        <v>0</v>
      </c>
      <c r="J99" s="51">
        <f>'дод. 3'!K169</f>
        <v>0</v>
      </c>
      <c r="K99" s="51">
        <f>'дод. 3'!L169</f>
        <v>0</v>
      </c>
      <c r="L99" s="51">
        <f>'дод. 3'!M169</f>
        <v>0</v>
      </c>
      <c r="M99" s="51">
        <f>'дод. 3'!N169</f>
        <v>0</v>
      </c>
      <c r="N99" s="51">
        <f>'дод. 3'!O169</f>
        <v>0</v>
      </c>
      <c r="O99" s="51">
        <f>'дод. 3'!P169</f>
        <v>625100</v>
      </c>
      <c r="P99" s="296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</row>
    <row r="100" spans="1:35" ht="151.5" customHeight="1">
      <c r="A100" s="5" t="s">
        <v>557</v>
      </c>
      <c r="B100" s="5"/>
      <c r="C100" s="13" t="s">
        <v>563</v>
      </c>
      <c r="D100" s="51">
        <f aca="true" t="shared" si="22" ref="D100:O100">D102+D104+D106+D108+D110</f>
        <v>97227520</v>
      </c>
      <c r="E100" s="51">
        <f t="shared" si="22"/>
        <v>97227520</v>
      </c>
      <c r="F100" s="51">
        <f t="shared" si="22"/>
        <v>0</v>
      </c>
      <c r="G100" s="51">
        <f t="shared" si="22"/>
        <v>0</v>
      </c>
      <c r="H100" s="51">
        <f t="shared" si="22"/>
        <v>0</v>
      </c>
      <c r="I100" s="51">
        <f t="shared" si="22"/>
        <v>0</v>
      </c>
      <c r="J100" s="51">
        <f t="shared" si="22"/>
        <v>0</v>
      </c>
      <c r="K100" s="51">
        <f t="shared" si="22"/>
        <v>0</v>
      </c>
      <c r="L100" s="51">
        <f t="shared" si="22"/>
        <v>0</v>
      </c>
      <c r="M100" s="51">
        <f t="shared" si="22"/>
        <v>0</v>
      </c>
      <c r="N100" s="51">
        <f t="shared" si="22"/>
        <v>0</v>
      </c>
      <c r="O100" s="51">
        <f t="shared" si="22"/>
        <v>97227520</v>
      </c>
      <c r="P100" s="296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</row>
    <row r="101" spans="2:35" ht="27" customHeight="1">
      <c r="B101" s="5"/>
      <c r="C101" s="13" t="s">
        <v>416</v>
      </c>
      <c r="D101" s="51">
        <f aca="true" t="shared" si="23" ref="D101:O101">D103+D105+D107+D109+D111</f>
        <v>97227520</v>
      </c>
      <c r="E101" s="51">
        <f t="shared" si="23"/>
        <v>97227520</v>
      </c>
      <c r="F101" s="51">
        <f t="shared" si="23"/>
        <v>0</v>
      </c>
      <c r="G101" s="51">
        <f t="shared" si="23"/>
        <v>0</v>
      </c>
      <c r="H101" s="51">
        <f t="shared" si="23"/>
        <v>0</v>
      </c>
      <c r="I101" s="51">
        <f t="shared" si="23"/>
        <v>0</v>
      </c>
      <c r="J101" s="51">
        <f t="shared" si="23"/>
        <v>0</v>
      </c>
      <c r="K101" s="51">
        <f t="shared" si="23"/>
        <v>0</v>
      </c>
      <c r="L101" s="51">
        <f t="shared" si="23"/>
        <v>0</v>
      </c>
      <c r="M101" s="51">
        <f t="shared" si="23"/>
        <v>0</v>
      </c>
      <c r="N101" s="51">
        <f t="shared" si="23"/>
        <v>0</v>
      </c>
      <c r="O101" s="51">
        <f t="shared" si="23"/>
        <v>97227520</v>
      </c>
      <c r="P101" s="296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</row>
    <row r="102" spans="1:35" s="8" customFormat="1" ht="40.5" customHeight="1">
      <c r="A102" s="7" t="s">
        <v>558</v>
      </c>
      <c r="B102" s="7" t="s">
        <v>83</v>
      </c>
      <c r="C102" s="14" t="s">
        <v>566</v>
      </c>
      <c r="D102" s="52">
        <f>'дод. 3'!E172</f>
        <v>62044050</v>
      </c>
      <c r="E102" s="52">
        <f>'дод. 3'!F172</f>
        <v>62044050</v>
      </c>
      <c r="F102" s="52">
        <f>'дод. 3'!G172</f>
        <v>0</v>
      </c>
      <c r="G102" s="52">
        <f>'дод. 3'!H172</f>
        <v>0</v>
      </c>
      <c r="H102" s="52">
        <f>'дод. 3'!I172</f>
        <v>0</v>
      </c>
      <c r="I102" s="52">
        <f>'дод. 3'!J172</f>
        <v>0</v>
      </c>
      <c r="J102" s="52">
        <f>'дод. 3'!K172</f>
        <v>0</v>
      </c>
      <c r="K102" s="52">
        <f>'дод. 3'!L172</f>
        <v>0</v>
      </c>
      <c r="L102" s="52">
        <f>'дод. 3'!M172</f>
        <v>0</v>
      </c>
      <c r="M102" s="52">
        <f>'дод. 3'!N172</f>
        <v>0</v>
      </c>
      <c r="N102" s="52">
        <f>'дод. 3'!O172</f>
        <v>0</v>
      </c>
      <c r="O102" s="52">
        <f>'дод. 3'!P172</f>
        <v>62044050</v>
      </c>
      <c r="P102" s="296">
        <v>19</v>
      </c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1:35" s="8" customFormat="1" ht="27" customHeight="1">
      <c r="A103" s="7"/>
      <c r="B103" s="7"/>
      <c r="C103" s="14" t="s">
        <v>416</v>
      </c>
      <c r="D103" s="52">
        <f>'дод. 3'!E173</f>
        <v>62044050</v>
      </c>
      <c r="E103" s="52">
        <f>'дод. 3'!F173</f>
        <v>62044050</v>
      </c>
      <c r="F103" s="52">
        <f>'дод. 3'!G173</f>
        <v>0</v>
      </c>
      <c r="G103" s="52">
        <f>'дод. 3'!H173</f>
        <v>0</v>
      </c>
      <c r="H103" s="52">
        <f>'дод. 3'!I173</f>
        <v>0</v>
      </c>
      <c r="I103" s="52">
        <f>'дод. 3'!J173</f>
        <v>0</v>
      </c>
      <c r="J103" s="52">
        <f>'дод. 3'!K173</f>
        <v>0</v>
      </c>
      <c r="K103" s="52">
        <f>'дод. 3'!L173</f>
        <v>0</v>
      </c>
      <c r="L103" s="52">
        <f>'дод. 3'!M173</f>
        <v>0</v>
      </c>
      <c r="M103" s="52">
        <f>'дод. 3'!N173</f>
        <v>0</v>
      </c>
      <c r="N103" s="52">
        <f>'дод. 3'!O173</f>
        <v>0</v>
      </c>
      <c r="O103" s="52">
        <f>'дод. 3'!P173</f>
        <v>62044050</v>
      </c>
      <c r="P103" s="296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1:35" s="8" customFormat="1" ht="66" customHeight="1">
      <c r="A104" s="7" t="s">
        <v>559</v>
      </c>
      <c r="B104" s="7" t="s">
        <v>83</v>
      </c>
      <c r="C104" s="14" t="s">
        <v>567</v>
      </c>
      <c r="D104" s="52">
        <f>'дод. 3'!E174</f>
        <v>12251650</v>
      </c>
      <c r="E104" s="52">
        <f>'дод. 3'!F174</f>
        <v>12251650</v>
      </c>
      <c r="F104" s="52">
        <f>'дод. 3'!G174</f>
        <v>0</v>
      </c>
      <c r="G104" s="52">
        <f>'дод. 3'!H174</f>
        <v>0</v>
      </c>
      <c r="H104" s="52">
        <f>'дод. 3'!I174</f>
        <v>0</v>
      </c>
      <c r="I104" s="52">
        <f>'дод. 3'!J174</f>
        <v>0</v>
      </c>
      <c r="J104" s="52">
        <f>'дод. 3'!K174</f>
        <v>0</v>
      </c>
      <c r="K104" s="52">
        <f>'дод. 3'!L174</f>
        <v>0</v>
      </c>
      <c r="L104" s="52">
        <f>'дод. 3'!M174</f>
        <v>0</v>
      </c>
      <c r="M104" s="52">
        <f>'дод. 3'!N174</f>
        <v>0</v>
      </c>
      <c r="N104" s="52">
        <f>'дод. 3'!O174</f>
        <v>0</v>
      </c>
      <c r="O104" s="52">
        <f>'дод. 3'!P174</f>
        <v>12251650</v>
      </c>
      <c r="P104" s="296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1:35" s="8" customFormat="1" ht="27" customHeight="1">
      <c r="A105" s="7"/>
      <c r="B105" s="7"/>
      <c r="C105" s="14" t="s">
        <v>416</v>
      </c>
      <c r="D105" s="52">
        <f>'дод. 3'!E175</f>
        <v>12251650</v>
      </c>
      <c r="E105" s="52">
        <f>'дод. 3'!F175</f>
        <v>12251650</v>
      </c>
      <c r="F105" s="52">
        <f>'дод. 3'!G175</f>
        <v>0</v>
      </c>
      <c r="G105" s="52">
        <f>'дод. 3'!H175</f>
        <v>0</v>
      </c>
      <c r="H105" s="52">
        <f>'дод. 3'!I175</f>
        <v>0</v>
      </c>
      <c r="I105" s="52">
        <f>'дод. 3'!J175</f>
        <v>0</v>
      </c>
      <c r="J105" s="52">
        <f>'дод. 3'!K175</f>
        <v>0</v>
      </c>
      <c r="K105" s="52">
        <f>'дод. 3'!L175</f>
        <v>0</v>
      </c>
      <c r="L105" s="52">
        <f>'дод. 3'!M175</f>
        <v>0</v>
      </c>
      <c r="M105" s="52">
        <f>'дод. 3'!N175</f>
        <v>0</v>
      </c>
      <c r="N105" s="52">
        <f>'дод. 3'!O175</f>
        <v>0</v>
      </c>
      <c r="O105" s="52">
        <f>'дод. 3'!P175</f>
        <v>12251650</v>
      </c>
      <c r="P105" s="296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</row>
    <row r="106" spans="1:35" s="8" customFormat="1" ht="53.25" customHeight="1">
      <c r="A106" s="7" t="s">
        <v>560</v>
      </c>
      <c r="B106" s="7" t="s">
        <v>83</v>
      </c>
      <c r="C106" s="14" t="s">
        <v>568</v>
      </c>
      <c r="D106" s="52">
        <f>'дод. 3'!E176</f>
        <v>11516480</v>
      </c>
      <c r="E106" s="52">
        <f>'дод. 3'!F176</f>
        <v>11516480</v>
      </c>
      <c r="F106" s="52">
        <f>'дод. 3'!G176</f>
        <v>0</v>
      </c>
      <c r="G106" s="52">
        <f>'дод. 3'!H176</f>
        <v>0</v>
      </c>
      <c r="H106" s="52">
        <f>'дод. 3'!I176</f>
        <v>0</v>
      </c>
      <c r="I106" s="52">
        <f>'дод. 3'!J176</f>
        <v>0</v>
      </c>
      <c r="J106" s="52">
        <f>'дод. 3'!K176</f>
        <v>0</v>
      </c>
      <c r="K106" s="52">
        <f>'дод. 3'!L176</f>
        <v>0</v>
      </c>
      <c r="L106" s="52">
        <f>'дод. 3'!M176</f>
        <v>0</v>
      </c>
      <c r="M106" s="52">
        <f>'дод. 3'!N176</f>
        <v>0</v>
      </c>
      <c r="N106" s="52">
        <f>'дод. 3'!O176</f>
        <v>0</v>
      </c>
      <c r="O106" s="52">
        <f>'дод. 3'!P176</f>
        <v>11516480</v>
      </c>
      <c r="P106" s="296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1:35" s="8" customFormat="1" ht="27" customHeight="1">
      <c r="A107" s="7"/>
      <c r="B107" s="7"/>
      <c r="C107" s="14" t="s">
        <v>416</v>
      </c>
      <c r="D107" s="52">
        <f>'дод. 3'!E177</f>
        <v>11516480</v>
      </c>
      <c r="E107" s="52">
        <f>'дод. 3'!F177</f>
        <v>11516480</v>
      </c>
      <c r="F107" s="52">
        <f>'дод. 3'!G177</f>
        <v>0</v>
      </c>
      <c r="G107" s="52">
        <f>'дод. 3'!H177</f>
        <v>0</v>
      </c>
      <c r="H107" s="52">
        <f>'дод. 3'!I177</f>
        <v>0</v>
      </c>
      <c r="I107" s="52">
        <f>'дод. 3'!J177</f>
        <v>0</v>
      </c>
      <c r="J107" s="52">
        <f>'дод. 3'!K177</f>
        <v>0</v>
      </c>
      <c r="K107" s="52">
        <f>'дод. 3'!L177</f>
        <v>0</v>
      </c>
      <c r="L107" s="52">
        <f>'дод. 3'!M177</f>
        <v>0</v>
      </c>
      <c r="M107" s="52">
        <f>'дод. 3'!N177</f>
        <v>0</v>
      </c>
      <c r="N107" s="52">
        <f>'дод. 3'!O177</f>
        <v>0</v>
      </c>
      <c r="O107" s="52">
        <f>'дод. 3'!P177</f>
        <v>11516480</v>
      </c>
      <c r="P107" s="296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1:35" s="8" customFormat="1" ht="72" customHeight="1">
      <c r="A108" s="7" t="s">
        <v>561</v>
      </c>
      <c r="B108" s="7" t="s">
        <v>148</v>
      </c>
      <c r="C108" s="14" t="s">
        <v>569</v>
      </c>
      <c r="D108" s="52">
        <f>'дод. 3'!E178</f>
        <v>11267070</v>
      </c>
      <c r="E108" s="52">
        <f>'дод. 3'!F178</f>
        <v>11267070</v>
      </c>
      <c r="F108" s="52">
        <f>'дод. 3'!G178</f>
        <v>0</v>
      </c>
      <c r="G108" s="52">
        <f>'дод. 3'!H178</f>
        <v>0</v>
      </c>
      <c r="H108" s="52">
        <f>'дод. 3'!I178</f>
        <v>0</v>
      </c>
      <c r="I108" s="52">
        <f>'дод. 3'!J178</f>
        <v>0</v>
      </c>
      <c r="J108" s="52">
        <f>'дод. 3'!K178</f>
        <v>0</v>
      </c>
      <c r="K108" s="52">
        <f>'дод. 3'!L178</f>
        <v>0</v>
      </c>
      <c r="L108" s="52">
        <f>'дод. 3'!M178</f>
        <v>0</v>
      </c>
      <c r="M108" s="52">
        <f>'дод. 3'!N178</f>
        <v>0</v>
      </c>
      <c r="N108" s="52">
        <f>'дод. 3'!O178</f>
        <v>0</v>
      </c>
      <c r="O108" s="52">
        <f>'дод. 3'!P178</f>
        <v>11267070</v>
      </c>
      <c r="P108" s="296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1:35" s="8" customFormat="1" ht="27" customHeight="1">
      <c r="A109" s="7"/>
      <c r="B109" s="7"/>
      <c r="C109" s="14" t="s">
        <v>416</v>
      </c>
      <c r="D109" s="52">
        <f>'дод. 3'!E179</f>
        <v>11267070</v>
      </c>
      <c r="E109" s="52">
        <f>'дод. 3'!F179</f>
        <v>11267070</v>
      </c>
      <c r="F109" s="52">
        <f>'дод. 3'!G179</f>
        <v>0</v>
      </c>
      <c r="G109" s="52">
        <f>'дод. 3'!H179</f>
        <v>0</v>
      </c>
      <c r="H109" s="52">
        <f>'дод. 3'!I179</f>
        <v>0</v>
      </c>
      <c r="I109" s="52">
        <f>'дод. 3'!J179</f>
        <v>0</v>
      </c>
      <c r="J109" s="52">
        <f>'дод. 3'!K179</f>
        <v>0</v>
      </c>
      <c r="K109" s="52">
        <f>'дод. 3'!L179</f>
        <v>0</v>
      </c>
      <c r="L109" s="52">
        <f>'дод. 3'!M179</f>
        <v>0</v>
      </c>
      <c r="M109" s="52">
        <f>'дод. 3'!N179</f>
        <v>0</v>
      </c>
      <c r="N109" s="52">
        <f>'дод. 3'!O179</f>
        <v>0</v>
      </c>
      <c r="O109" s="52">
        <f>'дод. 3'!P179</f>
        <v>11267070</v>
      </c>
      <c r="P109" s="296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1:35" s="8" customFormat="1" ht="64.5" customHeight="1">
      <c r="A110" s="7" t="s">
        <v>562</v>
      </c>
      <c r="B110" s="7" t="s">
        <v>83</v>
      </c>
      <c r="C110" s="14" t="s">
        <v>570</v>
      </c>
      <c r="D110" s="52">
        <f>'дод. 3'!E180</f>
        <v>148270</v>
      </c>
      <c r="E110" s="52">
        <f>'дод. 3'!F180</f>
        <v>148270</v>
      </c>
      <c r="F110" s="52">
        <f>'дод. 3'!G180</f>
        <v>0</v>
      </c>
      <c r="G110" s="52">
        <f>'дод. 3'!H180</f>
        <v>0</v>
      </c>
      <c r="H110" s="52">
        <f>'дод. 3'!I180</f>
        <v>0</v>
      </c>
      <c r="I110" s="52">
        <f>'дод. 3'!J180</f>
        <v>0</v>
      </c>
      <c r="J110" s="52">
        <f>'дод. 3'!K180</f>
        <v>0</v>
      </c>
      <c r="K110" s="52">
        <f>'дод. 3'!L180</f>
        <v>0</v>
      </c>
      <c r="L110" s="52">
        <f>'дод. 3'!M180</f>
        <v>0</v>
      </c>
      <c r="M110" s="52">
        <f>'дод. 3'!N180</f>
        <v>0</v>
      </c>
      <c r="N110" s="52">
        <f>'дод. 3'!O180</f>
        <v>0</v>
      </c>
      <c r="O110" s="52">
        <f>'дод. 3'!P180</f>
        <v>148270</v>
      </c>
      <c r="P110" s="296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1:35" s="8" customFormat="1" ht="27" customHeight="1">
      <c r="A111" s="7"/>
      <c r="B111" s="7"/>
      <c r="C111" s="14" t="s">
        <v>416</v>
      </c>
      <c r="D111" s="52">
        <f>'дод. 3'!E181</f>
        <v>148270</v>
      </c>
      <c r="E111" s="52">
        <f>'дод. 3'!F181</f>
        <v>148270</v>
      </c>
      <c r="F111" s="52">
        <f>'дод. 3'!G181</f>
        <v>0</v>
      </c>
      <c r="G111" s="52">
        <f>'дод. 3'!H181</f>
        <v>0</v>
      </c>
      <c r="H111" s="52">
        <f>'дод. 3'!I181</f>
        <v>0</v>
      </c>
      <c r="I111" s="52">
        <f>'дод. 3'!J181</f>
        <v>0</v>
      </c>
      <c r="J111" s="52">
        <f>'дод. 3'!K181</f>
        <v>0</v>
      </c>
      <c r="K111" s="52">
        <f>'дод. 3'!L181</f>
        <v>0</v>
      </c>
      <c r="L111" s="52">
        <f>'дод. 3'!M181</f>
        <v>0</v>
      </c>
      <c r="M111" s="52">
        <f>'дод. 3'!N181</f>
        <v>0</v>
      </c>
      <c r="N111" s="52">
        <f>'дод. 3'!O181</f>
        <v>0</v>
      </c>
      <c r="O111" s="52">
        <f>'дод. 3'!P181</f>
        <v>148270</v>
      </c>
      <c r="P111" s="296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1:35" ht="40.5" customHeight="1">
      <c r="A112" s="5" t="s">
        <v>502</v>
      </c>
      <c r="B112" s="5" t="s">
        <v>87</v>
      </c>
      <c r="C112" s="13" t="s">
        <v>503</v>
      </c>
      <c r="D112" s="51">
        <f>'дод. 3'!E182</f>
        <v>200700</v>
      </c>
      <c r="E112" s="51">
        <f>'дод. 3'!F182</f>
        <v>200700</v>
      </c>
      <c r="F112" s="51">
        <f>'дод. 3'!G182</f>
        <v>0</v>
      </c>
      <c r="G112" s="51">
        <f>'дод. 3'!H182</f>
        <v>0</v>
      </c>
      <c r="H112" s="51">
        <f>'дод. 3'!I182</f>
        <v>0</v>
      </c>
      <c r="I112" s="51">
        <f>'дод. 3'!J182</f>
        <v>0</v>
      </c>
      <c r="J112" s="51">
        <f>'дод. 3'!K182</f>
        <v>0</v>
      </c>
      <c r="K112" s="51">
        <f>'дод. 3'!L182</f>
        <v>0</v>
      </c>
      <c r="L112" s="51">
        <f>'дод. 3'!M182</f>
        <v>0</v>
      </c>
      <c r="M112" s="51">
        <f>'дод. 3'!N182</f>
        <v>0</v>
      </c>
      <c r="N112" s="51">
        <f>'дод. 3'!O182</f>
        <v>0</v>
      </c>
      <c r="O112" s="51">
        <f>'дод. 3'!P182</f>
        <v>200700</v>
      </c>
      <c r="P112" s="296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</row>
    <row r="113" spans="1:35" ht="62.25" customHeight="1">
      <c r="A113" s="5" t="s">
        <v>150</v>
      </c>
      <c r="B113" s="15"/>
      <c r="C113" s="13" t="s">
        <v>452</v>
      </c>
      <c r="D113" s="51">
        <f aca="true" t="shared" si="24" ref="D113:O113">D114</f>
        <v>9322875</v>
      </c>
      <c r="E113" s="51">
        <f t="shared" si="24"/>
        <v>9322875</v>
      </c>
      <c r="F113" s="51">
        <f t="shared" si="24"/>
        <v>7009500</v>
      </c>
      <c r="G113" s="51">
        <f t="shared" si="24"/>
        <v>193245</v>
      </c>
      <c r="H113" s="51">
        <f t="shared" si="24"/>
        <v>0</v>
      </c>
      <c r="I113" s="51">
        <f t="shared" si="24"/>
        <v>76400</v>
      </c>
      <c r="J113" s="51">
        <f t="shared" si="24"/>
        <v>57900</v>
      </c>
      <c r="K113" s="51">
        <f t="shared" si="24"/>
        <v>44700</v>
      </c>
      <c r="L113" s="51">
        <f t="shared" si="24"/>
        <v>0</v>
      </c>
      <c r="M113" s="51">
        <f t="shared" si="24"/>
        <v>18500</v>
      </c>
      <c r="N113" s="51">
        <f t="shared" si="24"/>
        <v>18500</v>
      </c>
      <c r="O113" s="51">
        <f t="shared" si="24"/>
        <v>9399275</v>
      </c>
      <c r="P113" s="296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</row>
    <row r="114" spans="1:35" s="8" customFormat="1" ht="74.25" customHeight="1">
      <c r="A114" s="7" t="s">
        <v>151</v>
      </c>
      <c r="B114" s="7" t="s">
        <v>85</v>
      </c>
      <c r="C114" s="14" t="s">
        <v>57</v>
      </c>
      <c r="D114" s="52">
        <f>'дод. 3'!E184</f>
        <v>9322875</v>
      </c>
      <c r="E114" s="52">
        <f>'дод. 3'!F184</f>
        <v>9322875</v>
      </c>
      <c r="F114" s="52">
        <f>'дод. 3'!G184</f>
        <v>7009500</v>
      </c>
      <c r="G114" s="52">
        <f>'дод. 3'!H184</f>
        <v>193245</v>
      </c>
      <c r="H114" s="52">
        <f>'дод. 3'!I184</f>
        <v>0</v>
      </c>
      <c r="I114" s="52">
        <f>'дод. 3'!J184</f>
        <v>76400</v>
      </c>
      <c r="J114" s="52">
        <f>'дод. 3'!K184</f>
        <v>57900</v>
      </c>
      <c r="K114" s="52">
        <f>'дод. 3'!L184</f>
        <v>44700</v>
      </c>
      <c r="L114" s="52">
        <f>'дод. 3'!M184</f>
        <v>0</v>
      </c>
      <c r="M114" s="52">
        <f>'дод. 3'!N184</f>
        <v>18500</v>
      </c>
      <c r="N114" s="52">
        <f>'дод. 3'!O184</f>
        <v>18500</v>
      </c>
      <c r="O114" s="52">
        <f>'дод. 3'!P184</f>
        <v>9399275</v>
      </c>
      <c r="P114" s="296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</row>
    <row r="115" spans="1:35" ht="36.75" customHeight="1">
      <c r="A115" s="5" t="s">
        <v>161</v>
      </c>
      <c r="B115" s="5"/>
      <c r="C115" s="13" t="s">
        <v>62</v>
      </c>
      <c r="D115" s="48">
        <f aca="true" t="shared" si="25" ref="D115:O115">D116</f>
        <v>80000</v>
      </c>
      <c r="E115" s="48">
        <f t="shared" si="25"/>
        <v>80000</v>
      </c>
      <c r="F115" s="48">
        <f t="shared" si="25"/>
        <v>0</v>
      </c>
      <c r="G115" s="48">
        <f t="shared" si="25"/>
        <v>0</v>
      </c>
      <c r="H115" s="48">
        <f t="shared" si="25"/>
        <v>0</v>
      </c>
      <c r="I115" s="48">
        <f t="shared" si="25"/>
        <v>0</v>
      </c>
      <c r="J115" s="48">
        <f t="shared" si="25"/>
        <v>0</v>
      </c>
      <c r="K115" s="48">
        <f t="shared" si="25"/>
        <v>0</v>
      </c>
      <c r="L115" s="48">
        <f t="shared" si="25"/>
        <v>0</v>
      </c>
      <c r="M115" s="48">
        <f t="shared" si="25"/>
        <v>0</v>
      </c>
      <c r="N115" s="48">
        <f t="shared" si="25"/>
        <v>0</v>
      </c>
      <c r="O115" s="48">
        <f t="shared" si="25"/>
        <v>80000</v>
      </c>
      <c r="P115" s="296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</row>
    <row r="116" spans="1:35" s="8" customFormat="1" ht="43.5" customHeight="1">
      <c r="A116" s="7" t="s">
        <v>152</v>
      </c>
      <c r="B116" s="7" t="s">
        <v>148</v>
      </c>
      <c r="C116" s="14" t="s">
        <v>60</v>
      </c>
      <c r="D116" s="50">
        <f>'дод. 3'!E211</f>
        <v>80000</v>
      </c>
      <c r="E116" s="50">
        <f>'дод. 3'!F211</f>
        <v>80000</v>
      </c>
      <c r="F116" s="50">
        <f>'дод. 3'!G211</f>
        <v>0</v>
      </c>
      <c r="G116" s="50">
        <f>'дод. 3'!H211</f>
        <v>0</v>
      </c>
      <c r="H116" s="50">
        <f>'дод. 3'!I211</f>
        <v>0</v>
      </c>
      <c r="I116" s="50">
        <f>'дод. 3'!J211</f>
        <v>0</v>
      </c>
      <c r="J116" s="50">
        <f>'дод. 3'!K211</f>
        <v>0</v>
      </c>
      <c r="K116" s="50">
        <f>'дод. 3'!L211</f>
        <v>0</v>
      </c>
      <c r="L116" s="50">
        <f>'дод. 3'!M211</f>
        <v>0</v>
      </c>
      <c r="M116" s="50">
        <f>'дод. 3'!N211</f>
        <v>0</v>
      </c>
      <c r="N116" s="50">
        <f>'дод. 3'!O211</f>
        <v>0</v>
      </c>
      <c r="O116" s="50">
        <f>'дод. 3'!P211</f>
        <v>80000</v>
      </c>
      <c r="P116" s="296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</row>
    <row r="117" spans="1:35" ht="37.5" customHeight="1">
      <c r="A117" s="5" t="s">
        <v>200</v>
      </c>
      <c r="B117" s="5"/>
      <c r="C117" s="13" t="s">
        <v>40</v>
      </c>
      <c r="D117" s="48">
        <f aca="true" t="shared" si="26" ref="D117:O117">D118</f>
        <v>1791330</v>
      </c>
      <c r="E117" s="48">
        <f t="shared" si="26"/>
        <v>1791330</v>
      </c>
      <c r="F117" s="48">
        <f t="shared" si="26"/>
        <v>1348310</v>
      </c>
      <c r="G117" s="48">
        <f t="shared" si="26"/>
        <v>63780</v>
      </c>
      <c r="H117" s="48">
        <f t="shared" si="26"/>
        <v>0</v>
      </c>
      <c r="I117" s="48">
        <f t="shared" si="26"/>
        <v>405500</v>
      </c>
      <c r="J117" s="48">
        <f t="shared" si="26"/>
        <v>0</v>
      </c>
      <c r="K117" s="48">
        <f t="shared" si="26"/>
        <v>0</v>
      </c>
      <c r="L117" s="48">
        <f t="shared" si="26"/>
        <v>0</v>
      </c>
      <c r="M117" s="48">
        <f t="shared" si="26"/>
        <v>405500</v>
      </c>
      <c r="N117" s="48">
        <f t="shared" si="26"/>
        <v>405500</v>
      </c>
      <c r="O117" s="48">
        <f t="shared" si="26"/>
        <v>2196830</v>
      </c>
      <c r="P117" s="296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</row>
    <row r="118" spans="1:35" s="8" customFormat="1" ht="42.75" customHeight="1">
      <c r="A118" s="7" t="s">
        <v>201</v>
      </c>
      <c r="B118" s="7" t="s">
        <v>148</v>
      </c>
      <c r="C118" s="14" t="s">
        <v>202</v>
      </c>
      <c r="D118" s="50">
        <f>'дод. 3'!E21</f>
        <v>1791330</v>
      </c>
      <c r="E118" s="50">
        <f>'дод. 3'!F21</f>
        <v>1791330</v>
      </c>
      <c r="F118" s="50">
        <f>'дод. 3'!G21</f>
        <v>1348310</v>
      </c>
      <c r="G118" s="50">
        <f>'дод. 3'!H21</f>
        <v>63780</v>
      </c>
      <c r="H118" s="50">
        <f>'дод. 3'!I21</f>
        <v>0</v>
      </c>
      <c r="I118" s="50">
        <f>'дод. 3'!J21</f>
        <v>405500</v>
      </c>
      <c r="J118" s="50">
        <f>'дод. 3'!K21</f>
        <v>0</v>
      </c>
      <c r="K118" s="50">
        <f>'дод. 3'!L21</f>
        <v>0</v>
      </c>
      <c r="L118" s="50">
        <f>'дод. 3'!M21</f>
        <v>0</v>
      </c>
      <c r="M118" s="50">
        <f>'дод. 3'!N21</f>
        <v>405500</v>
      </c>
      <c r="N118" s="50">
        <f>'дод. 3'!O21</f>
        <v>405500</v>
      </c>
      <c r="O118" s="50">
        <f>'дод. 3'!P21</f>
        <v>2196830</v>
      </c>
      <c r="P118" s="296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</row>
    <row r="119" spans="1:35" ht="24.75" customHeight="1">
      <c r="A119" s="5" t="s">
        <v>157</v>
      </c>
      <c r="B119" s="5"/>
      <c r="C119" s="13" t="s">
        <v>168</v>
      </c>
      <c r="D119" s="48">
        <f aca="true" t="shared" si="27" ref="D119:O119">D120</f>
        <v>684600</v>
      </c>
      <c r="E119" s="48">
        <f t="shared" si="27"/>
        <v>684600</v>
      </c>
      <c r="F119" s="48">
        <f t="shared" si="27"/>
        <v>0</v>
      </c>
      <c r="G119" s="48">
        <f t="shared" si="27"/>
        <v>0</v>
      </c>
      <c r="H119" s="48">
        <f t="shared" si="27"/>
        <v>0</v>
      </c>
      <c r="I119" s="48">
        <f t="shared" si="27"/>
        <v>0</v>
      </c>
      <c r="J119" s="48">
        <f t="shared" si="27"/>
        <v>0</v>
      </c>
      <c r="K119" s="48">
        <f t="shared" si="27"/>
        <v>0</v>
      </c>
      <c r="L119" s="48">
        <f t="shared" si="27"/>
        <v>0</v>
      </c>
      <c r="M119" s="48">
        <f t="shared" si="27"/>
        <v>0</v>
      </c>
      <c r="N119" s="48">
        <f t="shared" si="27"/>
        <v>0</v>
      </c>
      <c r="O119" s="48">
        <f t="shared" si="27"/>
        <v>684600</v>
      </c>
      <c r="P119" s="296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</row>
    <row r="120" spans="1:35" s="8" customFormat="1" ht="58.5" customHeight="1">
      <c r="A120" s="27" t="s">
        <v>158</v>
      </c>
      <c r="B120" s="27" t="s">
        <v>148</v>
      </c>
      <c r="C120" s="14" t="s">
        <v>224</v>
      </c>
      <c r="D120" s="50">
        <f>'дод. 3'!E23</f>
        <v>684600</v>
      </c>
      <c r="E120" s="50">
        <f>'дод. 3'!F23</f>
        <v>684600</v>
      </c>
      <c r="F120" s="50">
        <f>'дод. 3'!G23</f>
        <v>0</v>
      </c>
      <c r="G120" s="50">
        <f>'дод. 3'!H23</f>
        <v>0</v>
      </c>
      <c r="H120" s="50">
        <f>'дод. 3'!I23</f>
        <v>0</v>
      </c>
      <c r="I120" s="50">
        <f>'дод. 3'!J23</f>
        <v>0</v>
      </c>
      <c r="J120" s="50">
        <f>'дод. 3'!K23</f>
        <v>0</v>
      </c>
      <c r="K120" s="50">
        <f>'дод. 3'!L23</f>
        <v>0</v>
      </c>
      <c r="L120" s="50">
        <f>'дод. 3'!M23</f>
        <v>0</v>
      </c>
      <c r="M120" s="50">
        <f>'дод. 3'!N23</f>
        <v>0</v>
      </c>
      <c r="N120" s="50">
        <f>'дод. 3'!O23</f>
        <v>0</v>
      </c>
      <c r="O120" s="50">
        <f>'дод. 3'!P23</f>
        <v>684600</v>
      </c>
      <c r="P120" s="296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</row>
    <row r="121" spans="1:35" ht="75" customHeight="1">
      <c r="A121" s="5" t="s">
        <v>159</v>
      </c>
      <c r="B121" s="5" t="s">
        <v>148</v>
      </c>
      <c r="C121" s="18" t="s">
        <v>41</v>
      </c>
      <c r="D121" s="48">
        <f>'дод. 3'!E24+'дод. 3'!E83</f>
        <v>9129665</v>
      </c>
      <c r="E121" s="48">
        <f>'дод. 3'!F24+'дод. 3'!F83</f>
        <v>9129665</v>
      </c>
      <c r="F121" s="48">
        <f>'дод. 3'!G24+'дод. 3'!G83</f>
        <v>0</v>
      </c>
      <c r="G121" s="48">
        <f>'дод. 3'!H24+'дод. 3'!H83</f>
        <v>0</v>
      </c>
      <c r="H121" s="48">
        <f>'дод. 3'!I24+'дод. 3'!I83</f>
        <v>0</v>
      </c>
      <c r="I121" s="48">
        <f>'дод. 3'!J24+'дод. 3'!J83</f>
        <v>0</v>
      </c>
      <c r="J121" s="48">
        <f>'дод. 3'!K24+'дод. 3'!K83</f>
        <v>0</v>
      </c>
      <c r="K121" s="48">
        <f>'дод. 3'!L24+'дод. 3'!L83</f>
        <v>0</v>
      </c>
      <c r="L121" s="48">
        <f>'дод. 3'!M24+'дод. 3'!M83</f>
        <v>0</v>
      </c>
      <c r="M121" s="48">
        <f>'дод. 3'!N24+'дод. 3'!N83</f>
        <v>0</v>
      </c>
      <c r="N121" s="48">
        <f>'дод. 3'!O24+'дод. 3'!O83</f>
        <v>0</v>
      </c>
      <c r="O121" s="48">
        <f>'дод. 3'!P24+'дод. 3'!P83</f>
        <v>9129665</v>
      </c>
      <c r="P121" s="296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</row>
    <row r="122" spans="1:35" ht="92.25" customHeight="1">
      <c r="A122" s="5" t="s">
        <v>160</v>
      </c>
      <c r="B122" s="31">
        <v>1010</v>
      </c>
      <c r="C122" s="13" t="s">
        <v>453</v>
      </c>
      <c r="D122" s="48">
        <f>'дод. 3'!E185</f>
        <v>1673920</v>
      </c>
      <c r="E122" s="48">
        <f>'дод. 3'!F185</f>
        <v>1673920</v>
      </c>
      <c r="F122" s="48">
        <f>'дод. 3'!G185</f>
        <v>0</v>
      </c>
      <c r="G122" s="48">
        <f>'дод. 3'!H185</f>
        <v>0</v>
      </c>
      <c r="H122" s="48">
        <f>'дод. 3'!I185</f>
        <v>0</v>
      </c>
      <c r="I122" s="48">
        <f>'дод. 3'!J185</f>
        <v>0</v>
      </c>
      <c r="J122" s="48">
        <f>'дод. 3'!K185</f>
        <v>0</v>
      </c>
      <c r="K122" s="48">
        <f>'дод. 3'!L185</f>
        <v>0</v>
      </c>
      <c r="L122" s="48">
        <f>'дод. 3'!M185</f>
        <v>0</v>
      </c>
      <c r="M122" s="48">
        <f>'дод. 3'!N185</f>
        <v>0</v>
      </c>
      <c r="N122" s="48">
        <f>'дод. 3'!O185</f>
        <v>0</v>
      </c>
      <c r="O122" s="48">
        <f>'дод. 3'!P185</f>
        <v>1673920</v>
      </c>
      <c r="P122" s="296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</row>
    <row r="123" spans="1:35" ht="32.25" customHeight="1">
      <c r="A123" s="5" t="s">
        <v>504</v>
      </c>
      <c r="B123" s="31"/>
      <c r="C123" s="13" t="s">
        <v>507</v>
      </c>
      <c r="D123" s="48">
        <f aca="true" t="shared" si="28" ref="D123:O123">D124+D125</f>
        <v>188864</v>
      </c>
      <c r="E123" s="48">
        <f t="shared" si="28"/>
        <v>188864</v>
      </c>
      <c r="F123" s="48">
        <f t="shared" si="28"/>
        <v>0</v>
      </c>
      <c r="G123" s="48">
        <f t="shared" si="28"/>
        <v>0</v>
      </c>
      <c r="H123" s="48">
        <f t="shared" si="28"/>
        <v>0</v>
      </c>
      <c r="I123" s="48">
        <f t="shared" si="28"/>
        <v>0</v>
      </c>
      <c r="J123" s="48">
        <f t="shared" si="28"/>
        <v>0</v>
      </c>
      <c r="K123" s="48">
        <f t="shared" si="28"/>
        <v>0</v>
      </c>
      <c r="L123" s="48">
        <f t="shared" si="28"/>
        <v>0</v>
      </c>
      <c r="M123" s="48">
        <f t="shared" si="28"/>
        <v>0</v>
      </c>
      <c r="N123" s="48">
        <f t="shared" si="28"/>
        <v>0</v>
      </c>
      <c r="O123" s="48">
        <f t="shared" si="28"/>
        <v>188864</v>
      </c>
      <c r="P123" s="296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</row>
    <row r="124" spans="1:35" s="8" customFormat="1" ht="67.5" customHeight="1">
      <c r="A124" s="7" t="s">
        <v>505</v>
      </c>
      <c r="B124" s="140">
        <v>1010</v>
      </c>
      <c r="C124" s="14" t="s">
        <v>508</v>
      </c>
      <c r="D124" s="50">
        <f>'дод. 3'!E187</f>
        <v>188024</v>
      </c>
      <c r="E124" s="50">
        <f>'дод. 3'!F187</f>
        <v>188024</v>
      </c>
      <c r="F124" s="50">
        <f>'дод. 3'!G187</f>
        <v>0</v>
      </c>
      <c r="G124" s="50">
        <f>'дод. 3'!H187</f>
        <v>0</v>
      </c>
      <c r="H124" s="50">
        <f>'дод. 3'!I187</f>
        <v>0</v>
      </c>
      <c r="I124" s="50">
        <f>'дод. 3'!J187</f>
        <v>0</v>
      </c>
      <c r="J124" s="50">
        <f>'дод. 3'!K187</f>
        <v>0</v>
      </c>
      <c r="K124" s="50">
        <f>'дод. 3'!L187</f>
        <v>0</v>
      </c>
      <c r="L124" s="50">
        <f>'дод. 3'!M187</f>
        <v>0</v>
      </c>
      <c r="M124" s="50">
        <f>'дод. 3'!N187</f>
        <v>0</v>
      </c>
      <c r="N124" s="50">
        <f>'дод. 3'!O187</f>
        <v>0</v>
      </c>
      <c r="O124" s="50">
        <f>'дод. 3'!P187</f>
        <v>188024</v>
      </c>
      <c r="P124" s="296">
        <v>20</v>
      </c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</row>
    <row r="125" spans="1:35" s="8" customFormat="1" ht="32.25" customHeight="1">
      <c r="A125" s="7" t="s">
        <v>506</v>
      </c>
      <c r="B125" s="140">
        <v>1010</v>
      </c>
      <c r="C125" s="14" t="s">
        <v>509</v>
      </c>
      <c r="D125" s="50">
        <f>'дод. 3'!E188</f>
        <v>840</v>
      </c>
      <c r="E125" s="50">
        <f>'дод. 3'!F188</f>
        <v>840</v>
      </c>
      <c r="F125" s="50">
        <f>'дод. 3'!G188</f>
        <v>0</v>
      </c>
      <c r="G125" s="50">
        <f>'дод. 3'!H188</f>
        <v>0</v>
      </c>
      <c r="H125" s="50">
        <f>'дод. 3'!I188</f>
        <v>0</v>
      </c>
      <c r="I125" s="50">
        <f>'дод. 3'!J188</f>
        <v>0</v>
      </c>
      <c r="J125" s="50">
        <f>'дод. 3'!K188</f>
        <v>0</v>
      </c>
      <c r="K125" s="50">
        <f>'дод. 3'!L188</f>
        <v>0</v>
      </c>
      <c r="L125" s="50">
        <f>'дод. 3'!M188</f>
        <v>0</v>
      </c>
      <c r="M125" s="50">
        <f>'дод. 3'!N188</f>
        <v>0</v>
      </c>
      <c r="N125" s="50">
        <f>'дод. 3'!O188</f>
        <v>0</v>
      </c>
      <c r="O125" s="50">
        <f>'дод. 3'!P188</f>
        <v>840</v>
      </c>
      <c r="P125" s="29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</row>
    <row r="126" spans="1:35" ht="85.5" customHeight="1">
      <c r="A126" s="5" t="s">
        <v>153</v>
      </c>
      <c r="B126" s="5" t="s">
        <v>88</v>
      </c>
      <c r="C126" s="13" t="s">
        <v>203</v>
      </c>
      <c r="D126" s="48">
        <f>'дод. 3'!E189</f>
        <v>1282391</v>
      </c>
      <c r="E126" s="48">
        <f>'дод. 3'!F189</f>
        <v>1282391</v>
      </c>
      <c r="F126" s="48">
        <f>'дод. 3'!G189</f>
        <v>0</v>
      </c>
      <c r="G126" s="48">
        <f>'дод. 3'!H189</f>
        <v>0</v>
      </c>
      <c r="H126" s="48">
        <f>'дод. 3'!I189</f>
        <v>0</v>
      </c>
      <c r="I126" s="48">
        <f>'дод. 3'!J189</f>
        <v>0</v>
      </c>
      <c r="J126" s="48">
        <f>'дод. 3'!K189</f>
        <v>0</v>
      </c>
      <c r="K126" s="48">
        <f>'дод. 3'!L189</f>
        <v>0</v>
      </c>
      <c r="L126" s="48">
        <f>'дод. 3'!M189</f>
        <v>0</v>
      </c>
      <c r="M126" s="48">
        <f>'дод. 3'!N189</f>
        <v>0</v>
      </c>
      <c r="N126" s="48">
        <f>'дод. 3'!O189</f>
        <v>0</v>
      </c>
      <c r="O126" s="48">
        <f>'дод. 3'!P189</f>
        <v>1282391</v>
      </c>
      <c r="P126" s="296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</row>
    <row r="127" spans="1:35" ht="19.5" customHeight="1">
      <c r="A127" s="5" t="s">
        <v>154</v>
      </c>
      <c r="B127" s="31"/>
      <c r="C127" s="13" t="s">
        <v>58</v>
      </c>
      <c r="D127" s="48">
        <f>D128+D129</f>
        <v>3209214</v>
      </c>
      <c r="E127" s="48">
        <f aca="true" t="shared" si="29" ref="E127:O127">E128+E129</f>
        <v>3209214</v>
      </c>
      <c r="F127" s="48">
        <f t="shared" si="29"/>
        <v>0</v>
      </c>
      <c r="G127" s="48">
        <f t="shared" si="29"/>
        <v>0</v>
      </c>
      <c r="H127" s="48">
        <f t="shared" si="29"/>
        <v>0</v>
      </c>
      <c r="I127" s="48">
        <f t="shared" si="29"/>
        <v>0</v>
      </c>
      <c r="J127" s="48">
        <f t="shared" si="29"/>
        <v>0</v>
      </c>
      <c r="K127" s="48">
        <f t="shared" si="29"/>
        <v>0</v>
      </c>
      <c r="L127" s="48">
        <f t="shared" si="29"/>
        <v>0</v>
      </c>
      <c r="M127" s="48">
        <f t="shared" si="29"/>
        <v>0</v>
      </c>
      <c r="N127" s="48">
        <f t="shared" si="29"/>
        <v>0</v>
      </c>
      <c r="O127" s="48">
        <f t="shared" si="29"/>
        <v>3209214</v>
      </c>
      <c r="P127" s="296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</row>
    <row r="128" spans="1:35" s="8" customFormat="1" ht="42.75" customHeight="1">
      <c r="A128" s="7" t="s">
        <v>454</v>
      </c>
      <c r="B128" s="7" t="s">
        <v>87</v>
      </c>
      <c r="C128" s="14" t="s">
        <v>36</v>
      </c>
      <c r="D128" s="50">
        <f>'дод. 3'!E191</f>
        <v>1937114</v>
      </c>
      <c r="E128" s="50">
        <f>'дод. 3'!F191</f>
        <v>1937114</v>
      </c>
      <c r="F128" s="50">
        <f>'дод. 3'!G191</f>
        <v>0</v>
      </c>
      <c r="G128" s="50">
        <f>'дод. 3'!H191</f>
        <v>0</v>
      </c>
      <c r="H128" s="50">
        <f>'дод. 3'!I191</f>
        <v>0</v>
      </c>
      <c r="I128" s="50">
        <f>'дод. 3'!J191</f>
        <v>0</v>
      </c>
      <c r="J128" s="50">
        <f>'дод. 3'!K191</f>
        <v>0</v>
      </c>
      <c r="K128" s="50">
        <f>'дод. 3'!L191</f>
        <v>0</v>
      </c>
      <c r="L128" s="50">
        <f>'дод. 3'!M191</f>
        <v>0</v>
      </c>
      <c r="M128" s="50">
        <f>'дод. 3'!N191</f>
        <v>0</v>
      </c>
      <c r="N128" s="50">
        <f>'дод. 3'!O191</f>
        <v>0</v>
      </c>
      <c r="O128" s="50">
        <f>'дод. 3'!P191</f>
        <v>1937114</v>
      </c>
      <c r="P128" s="296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</row>
    <row r="129" spans="1:35" s="8" customFormat="1" ht="55.5" customHeight="1">
      <c r="A129" s="7" t="s">
        <v>455</v>
      </c>
      <c r="B129" s="7" t="s">
        <v>87</v>
      </c>
      <c r="C129" s="14" t="s">
        <v>498</v>
      </c>
      <c r="D129" s="50">
        <f>'дод. 3'!E192</f>
        <v>1272100</v>
      </c>
      <c r="E129" s="50">
        <f>'дод. 3'!F192</f>
        <v>1272100</v>
      </c>
      <c r="F129" s="50">
        <f>'дод. 3'!G192</f>
        <v>0</v>
      </c>
      <c r="G129" s="50">
        <f>'дод. 3'!H192</f>
        <v>0</v>
      </c>
      <c r="H129" s="50">
        <f>'дод. 3'!I192</f>
        <v>0</v>
      </c>
      <c r="I129" s="50">
        <f>'дод. 3'!J192</f>
        <v>0</v>
      </c>
      <c r="J129" s="50">
        <f>'дод. 3'!K192</f>
        <v>0</v>
      </c>
      <c r="K129" s="50">
        <f>'дод. 3'!L192</f>
        <v>0</v>
      </c>
      <c r="L129" s="50">
        <f>'дод. 3'!M192</f>
        <v>0</v>
      </c>
      <c r="M129" s="50">
        <f>'дод. 3'!N192</f>
        <v>0</v>
      </c>
      <c r="N129" s="50">
        <f>'дод. 3'!O192</f>
        <v>0</v>
      </c>
      <c r="O129" s="50">
        <f>'дод. 3'!P192</f>
        <v>1272100</v>
      </c>
      <c r="P129" s="296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</row>
    <row r="130" spans="1:35" ht="43.5" customHeight="1">
      <c r="A130" s="5" t="s">
        <v>155</v>
      </c>
      <c r="B130" s="5" t="s">
        <v>91</v>
      </c>
      <c r="C130" s="13" t="s">
        <v>225</v>
      </c>
      <c r="D130" s="48">
        <f>'дод. 3'!E193</f>
        <v>75000</v>
      </c>
      <c r="E130" s="48">
        <f>'дод. 3'!F193</f>
        <v>75000</v>
      </c>
      <c r="F130" s="48">
        <f>'дод. 3'!G193</f>
        <v>0</v>
      </c>
      <c r="G130" s="48">
        <f>'дод. 3'!H193</f>
        <v>0</v>
      </c>
      <c r="H130" s="48">
        <f>'дод. 3'!I193</f>
        <v>0</v>
      </c>
      <c r="I130" s="48">
        <f>'дод. 3'!J193</f>
        <v>0</v>
      </c>
      <c r="J130" s="48">
        <f>'дод. 3'!K193</f>
        <v>0</v>
      </c>
      <c r="K130" s="48">
        <f>'дод. 3'!L193</f>
        <v>0</v>
      </c>
      <c r="L130" s="48">
        <f>'дод. 3'!M193</f>
        <v>0</v>
      </c>
      <c r="M130" s="48">
        <f>'дод. 3'!N193</f>
        <v>0</v>
      </c>
      <c r="N130" s="48">
        <f>'дод. 3'!O193</f>
        <v>0</v>
      </c>
      <c r="O130" s="48">
        <f>'дод. 3'!P193</f>
        <v>75000</v>
      </c>
      <c r="P130" s="296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</row>
    <row r="131" spans="1:35" ht="27.75" customHeight="1">
      <c r="A131" s="5" t="s">
        <v>456</v>
      </c>
      <c r="B131" s="5" t="s">
        <v>156</v>
      </c>
      <c r="C131" s="13" t="s">
        <v>69</v>
      </c>
      <c r="D131" s="48">
        <f>'дод. 3'!E194+'дод. 3'!E225</f>
        <v>895000</v>
      </c>
      <c r="E131" s="48">
        <f>'дод. 3'!F194+'дод. 3'!F225</f>
        <v>895000</v>
      </c>
      <c r="F131" s="48">
        <f>'дод. 3'!G194+'дод. 3'!G225</f>
        <v>282787.1</v>
      </c>
      <c r="G131" s="48">
        <f>'дод. 3'!H194+'дод. 3'!H225</f>
        <v>0</v>
      </c>
      <c r="H131" s="48">
        <f>'дод. 3'!I194+'дод. 3'!I225</f>
        <v>0</v>
      </c>
      <c r="I131" s="48">
        <f>'дод. 3'!J194+'дод. 3'!J225</f>
        <v>0</v>
      </c>
      <c r="J131" s="48">
        <f>'дод. 3'!K194+'дод. 3'!K225</f>
        <v>0</v>
      </c>
      <c r="K131" s="48">
        <f>'дод. 3'!L194+'дод. 3'!L225</f>
        <v>0</v>
      </c>
      <c r="L131" s="48">
        <f>'дод. 3'!M194+'дод. 3'!M225</f>
        <v>0</v>
      </c>
      <c r="M131" s="48">
        <f>'дод. 3'!N194+'дод. 3'!N225</f>
        <v>0</v>
      </c>
      <c r="N131" s="48">
        <f>'дод. 3'!O194+'дод. 3'!O225</f>
        <v>0</v>
      </c>
      <c r="O131" s="48">
        <f>'дод. 3'!P194+'дод. 3'!P225</f>
        <v>895000</v>
      </c>
      <c r="P131" s="296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</row>
    <row r="132" spans="1:35" ht="53.25" customHeight="1">
      <c r="A132" s="5" t="s">
        <v>654</v>
      </c>
      <c r="B132" s="5"/>
      <c r="C132" s="13" t="s">
        <v>657</v>
      </c>
      <c r="D132" s="48">
        <f>D134</f>
        <v>0</v>
      </c>
      <c r="E132" s="48">
        <f aca="true" t="shared" si="30" ref="E132:O132">E134</f>
        <v>0</v>
      </c>
      <c r="F132" s="48">
        <f t="shared" si="30"/>
        <v>0</v>
      </c>
      <c r="G132" s="48">
        <f t="shared" si="30"/>
        <v>0</v>
      </c>
      <c r="H132" s="48">
        <f t="shared" si="30"/>
        <v>0</v>
      </c>
      <c r="I132" s="48">
        <f t="shared" si="30"/>
        <v>4839581.21</v>
      </c>
      <c r="J132" s="48">
        <f t="shared" si="30"/>
        <v>0</v>
      </c>
      <c r="K132" s="48">
        <f t="shared" si="30"/>
        <v>0</v>
      </c>
      <c r="L132" s="48">
        <f t="shared" si="30"/>
        <v>0</v>
      </c>
      <c r="M132" s="48">
        <f t="shared" si="30"/>
        <v>4839581.21</v>
      </c>
      <c r="N132" s="48">
        <f t="shared" si="30"/>
        <v>4839581.21</v>
      </c>
      <c r="O132" s="48">
        <f t="shared" si="30"/>
        <v>4839581.21</v>
      </c>
      <c r="P132" s="296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</row>
    <row r="133" spans="2:35" ht="25.5" customHeight="1">
      <c r="B133" s="5"/>
      <c r="C133" s="13" t="s">
        <v>416</v>
      </c>
      <c r="D133" s="48">
        <f>D135</f>
        <v>0</v>
      </c>
      <c r="E133" s="48">
        <f aca="true" t="shared" si="31" ref="E133:O133">E135</f>
        <v>0</v>
      </c>
      <c r="F133" s="48">
        <f t="shared" si="31"/>
        <v>0</v>
      </c>
      <c r="G133" s="48">
        <f t="shared" si="31"/>
        <v>0</v>
      </c>
      <c r="H133" s="48">
        <f t="shared" si="31"/>
        <v>0</v>
      </c>
      <c r="I133" s="48">
        <f t="shared" si="31"/>
        <v>4839581.21</v>
      </c>
      <c r="J133" s="48">
        <f t="shared" si="31"/>
        <v>0</v>
      </c>
      <c r="K133" s="48">
        <f t="shared" si="31"/>
        <v>0</v>
      </c>
      <c r="L133" s="48">
        <f t="shared" si="31"/>
        <v>0</v>
      </c>
      <c r="M133" s="48">
        <f t="shared" si="31"/>
        <v>4839581.21</v>
      </c>
      <c r="N133" s="48">
        <f t="shared" si="31"/>
        <v>4839581.21</v>
      </c>
      <c r="O133" s="48">
        <f t="shared" si="31"/>
        <v>4839581.21</v>
      </c>
      <c r="P133" s="296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</row>
    <row r="134" spans="1:35" ht="211.5" customHeight="1">
      <c r="A134" s="7" t="s">
        <v>655</v>
      </c>
      <c r="B134" s="5" t="s">
        <v>88</v>
      </c>
      <c r="C134" s="269" t="s">
        <v>656</v>
      </c>
      <c r="D134" s="50">
        <f>'дод. 3'!E197</f>
        <v>0</v>
      </c>
      <c r="E134" s="50">
        <f>'дод. 3'!F197</f>
        <v>0</v>
      </c>
      <c r="F134" s="50">
        <f>'дод. 3'!G197</f>
        <v>0</v>
      </c>
      <c r="G134" s="50">
        <f>'дод. 3'!H197</f>
        <v>0</v>
      </c>
      <c r="H134" s="50">
        <f>'дод. 3'!I197</f>
        <v>0</v>
      </c>
      <c r="I134" s="50">
        <f>'дод. 3'!J197</f>
        <v>4839581.21</v>
      </c>
      <c r="J134" s="50">
        <f>'дод. 3'!K197</f>
        <v>0</v>
      </c>
      <c r="K134" s="50">
        <f>'дод. 3'!L197</f>
        <v>0</v>
      </c>
      <c r="L134" s="50">
        <f>'дод. 3'!M197</f>
        <v>0</v>
      </c>
      <c r="M134" s="50">
        <f>'дод. 3'!N197</f>
        <v>4839581.21</v>
      </c>
      <c r="N134" s="50">
        <f>'дод. 3'!O197</f>
        <v>4839581.21</v>
      </c>
      <c r="O134" s="50">
        <f>'дод. 3'!P197</f>
        <v>4839581.21</v>
      </c>
      <c r="P134" s="296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</row>
    <row r="135" spans="1:35" s="8" customFormat="1" ht="27.75" customHeight="1">
      <c r="A135" s="7"/>
      <c r="B135" s="7"/>
      <c r="C135" s="14" t="s">
        <v>416</v>
      </c>
      <c r="D135" s="50">
        <f>'дод. 3'!E198</f>
        <v>0</v>
      </c>
      <c r="E135" s="50">
        <f>'дод. 3'!F198</f>
        <v>0</v>
      </c>
      <c r="F135" s="50">
        <f>'дод. 3'!G198</f>
        <v>0</v>
      </c>
      <c r="G135" s="50">
        <f>'дод. 3'!H198</f>
        <v>0</v>
      </c>
      <c r="H135" s="50">
        <f>'дод. 3'!I198</f>
        <v>0</v>
      </c>
      <c r="I135" s="50">
        <f>'дод. 3'!J198</f>
        <v>4839581.21</v>
      </c>
      <c r="J135" s="50">
        <f>'дод. 3'!K198</f>
        <v>0</v>
      </c>
      <c r="K135" s="50">
        <f>'дод. 3'!L198</f>
        <v>0</v>
      </c>
      <c r="L135" s="50">
        <f>'дод. 3'!M198</f>
        <v>0</v>
      </c>
      <c r="M135" s="50">
        <f>'дод. 3'!N198</f>
        <v>4839581.21</v>
      </c>
      <c r="N135" s="50">
        <f>'дод. 3'!O198</f>
        <v>4839581.21</v>
      </c>
      <c r="O135" s="50">
        <f>'дод. 3'!P198</f>
        <v>4839581.21</v>
      </c>
      <c r="P135" s="296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</row>
    <row r="136" spans="1:35" ht="161.25" customHeight="1">
      <c r="A136" s="5" t="s">
        <v>564</v>
      </c>
      <c r="B136" s="5" t="s">
        <v>148</v>
      </c>
      <c r="C136" s="13" t="s">
        <v>565</v>
      </c>
      <c r="D136" s="48">
        <f>'дод. 3'!E199</f>
        <v>2495700</v>
      </c>
      <c r="E136" s="48">
        <f>'дод. 3'!F199</f>
        <v>2495700</v>
      </c>
      <c r="F136" s="48">
        <f>'дод. 3'!G199</f>
        <v>0</v>
      </c>
      <c r="G136" s="48">
        <f>'дод. 3'!H199</f>
        <v>0</v>
      </c>
      <c r="H136" s="48">
        <f>'дод. 3'!I199</f>
        <v>0</v>
      </c>
      <c r="I136" s="48">
        <f>'дод. 3'!J199</f>
        <v>0</v>
      </c>
      <c r="J136" s="48">
        <f>'дод. 3'!K199</f>
        <v>0</v>
      </c>
      <c r="K136" s="48">
        <f>'дод. 3'!L199</f>
        <v>0</v>
      </c>
      <c r="L136" s="48">
        <f>'дод. 3'!M199</f>
        <v>0</v>
      </c>
      <c r="M136" s="48">
        <f>'дод. 3'!N199</f>
        <v>0</v>
      </c>
      <c r="N136" s="48">
        <f>'дод. 3'!O199</f>
        <v>0</v>
      </c>
      <c r="O136" s="48">
        <f>'дод. 3'!P199</f>
        <v>2495700</v>
      </c>
      <c r="P136" s="296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</row>
    <row r="137" spans="2:35" ht="27.75" customHeight="1">
      <c r="B137" s="5"/>
      <c r="C137" s="13" t="s">
        <v>416</v>
      </c>
      <c r="D137" s="48">
        <f>'дод. 3'!E200</f>
        <v>2495700</v>
      </c>
      <c r="E137" s="48">
        <f>'дод. 3'!F200</f>
        <v>2495700</v>
      </c>
      <c r="F137" s="48">
        <f>'дод. 3'!G200</f>
        <v>0</v>
      </c>
      <c r="G137" s="48">
        <f>'дод. 3'!H200</f>
        <v>0</v>
      </c>
      <c r="H137" s="48">
        <f>'дод. 3'!I200</f>
        <v>0</v>
      </c>
      <c r="I137" s="48">
        <f>'дод. 3'!J200</f>
        <v>0</v>
      </c>
      <c r="J137" s="48">
        <f>'дод. 3'!K200</f>
        <v>0</v>
      </c>
      <c r="K137" s="48">
        <f>'дод. 3'!L200</f>
        <v>0</v>
      </c>
      <c r="L137" s="48">
        <f>'дод. 3'!M200</f>
        <v>0</v>
      </c>
      <c r="M137" s="48">
        <f>'дод. 3'!N200</f>
        <v>0</v>
      </c>
      <c r="N137" s="48">
        <f>'дод. 3'!O200</f>
        <v>0</v>
      </c>
      <c r="O137" s="48">
        <f>'дод. 3'!P200</f>
        <v>2495700</v>
      </c>
      <c r="P137" s="296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</row>
    <row r="138" spans="1:35" ht="29.25" customHeight="1">
      <c r="A138" s="5" t="s">
        <v>457</v>
      </c>
      <c r="B138" s="5"/>
      <c r="C138" s="13" t="s">
        <v>458</v>
      </c>
      <c r="D138" s="48">
        <f>D139+D140</f>
        <v>40160415.7</v>
      </c>
      <c r="E138" s="48">
        <f aca="true" t="shared" si="32" ref="E138:O138">E139+E140</f>
        <v>40160415.7</v>
      </c>
      <c r="F138" s="48">
        <f t="shared" si="32"/>
        <v>3173092</v>
      </c>
      <c r="G138" s="48">
        <f t="shared" si="32"/>
        <v>770758</v>
      </c>
      <c r="H138" s="48">
        <f t="shared" si="32"/>
        <v>0</v>
      </c>
      <c r="I138" s="48">
        <f t="shared" si="32"/>
        <v>375000</v>
      </c>
      <c r="J138" s="48">
        <f t="shared" si="32"/>
        <v>0</v>
      </c>
      <c r="K138" s="48">
        <f t="shared" si="32"/>
        <v>0</v>
      </c>
      <c r="L138" s="48">
        <f t="shared" si="32"/>
        <v>0</v>
      </c>
      <c r="M138" s="48">
        <f t="shared" si="32"/>
        <v>375000</v>
      </c>
      <c r="N138" s="48">
        <f t="shared" si="32"/>
        <v>375000</v>
      </c>
      <c r="O138" s="48">
        <f t="shared" si="32"/>
        <v>40535415.7</v>
      </c>
      <c r="P138" s="296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</row>
    <row r="139" spans="1:35" s="8" customFormat="1" ht="32.25" customHeight="1">
      <c r="A139" s="7" t="s">
        <v>459</v>
      </c>
      <c r="B139" s="7" t="s">
        <v>91</v>
      </c>
      <c r="C139" s="14" t="s">
        <v>461</v>
      </c>
      <c r="D139" s="50">
        <f>'дод. 3'!E26+'дод. 3'!E202</f>
        <v>5149990</v>
      </c>
      <c r="E139" s="50">
        <f>'дод. 3'!F26+'дод. 3'!F202</f>
        <v>5149990</v>
      </c>
      <c r="F139" s="50">
        <f>'дод. 3'!G26+'дод. 3'!G202</f>
        <v>3173092</v>
      </c>
      <c r="G139" s="50">
        <f>'дод. 3'!H26+'дод. 3'!H202</f>
        <v>770758</v>
      </c>
      <c r="H139" s="50">
        <f>'дод. 3'!I26+'дод. 3'!I202</f>
        <v>0</v>
      </c>
      <c r="I139" s="50">
        <f>'дод. 3'!J26+'дод. 3'!J202</f>
        <v>300000</v>
      </c>
      <c r="J139" s="50">
        <f>'дод. 3'!K26+'дод. 3'!K202</f>
        <v>0</v>
      </c>
      <c r="K139" s="50">
        <f>'дод. 3'!L26+'дод. 3'!L202</f>
        <v>0</v>
      </c>
      <c r="L139" s="50">
        <f>'дод. 3'!M26+'дод. 3'!M202</f>
        <v>0</v>
      </c>
      <c r="M139" s="50">
        <f>'дод. 3'!N26+'дод. 3'!N202</f>
        <v>300000</v>
      </c>
      <c r="N139" s="50">
        <f>'дод. 3'!O26+'дод. 3'!O202</f>
        <v>300000</v>
      </c>
      <c r="O139" s="50">
        <f>'дод. 3'!P26+'дод. 3'!P202</f>
        <v>5449990</v>
      </c>
      <c r="P139" s="296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</row>
    <row r="140" spans="1:35" s="8" customFormat="1" ht="41.25" customHeight="1">
      <c r="A140" s="7" t="s">
        <v>460</v>
      </c>
      <c r="B140" s="7" t="s">
        <v>91</v>
      </c>
      <c r="C140" s="14" t="s">
        <v>462</v>
      </c>
      <c r="D140" s="50">
        <f>'дод. 3'!E27+'дод. 3'!E203+'дод. 3'!E85</f>
        <v>35010425.7</v>
      </c>
      <c r="E140" s="50">
        <f>'дод. 3'!F27+'дод. 3'!F203+'дод. 3'!F85</f>
        <v>35010425.7</v>
      </c>
      <c r="F140" s="50">
        <f>'дод. 3'!G27+'дод. 3'!G203+'дод. 3'!G85</f>
        <v>0</v>
      </c>
      <c r="G140" s="50">
        <f>'дод. 3'!H27+'дод. 3'!H203+'дод. 3'!H85</f>
        <v>0</v>
      </c>
      <c r="H140" s="50">
        <f>'дод. 3'!I27+'дод. 3'!I203+'дод. 3'!I85</f>
        <v>0</v>
      </c>
      <c r="I140" s="50">
        <f>'дод. 3'!J27+'дод. 3'!J203+'дод. 3'!J85</f>
        <v>75000</v>
      </c>
      <c r="J140" s="50">
        <f>'дод. 3'!K27+'дод. 3'!K203+'дод. 3'!K85</f>
        <v>0</v>
      </c>
      <c r="K140" s="50">
        <f>'дод. 3'!L27+'дод. 3'!L203+'дод. 3'!L85</f>
        <v>0</v>
      </c>
      <c r="L140" s="50">
        <f>'дод. 3'!M27+'дод. 3'!M203+'дод. 3'!M85</f>
        <v>0</v>
      </c>
      <c r="M140" s="50">
        <f>'дод. 3'!N27+'дод. 3'!N203+'дод. 3'!N85</f>
        <v>75000</v>
      </c>
      <c r="N140" s="50">
        <f>'дод. 3'!O27+'дод. 3'!O203+'дод. 3'!O85</f>
        <v>75000</v>
      </c>
      <c r="O140" s="50">
        <f>'дод. 3'!P27+'дод. 3'!P203+'дод. 3'!P85</f>
        <v>35085425.7</v>
      </c>
      <c r="P140" s="29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</row>
    <row r="141" spans="1:35" s="21" customFormat="1" ht="19.5" customHeight="1">
      <c r="A141" s="22" t="s">
        <v>112</v>
      </c>
      <c r="B141" s="11"/>
      <c r="C141" s="11" t="s">
        <v>113</v>
      </c>
      <c r="D141" s="49">
        <f>D142+D144+D143</f>
        <v>25018508</v>
      </c>
      <c r="E141" s="49">
        <f aca="true" t="shared" si="33" ref="E141:O141">E142+E144+E143</f>
        <v>25018508</v>
      </c>
      <c r="F141" s="49">
        <f t="shared" si="33"/>
        <v>14067674</v>
      </c>
      <c r="G141" s="49">
        <f t="shared" si="33"/>
        <v>1451536</v>
      </c>
      <c r="H141" s="49">
        <f t="shared" si="33"/>
        <v>0</v>
      </c>
      <c r="I141" s="49">
        <f t="shared" si="33"/>
        <v>1356150</v>
      </c>
      <c r="J141" s="49">
        <f t="shared" si="33"/>
        <v>27000</v>
      </c>
      <c r="K141" s="49">
        <f t="shared" si="33"/>
        <v>5000</v>
      </c>
      <c r="L141" s="49">
        <f t="shared" si="33"/>
        <v>0</v>
      </c>
      <c r="M141" s="49">
        <f t="shared" si="33"/>
        <v>1329150</v>
      </c>
      <c r="N141" s="49">
        <f t="shared" si="33"/>
        <v>1329150</v>
      </c>
      <c r="O141" s="49">
        <f t="shared" si="33"/>
        <v>26374658</v>
      </c>
      <c r="P141" s="296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</row>
    <row r="142" spans="1:35" ht="22.5" customHeight="1">
      <c r="A142" s="5" t="s">
        <v>114</v>
      </c>
      <c r="B142" s="5" t="s">
        <v>115</v>
      </c>
      <c r="C142" s="13" t="s">
        <v>29</v>
      </c>
      <c r="D142" s="48">
        <f>'дод. 3'!E216</f>
        <v>16378546</v>
      </c>
      <c r="E142" s="48">
        <f>'дод. 3'!F216</f>
        <v>16378546</v>
      </c>
      <c r="F142" s="48">
        <f>'дод. 3'!G216</f>
        <v>11407051</v>
      </c>
      <c r="G142" s="48">
        <f>'дод. 3'!H216</f>
        <v>1115260</v>
      </c>
      <c r="H142" s="48">
        <f>'дод. 3'!I216</f>
        <v>0</v>
      </c>
      <c r="I142" s="48">
        <f>'дод. 3'!J216</f>
        <v>1257150</v>
      </c>
      <c r="J142" s="48">
        <f>'дод. 3'!K216</f>
        <v>27000</v>
      </c>
      <c r="K142" s="48">
        <f>'дод. 3'!L216</f>
        <v>5000</v>
      </c>
      <c r="L142" s="48">
        <f>'дод. 3'!M216</f>
        <v>0</v>
      </c>
      <c r="M142" s="48">
        <f>'дод. 3'!N216</f>
        <v>1230150</v>
      </c>
      <c r="N142" s="48">
        <f>'дод. 3'!O216</f>
        <v>1230150</v>
      </c>
      <c r="O142" s="48">
        <f>'дод. 3'!P216</f>
        <v>17635696</v>
      </c>
      <c r="P142" s="296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</row>
    <row r="143" spans="1:35" ht="33.75" customHeight="1">
      <c r="A143" s="5" t="s">
        <v>587</v>
      </c>
      <c r="B143" s="5" t="s">
        <v>588</v>
      </c>
      <c r="C143" s="13" t="s">
        <v>589</v>
      </c>
      <c r="D143" s="48">
        <f>'дод. 3'!E28</f>
        <v>2314830</v>
      </c>
      <c r="E143" s="48">
        <f>'дод. 3'!F28</f>
        <v>2314830</v>
      </c>
      <c r="F143" s="48">
        <f>'дод. 3'!G28</f>
        <v>783989</v>
      </c>
      <c r="G143" s="48">
        <f>'дод. 3'!H28</f>
        <v>237625</v>
      </c>
      <c r="H143" s="48">
        <f>'дод. 3'!I28</f>
        <v>0</v>
      </c>
      <c r="I143" s="48">
        <f>'дод. 3'!J28</f>
        <v>28500</v>
      </c>
      <c r="J143" s="48">
        <f>'дод. 3'!K28</f>
        <v>0</v>
      </c>
      <c r="K143" s="48">
        <f>'дод. 3'!L28</f>
        <v>0</v>
      </c>
      <c r="L143" s="48">
        <f>'дод. 3'!M28</f>
        <v>0</v>
      </c>
      <c r="M143" s="48">
        <f>'дод. 3'!N28</f>
        <v>28500</v>
      </c>
      <c r="N143" s="48">
        <f>'дод. 3'!O28</f>
        <v>28500</v>
      </c>
      <c r="O143" s="48">
        <f>'дод. 3'!P28</f>
        <v>2343330</v>
      </c>
      <c r="P143" s="296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</row>
    <row r="144" spans="1:35" ht="27.75" customHeight="1">
      <c r="A144" s="5" t="s">
        <v>31</v>
      </c>
      <c r="B144" s="5"/>
      <c r="C144" s="13" t="s">
        <v>463</v>
      </c>
      <c r="D144" s="48">
        <f>'дод. 3'!E29+'дод. 3'!E217</f>
        <v>6325132</v>
      </c>
      <c r="E144" s="48">
        <f>'дод. 3'!F29+'дод. 3'!F217</f>
        <v>6325132</v>
      </c>
      <c r="F144" s="48">
        <f>'дод. 3'!G29+'дод. 3'!G217</f>
        <v>1876634</v>
      </c>
      <c r="G144" s="48">
        <f>'дод. 3'!H29+'дод. 3'!H217</f>
        <v>98651</v>
      </c>
      <c r="H144" s="48">
        <f>'дод. 3'!I29+'дод. 3'!I217</f>
        <v>0</v>
      </c>
      <c r="I144" s="48">
        <f>'дод. 3'!J29+'дод. 3'!J217</f>
        <v>70500</v>
      </c>
      <c r="J144" s="48">
        <f>'дод. 3'!K29+'дод. 3'!K217</f>
        <v>0</v>
      </c>
      <c r="K144" s="48">
        <f>'дод. 3'!L29+'дод. 3'!L217</f>
        <v>0</v>
      </c>
      <c r="L144" s="48">
        <f>'дод. 3'!M29+'дод. 3'!M217</f>
        <v>0</v>
      </c>
      <c r="M144" s="48">
        <f>'дод. 3'!N29+'дод. 3'!N217</f>
        <v>70500</v>
      </c>
      <c r="N144" s="48">
        <f>'дод. 3'!O29+'дод. 3'!O217</f>
        <v>70500</v>
      </c>
      <c r="O144" s="48">
        <f>'дод. 3'!P29+'дод. 3'!P217</f>
        <v>6395632</v>
      </c>
      <c r="P144" s="296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</row>
    <row r="145" spans="1:35" s="8" customFormat="1" ht="39.75" customHeight="1">
      <c r="A145" s="7" t="s">
        <v>464</v>
      </c>
      <c r="B145" s="7" t="s">
        <v>116</v>
      </c>
      <c r="C145" s="14" t="s">
        <v>466</v>
      </c>
      <c r="D145" s="50">
        <f>'дод. 3'!E30+'дод. 3'!E218</f>
        <v>3431180</v>
      </c>
      <c r="E145" s="50">
        <f>'дод. 3'!F30+'дод. 3'!F218</f>
        <v>3431180</v>
      </c>
      <c r="F145" s="50">
        <f>'дод. 3'!G30+'дод. 3'!G218</f>
        <v>1876634</v>
      </c>
      <c r="G145" s="50">
        <f>'дод. 3'!H30+'дод. 3'!H218</f>
        <v>98651</v>
      </c>
      <c r="H145" s="50">
        <f>'дод. 3'!I30+'дод. 3'!I218</f>
        <v>0</v>
      </c>
      <c r="I145" s="50">
        <f>'дод. 3'!J30+'дод. 3'!J218</f>
        <v>70500</v>
      </c>
      <c r="J145" s="50">
        <f>'дод. 3'!K30+'дод. 3'!K218</f>
        <v>0</v>
      </c>
      <c r="K145" s="50">
        <f>'дод. 3'!L30+'дод. 3'!L218</f>
        <v>0</v>
      </c>
      <c r="L145" s="50">
        <f>'дод. 3'!M30+'дод. 3'!M218</f>
        <v>0</v>
      </c>
      <c r="M145" s="50">
        <f>'дод. 3'!N30+'дод. 3'!N218</f>
        <v>70500</v>
      </c>
      <c r="N145" s="50">
        <f>'дод. 3'!O30+'дод. 3'!O218</f>
        <v>70500</v>
      </c>
      <c r="O145" s="50">
        <f>'дод. 3'!P30+'дод. 3'!P218</f>
        <v>3501680</v>
      </c>
      <c r="P145" s="296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</row>
    <row r="146" spans="1:35" s="8" customFormat="1" ht="30" customHeight="1">
      <c r="A146" s="7" t="s">
        <v>465</v>
      </c>
      <c r="B146" s="7" t="s">
        <v>116</v>
      </c>
      <c r="C146" s="14" t="s">
        <v>467</v>
      </c>
      <c r="D146" s="50">
        <f>'дод. 3'!E31+'дод. 3'!E219</f>
        <v>2893952</v>
      </c>
      <c r="E146" s="50">
        <f>'дод. 3'!F31+'дод. 3'!F219</f>
        <v>2893952</v>
      </c>
      <c r="F146" s="50">
        <f>'дод. 3'!G31+'дод. 3'!G219</f>
        <v>0</v>
      </c>
      <c r="G146" s="50">
        <f>'дод. 3'!H31+'дод. 3'!H219</f>
        <v>0</v>
      </c>
      <c r="H146" s="50">
        <f>'дод. 3'!I31+'дод. 3'!I219</f>
        <v>0</v>
      </c>
      <c r="I146" s="50">
        <f>'дод. 3'!J31+'дод. 3'!J219</f>
        <v>0</v>
      </c>
      <c r="J146" s="50">
        <f>'дод. 3'!K31+'дод. 3'!K219</f>
        <v>0</v>
      </c>
      <c r="K146" s="50">
        <f>'дод. 3'!L31+'дод. 3'!L219</f>
        <v>0</v>
      </c>
      <c r="L146" s="50">
        <f>'дод. 3'!M31+'дод. 3'!M219</f>
        <v>0</v>
      </c>
      <c r="M146" s="50">
        <f>'дод. 3'!N31+'дод. 3'!N219</f>
        <v>0</v>
      </c>
      <c r="N146" s="50">
        <f>'дод. 3'!O31+'дод. 3'!O219</f>
        <v>0</v>
      </c>
      <c r="O146" s="50">
        <f>'дод. 3'!P31+'дод. 3'!P219</f>
        <v>2893952</v>
      </c>
      <c r="P146" s="296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</row>
    <row r="147" spans="1:35" s="21" customFormat="1" ht="21.75" customHeight="1">
      <c r="A147" s="22" t="s">
        <v>119</v>
      </c>
      <c r="B147" s="11"/>
      <c r="C147" s="11" t="s">
        <v>120</v>
      </c>
      <c r="D147" s="49">
        <f>D148+D151+D154</f>
        <v>33337800</v>
      </c>
      <c r="E147" s="49">
        <f aca="true" t="shared" si="34" ref="E147:O147">E148+E151+E154</f>
        <v>33337800</v>
      </c>
      <c r="F147" s="49">
        <f t="shared" si="34"/>
        <v>11467183</v>
      </c>
      <c r="G147" s="49">
        <f t="shared" si="34"/>
        <v>1192100</v>
      </c>
      <c r="H147" s="49">
        <f t="shared" si="34"/>
        <v>0</v>
      </c>
      <c r="I147" s="49">
        <f t="shared" si="34"/>
        <v>733687</v>
      </c>
      <c r="J147" s="49">
        <f t="shared" si="34"/>
        <v>226687</v>
      </c>
      <c r="K147" s="49">
        <f t="shared" si="34"/>
        <v>141022</v>
      </c>
      <c r="L147" s="49">
        <f t="shared" si="34"/>
        <v>53404</v>
      </c>
      <c r="M147" s="49">
        <f t="shared" si="34"/>
        <v>507000</v>
      </c>
      <c r="N147" s="49">
        <f t="shared" si="34"/>
        <v>507000</v>
      </c>
      <c r="O147" s="49">
        <f t="shared" si="34"/>
        <v>34071487</v>
      </c>
      <c r="P147" s="296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</row>
    <row r="148" spans="1:35" ht="29.25" customHeight="1">
      <c r="A148" s="5" t="s">
        <v>121</v>
      </c>
      <c r="B148" s="13"/>
      <c r="C148" s="13" t="s">
        <v>42</v>
      </c>
      <c r="D148" s="48">
        <f>D149+D150</f>
        <v>1587070</v>
      </c>
      <c r="E148" s="48">
        <f aca="true" t="shared" si="35" ref="E148:O148">E149+E150</f>
        <v>1587070</v>
      </c>
      <c r="F148" s="48">
        <f t="shared" si="35"/>
        <v>0</v>
      </c>
      <c r="G148" s="48">
        <f t="shared" si="35"/>
        <v>0</v>
      </c>
      <c r="H148" s="48">
        <f t="shared" si="35"/>
        <v>0</v>
      </c>
      <c r="I148" s="48">
        <f t="shared" si="35"/>
        <v>177000</v>
      </c>
      <c r="J148" s="48">
        <f t="shared" si="35"/>
        <v>0</v>
      </c>
      <c r="K148" s="48">
        <f t="shared" si="35"/>
        <v>0</v>
      </c>
      <c r="L148" s="48">
        <f t="shared" si="35"/>
        <v>0</v>
      </c>
      <c r="M148" s="48">
        <f t="shared" si="35"/>
        <v>177000</v>
      </c>
      <c r="N148" s="48">
        <f t="shared" si="35"/>
        <v>177000</v>
      </c>
      <c r="O148" s="48">
        <f t="shared" si="35"/>
        <v>1764070</v>
      </c>
      <c r="P148" s="296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</row>
    <row r="149" spans="1:35" s="8" customFormat="1" ht="43.5" customHeight="1">
      <c r="A149" s="7" t="s">
        <v>122</v>
      </c>
      <c r="B149" s="7" t="s">
        <v>123</v>
      </c>
      <c r="C149" s="14" t="s">
        <v>43</v>
      </c>
      <c r="D149" s="50">
        <f>'дод. 3'!E33</f>
        <v>836070</v>
      </c>
      <c r="E149" s="50">
        <f>'дод. 3'!F33</f>
        <v>836070</v>
      </c>
      <c r="F149" s="50">
        <f>'дод. 3'!G33</f>
        <v>0</v>
      </c>
      <c r="G149" s="50">
        <f>'дод. 3'!H33</f>
        <v>0</v>
      </c>
      <c r="H149" s="50">
        <f>'дод. 3'!I33</f>
        <v>0</v>
      </c>
      <c r="I149" s="50">
        <f>'дод. 3'!J33</f>
        <v>177000</v>
      </c>
      <c r="J149" s="50">
        <f>'дод. 3'!K33</f>
        <v>0</v>
      </c>
      <c r="K149" s="50">
        <f>'дод. 3'!L33</f>
        <v>0</v>
      </c>
      <c r="L149" s="50">
        <f>'дод. 3'!M33</f>
        <v>0</v>
      </c>
      <c r="M149" s="50">
        <f>'дод. 3'!N33</f>
        <v>177000</v>
      </c>
      <c r="N149" s="50">
        <f>'дод. 3'!O33</f>
        <v>177000</v>
      </c>
      <c r="O149" s="50">
        <f>'дод. 3'!P33</f>
        <v>1013070</v>
      </c>
      <c r="P149" s="296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</row>
    <row r="150" spans="1:35" s="8" customFormat="1" ht="39.75" customHeight="1">
      <c r="A150" s="7" t="s">
        <v>124</v>
      </c>
      <c r="B150" s="7" t="s">
        <v>123</v>
      </c>
      <c r="C150" s="14" t="s">
        <v>32</v>
      </c>
      <c r="D150" s="50">
        <f>'дод. 3'!E34</f>
        <v>751000</v>
      </c>
      <c r="E150" s="50">
        <f>'дод. 3'!F34</f>
        <v>751000</v>
      </c>
      <c r="F150" s="50">
        <f>'дод. 3'!G34</f>
        <v>0</v>
      </c>
      <c r="G150" s="50">
        <f>'дод. 3'!H34</f>
        <v>0</v>
      </c>
      <c r="H150" s="50">
        <f>'дод. 3'!I34</f>
        <v>0</v>
      </c>
      <c r="I150" s="50">
        <f>'дод. 3'!J34</f>
        <v>0</v>
      </c>
      <c r="J150" s="50">
        <f>'дод. 3'!K34</f>
        <v>0</v>
      </c>
      <c r="K150" s="50">
        <f>'дод. 3'!L34</f>
        <v>0</v>
      </c>
      <c r="L150" s="50">
        <f>'дод. 3'!M34</f>
        <v>0</v>
      </c>
      <c r="M150" s="50">
        <f>'дод. 3'!N34</f>
        <v>0</v>
      </c>
      <c r="N150" s="50">
        <f>'дод. 3'!O34</f>
        <v>0</v>
      </c>
      <c r="O150" s="50">
        <f>'дод. 3'!P34</f>
        <v>751000</v>
      </c>
      <c r="P150" s="296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</row>
    <row r="151" spans="1:35" ht="30.75" customHeight="1">
      <c r="A151" s="5" t="s">
        <v>174</v>
      </c>
      <c r="B151" s="5"/>
      <c r="C151" s="13" t="s">
        <v>177</v>
      </c>
      <c r="D151" s="48">
        <f>D152+D153</f>
        <v>22278709</v>
      </c>
      <c r="E151" s="48">
        <f aca="true" t="shared" si="36" ref="E151:O151">E152+E153</f>
        <v>22278709</v>
      </c>
      <c r="F151" s="48">
        <f t="shared" si="36"/>
        <v>9677400</v>
      </c>
      <c r="G151" s="48">
        <f t="shared" si="36"/>
        <v>784890</v>
      </c>
      <c r="H151" s="48">
        <f t="shared" si="36"/>
        <v>0</v>
      </c>
      <c r="I151" s="48">
        <f t="shared" si="36"/>
        <v>310000</v>
      </c>
      <c r="J151" s="48">
        <f t="shared" si="36"/>
        <v>0</v>
      </c>
      <c r="K151" s="48">
        <f t="shared" si="36"/>
        <v>0</v>
      </c>
      <c r="L151" s="48">
        <f t="shared" si="36"/>
        <v>0</v>
      </c>
      <c r="M151" s="48">
        <f t="shared" si="36"/>
        <v>310000</v>
      </c>
      <c r="N151" s="48">
        <f t="shared" si="36"/>
        <v>310000</v>
      </c>
      <c r="O151" s="48">
        <f t="shared" si="36"/>
        <v>22588709</v>
      </c>
      <c r="P151" s="296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</row>
    <row r="152" spans="1:35" s="8" customFormat="1" ht="36.75" customHeight="1">
      <c r="A152" s="7" t="s">
        <v>175</v>
      </c>
      <c r="B152" s="7" t="s">
        <v>123</v>
      </c>
      <c r="C152" s="14" t="s">
        <v>44</v>
      </c>
      <c r="D152" s="50">
        <f>'дод. 3'!E36+'дод. 3'!E87</f>
        <v>14145730</v>
      </c>
      <c r="E152" s="50">
        <f>'дод. 3'!F36+'дод. 3'!F87</f>
        <v>14145730</v>
      </c>
      <c r="F152" s="50">
        <f>'дод. 3'!G36+'дод. 3'!G87</f>
        <v>9677400</v>
      </c>
      <c r="G152" s="50">
        <f>'дод. 3'!H36+'дод. 3'!H87</f>
        <v>784890</v>
      </c>
      <c r="H152" s="50">
        <f>'дод. 3'!I36+'дод. 3'!I87</f>
        <v>0</v>
      </c>
      <c r="I152" s="50">
        <f>'дод. 3'!J36+'дод. 3'!J87</f>
        <v>300000</v>
      </c>
      <c r="J152" s="50">
        <f>'дод. 3'!K36+'дод. 3'!K87</f>
        <v>0</v>
      </c>
      <c r="K152" s="50">
        <f>'дод. 3'!L36+'дод. 3'!L87</f>
        <v>0</v>
      </c>
      <c r="L152" s="50">
        <f>'дод. 3'!M36+'дод. 3'!M87</f>
        <v>0</v>
      </c>
      <c r="M152" s="50">
        <f>'дод. 3'!N36+'дод. 3'!N87</f>
        <v>300000</v>
      </c>
      <c r="N152" s="50">
        <f>'дод. 3'!O36+'дод. 3'!O87</f>
        <v>300000</v>
      </c>
      <c r="O152" s="50">
        <f>'дод. 3'!P36+'дод. 3'!P87</f>
        <v>14445730</v>
      </c>
      <c r="P152" s="29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</row>
    <row r="153" spans="1:35" s="8" customFormat="1" ht="31.5" customHeight="1">
      <c r="A153" s="7" t="s">
        <v>176</v>
      </c>
      <c r="B153" s="7" t="s">
        <v>123</v>
      </c>
      <c r="C153" s="14" t="s">
        <v>45</v>
      </c>
      <c r="D153" s="50">
        <f>'дод. 3'!E37</f>
        <v>8132979</v>
      </c>
      <c r="E153" s="50">
        <f>'дод. 3'!F37</f>
        <v>8132979</v>
      </c>
      <c r="F153" s="50">
        <f>'дод. 3'!G37</f>
        <v>0</v>
      </c>
      <c r="G153" s="50">
        <f>'дод. 3'!H37</f>
        <v>0</v>
      </c>
      <c r="H153" s="50">
        <f>'дод. 3'!I37</f>
        <v>0</v>
      </c>
      <c r="I153" s="50">
        <f>'дод. 3'!J37</f>
        <v>10000</v>
      </c>
      <c r="J153" s="50">
        <f>'дод. 3'!K37</f>
        <v>0</v>
      </c>
      <c r="K153" s="50">
        <f>'дод. 3'!L37</f>
        <v>0</v>
      </c>
      <c r="L153" s="50">
        <f>'дод. 3'!M37</f>
        <v>0</v>
      </c>
      <c r="M153" s="50">
        <f>'дод. 3'!N37</f>
        <v>10000</v>
      </c>
      <c r="N153" s="50">
        <f>'дод. 3'!O37</f>
        <v>10000</v>
      </c>
      <c r="O153" s="50">
        <f>'дод. 3'!P37</f>
        <v>8142979</v>
      </c>
      <c r="P153" s="296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</row>
    <row r="154" spans="1:35" ht="29.25" customHeight="1">
      <c r="A154" s="5" t="s">
        <v>125</v>
      </c>
      <c r="B154" s="5"/>
      <c r="C154" s="13" t="s">
        <v>169</v>
      </c>
      <c r="D154" s="48">
        <f>D155+D156</f>
        <v>9472021</v>
      </c>
      <c r="E154" s="48">
        <f aca="true" t="shared" si="37" ref="E154:O154">E155+E156</f>
        <v>9472021</v>
      </c>
      <c r="F154" s="48">
        <f t="shared" si="37"/>
        <v>1789783</v>
      </c>
      <c r="G154" s="48">
        <f t="shared" si="37"/>
        <v>407210</v>
      </c>
      <c r="H154" s="48">
        <f t="shared" si="37"/>
        <v>0</v>
      </c>
      <c r="I154" s="48">
        <f t="shared" si="37"/>
        <v>246687</v>
      </c>
      <c r="J154" s="48">
        <f t="shared" si="37"/>
        <v>226687</v>
      </c>
      <c r="K154" s="48">
        <f t="shared" si="37"/>
        <v>141022</v>
      </c>
      <c r="L154" s="48">
        <f t="shared" si="37"/>
        <v>53404</v>
      </c>
      <c r="M154" s="48">
        <f t="shared" si="37"/>
        <v>20000</v>
      </c>
      <c r="N154" s="48">
        <f t="shared" si="37"/>
        <v>20000</v>
      </c>
      <c r="O154" s="48">
        <f t="shared" si="37"/>
        <v>9718708</v>
      </c>
      <c r="P154" s="296">
        <v>21</v>
      </c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</row>
    <row r="155" spans="1:35" s="8" customFormat="1" ht="75" customHeight="1">
      <c r="A155" s="7" t="s">
        <v>170</v>
      </c>
      <c r="B155" s="7" t="s">
        <v>123</v>
      </c>
      <c r="C155" s="14" t="s">
        <v>171</v>
      </c>
      <c r="D155" s="50">
        <f>'дод. 3'!E39</f>
        <v>3778561</v>
      </c>
      <c r="E155" s="50">
        <f>'дод. 3'!F39</f>
        <v>3778561</v>
      </c>
      <c r="F155" s="50">
        <f>'дод. 3'!G39</f>
        <v>1789783</v>
      </c>
      <c r="G155" s="50">
        <f>'дод. 3'!H39</f>
        <v>407210</v>
      </c>
      <c r="H155" s="50">
        <f>'дод. 3'!I39</f>
        <v>0</v>
      </c>
      <c r="I155" s="50">
        <f>'дод. 3'!J39</f>
        <v>246687</v>
      </c>
      <c r="J155" s="50">
        <f>'дод. 3'!K39</f>
        <v>226687</v>
      </c>
      <c r="K155" s="50">
        <f>'дод. 3'!L39</f>
        <v>141022</v>
      </c>
      <c r="L155" s="50">
        <f>'дод. 3'!M39</f>
        <v>53404</v>
      </c>
      <c r="M155" s="50">
        <f>'дод. 3'!N39</f>
        <v>20000</v>
      </c>
      <c r="N155" s="50">
        <f>'дод. 3'!O39</f>
        <v>20000</v>
      </c>
      <c r="O155" s="50">
        <f>'дод. 3'!P39</f>
        <v>4025248</v>
      </c>
      <c r="P155" s="296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</row>
    <row r="156" spans="1:35" s="8" customFormat="1" ht="54" customHeight="1">
      <c r="A156" s="7" t="s">
        <v>173</v>
      </c>
      <c r="B156" s="7" t="s">
        <v>123</v>
      </c>
      <c r="C156" s="14" t="s">
        <v>172</v>
      </c>
      <c r="D156" s="50">
        <f>'дод. 3'!E40</f>
        <v>5693460</v>
      </c>
      <c r="E156" s="50">
        <f>'дод. 3'!F40</f>
        <v>5693460</v>
      </c>
      <c r="F156" s="50">
        <f>'дод. 3'!G40</f>
        <v>0</v>
      </c>
      <c r="G156" s="50">
        <f>'дод. 3'!H40</f>
        <v>0</v>
      </c>
      <c r="H156" s="50">
        <f>'дод. 3'!I40</f>
        <v>0</v>
      </c>
      <c r="I156" s="50">
        <f>'дод. 3'!J40</f>
        <v>0</v>
      </c>
      <c r="J156" s="50">
        <f>'дод. 3'!K40</f>
        <v>0</v>
      </c>
      <c r="K156" s="50">
        <f>'дод. 3'!L40</f>
        <v>0</v>
      </c>
      <c r="L156" s="50">
        <f>'дод. 3'!M40</f>
        <v>0</v>
      </c>
      <c r="M156" s="50">
        <f>'дод. 3'!N40</f>
        <v>0</v>
      </c>
      <c r="N156" s="50">
        <f>'дод. 3'!O40</f>
        <v>0</v>
      </c>
      <c r="O156" s="50">
        <f>'дод. 3'!P40</f>
        <v>5693460</v>
      </c>
      <c r="P156" s="296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</row>
    <row r="157" spans="1:35" s="21" customFormat="1" ht="27" customHeight="1">
      <c r="A157" s="22" t="s">
        <v>106</v>
      </c>
      <c r="B157" s="11"/>
      <c r="C157" s="11" t="s">
        <v>107</v>
      </c>
      <c r="D157" s="49">
        <f>D159+D165+D166+D171+D174+D167</f>
        <v>175419884.45</v>
      </c>
      <c r="E157" s="49">
        <f aca="true" t="shared" si="38" ref="E157:O157">E159+E165+E166+E171+E174+E167</f>
        <v>160944241.95</v>
      </c>
      <c r="F157" s="49">
        <f t="shared" si="38"/>
        <v>0</v>
      </c>
      <c r="G157" s="49">
        <f t="shared" si="38"/>
        <v>18229320</v>
      </c>
      <c r="H157" s="49">
        <f t="shared" si="38"/>
        <v>14475642.499999998</v>
      </c>
      <c r="I157" s="49">
        <f t="shared" si="38"/>
        <v>210167100.04</v>
      </c>
      <c r="J157" s="49">
        <f t="shared" si="38"/>
        <v>0</v>
      </c>
      <c r="K157" s="49">
        <f t="shared" si="38"/>
        <v>0</v>
      </c>
      <c r="L157" s="49">
        <f t="shared" si="38"/>
        <v>0</v>
      </c>
      <c r="M157" s="49">
        <f t="shared" si="38"/>
        <v>210167100.04</v>
      </c>
      <c r="N157" s="49">
        <f t="shared" si="38"/>
        <v>196404359.35</v>
      </c>
      <c r="O157" s="49">
        <f t="shared" si="38"/>
        <v>385586984.49</v>
      </c>
      <c r="P157" s="296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</row>
    <row r="158" spans="1:35" s="21" customFormat="1" ht="27" customHeight="1">
      <c r="A158" s="22"/>
      <c r="B158" s="11"/>
      <c r="C158" s="11" t="s">
        <v>416</v>
      </c>
      <c r="D158" s="49">
        <f>D168</f>
        <v>0</v>
      </c>
      <c r="E158" s="49">
        <f aca="true" t="shared" si="39" ref="E158:O158">E168</f>
        <v>0</v>
      </c>
      <c r="F158" s="49">
        <f t="shared" si="39"/>
        <v>0</v>
      </c>
      <c r="G158" s="49">
        <f t="shared" si="39"/>
        <v>0</v>
      </c>
      <c r="H158" s="49">
        <f t="shared" si="39"/>
        <v>0</v>
      </c>
      <c r="I158" s="49">
        <f t="shared" si="39"/>
        <v>13705000</v>
      </c>
      <c r="J158" s="49">
        <f t="shared" si="39"/>
        <v>0</v>
      </c>
      <c r="K158" s="49">
        <f t="shared" si="39"/>
        <v>0</v>
      </c>
      <c r="L158" s="49">
        <f t="shared" si="39"/>
        <v>0</v>
      </c>
      <c r="M158" s="49">
        <f t="shared" si="39"/>
        <v>13705000</v>
      </c>
      <c r="N158" s="49">
        <f t="shared" si="39"/>
        <v>0</v>
      </c>
      <c r="O158" s="49">
        <f t="shared" si="39"/>
        <v>13705000</v>
      </c>
      <c r="P158" s="296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</row>
    <row r="159" spans="1:35" ht="34.5" customHeight="1">
      <c r="A159" s="5" t="s">
        <v>108</v>
      </c>
      <c r="B159" s="5"/>
      <c r="C159" s="13" t="s">
        <v>204</v>
      </c>
      <c r="D159" s="48">
        <f>D160+D161+D164+D162+D163</f>
        <v>9199142</v>
      </c>
      <c r="E159" s="48">
        <f aca="true" t="shared" si="40" ref="E159:O159">E160+E161+E164+E162+E163</f>
        <v>2343000</v>
      </c>
      <c r="F159" s="48">
        <f t="shared" si="40"/>
        <v>0</v>
      </c>
      <c r="G159" s="48">
        <f t="shared" si="40"/>
        <v>0</v>
      </c>
      <c r="H159" s="48">
        <f t="shared" si="40"/>
        <v>6856142</v>
      </c>
      <c r="I159" s="48">
        <f t="shared" si="40"/>
        <v>65654890</v>
      </c>
      <c r="J159" s="48">
        <f t="shared" si="40"/>
        <v>0</v>
      </c>
      <c r="K159" s="48">
        <f t="shared" si="40"/>
        <v>0</v>
      </c>
      <c r="L159" s="48">
        <f t="shared" si="40"/>
        <v>0</v>
      </c>
      <c r="M159" s="48">
        <f t="shared" si="40"/>
        <v>65654890</v>
      </c>
      <c r="N159" s="48">
        <f t="shared" si="40"/>
        <v>65654890</v>
      </c>
      <c r="O159" s="48">
        <f t="shared" si="40"/>
        <v>74854032</v>
      </c>
      <c r="P159" s="296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</row>
    <row r="160" spans="1:35" s="8" customFormat="1" ht="33.75" customHeight="1">
      <c r="A160" s="7" t="s">
        <v>205</v>
      </c>
      <c r="B160" s="7" t="s">
        <v>111</v>
      </c>
      <c r="C160" s="14" t="s">
        <v>206</v>
      </c>
      <c r="D160" s="50">
        <f>'дод. 3'!E227</f>
        <v>0</v>
      </c>
      <c r="E160" s="50">
        <f>'дод. 3'!F227</f>
        <v>0</v>
      </c>
      <c r="F160" s="50">
        <f>'дод. 3'!G227</f>
        <v>0</v>
      </c>
      <c r="G160" s="50">
        <f>'дод. 3'!H227</f>
        <v>0</v>
      </c>
      <c r="H160" s="50">
        <f>'дод. 3'!I227</f>
        <v>0</v>
      </c>
      <c r="I160" s="50">
        <f>'дод. 3'!J227</f>
        <v>32969268</v>
      </c>
      <c r="J160" s="50">
        <f>'дод. 3'!K227</f>
        <v>0</v>
      </c>
      <c r="K160" s="50">
        <f>'дод. 3'!L227</f>
        <v>0</v>
      </c>
      <c r="L160" s="50">
        <f>'дод. 3'!M227</f>
        <v>0</v>
      </c>
      <c r="M160" s="50">
        <f>'дод. 3'!N227</f>
        <v>32969268</v>
      </c>
      <c r="N160" s="50">
        <f>'дод. 3'!O227</f>
        <v>32969268</v>
      </c>
      <c r="O160" s="50">
        <f>'дод. 3'!P227</f>
        <v>32969268</v>
      </c>
      <c r="P160" s="296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</row>
    <row r="161" spans="1:35" s="8" customFormat="1" ht="36.75" customHeight="1">
      <c r="A161" s="7" t="s">
        <v>207</v>
      </c>
      <c r="B161" s="7" t="s">
        <v>111</v>
      </c>
      <c r="C161" s="14" t="s">
        <v>235</v>
      </c>
      <c r="D161" s="50">
        <f>'дод. 3'!E228</f>
        <v>7696142</v>
      </c>
      <c r="E161" s="50">
        <f>'дод. 3'!F228</f>
        <v>840000</v>
      </c>
      <c r="F161" s="50">
        <f>'дод. 3'!G228</f>
        <v>0</v>
      </c>
      <c r="G161" s="50">
        <f>'дод. 3'!H228</f>
        <v>0</v>
      </c>
      <c r="H161" s="50">
        <f>'дод. 3'!I228</f>
        <v>6856142</v>
      </c>
      <c r="I161" s="50">
        <f>'дод. 3'!J228</f>
        <v>542622</v>
      </c>
      <c r="J161" s="50">
        <f>'дод. 3'!K228</f>
        <v>0</v>
      </c>
      <c r="K161" s="50">
        <f>'дод. 3'!L228</f>
        <v>0</v>
      </c>
      <c r="L161" s="50">
        <f>'дод. 3'!M228</f>
        <v>0</v>
      </c>
      <c r="M161" s="50">
        <f>'дод. 3'!N228</f>
        <v>542622</v>
      </c>
      <c r="N161" s="50">
        <f>'дод. 3'!O228</f>
        <v>542622</v>
      </c>
      <c r="O161" s="50">
        <f>'дод. 3'!P228</f>
        <v>8238764</v>
      </c>
      <c r="P161" s="296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</row>
    <row r="162" spans="1:35" s="8" customFormat="1" ht="36.75" customHeight="1">
      <c r="A162" s="27" t="s">
        <v>406</v>
      </c>
      <c r="B162" s="27" t="s">
        <v>111</v>
      </c>
      <c r="C162" s="14" t="s">
        <v>407</v>
      </c>
      <c r="D162" s="50">
        <f>'дод. 3'!E229</f>
        <v>503000</v>
      </c>
      <c r="E162" s="50">
        <f>'дод. 3'!F229</f>
        <v>503000</v>
      </c>
      <c r="F162" s="50">
        <f>'дод. 3'!G229</f>
        <v>0</v>
      </c>
      <c r="G162" s="50">
        <f>'дод. 3'!H229</f>
        <v>0</v>
      </c>
      <c r="H162" s="50">
        <f>'дод. 3'!I229</f>
        <v>0</v>
      </c>
      <c r="I162" s="50">
        <f>'дод. 3'!J229</f>
        <v>29965000</v>
      </c>
      <c r="J162" s="50">
        <f>'дод. 3'!K229</f>
        <v>0</v>
      </c>
      <c r="K162" s="50">
        <f>'дод. 3'!L229</f>
        <v>0</v>
      </c>
      <c r="L162" s="50">
        <f>'дод. 3'!M229</f>
        <v>0</v>
      </c>
      <c r="M162" s="50">
        <f>'дод. 3'!N229</f>
        <v>29965000</v>
      </c>
      <c r="N162" s="50">
        <f>'дод. 3'!O229</f>
        <v>29965000</v>
      </c>
      <c r="O162" s="50">
        <f>'дод. 3'!P229</f>
        <v>30468000</v>
      </c>
      <c r="P162" s="296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</row>
    <row r="163" spans="1:35" s="8" customFormat="1" ht="46.5" customHeight="1">
      <c r="A163" s="27" t="s">
        <v>608</v>
      </c>
      <c r="B163" s="27" t="s">
        <v>111</v>
      </c>
      <c r="C163" s="14" t="s">
        <v>609</v>
      </c>
      <c r="D163" s="50">
        <f>'дод. 3'!E230</f>
        <v>0</v>
      </c>
      <c r="E163" s="50">
        <f>'дод. 3'!F230</f>
        <v>0</v>
      </c>
      <c r="F163" s="50">
        <f>'дод. 3'!G230</f>
        <v>0</v>
      </c>
      <c r="G163" s="50">
        <f>'дод. 3'!H230</f>
        <v>0</v>
      </c>
      <c r="H163" s="50">
        <f>'дод. 3'!I230</f>
        <v>0</v>
      </c>
      <c r="I163" s="50">
        <f>'дод. 3'!J230</f>
        <v>2178000</v>
      </c>
      <c r="J163" s="50">
        <f>'дод. 3'!K230</f>
        <v>0</v>
      </c>
      <c r="K163" s="50">
        <f>'дод. 3'!L230</f>
        <v>0</v>
      </c>
      <c r="L163" s="50">
        <f>'дод. 3'!M230</f>
        <v>0</v>
      </c>
      <c r="M163" s="50">
        <f>'дод. 3'!N230</f>
        <v>2178000</v>
      </c>
      <c r="N163" s="50">
        <f>'дод. 3'!O230</f>
        <v>2178000</v>
      </c>
      <c r="O163" s="50">
        <f>'дод. 3'!P230</f>
        <v>2178000</v>
      </c>
      <c r="P163" s="296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</row>
    <row r="164" spans="1:35" s="8" customFormat="1" ht="33" customHeight="1">
      <c r="A164" s="7" t="s">
        <v>409</v>
      </c>
      <c r="B164" s="7" t="s">
        <v>111</v>
      </c>
      <c r="C164" s="14" t="s">
        <v>410</v>
      </c>
      <c r="D164" s="50">
        <f>'дод. 3'!E231</f>
        <v>1000000</v>
      </c>
      <c r="E164" s="50">
        <f>'дод. 3'!F231</f>
        <v>1000000</v>
      </c>
      <c r="F164" s="50">
        <f>'дод. 3'!G231</f>
        <v>0</v>
      </c>
      <c r="G164" s="50">
        <f>'дод. 3'!H231</f>
        <v>0</v>
      </c>
      <c r="H164" s="50">
        <f>'дод. 3'!I231</f>
        <v>0</v>
      </c>
      <c r="I164" s="50">
        <f>'дод. 3'!J231</f>
        <v>0</v>
      </c>
      <c r="J164" s="50">
        <f>'дод. 3'!K231</f>
        <v>0</v>
      </c>
      <c r="K164" s="50">
        <f>'дод. 3'!L231</f>
        <v>0</v>
      </c>
      <c r="L164" s="50">
        <f>'дод. 3'!M231</f>
        <v>0</v>
      </c>
      <c r="M164" s="50">
        <f>'дод. 3'!N231</f>
        <v>0</v>
      </c>
      <c r="N164" s="50">
        <f>'дод. 3'!O231</f>
        <v>0</v>
      </c>
      <c r="O164" s="50">
        <f>'дод. 3'!P231</f>
        <v>1000000</v>
      </c>
      <c r="P164" s="296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</row>
    <row r="165" spans="1:35" s="8" customFormat="1" ht="52.5" customHeight="1">
      <c r="A165" s="5" t="s">
        <v>110</v>
      </c>
      <c r="B165" s="5" t="s">
        <v>111</v>
      </c>
      <c r="C165" s="13" t="s">
        <v>210</v>
      </c>
      <c r="D165" s="48">
        <f>'дод. 3'!E232</f>
        <v>6402960.7</v>
      </c>
      <c r="E165" s="48">
        <f>'дод. 3'!F232</f>
        <v>0</v>
      </c>
      <c r="F165" s="48">
        <f>'дод. 3'!G232</f>
        <v>0</v>
      </c>
      <c r="G165" s="48">
        <f>'дод. 3'!H232</f>
        <v>0</v>
      </c>
      <c r="H165" s="48">
        <f>'дод. 3'!I232</f>
        <v>6402960.7</v>
      </c>
      <c r="I165" s="48">
        <f>'дод. 3'!J232</f>
        <v>0</v>
      </c>
      <c r="J165" s="48">
        <f>'дод. 3'!K232</f>
        <v>0</v>
      </c>
      <c r="K165" s="48">
        <f>'дод. 3'!L232</f>
        <v>0</v>
      </c>
      <c r="L165" s="48">
        <f>'дод. 3'!M232</f>
        <v>0</v>
      </c>
      <c r="M165" s="48">
        <f>'дод. 3'!N232</f>
        <v>0</v>
      </c>
      <c r="N165" s="48">
        <f>'дод. 3'!O232</f>
        <v>0</v>
      </c>
      <c r="O165" s="48">
        <f>'дод. 3'!P232</f>
        <v>6402960.7</v>
      </c>
      <c r="P165" s="296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</row>
    <row r="166" spans="1:35" ht="30" customHeight="1">
      <c r="A166" s="5" t="s">
        <v>208</v>
      </c>
      <c r="B166" s="5" t="s">
        <v>111</v>
      </c>
      <c r="C166" s="13" t="s">
        <v>209</v>
      </c>
      <c r="D166" s="48">
        <f>'дод. 3'!E262+'дод. 3'!E233</f>
        <v>155500717.4</v>
      </c>
      <c r="E166" s="48">
        <f>'дод. 3'!F262+'дод. 3'!F233</f>
        <v>155319964.95</v>
      </c>
      <c r="F166" s="48">
        <f>'дод. 3'!G262+'дод. 3'!G233</f>
        <v>0</v>
      </c>
      <c r="G166" s="48">
        <f>'дод. 3'!H262+'дод. 3'!H233</f>
        <v>18189320</v>
      </c>
      <c r="H166" s="48">
        <f>'дод. 3'!I262+'дод. 3'!I233</f>
        <v>180752.45</v>
      </c>
      <c r="I166" s="48">
        <f>'дод. 3'!J262+'дод. 3'!J233</f>
        <v>130249469.35</v>
      </c>
      <c r="J166" s="48">
        <f>'дод. 3'!K262+'дод. 3'!K233</f>
        <v>0</v>
      </c>
      <c r="K166" s="48">
        <f>'дод. 3'!L262+'дод. 3'!L233</f>
        <v>0</v>
      </c>
      <c r="L166" s="48">
        <f>'дод. 3'!M262+'дод. 3'!M233</f>
        <v>0</v>
      </c>
      <c r="M166" s="48">
        <f>'дод. 3'!N262+'дод. 3'!N233</f>
        <v>130249469.35</v>
      </c>
      <c r="N166" s="48">
        <f>'дод. 3'!O262+'дод. 3'!O233</f>
        <v>130249469.35</v>
      </c>
      <c r="O166" s="48">
        <f>'дод. 3'!P262+'дод. 3'!P233</f>
        <v>285750186.75</v>
      </c>
      <c r="P166" s="296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</row>
    <row r="167" spans="1:35" ht="35.25" customHeight="1">
      <c r="A167" s="5" t="s">
        <v>635</v>
      </c>
      <c r="B167" s="5"/>
      <c r="C167" s="13" t="s">
        <v>637</v>
      </c>
      <c r="D167" s="48">
        <f>D169</f>
        <v>0</v>
      </c>
      <c r="E167" s="48">
        <f aca="true" t="shared" si="41" ref="E167:O168">E169</f>
        <v>0</v>
      </c>
      <c r="F167" s="48">
        <f t="shared" si="41"/>
        <v>0</v>
      </c>
      <c r="G167" s="48">
        <f t="shared" si="41"/>
        <v>0</v>
      </c>
      <c r="H167" s="48">
        <f t="shared" si="41"/>
        <v>0</v>
      </c>
      <c r="I167" s="48">
        <f t="shared" si="41"/>
        <v>13705000</v>
      </c>
      <c r="J167" s="48">
        <f t="shared" si="41"/>
        <v>0</v>
      </c>
      <c r="K167" s="48">
        <f t="shared" si="41"/>
        <v>0</v>
      </c>
      <c r="L167" s="48">
        <f t="shared" si="41"/>
        <v>0</v>
      </c>
      <c r="M167" s="48">
        <f t="shared" si="41"/>
        <v>13705000</v>
      </c>
      <c r="N167" s="48">
        <f t="shared" si="41"/>
        <v>0</v>
      </c>
      <c r="O167" s="48">
        <f t="shared" si="41"/>
        <v>13705000</v>
      </c>
      <c r="P167" s="296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</row>
    <row r="168" spans="2:35" ht="21.75" customHeight="1">
      <c r="B168" s="5"/>
      <c r="C168" s="13" t="s">
        <v>416</v>
      </c>
      <c r="D168" s="48">
        <f>D170</f>
        <v>0</v>
      </c>
      <c r="E168" s="48">
        <f t="shared" si="41"/>
        <v>0</v>
      </c>
      <c r="F168" s="48">
        <f t="shared" si="41"/>
        <v>0</v>
      </c>
      <c r="G168" s="48">
        <f t="shared" si="41"/>
        <v>0</v>
      </c>
      <c r="H168" s="48">
        <f t="shared" si="41"/>
        <v>0</v>
      </c>
      <c r="I168" s="48">
        <f t="shared" si="41"/>
        <v>13705000</v>
      </c>
      <c r="J168" s="48">
        <f t="shared" si="41"/>
        <v>0</v>
      </c>
      <c r="K168" s="48">
        <f t="shared" si="41"/>
        <v>0</v>
      </c>
      <c r="L168" s="48">
        <f t="shared" si="41"/>
        <v>0</v>
      </c>
      <c r="M168" s="48">
        <f t="shared" si="41"/>
        <v>13705000</v>
      </c>
      <c r="N168" s="48">
        <f t="shared" si="41"/>
        <v>0</v>
      </c>
      <c r="O168" s="48">
        <f t="shared" si="41"/>
        <v>13705000</v>
      </c>
      <c r="P168" s="296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</row>
    <row r="169" spans="1:35" s="8" customFormat="1" ht="249.75" customHeight="1">
      <c r="A169" s="7" t="s">
        <v>636</v>
      </c>
      <c r="B169" s="7" t="s">
        <v>490</v>
      </c>
      <c r="C169" s="14" t="s">
        <v>638</v>
      </c>
      <c r="D169" s="50">
        <f>'дод. 3'!E237</f>
        <v>0</v>
      </c>
      <c r="E169" s="50">
        <f>'дод. 3'!F237</f>
        <v>0</v>
      </c>
      <c r="F169" s="50">
        <f>'дод. 3'!G237</f>
        <v>0</v>
      </c>
      <c r="G169" s="50">
        <f>'дод. 3'!H237</f>
        <v>0</v>
      </c>
      <c r="H169" s="50">
        <f>'дод. 3'!I237</f>
        <v>0</v>
      </c>
      <c r="I169" s="50">
        <f>'дод. 3'!J237</f>
        <v>13705000</v>
      </c>
      <c r="J169" s="50">
        <f>'дод. 3'!K237</f>
        <v>0</v>
      </c>
      <c r="K169" s="50">
        <f>'дод. 3'!L237</f>
        <v>0</v>
      </c>
      <c r="L169" s="50">
        <f>'дод. 3'!M237</f>
        <v>0</v>
      </c>
      <c r="M169" s="50">
        <f>'дод. 3'!N237</f>
        <v>13705000</v>
      </c>
      <c r="N169" s="50">
        <f>'дод. 3'!O237</f>
        <v>0</v>
      </c>
      <c r="O169" s="50">
        <f>'дод. 3'!P237</f>
        <v>13705000</v>
      </c>
      <c r="P169" s="296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</row>
    <row r="170" spans="1:35" s="8" customFormat="1" ht="27.75" customHeight="1">
      <c r="A170" s="7"/>
      <c r="B170" s="7"/>
      <c r="C170" s="14" t="s">
        <v>416</v>
      </c>
      <c r="D170" s="50">
        <f>'дод. 3'!E238</f>
        <v>0</v>
      </c>
      <c r="E170" s="50">
        <f>'дод. 3'!F238</f>
        <v>0</v>
      </c>
      <c r="F170" s="50">
        <f>'дод. 3'!G238</f>
        <v>0</v>
      </c>
      <c r="G170" s="50">
        <f>'дод. 3'!H238</f>
        <v>0</v>
      </c>
      <c r="H170" s="50">
        <f>'дод. 3'!I238</f>
        <v>0</v>
      </c>
      <c r="I170" s="50">
        <f>'дод. 3'!J238</f>
        <v>13705000</v>
      </c>
      <c r="J170" s="50">
        <f>'дод. 3'!K238</f>
        <v>0</v>
      </c>
      <c r="K170" s="50">
        <f>'дод. 3'!L238</f>
        <v>0</v>
      </c>
      <c r="L170" s="50">
        <f>'дод. 3'!M238</f>
        <v>0</v>
      </c>
      <c r="M170" s="50">
        <f>'дод. 3'!N238</f>
        <v>13705000</v>
      </c>
      <c r="N170" s="50">
        <f>'дод. 3'!O238</f>
        <v>0</v>
      </c>
      <c r="O170" s="50">
        <f>'дод. 3'!P238</f>
        <v>13705000</v>
      </c>
      <c r="P170" s="296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</row>
    <row r="171" spans="1:35" ht="24" customHeight="1">
      <c r="A171" s="5" t="s">
        <v>226</v>
      </c>
      <c r="B171" s="5"/>
      <c r="C171" s="13" t="s">
        <v>227</v>
      </c>
      <c r="D171" s="48">
        <f>D173+D172</f>
        <v>84912.35</v>
      </c>
      <c r="E171" s="48">
        <f aca="true" t="shared" si="42" ref="E171:O171">E173+E172</f>
        <v>0</v>
      </c>
      <c r="F171" s="48">
        <f t="shared" si="42"/>
        <v>0</v>
      </c>
      <c r="G171" s="48">
        <f t="shared" si="42"/>
        <v>0</v>
      </c>
      <c r="H171" s="48">
        <f t="shared" si="42"/>
        <v>84912.35</v>
      </c>
      <c r="I171" s="48">
        <f t="shared" si="42"/>
        <v>557740.69</v>
      </c>
      <c r="J171" s="48">
        <f t="shared" si="42"/>
        <v>0</v>
      </c>
      <c r="K171" s="48">
        <f t="shared" si="42"/>
        <v>0</v>
      </c>
      <c r="L171" s="48">
        <f t="shared" si="42"/>
        <v>0</v>
      </c>
      <c r="M171" s="48">
        <f t="shared" si="42"/>
        <v>557740.69</v>
      </c>
      <c r="N171" s="48">
        <f t="shared" si="42"/>
        <v>500000</v>
      </c>
      <c r="O171" s="48">
        <f t="shared" si="42"/>
        <v>642653.04</v>
      </c>
      <c r="P171" s="296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</row>
    <row r="172" spans="1:35" ht="42.75" customHeight="1">
      <c r="A172" s="7" t="s">
        <v>627</v>
      </c>
      <c r="B172" s="7" t="s">
        <v>109</v>
      </c>
      <c r="C172" s="14" t="s">
        <v>628</v>
      </c>
      <c r="D172" s="48">
        <f>'дод. 3'!E264</f>
        <v>0</v>
      </c>
      <c r="E172" s="48">
        <f>'дод. 3'!F264</f>
        <v>0</v>
      </c>
      <c r="F172" s="48">
        <f>'дод. 3'!G264</f>
        <v>0</v>
      </c>
      <c r="G172" s="48">
        <f>'дод. 3'!H264</f>
        <v>0</v>
      </c>
      <c r="H172" s="48">
        <f>'дод. 3'!I264</f>
        <v>0</v>
      </c>
      <c r="I172" s="48">
        <f>'дод. 3'!J264</f>
        <v>500000</v>
      </c>
      <c r="J172" s="48">
        <f>'дод. 3'!K264</f>
        <v>0</v>
      </c>
      <c r="K172" s="48">
        <f>'дод. 3'!L264</f>
        <v>0</v>
      </c>
      <c r="L172" s="48">
        <f>'дод. 3'!M264</f>
        <v>0</v>
      </c>
      <c r="M172" s="48">
        <f>'дод. 3'!N264</f>
        <v>500000</v>
      </c>
      <c r="N172" s="48">
        <f>'дод. 3'!O264</f>
        <v>500000</v>
      </c>
      <c r="O172" s="48">
        <f>'дод. 3'!P264</f>
        <v>500000</v>
      </c>
      <c r="P172" s="296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</row>
    <row r="173" spans="1:35" s="8" customFormat="1" ht="67.5" customHeight="1">
      <c r="A173" s="7" t="s">
        <v>212</v>
      </c>
      <c r="B173" s="9" t="s">
        <v>109</v>
      </c>
      <c r="C173" s="14" t="s">
        <v>213</v>
      </c>
      <c r="D173" s="50">
        <f>'дод. 3'!E265</f>
        <v>84912.35</v>
      </c>
      <c r="E173" s="50">
        <f>'дод. 3'!F265</f>
        <v>0</v>
      </c>
      <c r="F173" s="50">
        <f>'дод. 3'!G265</f>
        <v>0</v>
      </c>
      <c r="G173" s="50">
        <f>'дод. 3'!H265</f>
        <v>0</v>
      </c>
      <c r="H173" s="50">
        <f>'дод. 3'!I265</f>
        <v>84912.35</v>
      </c>
      <c r="I173" s="50">
        <f>'дод. 3'!J265</f>
        <v>57740.69</v>
      </c>
      <c r="J173" s="50">
        <f>'дод. 3'!K265</f>
        <v>0</v>
      </c>
      <c r="K173" s="50">
        <f>'дод. 3'!L265</f>
        <v>0</v>
      </c>
      <c r="L173" s="50">
        <f>'дод. 3'!M265</f>
        <v>0</v>
      </c>
      <c r="M173" s="50">
        <f>'дод. 3'!N265</f>
        <v>57740.69</v>
      </c>
      <c r="N173" s="50">
        <f>'дод. 3'!O265</f>
        <v>0</v>
      </c>
      <c r="O173" s="50">
        <f>'дод. 3'!P265</f>
        <v>142653.04</v>
      </c>
      <c r="P173" s="296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</row>
    <row r="174" spans="1:35" ht="39.75" customHeight="1">
      <c r="A174" s="5" t="s">
        <v>228</v>
      </c>
      <c r="B174" s="12" t="s">
        <v>490</v>
      </c>
      <c r="C174" s="13" t="s">
        <v>229</v>
      </c>
      <c r="D174" s="48">
        <f>'дод. 3'!E234+'дод. 3'!E257+'дод. 3'!E289</f>
        <v>4232152</v>
      </c>
      <c r="E174" s="48">
        <f>'дод. 3'!F234+'дод. 3'!F257+'дод. 3'!F289</f>
        <v>3281277</v>
      </c>
      <c r="F174" s="48">
        <f>'дод. 3'!G234+'дод. 3'!G257+'дод. 3'!G289</f>
        <v>0</v>
      </c>
      <c r="G174" s="48">
        <f>'дод. 3'!H234+'дод. 3'!H257+'дод. 3'!H289</f>
        <v>40000</v>
      </c>
      <c r="H174" s="48">
        <f>'дод. 3'!I234+'дод. 3'!I257+'дод. 3'!I289</f>
        <v>950875</v>
      </c>
      <c r="I174" s="48">
        <f>'дод. 3'!J234+'дод. 3'!J257+'дод. 3'!J289</f>
        <v>0</v>
      </c>
      <c r="J174" s="48">
        <f>'дод. 3'!K234+'дод. 3'!K257+'дод. 3'!K289</f>
        <v>0</v>
      </c>
      <c r="K174" s="48">
        <f>'дод. 3'!L234+'дод. 3'!L257+'дод. 3'!L289</f>
        <v>0</v>
      </c>
      <c r="L174" s="48">
        <f>'дод. 3'!M234+'дод. 3'!M257+'дод. 3'!M289</f>
        <v>0</v>
      </c>
      <c r="M174" s="48">
        <f>'дод. 3'!N234+'дод. 3'!N257+'дод. 3'!N289</f>
        <v>0</v>
      </c>
      <c r="N174" s="48">
        <f>'дод. 3'!O234+'дод. 3'!O257+'дод. 3'!O289</f>
        <v>0</v>
      </c>
      <c r="O174" s="48">
        <f>'дод. 3'!P234+'дод. 3'!P257+'дод. 3'!P289</f>
        <v>4232152</v>
      </c>
      <c r="P174" s="296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</row>
    <row r="175" spans="1:35" s="21" customFormat="1" ht="29.25" customHeight="1">
      <c r="A175" s="22" t="s">
        <v>214</v>
      </c>
      <c r="B175" s="11"/>
      <c r="C175" s="11" t="s">
        <v>215</v>
      </c>
      <c r="D175" s="49">
        <f aca="true" t="shared" si="43" ref="D175:O175">D176+D178+D193+D207+D209</f>
        <v>47317724</v>
      </c>
      <c r="E175" s="49">
        <f t="shared" si="43"/>
        <v>17984518</v>
      </c>
      <c r="F175" s="49">
        <f t="shared" si="43"/>
        <v>0</v>
      </c>
      <c r="G175" s="49">
        <f t="shared" si="43"/>
        <v>78316.65</v>
      </c>
      <c r="H175" s="49">
        <f t="shared" si="43"/>
        <v>29333206</v>
      </c>
      <c r="I175" s="49">
        <f>I176+I178+I193+I207+I209</f>
        <v>244546032.81</v>
      </c>
      <c r="J175" s="49">
        <f t="shared" si="43"/>
        <v>13246686.86</v>
      </c>
      <c r="K175" s="49">
        <f t="shared" si="43"/>
        <v>0</v>
      </c>
      <c r="L175" s="49">
        <f t="shared" si="43"/>
        <v>0</v>
      </c>
      <c r="M175" s="49">
        <f t="shared" si="43"/>
        <v>231299345.95</v>
      </c>
      <c r="N175" s="49">
        <f t="shared" si="43"/>
        <v>196973507.95999998</v>
      </c>
      <c r="O175" s="49">
        <f t="shared" si="43"/>
        <v>291863756.81</v>
      </c>
      <c r="P175" s="296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</row>
    <row r="176" spans="1:35" s="21" customFormat="1" ht="15.75">
      <c r="A176" s="22" t="s">
        <v>230</v>
      </c>
      <c r="B176" s="11"/>
      <c r="C176" s="11" t="s">
        <v>231</v>
      </c>
      <c r="D176" s="49">
        <f aca="true" t="shared" si="44" ref="D176:O176">D177</f>
        <v>1140670</v>
      </c>
      <c r="E176" s="49">
        <f t="shared" si="44"/>
        <v>650000</v>
      </c>
      <c r="F176" s="49">
        <f t="shared" si="44"/>
        <v>0</v>
      </c>
      <c r="G176" s="49">
        <f t="shared" si="44"/>
        <v>0</v>
      </c>
      <c r="H176" s="49">
        <f t="shared" si="44"/>
        <v>490670</v>
      </c>
      <c r="I176" s="49">
        <f>I177</f>
        <v>14343.33</v>
      </c>
      <c r="J176" s="49">
        <f t="shared" si="44"/>
        <v>14343.33</v>
      </c>
      <c r="K176" s="49">
        <f t="shared" si="44"/>
        <v>0</v>
      </c>
      <c r="L176" s="49">
        <f t="shared" si="44"/>
        <v>0</v>
      </c>
      <c r="M176" s="49">
        <f t="shared" si="44"/>
        <v>0</v>
      </c>
      <c r="N176" s="49">
        <f t="shared" si="44"/>
        <v>0</v>
      </c>
      <c r="O176" s="49">
        <f t="shared" si="44"/>
        <v>1155013.33</v>
      </c>
      <c r="P176" s="296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</row>
    <row r="177" spans="1:35" ht="24" customHeight="1">
      <c r="A177" s="5" t="s">
        <v>216</v>
      </c>
      <c r="B177" s="5" t="s">
        <v>127</v>
      </c>
      <c r="C177" s="13" t="s">
        <v>217</v>
      </c>
      <c r="D177" s="48">
        <f>'дод. 3'!E299+'дод. 3'!E239</f>
        <v>1140670</v>
      </c>
      <c r="E177" s="48">
        <f>'дод. 3'!F299+'дод. 3'!F239</f>
        <v>650000</v>
      </c>
      <c r="F177" s="48">
        <f>'дод. 3'!G299+'дод. 3'!G239</f>
        <v>0</v>
      </c>
      <c r="G177" s="48">
        <f>'дод. 3'!H299+'дод. 3'!H239</f>
        <v>0</v>
      </c>
      <c r="H177" s="48">
        <f>'дод. 3'!I299+'дод. 3'!I239</f>
        <v>490670</v>
      </c>
      <c r="I177" s="48">
        <f>'дод. 3'!J299+'дод. 3'!J239</f>
        <v>14343.33</v>
      </c>
      <c r="J177" s="48">
        <f>'дод. 3'!K299+'дод. 3'!K239</f>
        <v>14343.33</v>
      </c>
      <c r="K177" s="48">
        <f>'дод. 3'!L299+'дод. 3'!L239</f>
        <v>0</v>
      </c>
      <c r="L177" s="48">
        <f>'дод. 3'!M299+'дод. 3'!M239</f>
        <v>0</v>
      </c>
      <c r="M177" s="48">
        <f>'дод. 3'!N299+'дод. 3'!N239</f>
        <v>0</v>
      </c>
      <c r="N177" s="48">
        <f>'дод. 3'!O299+'дод. 3'!O239</f>
        <v>0</v>
      </c>
      <c r="O177" s="48">
        <f>'дод. 3'!P299+'дод. 3'!P239</f>
        <v>1155013.33</v>
      </c>
      <c r="P177" s="296">
        <v>22</v>
      </c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</row>
    <row r="178" spans="1:35" s="21" customFormat="1" ht="27.75" customHeight="1">
      <c r="A178" s="22" t="s">
        <v>144</v>
      </c>
      <c r="B178" s="22"/>
      <c r="C178" s="76" t="s">
        <v>218</v>
      </c>
      <c r="D178" s="49">
        <f>D180+D181+D185+D186+D188+D187</f>
        <v>0</v>
      </c>
      <c r="E178" s="49">
        <f aca="true" t="shared" si="45" ref="E178:O178">E180+E181+E185+E186+E188+E187</f>
        <v>0</v>
      </c>
      <c r="F178" s="49">
        <f t="shared" si="45"/>
        <v>0</v>
      </c>
      <c r="G178" s="49">
        <f t="shared" si="45"/>
        <v>0</v>
      </c>
      <c r="H178" s="49">
        <f t="shared" si="45"/>
        <v>0</v>
      </c>
      <c r="I178" s="49">
        <f>I180+I181+I185+I186+I188+I187</f>
        <v>116917497.00999999</v>
      </c>
      <c r="J178" s="49">
        <f t="shared" si="45"/>
        <v>0</v>
      </c>
      <c r="K178" s="49">
        <f t="shared" si="45"/>
        <v>0</v>
      </c>
      <c r="L178" s="49">
        <f t="shared" si="45"/>
        <v>0</v>
      </c>
      <c r="M178" s="49">
        <f t="shared" si="45"/>
        <v>116917497.00999999</v>
      </c>
      <c r="N178" s="49">
        <f t="shared" si="45"/>
        <v>114337133.96</v>
      </c>
      <c r="O178" s="49">
        <f t="shared" si="45"/>
        <v>116917497.00999999</v>
      </c>
      <c r="P178" s="296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</row>
    <row r="179" spans="1:35" s="21" customFormat="1" ht="27.75" customHeight="1">
      <c r="A179" s="22"/>
      <c r="B179" s="22"/>
      <c r="C179" s="13" t="s">
        <v>416</v>
      </c>
      <c r="D179" s="49">
        <f>D189</f>
        <v>0</v>
      </c>
      <c r="E179" s="49">
        <f aca="true" t="shared" si="46" ref="E179:O179">E189</f>
        <v>0</v>
      </c>
      <c r="F179" s="49">
        <f t="shared" si="46"/>
        <v>0</v>
      </c>
      <c r="G179" s="49">
        <f t="shared" si="46"/>
        <v>0</v>
      </c>
      <c r="H179" s="49">
        <f t="shared" si="46"/>
        <v>0</v>
      </c>
      <c r="I179" s="49">
        <f t="shared" si="46"/>
        <v>6623891.34</v>
      </c>
      <c r="J179" s="49">
        <f t="shared" si="46"/>
        <v>0</v>
      </c>
      <c r="K179" s="49">
        <f t="shared" si="46"/>
        <v>0</v>
      </c>
      <c r="L179" s="49">
        <f t="shared" si="46"/>
        <v>0</v>
      </c>
      <c r="M179" s="49">
        <f t="shared" si="46"/>
        <v>6623891.34</v>
      </c>
      <c r="N179" s="49">
        <f t="shared" si="46"/>
        <v>4043528.29</v>
      </c>
      <c r="O179" s="49">
        <f t="shared" si="46"/>
        <v>6623891.34</v>
      </c>
      <c r="P179" s="296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</row>
    <row r="180" spans="1:35" ht="32.25" customHeight="1">
      <c r="A180" s="26" t="s">
        <v>425</v>
      </c>
      <c r="B180" s="26" t="s">
        <v>166</v>
      </c>
      <c r="C180" s="13" t="s">
        <v>438</v>
      </c>
      <c r="D180" s="48">
        <f>'дод. 3'!E240+'дод. 3'!E266</f>
        <v>0</v>
      </c>
      <c r="E180" s="48">
        <f>'дод. 3'!F240+'дод. 3'!F266</f>
        <v>0</v>
      </c>
      <c r="F180" s="48">
        <f>'дод. 3'!G240+'дод. 3'!G266</f>
        <v>0</v>
      </c>
      <c r="G180" s="48">
        <f>'дод. 3'!H240+'дод. 3'!H266</f>
        <v>0</v>
      </c>
      <c r="H180" s="48">
        <f>'дод. 3'!I240+'дод. 3'!I266</f>
        <v>0</v>
      </c>
      <c r="I180" s="48">
        <f>'дод. 3'!J240+'дод. 3'!J266</f>
        <v>37510194.129999995</v>
      </c>
      <c r="J180" s="48">
        <f>'дод. 3'!K240+'дод. 3'!K266</f>
        <v>0</v>
      </c>
      <c r="K180" s="48">
        <f>'дод. 3'!L240+'дод. 3'!L266</f>
        <v>0</v>
      </c>
      <c r="L180" s="48">
        <f>'дод. 3'!M240+'дод. 3'!M266</f>
        <v>0</v>
      </c>
      <c r="M180" s="48">
        <f>'дод. 3'!N240+'дод. 3'!N266</f>
        <v>37510194.129999995</v>
      </c>
      <c r="N180" s="48">
        <f>'дод. 3'!O240+'дод. 3'!O266</f>
        <v>37510194.129999995</v>
      </c>
      <c r="O180" s="48">
        <f>'дод. 3'!P240+'дод. 3'!P266</f>
        <v>37510194.129999995</v>
      </c>
      <c r="P180" s="296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</row>
    <row r="181" spans="1:35" ht="32.25" customHeight="1">
      <c r="A181" s="26" t="s">
        <v>430</v>
      </c>
      <c r="B181" s="26"/>
      <c r="C181" s="13" t="s">
        <v>440</v>
      </c>
      <c r="D181" s="48">
        <f>D182+D183+D184</f>
        <v>0</v>
      </c>
      <c r="E181" s="48">
        <f aca="true" t="shared" si="47" ref="E181:O181">E182+E183+E184</f>
        <v>0</v>
      </c>
      <c r="F181" s="48">
        <f t="shared" si="47"/>
        <v>0</v>
      </c>
      <c r="G181" s="48">
        <f t="shared" si="47"/>
        <v>0</v>
      </c>
      <c r="H181" s="48">
        <f t="shared" si="47"/>
        <v>0</v>
      </c>
      <c r="I181" s="48">
        <f t="shared" si="47"/>
        <v>19231755</v>
      </c>
      <c r="J181" s="48">
        <f t="shared" si="47"/>
        <v>0</v>
      </c>
      <c r="K181" s="48">
        <f t="shared" si="47"/>
        <v>0</v>
      </c>
      <c r="L181" s="48">
        <f t="shared" si="47"/>
        <v>0</v>
      </c>
      <c r="M181" s="48">
        <f t="shared" si="47"/>
        <v>19231755</v>
      </c>
      <c r="N181" s="48">
        <f t="shared" si="47"/>
        <v>19231755</v>
      </c>
      <c r="O181" s="48">
        <f t="shared" si="47"/>
        <v>19231755</v>
      </c>
      <c r="P181" s="296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</row>
    <row r="182" spans="1:35" s="8" customFormat="1" ht="32.25" customHeight="1">
      <c r="A182" s="27" t="s">
        <v>432</v>
      </c>
      <c r="B182" s="27" t="s">
        <v>166</v>
      </c>
      <c r="C182" s="14" t="s">
        <v>441</v>
      </c>
      <c r="D182" s="50">
        <f>'дод. 3'!E268</f>
        <v>0</v>
      </c>
      <c r="E182" s="50">
        <f>'дод. 3'!F268</f>
        <v>0</v>
      </c>
      <c r="F182" s="50">
        <f>'дод. 3'!G268</f>
        <v>0</v>
      </c>
      <c r="G182" s="50">
        <f>'дод. 3'!H268</f>
        <v>0</v>
      </c>
      <c r="H182" s="50">
        <f>'дод. 3'!I268</f>
        <v>0</v>
      </c>
      <c r="I182" s="50">
        <f>'дод. 3'!J268</f>
        <v>6110755</v>
      </c>
      <c r="J182" s="50">
        <f>'дод. 3'!K268</f>
        <v>0</v>
      </c>
      <c r="K182" s="50">
        <f>'дод. 3'!L268</f>
        <v>0</v>
      </c>
      <c r="L182" s="50">
        <f>'дод. 3'!M268</f>
        <v>0</v>
      </c>
      <c r="M182" s="50">
        <f>'дод. 3'!N268</f>
        <v>6110755</v>
      </c>
      <c r="N182" s="50">
        <f>'дод. 3'!O268</f>
        <v>6110755</v>
      </c>
      <c r="O182" s="50">
        <f>'дод. 3'!P268</f>
        <v>6110755</v>
      </c>
      <c r="P182" s="296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</row>
    <row r="183" spans="1:35" s="8" customFormat="1" ht="32.25" customHeight="1">
      <c r="A183" s="27" t="s">
        <v>434</v>
      </c>
      <c r="B183" s="27" t="s">
        <v>166</v>
      </c>
      <c r="C183" s="14" t="s">
        <v>443</v>
      </c>
      <c r="D183" s="50">
        <f>'дод. 3'!E269</f>
        <v>0</v>
      </c>
      <c r="E183" s="50">
        <f>'дод. 3'!F269</f>
        <v>0</v>
      </c>
      <c r="F183" s="50">
        <f>'дод. 3'!G269</f>
        <v>0</v>
      </c>
      <c r="G183" s="50">
        <f>'дод. 3'!H269</f>
        <v>0</v>
      </c>
      <c r="H183" s="50">
        <f>'дод. 3'!I269</f>
        <v>0</v>
      </c>
      <c r="I183" s="50">
        <f>'дод. 3'!J269</f>
        <v>5560000</v>
      </c>
      <c r="J183" s="50">
        <f>'дод. 3'!K269</f>
        <v>0</v>
      </c>
      <c r="K183" s="50">
        <f>'дод. 3'!L269</f>
        <v>0</v>
      </c>
      <c r="L183" s="50">
        <f>'дод. 3'!M269</f>
        <v>0</v>
      </c>
      <c r="M183" s="50">
        <f>'дод. 3'!N269</f>
        <v>5560000</v>
      </c>
      <c r="N183" s="50">
        <f>'дод. 3'!O269</f>
        <v>5560000</v>
      </c>
      <c r="O183" s="50">
        <f>'дод. 3'!P269</f>
        <v>5560000</v>
      </c>
      <c r="P183" s="296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</row>
    <row r="184" spans="1:35" s="8" customFormat="1" ht="32.25" customHeight="1">
      <c r="A184" s="27" t="s">
        <v>436</v>
      </c>
      <c r="B184" s="27" t="s">
        <v>166</v>
      </c>
      <c r="C184" s="14" t="s">
        <v>442</v>
      </c>
      <c r="D184" s="50">
        <f>'дод. 3'!E270</f>
        <v>0</v>
      </c>
      <c r="E184" s="50">
        <f>'дод. 3'!F270</f>
        <v>0</v>
      </c>
      <c r="F184" s="50">
        <f>'дод. 3'!G270</f>
        <v>0</v>
      </c>
      <c r="G184" s="50">
        <f>'дод. 3'!H270</f>
        <v>0</v>
      </c>
      <c r="H184" s="50">
        <f>'дод. 3'!I270</f>
        <v>0</v>
      </c>
      <c r="I184" s="50">
        <f>'дод. 3'!J270</f>
        <v>7561000</v>
      </c>
      <c r="J184" s="50">
        <f>'дод. 3'!K270</f>
        <v>0</v>
      </c>
      <c r="K184" s="50">
        <f>'дод. 3'!L270</f>
        <v>0</v>
      </c>
      <c r="L184" s="50">
        <f>'дод. 3'!M270</f>
        <v>0</v>
      </c>
      <c r="M184" s="50">
        <f>'дод. 3'!N270</f>
        <v>7561000</v>
      </c>
      <c r="N184" s="50">
        <f>'дод. 3'!O270</f>
        <v>7561000</v>
      </c>
      <c r="O184" s="50">
        <f>'дод. 3'!P270</f>
        <v>7561000</v>
      </c>
      <c r="P184" s="296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</row>
    <row r="185" spans="1:35" ht="32.25" customHeight="1">
      <c r="A185" s="26" t="s">
        <v>427</v>
      </c>
      <c r="B185" s="26" t="s">
        <v>166</v>
      </c>
      <c r="C185" s="13" t="s">
        <v>439</v>
      </c>
      <c r="D185" s="48">
        <f>'дод. 3'!E241+'дод. 3'!E271</f>
        <v>0</v>
      </c>
      <c r="E185" s="48">
        <f>'дод. 3'!F241+'дод. 3'!F271</f>
        <v>0</v>
      </c>
      <c r="F185" s="48">
        <f>'дод. 3'!G241+'дод. 3'!G271</f>
        <v>0</v>
      </c>
      <c r="G185" s="48">
        <f>'дод. 3'!H241+'дод. 3'!H271</f>
        <v>0</v>
      </c>
      <c r="H185" s="48">
        <f>'дод. 3'!I241+'дод. 3'!I271</f>
        <v>0</v>
      </c>
      <c r="I185" s="48">
        <f>'дод. 3'!J241+'дод. 3'!J271</f>
        <v>48281286</v>
      </c>
      <c r="J185" s="48">
        <f>'дод. 3'!K241+'дод. 3'!K271</f>
        <v>0</v>
      </c>
      <c r="K185" s="48">
        <f>'дод. 3'!L241+'дод. 3'!L271</f>
        <v>0</v>
      </c>
      <c r="L185" s="48">
        <f>'дод. 3'!M241+'дод. 3'!M271</f>
        <v>0</v>
      </c>
      <c r="M185" s="48">
        <f>'дод. 3'!N241+'дод. 3'!N271</f>
        <v>48281286</v>
      </c>
      <c r="N185" s="48">
        <f>'дод. 3'!O241+'дод. 3'!O271</f>
        <v>48281286</v>
      </c>
      <c r="O185" s="48">
        <f>'дод. 3'!P241+'дод. 3'!P271</f>
        <v>48281286</v>
      </c>
      <c r="P185" s="296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</row>
    <row r="186" spans="1:35" ht="35.25" customHeight="1">
      <c r="A186" s="5" t="s">
        <v>219</v>
      </c>
      <c r="B186" s="5" t="s">
        <v>166</v>
      </c>
      <c r="C186" s="13" t="s">
        <v>1</v>
      </c>
      <c r="D186" s="48">
        <f>'дод. 3'!E242+'дод. 3'!E272</f>
        <v>0</v>
      </c>
      <c r="E186" s="48">
        <f>'дод. 3'!F242+'дод. 3'!F272</f>
        <v>0</v>
      </c>
      <c r="F186" s="48">
        <f>'дод. 3'!G242+'дод. 3'!G272</f>
        <v>0</v>
      </c>
      <c r="G186" s="48">
        <f>'дод. 3'!H242+'дод. 3'!H272</f>
        <v>0</v>
      </c>
      <c r="H186" s="48">
        <f>'дод. 3'!I242+'дод. 3'!I272</f>
        <v>0</v>
      </c>
      <c r="I186" s="48">
        <f>'дод. 3'!J242+'дод. 3'!J272</f>
        <v>4200000</v>
      </c>
      <c r="J186" s="48">
        <f>'дод. 3'!K242+'дод. 3'!K272</f>
        <v>0</v>
      </c>
      <c r="K186" s="48">
        <f>'дод. 3'!L242+'дод. 3'!L272</f>
        <v>0</v>
      </c>
      <c r="L186" s="48">
        <f>'дод. 3'!M242+'дод. 3'!M272</f>
        <v>0</v>
      </c>
      <c r="M186" s="48">
        <f>'дод. 3'!N242+'дод. 3'!N272</f>
        <v>4200000</v>
      </c>
      <c r="N186" s="48">
        <f>'дод. 3'!O242+'дод. 3'!O272</f>
        <v>4200000</v>
      </c>
      <c r="O186" s="48">
        <f>'дод. 3'!P242+'дод. 3'!P272</f>
        <v>4200000</v>
      </c>
      <c r="P186" s="296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</row>
    <row r="187" spans="1:35" ht="35.25" customHeight="1">
      <c r="A187" s="5" t="s">
        <v>633</v>
      </c>
      <c r="B187" s="5" t="s">
        <v>166</v>
      </c>
      <c r="C187" s="13" t="s">
        <v>634</v>
      </c>
      <c r="D187" s="48">
        <f>'дод. 3'!E290</f>
        <v>0</v>
      </c>
      <c r="E187" s="48">
        <f>'дод. 3'!F290</f>
        <v>0</v>
      </c>
      <c r="F187" s="48">
        <f>'дод. 3'!G290</f>
        <v>0</v>
      </c>
      <c r="G187" s="48">
        <f>'дод. 3'!H290</f>
        <v>0</v>
      </c>
      <c r="H187" s="48">
        <f>'дод. 3'!I290</f>
        <v>0</v>
      </c>
      <c r="I187" s="48">
        <f>'дод. 3'!J290</f>
        <v>140000</v>
      </c>
      <c r="J187" s="48">
        <f>'дод. 3'!K290</f>
        <v>0</v>
      </c>
      <c r="K187" s="48">
        <f>'дод. 3'!L290</f>
        <v>0</v>
      </c>
      <c r="L187" s="48">
        <f>'дод. 3'!M290</f>
        <v>0</v>
      </c>
      <c r="M187" s="48">
        <f>'дод. 3'!N290</f>
        <v>140000</v>
      </c>
      <c r="N187" s="48">
        <f>'дод. 3'!O290</f>
        <v>140000</v>
      </c>
      <c r="O187" s="48">
        <f>'дод. 3'!P290</f>
        <v>140000</v>
      </c>
      <c r="P187" s="296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</row>
    <row r="188" spans="1:35" ht="30" customHeight="1">
      <c r="A188" s="5" t="s">
        <v>598</v>
      </c>
      <c r="B188" s="5"/>
      <c r="C188" s="13" t="s">
        <v>600</v>
      </c>
      <c r="D188" s="48">
        <f>D191+D190</f>
        <v>0</v>
      </c>
      <c r="E188" s="48">
        <f aca="true" t="shared" si="48" ref="E188:O188">E191+E190</f>
        <v>0</v>
      </c>
      <c r="F188" s="48">
        <f t="shared" si="48"/>
        <v>0</v>
      </c>
      <c r="G188" s="48">
        <f t="shared" si="48"/>
        <v>0</v>
      </c>
      <c r="H188" s="48">
        <f t="shared" si="48"/>
        <v>0</v>
      </c>
      <c r="I188" s="48">
        <f t="shared" si="48"/>
        <v>7554261.88</v>
      </c>
      <c r="J188" s="48">
        <f t="shared" si="48"/>
        <v>0</v>
      </c>
      <c r="K188" s="48">
        <f t="shared" si="48"/>
        <v>0</v>
      </c>
      <c r="L188" s="48">
        <f t="shared" si="48"/>
        <v>0</v>
      </c>
      <c r="M188" s="48">
        <f t="shared" si="48"/>
        <v>7554261.88</v>
      </c>
      <c r="N188" s="48">
        <f t="shared" si="48"/>
        <v>4973898.83</v>
      </c>
      <c r="O188" s="48">
        <f t="shared" si="48"/>
        <v>7554261.88</v>
      </c>
      <c r="P188" s="296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</row>
    <row r="189" spans="2:35" ht="24.75" customHeight="1">
      <c r="B189" s="5"/>
      <c r="C189" s="13" t="s">
        <v>416</v>
      </c>
      <c r="D189" s="48">
        <f>D192</f>
        <v>0</v>
      </c>
      <c r="E189" s="48">
        <f aca="true" t="shared" si="49" ref="E189:O189">E192</f>
        <v>0</v>
      </c>
      <c r="F189" s="48">
        <f t="shared" si="49"/>
        <v>0</v>
      </c>
      <c r="G189" s="48">
        <f t="shared" si="49"/>
        <v>0</v>
      </c>
      <c r="H189" s="48">
        <f t="shared" si="49"/>
        <v>0</v>
      </c>
      <c r="I189" s="48">
        <f t="shared" si="49"/>
        <v>6623891.34</v>
      </c>
      <c r="J189" s="48">
        <f t="shared" si="49"/>
        <v>0</v>
      </c>
      <c r="K189" s="48">
        <f t="shared" si="49"/>
        <v>0</v>
      </c>
      <c r="L189" s="48">
        <f t="shared" si="49"/>
        <v>0</v>
      </c>
      <c r="M189" s="48">
        <f t="shared" si="49"/>
        <v>6623891.34</v>
      </c>
      <c r="N189" s="48">
        <f t="shared" si="49"/>
        <v>4043528.29</v>
      </c>
      <c r="O189" s="48">
        <f t="shared" si="49"/>
        <v>6623891.34</v>
      </c>
      <c r="P189" s="296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</row>
    <row r="190" spans="1:35" s="8" customFormat="1" ht="54.75" customHeight="1">
      <c r="A190" s="7" t="s">
        <v>625</v>
      </c>
      <c r="B190" s="7" t="s">
        <v>126</v>
      </c>
      <c r="C190" s="14" t="s">
        <v>626</v>
      </c>
      <c r="D190" s="50">
        <f>'дод. 3'!E245</f>
        <v>0</v>
      </c>
      <c r="E190" s="50">
        <f>'дод. 3'!F245</f>
        <v>0</v>
      </c>
      <c r="F190" s="50">
        <f>'дод. 3'!G245</f>
        <v>0</v>
      </c>
      <c r="G190" s="50">
        <f>'дод. 3'!H245</f>
        <v>0</v>
      </c>
      <c r="H190" s="50">
        <f>'дод. 3'!I245</f>
        <v>0</v>
      </c>
      <c r="I190" s="50">
        <f>'дод. 3'!J245</f>
        <v>426739</v>
      </c>
      <c r="J190" s="50">
        <f>'дод. 3'!K245</f>
        <v>0</v>
      </c>
      <c r="K190" s="50">
        <f>'дод. 3'!L245</f>
        <v>0</v>
      </c>
      <c r="L190" s="50">
        <f>'дод. 3'!M245</f>
        <v>0</v>
      </c>
      <c r="M190" s="50">
        <f>'дод. 3'!N245</f>
        <v>426739</v>
      </c>
      <c r="N190" s="50">
        <f>'дод. 3'!O245</f>
        <v>426739</v>
      </c>
      <c r="O190" s="50">
        <f>'дод. 3'!P245</f>
        <v>426739</v>
      </c>
      <c r="P190" s="296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</row>
    <row r="191" spans="1:35" s="8" customFormat="1" ht="48.75" customHeight="1">
      <c r="A191" s="7" t="s">
        <v>599</v>
      </c>
      <c r="B191" s="7" t="s">
        <v>126</v>
      </c>
      <c r="C191" s="14" t="s">
        <v>601</v>
      </c>
      <c r="D191" s="50">
        <f>'дод. 3'!E90+'дод. 3'!E127+'дод. 3'!E246+'дод. 3'!E275</f>
        <v>0</v>
      </c>
      <c r="E191" s="50">
        <f>'дод. 3'!F90+'дод. 3'!F127+'дод. 3'!F246+'дод. 3'!F275</f>
        <v>0</v>
      </c>
      <c r="F191" s="50">
        <f>'дод. 3'!G90+'дод. 3'!G127+'дод. 3'!G246+'дод. 3'!G275</f>
        <v>0</v>
      </c>
      <c r="G191" s="50">
        <f>'дод. 3'!H90+'дод. 3'!H127+'дод. 3'!H246+'дод. 3'!H275</f>
        <v>0</v>
      </c>
      <c r="H191" s="50">
        <f>'дод. 3'!I90+'дод. 3'!I127+'дод. 3'!I246+'дод. 3'!I275</f>
        <v>0</v>
      </c>
      <c r="I191" s="50">
        <f>'дод. 3'!J90+'дод. 3'!J127+'дод. 3'!J246+'дод. 3'!J275</f>
        <v>7127522.88</v>
      </c>
      <c r="J191" s="50">
        <f>'дод. 3'!K90+'дод. 3'!K127+'дод. 3'!K246+'дод. 3'!K275</f>
        <v>0</v>
      </c>
      <c r="K191" s="50">
        <f>'дод. 3'!L90+'дод. 3'!L127+'дод. 3'!L246+'дод. 3'!L275</f>
        <v>0</v>
      </c>
      <c r="L191" s="50">
        <f>'дод. 3'!M90+'дод. 3'!M127+'дод. 3'!M246+'дод. 3'!M275</f>
        <v>0</v>
      </c>
      <c r="M191" s="50">
        <f>'дод. 3'!N90+'дод. 3'!N127+'дод. 3'!N246+'дод. 3'!N275</f>
        <v>7127522.88</v>
      </c>
      <c r="N191" s="50">
        <f>'дод. 3'!O90+'дод. 3'!O127+'дод. 3'!O246+'дод. 3'!O275</f>
        <v>4547159.83</v>
      </c>
      <c r="O191" s="50">
        <f>'дод. 3'!P90+'дод. 3'!P127+'дод. 3'!P246+'дод. 3'!P275</f>
        <v>7127522.88</v>
      </c>
      <c r="P191" s="296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</row>
    <row r="192" spans="1:35" s="8" customFormat="1" ht="27" customHeight="1">
      <c r="A192" s="7"/>
      <c r="B192" s="7"/>
      <c r="C192" s="14" t="s">
        <v>416</v>
      </c>
      <c r="D192" s="50">
        <f>'дод. 3'!E91+'дод. 3'!E128+'дод. 3'!E247+'дод. 3'!E276</f>
        <v>0</v>
      </c>
      <c r="E192" s="50">
        <f>'дод. 3'!F91+'дод. 3'!F128+'дод. 3'!F247+'дод. 3'!F276</f>
        <v>0</v>
      </c>
      <c r="F192" s="50">
        <f>'дод. 3'!G91+'дод. 3'!G128+'дод. 3'!G247+'дод. 3'!G276</f>
        <v>0</v>
      </c>
      <c r="G192" s="50">
        <f>'дод. 3'!H91+'дод. 3'!H128+'дод. 3'!H247+'дод. 3'!H276</f>
        <v>0</v>
      </c>
      <c r="H192" s="50">
        <f>'дод. 3'!I91+'дод. 3'!I128+'дод. 3'!I247+'дод. 3'!I276</f>
        <v>0</v>
      </c>
      <c r="I192" s="50">
        <f>'дод. 3'!J91+'дод. 3'!J128+'дод. 3'!J247+'дод. 3'!J276</f>
        <v>6623891.34</v>
      </c>
      <c r="J192" s="50">
        <f>'дод. 3'!K91+'дод. 3'!K128+'дод. 3'!K247+'дод. 3'!K276</f>
        <v>0</v>
      </c>
      <c r="K192" s="50">
        <f>'дод. 3'!L91+'дод. 3'!L128+'дод. 3'!L247+'дод. 3'!L276</f>
        <v>0</v>
      </c>
      <c r="L192" s="50">
        <f>'дод. 3'!M91+'дод. 3'!M128+'дод. 3'!M247+'дод. 3'!M276</f>
        <v>0</v>
      </c>
      <c r="M192" s="50">
        <f>'дод. 3'!N91+'дод. 3'!N128+'дод. 3'!N247+'дод. 3'!N276</f>
        <v>6623891.34</v>
      </c>
      <c r="N192" s="50">
        <f>'дод. 3'!O91+'дод. 3'!O128+'дод. 3'!O247+'дод. 3'!O276</f>
        <v>4043528.29</v>
      </c>
      <c r="O192" s="50">
        <f>'дод. 3'!P91+'дод. 3'!P128+'дод. 3'!P247+'дод. 3'!P276</f>
        <v>6623891.34</v>
      </c>
      <c r="P192" s="296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</row>
    <row r="193" spans="1:35" s="21" customFormat="1" ht="39.75" customHeight="1">
      <c r="A193" s="22" t="s">
        <v>130</v>
      </c>
      <c r="B193" s="11"/>
      <c r="C193" s="11" t="s">
        <v>2</v>
      </c>
      <c r="D193" s="49">
        <f>D195+D197+D202+D200+D203</f>
        <v>28194436</v>
      </c>
      <c r="E193" s="49">
        <f>E195+E197+E202+E200+E203</f>
        <v>649800</v>
      </c>
      <c r="F193" s="49">
        <f>F195+F197+F202+F200</f>
        <v>0</v>
      </c>
      <c r="G193" s="49">
        <f>G195+G197+G202+G200</f>
        <v>0</v>
      </c>
      <c r="H193" s="49">
        <f>H195+H197+H202+H200+H203</f>
        <v>27544636</v>
      </c>
      <c r="I193" s="49">
        <f>I195+I197+I202+I200+I203</f>
        <v>43463389.14</v>
      </c>
      <c r="J193" s="49">
        <f>J195+J197+J202+J200+J203</f>
        <v>11900000</v>
      </c>
      <c r="K193" s="49">
        <f>K195+K197+K202+K200</f>
        <v>0</v>
      </c>
      <c r="L193" s="49">
        <f>L195+L197+L202+L200</f>
        <v>0</v>
      </c>
      <c r="M193" s="49">
        <f>M195+M197+M202+M200+M203</f>
        <v>31563389.14</v>
      </c>
      <c r="N193" s="49">
        <f>N195+N197+N202+N200+N203</f>
        <v>1490000</v>
      </c>
      <c r="O193" s="49">
        <f>O195+O197+O202+O200+O203</f>
        <v>71657825.14</v>
      </c>
      <c r="P193" s="296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</row>
    <row r="194" spans="1:35" s="28" customFormat="1" ht="21" customHeight="1">
      <c r="A194" s="240"/>
      <c r="B194" s="223"/>
      <c r="C194" s="223" t="s">
        <v>416</v>
      </c>
      <c r="D194" s="241">
        <f>D204</f>
        <v>0</v>
      </c>
      <c r="E194" s="241">
        <f aca="true" t="shared" si="50" ref="E194:O194">E204</f>
        <v>0</v>
      </c>
      <c r="F194" s="241">
        <f t="shared" si="50"/>
        <v>0</v>
      </c>
      <c r="G194" s="241">
        <f t="shared" si="50"/>
        <v>0</v>
      </c>
      <c r="H194" s="241">
        <f t="shared" si="50"/>
        <v>0</v>
      </c>
      <c r="I194" s="241">
        <f t="shared" si="50"/>
        <v>41900000</v>
      </c>
      <c r="J194" s="241">
        <f t="shared" si="50"/>
        <v>11900000</v>
      </c>
      <c r="K194" s="241">
        <f t="shared" si="50"/>
        <v>0</v>
      </c>
      <c r="L194" s="241">
        <f t="shared" si="50"/>
        <v>0</v>
      </c>
      <c r="M194" s="241">
        <f t="shared" si="50"/>
        <v>30000000</v>
      </c>
      <c r="N194" s="241">
        <f t="shared" si="50"/>
        <v>0</v>
      </c>
      <c r="O194" s="241">
        <f t="shared" si="50"/>
        <v>41900000</v>
      </c>
      <c r="P194" s="296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1:35" ht="39.75" customHeight="1">
      <c r="A195" s="5" t="s">
        <v>131</v>
      </c>
      <c r="B195" s="13"/>
      <c r="C195" s="13" t="s">
        <v>4</v>
      </c>
      <c r="D195" s="48">
        <f aca="true" t="shared" si="51" ref="D195:O195">D196</f>
        <v>5000000</v>
      </c>
      <c r="E195" s="48">
        <f t="shared" si="51"/>
        <v>0</v>
      </c>
      <c r="F195" s="48">
        <f t="shared" si="51"/>
        <v>0</v>
      </c>
      <c r="G195" s="48">
        <f t="shared" si="51"/>
        <v>0</v>
      </c>
      <c r="H195" s="48">
        <f t="shared" si="51"/>
        <v>5000000</v>
      </c>
      <c r="I195" s="48">
        <f t="shared" si="51"/>
        <v>0</v>
      </c>
      <c r="J195" s="48">
        <f t="shared" si="51"/>
        <v>0</v>
      </c>
      <c r="K195" s="48">
        <f t="shared" si="51"/>
        <v>0</v>
      </c>
      <c r="L195" s="48">
        <f t="shared" si="51"/>
        <v>0</v>
      </c>
      <c r="M195" s="48">
        <f t="shared" si="51"/>
        <v>0</v>
      </c>
      <c r="N195" s="48">
        <f t="shared" si="51"/>
        <v>0</v>
      </c>
      <c r="O195" s="48">
        <f t="shared" si="51"/>
        <v>5000000</v>
      </c>
      <c r="P195" s="296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</row>
    <row r="196" spans="1:35" s="8" customFormat="1" ht="39.75" customHeight="1">
      <c r="A196" s="7" t="s">
        <v>5</v>
      </c>
      <c r="B196" s="7" t="s">
        <v>128</v>
      </c>
      <c r="C196" s="14" t="s">
        <v>68</v>
      </c>
      <c r="D196" s="50">
        <f>'дод. 3'!E42</f>
        <v>5000000</v>
      </c>
      <c r="E196" s="50">
        <f>'дод. 3'!F42</f>
        <v>0</v>
      </c>
      <c r="F196" s="50">
        <f>'дод. 3'!G42</f>
        <v>0</v>
      </c>
      <c r="G196" s="50">
        <f>'дод. 3'!H42</f>
        <v>0</v>
      </c>
      <c r="H196" s="50">
        <f>'дод. 3'!I42</f>
        <v>5000000</v>
      </c>
      <c r="I196" s="50">
        <f>'дод. 3'!J42</f>
        <v>0</v>
      </c>
      <c r="J196" s="50">
        <f>'дод. 3'!K42</f>
        <v>0</v>
      </c>
      <c r="K196" s="50">
        <f>'дод. 3'!L42</f>
        <v>0</v>
      </c>
      <c r="L196" s="50">
        <f>'дод. 3'!M42</f>
        <v>0</v>
      </c>
      <c r="M196" s="50">
        <f>'дод. 3'!N42</f>
        <v>0</v>
      </c>
      <c r="N196" s="50">
        <f>'дод. 3'!O42</f>
        <v>0</v>
      </c>
      <c r="O196" s="50">
        <f>'дод. 3'!P42</f>
        <v>5000000</v>
      </c>
      <c r="P196" s="296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</row>
    <row r="197" spans="1:35" ht="36" customHeight="1">
      <c r="A197" s="5" t="s">
        <v>7</v>
      </c>
      <c r="B197" s="5"/>
      <c r="C197" s="13" t="s">
        <v>8</v>
      </c>
      <c r="D197" s="48">
        <f>D198+D199</f>
        <v>22544636</v>
      </c>
      <c r="E197" s="48">
        <f aca="true" t="shared" si="52" ref="E197:O197">E198+E199</f>
        <v>0</v>
      </c>
      <c r="F197" s="48">
        <f t="shared" si="52"/>
        <v>0</v>
      </c>
      <c r="G197" s="48">
        <f t="shared" si="52"/>
        <v>0</v>
      </c>
      <c r="H197" s="48">
        <f t="shared" si="52"/>
        <v>22544636</v>
      </c>
      <c r="I197" s="48">
        <f t="shared" si="52"/>
        <v>1490000</v>
      </c>
      <c r="J197" s="48">
        <f t="shared" si="52"/>
        <v>0</v>
      </c>
      <c r="K197" s="48">
        <f t="shared" si="52"/>
        <v>0</v>
      </c>
      <c r="L197" s="48">
        <f t="shared" si="52"/>
        <v>0</v>
      </c>
      <c r="M197" s="48">
        <f t="shared" si="52"/>
        <v>1490000</v>
      </c>
      <c r="N197" s="48">
        <f t="shared" si="52"/>
        <v>1490000</v>
      </c>
      <c r="O197" s="48">
        <f t="shared" si="52"/>
        <v>24034636</v>
      </c>
      <c r="P197" s="296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</row>
    <row r="198" spans="1:35" s="8" customFormat="1" ht="39.75" customHeight="1">
      <c r="A198" s="7" t="s">
        <v>6</v>
      </c>
      <c r="B198" s="7" t="s">
        <v>129</v>
      </c>
      <c r="C198" s="14" t="s">
        <v>232</v>
      </c>
      <c r="D198" s="50">
        <f>'дод. 3'!E44</f>
        <v>10000000</v>
      </c>
      <c r="E198" s="50">
        <f>'дод. 3'!F44</f>
        <v>0</v>
      </c>
      <c r="F198" s="50">
        <f>'дод. 3'!G44</f>
        <v>0</v>
      </c>
      <c r="G198" s="50">
        <f>'дод. 3'!H44</f>
        <v>0</v>
      </c>
      <c r="H198" s="50">
        <f>'дод. 3'!I44</f>
        <v>10000000</v>
      </c>
      <c r="I198" s="50">
        <f>'дод. 3'!J44</f>
        <v>0</v>
      </c>
      <c r="J198" s="50">
        <f>'дод. 3'!K44</f>
        <v>0</v>
      </c>
      <c r="K198" s="50">
        <f>'дод. 3'!L44</f>
        <v>0</v>
      </c>
      <c r="L198" s="50">
        <f>'дод. 3'!M44</f>
        <v>0</v>
      </c>
      <c r="M198" s="50">
        <f>'дод. 3'!N44</f>
        <v>0</v>
      </c>
      <c r="N198" s="50">
        <f>'дод. 3'!O44</f>
        <v>0</v>
      </c>
      <c r="O198" s="50">
        <f>'дод. 3'!P44</f>
        <v>10000000</v>
      </c>
      <c r="P198" s="296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</row>
    <row r="199" spans="1:35" s="8" customFormat="1" ht="24" customHeight="1">
      <c r="A199" s="7" t="s">
        <v>9</v>
      </c>
      <c r="B199" s="7" t="s">
        <v>129</v>
      </c>
      <c r="C199" s="14" t="s">
        <v>33</v>
      </c>
      <c r="D199" s="50">
        <f>'дод. 3'!E45</f>
        <v>12544636</v>
      </c>
      <c r="E199" s="50">
        <f>'дод. 3'!F45</f>
        <v>0</v>
      </c>
      <c r="F199" s="50">
        <f>'дод. 3'!G45</f>
        <v>0</v>
      </c>
      <c r="G199" s="50">
        <f>'дод. 3'!H45</f>
        <v>0</v>
      </c>
      <c r="H199" s="50">
        <f>'дод. 3'!I45</f>
        <v>12544636</v>
      </c>
      <c r="I199" s="50">
        <f>'дод. 3'!J45</f>
        <v>1490000</v>
      </c>
      <c r="J199" s="50">
        <f>'дод. 3'!K45</f>
        <v>0</v>
      </c>
      <c r="K199" s="50">
        <f>'дод. 3'!L45</f>
        <v>0</v>
      </c>
      <c r="L199" s="50">
        <f>'дод. 3'!M45</f>
        <v>0</v>
      </c>
      <c r="M199" s="50">
        <f>'дод. 3'!N45</f>
        <v>1490000</v>
      </c>
      <c r="N199" s="50">
        <f>'дод. 3'!O45</f>
        <v>1490000</v>
      </c>
      <c r="O199" s="50">
        <f>'дод. 3'!P45</f>
        <v>14034636</v>
      </c>
      <c r="P199" s="29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</row>
    <row r="200" spans="1:35" ht="24" customHeight="1">
      <c r="A200" s="5" t="s">
        <v>617</v>
      </c>
      <c r="B200" s="5"/>
      <c r="C200" s="13" t="s">
        <v>618</v>
      </c>
      <c r="D200" s="48">
        <f>D201</f>
        <v>0</v>
      </c>
      <c r="E200" s="48">
        <f aca="true" t="shared" si="53" ref="E200:O200">E201</f>
        <v>0</v>
      </c>
      <c r="F200" s="48">
        <f t="shared" si="53"/>
        <v>0</v>
      </c>
      <c r="G200" s="48">
        <f t="shared" si="53"/>
        <v>0</v>
      </c>
      <c r="H200" s="48">
        <f t="shared" si="53"/>
        <v>0</v>
      </c>
      <c r="I200" s="48">
        <f t="shared" si="53"/>
        <v>73389.14</v>
      </c>
      <c r="J200" s="48">
        <f t="shared" si="53"/>
        <v>0</v>
      </c>
      <c r="K200" s="48">
        <f t="shared" si="53"/>
        <v>0</v>
      </c>
      <c r="L200" s="48">
        <f t="shared" si="53"/>
        <v>0</v>
      </c>
      <c r="M200" s="48">
        <f t="shared" si="53"/>
        <v>73389.14</v>
      </c>
      <c r="N200" s="48">
        <f t="shared" si="53"/>
        <v>0</v>
      </c>
      <c r="O200" s="48">
        <f t="shared" si="53"/>
        <v>73389.14</v>
      </c>
      <c r="P200" s="296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</row>
    <row r="201" spans="1:35" s="8" customFormat="1" ht="42.75" customHeight="1">
      <c r="A201" s="7" t="s">
        <v>619</v>
      </c>
      <c r="B201" s="7" t="s">
        <v>493</v>
      </c>
      <c r="C201" s="14" t="s">
        <v>620</v>
      </c>
      <c r="D201" s="50">
        <f>'дод. 3'!E278</f>
        <v>0</v>
      </c>
      <c r="E201" s="50">
        <f>'дод. 3'!F278</f>
        <v>0</v>
      </c>
      <c r="F201" s="50">
        <f>'дод. 3'!G278</f>
        <v>0</v>
      </c>
      <c r="G201" s="50">
        <f>'дод. 3'!H278</f>
        <v>0</v>
      </c>
      <c r="H201" s="50">
        <f>'дод. 3'!I278</f>
        <v>0</v>
      </c>
      <c r="I201" s="50">
        <f>'дод. 3'!J278</f>
        <v>73389.14</v>
      </c>
      <c r="J201" s="50">
        <f>'дод. 3'!K278</f>
        <v>0</v>
      </c>
      <c r="K201" s="50">
        <f>'дод. 3'!L278</f>
        <v>0</v>
      </c>
      <c r="L201" s="50">
        <f>'дод. 3'!M278</f>
        <v>0</v>
      </c>
      <c r="M201" s="50">
        <f>'дод. 3'!N278</f>
        <v>73389.14</v>
      </c>
      <c r="N201" s="50">
        <f>'дод. 3'!O278</f>
        <v>0</v>
      </c>
      <c r="O201" s="50">
        <f>'дод. 3'!P278</f>
        <v>73389.14</v>
      </c>
      <c r="P201" s="29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</row>
    <row r="202" spans="1:35" ht="24" customHeight="1">
      <c r="A202" s="5" t="s">
        <v>492</v>
      </c>
      <c r="B202" s="5" t="s">
        <v>493</v>
      </c>
      <c r="C202" s="13" t="s">
        <v>494</v>
      </c>
      <c r="D202" s="48">
        <f>'дод. 3'!E46</f>
        <v>649800</v>
      </c>
      <c r="E202" s="48">
        <f>'дод. 3'!F46</f>
        <v>649800</v>
      </c>
      <c r="F202" s="48">
        <f>'дод. 3'!G46</f>
        <v>0</v>
      </c>
      <c r="G202" s="48">
        <f>'дод. 3'!H46</f>
        <v>0</v>
      </c>
      <c r="H202" s="48">
        <f>'дод. 3'!I46</f>
        <v>0</v>
      </c>
      <c r="I202" s="48">
        <f>'дод. 3'!J46</f>
        <v>0</v>
      </c>
      <c r="J202" s="48">
        <f>'дод. 3'!K46</f>
        <v>0</v>
      </c>
      <c r="K202" s="48">
        <f>'дод. 3'!L46</f>
        <v>0</v>
      </c>
      <c r="L202" s="48">
        <f>'дод. 3'!M46</f>
        <v>0</v>
      </c>
      <c r="M202" s="48">
        <f>'дод. 3'!N46</f>
        <v>0</v>
      </c>
      <c r="N202" s="48">
        <f>'дод. 3'!O46</f>
        <v>0</v>
      </c>
      <c r="O202" s="48">
        <f>'дод. 3'!P46</f>
        <v>649800</v>
      </c>
      <c r="P202" s="296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</row>
    <row r="203" spans="1:35" ht="42.75" customHeight="1">
      <c r="A203" s="5" t="s">
        <v>642</v>
      </c>
      <c r="B203" s="5"/>
      <c r="C203" s="13" t="s">
        <v>643</v>
      </c>
      <c r="D203" s="48">
        <f>D205</f>
        <v>0</v>
      </c>
      <c r="E203" s="48"/>
      <c r="F203" s="48"/>
      <c r="G203" s="48"/>
      <c r="H203" s="48"/>
      <c r="I203" s="48">
        <f aca="true" t="shared" si="54" ref="I203:O204">I205</f>
        <v>41900000</v>
      </c>
      <c r="J203" s="48">
        <f t="shared" si="54"/>
        <v>11900000</v>
      </c>
      <c r="K203" s="48">
        <f t="shared" si="54"/>
        <v>0</v>
      </c>
      <c r="L203" s="48">
        <f t="shared" si="54"/>
        <v>0</v>
      </c>
      <c r="M203" s="48">
        <f t="shared" si="54"/>
        <v>30000000</v>
      </c>
      <c r="N203" s="48">
        <f t="shared" si="54"/>
        <v>0</v>
      </c>
      <c r="O203" s="48">
        <f t="shared" si="54"/>
        <v>41900000</v>
      </c>
      <c r="P203" s="296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</row>
    <row r="204" spans="2:35" ht="24.75" customHeight="1">
      <c r="B204" s="5"/>
      <c r="C204" s="13" t="s">
        <v>416</v>
      </c>
      <c r="D204" s="48">
        <f>D206</f>
        <v>0</v>
      </c>
      <c r="E204" s="48">
        <f>E206</f>
        <v>0</v>
      </c>
      <c r="F204" s="48">
        <f>F206</f>
        <v>0</v>
      </c>
      <c r="G204" s="48">
        <f>G206</f>
        <v>0</v>
      </c>
      <c r="H204" s="48">
        <f>H206</f>
        <v>0</v>
      </c>
      <c r="I204" s="48">
        <f t="shared" si="54"/>
        <v>41900000</v>
      </c>
      <c r="J204" s="48">
        <f t="shared" si="54"/>
        <v>11900000</v>
      </c>
      <c r="K204" s="48">
        <f t="shared" si="54"/>
        <v>0</v>
      </c>
      <c r="L204" s="48">
        <f t="shared" si="54"/>
        <v>0</v>
      </c>
      <c r="M204" s="48">
        <f t="shared" si="54"/>
        <v>30000000</v>
      </c>
      <c r="N204" s="48">
        <f t="shared" si="54"/>
        <v>0</v>
      </c>
      <c r="O204" s="48">
        <f t="shared" si="54"/>
        <v>41900000</v>
      </c>
      <c r="P204" s="296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  <c r="AF204" s="230"/>
      <c r="AG204" s="230"/>
      <c r="AH204" s="230"/>
      <c r="AI204" s="230"/>
    </row>
    <row r="205" spans="1:35" ht="59.25" customHeight="1">
      <c r="A205" s="7" t="s">
        <v>645</v>
      </c>
      <c r="B205" s="7" t="s">
        <v>493</v>
      </c>
      <c r="C205" s="14" t="s">
        <v>646</v>
      </c>
      <c r="D205" s="48">
        <f>'дод. 3'!E281</f>
        <v>0</v>
      </c>
      <c r="E205" s="48"/>
      <c r="F205" s="48"/>
      <c r="G205" s="48"/>
      <c r="H205" s="48"/>
      <c r="I205" s="48">
        <f>J205+M205</f>
        <v>41900000</v>
      </c>
      <c r="J205" s="48">
        <f>'дод. 3'!K281</f>
        <v>11900000</v>
      </c>
      <c r="K205" s="48"/>
      <c r="L205" s="48"/>
      <c r="M205" s="48">
        <f>'дод. 3'!N281</f>
        <v>30000000</v>
      </c>
      <c r="N205" s="48"/>
      <c r="O205" s="48">
        <f>I205+D205</f>
        <v>41900000</v>
      </c>
      <c r="P205" s="296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</row>
    <row r="206" spans="1:35" ht="24" customHeight="1">
      <c r="A206" s="7"/>
      <c r="B206" s="7"/>
      <c r="C206" s="14" t="s">
        <v>416</v>
      </c>
      <c r="D206" s="48">
        <f>'дод. 3'!E282</f>
        <v>0</v>
      </c>
      <c r="E206" s="48">
        <f>'дод. 3'!F282</f>
        <v>0</v>
      </c>
      <c r="F206" s="48">
        <f>'дод. 3'!G282</f>
        <v>0</v>
      </c>
      <c r="G206" s="48">
        <f>'дод. 3'!H282</f>
        <v>0</v>
      </c>
      <c r="H206" s="48">
        <f>'дод. 3'!I282</f>
        <v>0</v>
      </c>
      <c r="I206" s="48">
        <f>'дод. 3'!J282</f>
        <v>41900000</v>
      </c>
      <c r="J206" s="48">
        <f>'дод. 3'!K282</f>
        <v>11900000</v>
      </c>
      <c r="K206" s="48">
        <f>'дод. 3'!L282</f>
        <v>0</v>
      </c>
      <c r="L206" s="48">
        <f>'дод. 3'!M282</f>
        <v>0</v>
      </c>
      <c r="M206" s="48">
        <f>'дод. 3'!N282</f>
        <v>30000000</v>
      </c>
      <c r="N206" s="48">
        <f>'дод. 3'!O282</f>
        <v>0</v>
      </c>
      <c r="O206" s="48">
        <f>'дод. 3'!P282</f>
        <v>41900000</v>
      </c>
      <c r="P206" s="296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</row>
    <row r="207" spans="1:35" s="21" customFormat="1" ht="28.5" customHeight="1">
      <c r="A207" s="34" t="s">
        <v>381</v>
      </c>
      <c r="B207" s="11"/>
      <c r="C207" s="11" t="s">
        <v>382</v>
      </c>
      <c r="D207" s="49">
        <f aca="true" t="shared" si="55" ref="D207:O207">D208</f>
        <v>10068490</v>
      </c>
      <c r="E207" s="49">
        <f t="shared" si="55"/>
        <v>10068490</v>
      </c>
      <c r="F207" s="49">
        <f t="shared" si="55"/>
        <v>0</v>
      </c>
      <c r="G207" s="49">
        <f t="shared" si="55"/>
        <v>0</v>
      </c>
      <c r="H207" s="49">
        <f t="shared" si="55"/>
        <v>0</v>
      </c>
      <c r="I207" s="49">
        <f t="shared" si="55"/>
        <v>8282000</v>
      </c>
      <c r="J207" s="49">
        <f t="shared" si="55"/>
        <v>0</v>
      </c>
      <c r="K207" s="49">
        <f t="shared" si="55"/>
        <v>0</v>
      </c>
      <c r="L207" s="49">
        <f t="shared" si="55"/>
        <v>0</v>
      </c>
      <c r="M207" s="49">
        <f t="shared" si="55"/>
        <v>8282000</v>
      </c>
      <c r="N207" s="49">
        <f t="shared" si="55"/>
        <v>8282000</v>
      </c>
      <c r="O207" s="49">
        <f t="shared" si="55"/>
        <v>18350490</v>
      </c>
      <c r="P207" s="296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</row>
    <row r="208" spans="1:35" ht="37.5" customHeight="1">
      <c r="A208" s="26" t="s">
        <v>379</v>
      </c>
      <c r="B208" s="26" t="s">
        <v>380</v>
      </c>
      <c r="C208" s="53" t="s">
        <v>378</v>
      </c>
      <c r="D208" s="48">
        <f>'дод. 3'!E47</f>
        <v>10068490</v>
      </c>
      <c r="E208" s="48">
        <f>'дод. 3'!F47</f>
        <v>10068490</v>
      </c>
      <c r="F208" s="48">
        <f>'дод. 3'!G47</f>
        <v>0</v>
      </c>
      <c r="G208" s="48">
        <f>'дод. 3'!H47</f>
        <v>0</v>
      </c>
      <c r="H208" s="48">
        <f>'дод. 3'!I47</f>
        <v>0</v>
      </c>
      <c r="I208" s="48">
        <f>'дод. 3'!J47</f>
        <v>8282000</v>
      </c>
      <c r="J208" s="48">
        <f>'дод. 3'!K47</f>
        <v>0</v>
      </c>
      <c r="K208" s="48">
        <f>'дод. 3'!L47</f>
        <v>0</v>
      </c>
      <c r="L208" s="48">
        <f>'дод. 3'!M47</f>
        <v>0</v>
      </c>
      <c r="M208" s="48">
        <f>'дод. 3'!N47</f>
        <v>8282000</v>
      </c>
      <c r="N208" s="48">
        <f>'дод. 3'!O47</f>
        <v>8282000</v>
      </c>
      <c r="O208" s="48">
        <f>'дод. 3'!P47</f>
        <v>18350490</v>
      </c>
      <c r="P208" s="296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</row>
    <row r="209" spans="1:35" s="21" customFormat="1" ht="38.25" customHeight="1">
      <c r="A209" s="22" t="s">
        <v>134</v>
      </c>
      <c r="B209" s="11"/>
      <c r="C209" s="11" t="s">
        <v>10</v>
      </c>
      <c r="D209" s="49">
        <f>D210+D211+D214+D215+D216+D212+D213</f>
        <v>7914128</v>
      </c>
      <c r="E209" s="49">
        <f aca="true" t="shared" si="56" ref="E209:O209">E210+E211+E214+E215+E216+E212+E213</f>
        <v>6616228</v>
      </c>
      <c r="F209" s="49">
        <f t="shared" si="56"/>
        <v>0</v>
      </c>
      <c r="G209" s="49">
        <f t="shared" si="56"/>
        <v>78316.65</v>
      </c>
      <c r="H209" s="49">
        <f t="shared" si="56"/>
        <v>1297900</v>
      </c>
      <c r="I209" s="49">
        <f t="shared" si="56"/>
        <v>75868803.33</v>
      </c>
      <c r="J209" s="49">
        <f t="shared" si="56"/>
        <v>1332343.53</v>
      </c>
      <c r="K209" s="49">
        <f t="shared" si="56"/>
        <v>0</v>
      </c>
      <c r="L209" s="49">
        <f t="shared" si="56"/>
        <v>0</v>
      </c>
      <c r="M209" s="49">
        <f t="shared" si="56"/>
        <v>74536459.8</v>
      </c>
      <c r="N209" s="49">
        <f t="shared" si="56"/>
        <v>72864374</v>
      </c>
      <c r="O209" s="49">
        <f t="shared" si="56"/>
        <v>83782931.33</v>
      </c>
      <c r="P209" s="296">
        <v>23</v>
      </c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</row>
    <row r="210" spans="1:35" ht="38.25" customHeight="1">
      <c r="A210" s="5" t="s">
        <v>11</v>
      </c>
      <c r="B210" s="5" t="s">
        <v>133</v>
      </c>
      <c r="C210" s="13" t="s">
        <v>46</v>
      </c>
      <c r="D210" s="48">
        <f>'дод. 3'!E48+'дод. 3'!E300</f>
        <v>1240000</v>
      </c>
      <c r="E210" s="48">
        <f>'дод. 3'!F48+'дод. 3'!F300</f>
        <v>340000</v>
      </c>
      <c r="F210" s="48">
        <f>'дод. 3'!G48+'дод. 3'!G300</f>
        <v>0</v>
      </c>
      <c r="G210" s="48">
        <f>'дод. 3'!H48+'дод. 3'!H300</f>
        <v>0</v>
      </c>
      <c r="H210" s="48">
        <f>'дод. 3'!I48+'дод. 3'!I300</f>
        <v>900000</v>
      </c>
      <c r="I210" s="48">
        <f>'дод. 3'!J48+'дод. 3'!J300</f>
        <v>16800</v>
      </c>
      <c r="J210" s="48">
        <f>'дод. 3'!K48+'дод. 3'!K300</f>
        <v>0</v>
      </c>
      <c r="K210" s="48">
        <f>'дод. 3'!L48+'дод. 3'!L300</f>
        <v>0</v>
      </c>
      <c r="L210" s="48">
        <f>'дод. 3'!M48+'дод. 3'!M300</f>
        <v>0</v>
      </c>
      <c r="M210" s="48">
        <f>'дод. 3'!N48+'дод. 3'!N300</f>
        <v>16800</v>
      </c>
      <c r="N210" s="48">
        <f>'дод. 3'!O48+'дод. 3'!O300</f>
        <v>16800</v>
      </c>
      <c r="O210" s="48">
        <f>'дод. 3'!P48+'дод. 3'!P300</f>
        <v>1256800</v>
      </c>
      <c r="P210" s="296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</row>
    <row r="211" spans="1:35" ht="24.75" customHeight="1">
      <c r="A211" s="5" t="s">
        <v>3</v>
      </c>
      <c r="B211" s="5" t="s">
        <v>132</v>
      </c>
      <c r="C211" s="13" t="s">
        <v>64</v>
      </c>
      <c r="D211" s="48">
        <f>'дод. 3'!E92+'дод. 3'!E129+'дод. 3'!E204+'дод. 3'!E220+'дод. 3'!E248+'дод. 3'!E283+'дод. 3'!E49+'дод. 3'!E313</f>
        <v>3900830</v>
      </c>
      <c r="E211" s="48">
        <f>'дод. 3'!F92+'дод. 3'!F129+'дод. 3'!F204+'дод. 3'!F220+'дод. 3'!F248+'дод. 3'!F283+'дод. 3'!F49+'дод. 3'!F313</f>
        <v>3700830</v>
      </c>
      <c r="F211" s="48">
        <f>'дод. 3'!G92+'дод. 3'!G129+'дод. 3'!G204+'дод. 3'!G220+'дод. 3'!G248+'дод. 3'!G283+'дод. 3'!G49+'дод. 3'!G313</f>
        <v>0</v>
      </c>
      <c r="G211" s="48">
        <f>'дод. 3'!H92+'дод. 3'!H129+'дод. 3'!H204+'дод. 3'!H220+'дод. 3'!H248+'дод. 3'!H283+'дод. 3'!H49+'дод. 3'!H313</f>
        <v>0</v>
      </c>
      <c r="H211" s="48">
        <f>'дод. 3'!I92+'дод. 3'!I129+'дод. 3'!I204+'дод. 3'!I220+'дод. 3'!I248+'дод. 3'!I283+'дод. 3'!I49+'дод. 3'!I313</f>
        <v>200000</v>
      </c>
      <c r="I211" s="48">
        <f>'дод. 3'!J92+'дод. 3'!J129+'дод. 3'!J204+'дод. 3'!J220+'дод. 3'!J248+'дод. 3'!J283+'дод. 3'!J49+'дод. 3'!J313</f>
        <v>43532574</v>
      </c>
      <c r="J211" s="48">
        <f>'дод. 3'!K92+'дод. 3'!K129+'дод. 3'!K204+'дод. 3'!K220+'дод. 3'!K248+'дод. 3'!K283+'дод. 3'!K49+'дод. 3'!K313</f>
        <v>0</v>
      </c>
      <c r="K211" s="48">
        <f>'дод. 3'!L92+'дод. 3'!L129+'дод. 3'!L204+'дод. 3'!L220+'дод. 3'!L248+'дод. 3'!L283+'дод. 3'!L49+'дод. 3'!L313</f>
        <v>0</v>
      </c>
      <c r="L211" s="48">
        <f>'дод. 3'!M92+'дод. 3'!M129+'дод. 3'!M204+'дод. 3'!M220+'дод. 3'!M248+'дод. 3'!M283+'дод. 3'!M49+'дод. 3'!M313</f>
        <v>0</v>
      </c>
      <c r="M211" s="48">
        <f>'дод. 3'!N92+'дод. 3'!N129+'дод. 3'!N204+'дод. 3'!N220+'дод. 3'!N248+'дод. 3'!N283+'дод. 3'!N49+'дод. 3'!N313</f>
        <v>43532574</v>
      </c>
      <c r="N211" s="48">
        <f>'дод. 3'!O92+'дод. 3'!O129+'дод. 3'!O204+'дод. 3'!O220+'дод. 3'!O248+'дод. 3'!O283+'дод. 3'!O49+'дод. 3'!O313</f>
        <v>43532574</v>
      </c>
      <c r="O211" s="48">
        <f>'дод. 3'!P92+'дод. 3'!P129+'дод. 3'!P204+'дод. 3'!P220+'дод. 3'!P248+'дод. 3'!P283+'дод. 3'!P49+'дод. 3'!P313</f>
        <v>47433404</v>
      </c>
      <c r="P211" s="296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</row>
    <row r="212" spans="1:35" ht="33.75" customHeight="1">
      <c r="A212" s="5" t="s">
        <v>418</v>
      </c>
      <c r="B212" s="5" t="s">
        <v>126</v>
      </c>
      <c r="C212" s="13" t="s">
        <v>421</v>
      </c>
      <c r="D212" s="48">
        <f>'дод. 3'!E301</f>
        <v>0</v>
      </c>
      <c r="E212" s="48">
        <f>'дод. 3'!F301</f>
        <v>0</v>
      </c>
      <c r="F212" s="48">
        <f>'дод. 3'!G301</f>
        <v>0</v>
      </c>
      <c r="G212" s="48">
        <f>'дод. 3'!H301</f>
        <v>0</v>
      </c>
      <c r="H212" s="48">
        <f>'дод. 3'!I301</f>
        <v>0</v>
      </c>
      <c r="I212" s="48">
        <f>'дод. 3'!J301</f>
        <v>50000</v>
      </c>
      <c r="J212" s="48">
        <f>'дод. 3'!K301</f>
        <v>0</v>
      </c>
      <c r="K212" s="48">
        <f>'дод. 3'!L301</f>
        <v>0</v>
      </c>
      <c r="L212" s="48">
        <f>'дод. 3'!M301</f>
        <v>0</v>
      </c>
      <c r="M212" s="48">
        <f>'дод. 3'!N301</f>
        <v>50000</v>
      </c>
      <c r="N212" s="48">
        <f>'дод. 3'!O301</f>
        <v>50000</v>
      </c>
      <c r="O212" s="48">
        <f>'дод. 3'!P301</f>
        <v>50000</v>
      </c>
      <c r="P212" s="296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</row>
    <row r="213" spans="1:35" ht="66.75" customHeight="1">
      <c r="A213" s="5" t="s">
        <v>420</v>
      </c>
      <c r="B213" s="5" t="s">
        <v>126</v>
      </c>
      <c r="C213" s="13" t="s">
        <v>422</v>
      </c>
      <c r="D213" s="48">
        <f>'дод. 3'!E302</f>
        <v>0</v>
      </c>
      <c r="E213" s="48">
        <f>'дод. 3'!F302</f>
        <v>0</v>
      </c>
      <c r="F213" s="48">
        <f>'дод. 3'!G302</f>
        <v>0</v>
      </c>
      <c r="G213" s="48">
        <f>'дод. 3'!H302</f>
        <v>0</v>
      </c>
      <c r="H213" s="48">
        <f>'дод. 3'!I302</f>
        <v>0</v>
      </c>
      <c r="I213" s="48">
        <f>'дод. 3'!J302</f>
        <v>25000</v>
      </c>
      <c r="J213" s="48">
        <f>'дод. 3'!K302</f>
        <v>0</v>
      </c>
      <c r="K213" s="48">
        <f>'дод. 3'!L302</f>
        <v>0</v>
      </c>
      <c r="L213" s="48">
        <f>'дод. 3'!M302</f>
        <v>0</v>
      </c>
      <c r="M213" s="48">
        <f>'дод. 3'!N302</f>
        <v>25000</v>
      </c>
      <c r="N213" s="48">
        <f>'дод. 3'!O302</f>
        <v>25000</v>
      </c>
      <c r="O213" s="48">
        <f>'дод. 3'!P302</f>
        <v>25000</v>
      </c>
      <c r="P213" s="296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</row>
    <row r="214" spans="1:35" ht="15.75">
      <c r="A214" s="5" t="s">
        <v>12</v>
      </c>
      <c r="B214" s="5" t="s">
        <v>126</v>
      </c>
      <c r="C214" s="13" t="s">
        <v>47</v>
      </c>
      <c r="D214" s="48">
        <f>'дод. 3'!E50</f>
        <v>0</v>
      </c>
      <c r="E214" s="48">
        <f>'дод. 3'!F50</f>
        <v>0</v>
      </c>
      <c r="F214" s="48">
        <f>'дод. 3'!G50</f>
        <v>0</v>
      </c>
      <c r="G214" s="48">
        <f>'дод. 3'!H50</f>
        <v>0</v>
      </c>
      <c r="H214" s="48">
        <f>'дод. 3'!I50</f>
        <v>0</v>
      </c>
      <c r="I214" s="48">
        <f>'дод. 3'!J50</f>
        <v>29240000</v>
      </c>
      <c r="J214" s="48">
        <f>'дод. 3'!K50</f>
        <v>0</v>
      </c>
      <c r="K214" s="48">
        <f>'дод. 3'!L50</f>
        <v>0</v>
      </c>
      <c r="L214" s="48">
        <f>'дод. 3'!M50</f>
        <v>0</v>
      </c>
      <c r="M214" s="48">
        <f>'дод. 3'!N50</f>
        <v>29240000</v>
      </c>
      <c r="N214" s="48">
        <f>'дод. 3'!O50</f>
        <v>29240000</v>
      </c>
      <c r="O214" s="48">
        <f>'дод. 3'!P50</f>
        <v>29240000</v>
      </c>
      <c r="P214" s="296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</row>
    <row r="215" spans="1:35" ht="36.75" customHeight="1">
      <c r="A215" s="5" t="s">
        <v>392</v>
      </c>
      <c r="B215" s="5" t="s">
        <v>126</v>
      </c>
      <c r="C215" s="13" t="s">
        <v>393</v>
      </c>
      <c r="D215" s="48">
        <f>'дод. 3'!E51</f>
        <v>209333</v>
      </c>
      <c r="E215" s="48">
        <f>'дод. 3'!F51</f>
        <v>209333</v>
      </c>
      <c r="F215" s="48">
        <f>'дод. 3'!G51</f>
        <v>0</v>
      </c>
      <c r="G215" s="48">
        <f>'дод. 3'!H51</f>
        <v>0</v>
      </c>
      <c r="H215" s="48">
        <f>'дод. 3'!I51</f>
        <v>0</v>
      </c>
      <c r="I215" s="48">
        <f>'дод. 3'!J51</f>
        <v>0</v>
      </c>
      <c r="J215" s="48">
        <f>'дод. 3'!K51</f>
        <v>0</v>
      </c>
      <c r="K215" s="48">
        <f>'дод. 3'!L51</f>
        <v>0</v>
      </c>
      <c r="L215" s="48">
        <f>'дод. 3'!M51</f>
        <v>0</v>
      </c>
      <c r="M215" s="48">
        <f>'дод. 3'!N51</f>
        <v>0</v>
      </c>
      <c r="N215" s="48">
        <f>'дод. 3'!O51</f>
        <v>0</v>
      </c>
      <c r="O215" s="48">
        <f>'дод. 3'!P51</f>
        <v>209333</v>
      </c>
      <c r="P215" s="296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</row>
    <row r="216" spans="1:35" ht="29.25" customHeight="1">
      <c r="A216" s="5" t="s">
        <v>13</v>
      </c>
      <c r="B216" s="5"/>
      <c r="C216" s="13" t="s">
        <v>413</v>
      </c>
      <c r="D216" s="48">
        <f>D217+D218</f>
        <v>2563965</v>
      </c>
      <c r="E216" s="48">
        <f aca="true" t="shared" si="57" ref="E216:O216">E217+E218</f>
        <v>2366065</v>
      </c>
      <c r="F216" s="48">
        <f t="shared" si="57"/>
        <v>0</v>
      </c>
      <c r="G216" s="48">
        <f t="shared" si="57"/>
        <v>78316.65</v>
      </c>
      <c r="H216" s="48">
        <f t="shared" si="57"/>
        <v>197900</v>
      </c>
      <c r="I216" s="48">
        <f t="shared" si="57"/>
        <v>3004429.33</v>
      </c>
      <c r="J216" s="48">
        <f t="shared" si="57"/>
        <v>1332343.53</v>
      </c>
      <c r="K216" s="48">
        <f t="shared" si="57"/>
        <v>0</v>
      </c>
      <c r="L216" s="48">
        <f t="shared" si="57"/>
        <v>0</v>
      </c>
      <c r="M216" s="48">
        <f t="shared" si="57"/>
        <v>1672085.8</v>
      </c>
      <c r="N216" s="48">
        <f t="shared" si="57"/>
        <v>0</v>
      </c>
      <c r="O216" s="48">
        <f t="shared" si="57"/>
        <v>5568394.33</v>
      </c>
      <c r="P216" s="296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</row>
    <row r="217" spans="1:35" s="8" customFormat="1" ht="122.25" customHeight="1">
      <c r="A217" s="7" t="s">
        <v>468</v>
      </c>
      <c r="B217" s="7" t="s">
        <v>126</v>
      </c>
      <c r="C217" s="14" t="s">
        <v>499</v>
      </c>
      <c r="D217" s="50">
        <f>'дод. 3'!E53+'дод. 3'!E292+'дод. 3'!E250+'дод. 3'!E285</f>
        <v>0</v>
      </c>
      <c r="E217" s="50">
        <f>'дод. 3'!F53+'дод. 3'!F292+'дод. 3'!F250+'дод. 3'!F285</f>
        <v>0</v>
      </c>
      <c r="F217" s="50">
        <f>'дод. 3'!G53+'дод. 3'!G292+'дод. 3'!G250+'дод. 3'!G285</f>
        <v>0</v>
      </c>
      <c r="G217" s="50">
        <f>'дод. 3'!H53+'дод. 3'!H292+'дод. 3'!H250+'дод. 3'!H285</f>
        <v>0</v>
      </c>
      <c r="H217" s="50">
        <f>'дод. 3'!I53+'дод. 3'!I292+'дод. 3'!I250+'дод. 3'!I285</f>
        <v>0</v>
      </c>
      <c r="I217" s="50">
        <f>'дод. 3'!J53+'дод. 3'!J292+'дод. 3'!J250+'дод. 3'!J285</f>
        <v>3004429.33</v>
      </c>
      <c r="J217" s="50">
        <f>'дод. 3'!K53+'дод. 3'!K292+'дод. 3'!K250+'дод. 3'!K285</f>
        <v>1332343.53</v>
      </c>
      <c r="K217" s="50">
        <f>'дод. 3'!L53+'дод. 3'!L292+'дод. 3'!L250+'дод. 3'!L285</f>
        <v>0</v>
      </c>
      <c r="L217" s="50">
        <f>'дод. 3'!M53+'дод. 3'!M292+'дод. 3'!M250+'дод. 3'!M285</f>
        <v>0</v>
      </c>
      <c r="M217" s="50">
        <f>'дод. 3'!N53+'дод. 3'!N292+'дод. 3'!N250+'дод. 3'!N285</f>
        <v>1672085.8</v>
      </c>
      <c r="N217" s="50">
        <f>'дод. 3'!O53+'дод. 3'!O292+'дод. 3'!O250+'дод. 3'!O285</f>
        <v>0</v>
      </c>
      <c r="O217" s="50">
        <f>'дод. 3'!P53+'дод. 3'!P292+'дод. 3'!P250+'дод. 3'!P285</f>
        <v>3004429.33</v>
      </c>
      <c r="P217" s="296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</row>
    <row r="218" spans="1:35" s="8" customFormat="1" ht="30.75" customHeight="1">
      <c r="A218" s="7" t="s">
        <v>383</v>
      </c>
      <c r="B218" s="7" t="s">
        <v>126</v>
      </c>
      <c r="C218" s="14" t="s">
        <v>34</v>
      </c>
      <c r="D218" s="50">
        <f>'дод. 3'!E54+'дод. 3'!E304</f>
        <v>2563965</v>
      </c>
      <c r="E218" s="50">
        <f>'дод. 3'!F54+'дод. 3'!F304</f>
        <v>2366065</v>
      </c>
      <c r="F218" s="50">
        <f>'дод. 3'!G54+'дод. 3'!G304</f>
        <v>0</v>
      </c>
      <c r="G218" s="50">
        <f>'дод. 3'!H54+'дод. 3'!H304</f>
        <v>78316.65</v>
      </c>
      <c r="H218" s="50">
        <f>'дод. 3'!I54+'дод. 3'!I304</f>
        <v>197900</v>
      </c>
      <c r="I218" s="50">
        <f>'дод. 3'!J54+'дод. 3'!J304</f>
        <v>0</v>
      </c>
      <c r="J218" s="50">
        <f>'дод. 3'!K54+'дод. 3'!K304</f>
        <v>0</v>
      </c>
      <c r="K218" s="50">
        <f>'дод. 3'!L54+'дод. 3'!L304</f>
        <v>0</v>
      </c>
      <c r="L218" s="50">
        <f>'дод. 3'!M54+'дод. 3'!M304</f>
        <v>0</v>
      </c>
      <c r="M218" s="50">
        <f>'дод. 3'!N54+'дод. 3'!N304</f>
        <v>0</v>
      </c>
      <c r="N218" s="50">
        <f>'дод. 3'!O54+'дод. 3'!O304</f>
        <v>0</v>
      </c>
      <c r="O218" s="50">
        <f>'дод. 3'!P54+'дод. 3'!P304</f>
        <v>2563965</v>
      </c>
      <c r="P218" s="296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</row>
    <row r="219" spans="1:35" s="21" customFormat="1" ht="23.25" customHeight="1">
      <c r="A219" s="22" t="s">
        <v>141</v>
      </c>
      <c r="B219" s="10"/>
      <c r="C219" s="11" t="s">
        <v>15</v>
      </c>
      <c r="D219" s="49">
        <f>D220+D223+D225+D228+D230+D231</f>
        <v>6505702.969999999</v>
      </c>
      <c r="E219" s="49">
        <f aca="true" t="shared" si="58" ref="E219:O219">E220+E223+E225+E228+E230+E231</f>
        <v>3033595.41</v>
      </c>
      <c r="F219" s="49">
        <f t="shared" si="58"/>
        <v>1087750</v>
      </c>
      <c r="G219" s="49">
        <f t="shared" si="58"/>
        <v>303626</v>
      </c>
      <c r="H219" s="49">
        <f t="shared" si="58"/>
        <v>0</v>
      </c>
      <c r="I219" s="49">
        <f t="shared" si="58"/>
        <v>6126408.87</v>
      </c>
      <c r="J219" s="49">
        <f t="shared" si="58"/>
        <v>2474787</v>
      </c>
      <c r="K219" s="49">
        <f t="shared" si="58"/>
        <v>0</v>
      </c>
      <c r="L219" s="49">
        <f t="shared" si="58"/>
        <v>1200</v>
      </c>
      <c r="M219" s="49">
        <f t="shared" si="58"/>
        <v>3651621.87</v>
      </c>
      <c r="N219" s="49">
        <f t="shared" si="58"/>
        <v>113800</v>
      </c>
      <c r="O219" s="49">
        <f t="shared" si="58"/>
        <v>12632111.84</v>
      </c>
      <c r="P219" s="296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</row>
    <row r="220" spans="1:35" s="21" customFormat="1" ht="49.5" customHeight="1">
      <c r="A220" s="22" t="s">
        <v>143</v>
      </c>
      <c r="B220" s="30"/>
      <c r="C220" s="11" t="s">
        <v>16</v>
      </c>
      <c r="D220" s="49">
        <f>D221+D222</f>
        <v>2223743</v>
      </c>
      <c r="E220" s="49">
        <f aca="true" t="shared" si="59" ref="E220:O220">E221+E222</f>
        <v>2223743</v>
      </c>
      <c r="F220" s="49">
        <f t="shared" si="59"/>
        <v>1087750</v>
      </c>
      <c r="G220" s="49">
        <f t="shared" si="59"/>
        <v>81385</v>
      </c>
      <c r="H220" s="49">
        <f t="shared" si="59"/>
        <v>0</v>
      </c>
      <c r="I220" s="49">
        <f t="shared" si="59"/>
        <v>118900</v>
      </c>
      <c r="J220" s="49">
        <f t="shared" si="59"/>
        <v>5100</v>
      </c>
      <c r="K220" s="49">
        <f t="shared" si="59"/>
        <v>0</v>
      </c>
      <c r="L220" s="49">
        <f t="shared" si="59"/>
        <v>1200</v>
      </c>
      <c r="M220" s="49">
        <f t="shared" si="59"/>
        <v>113800</v>
      </c>
      <c r="N220" s="49">
        <f t="shared" si="59"/>
        <v>113800</v>
      </c>
      <c r="O220" s="49">
        <f t="shared" si="59"/>
        <v>2342643</v>
      </c>
      <c r="P220" s="296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</row>
    <row r="221" spans="1:35" s="21" customFormat="1" ht="36.75" customHeight="1">
      <c r="A221" s="26" t="s">
        <v>17</v>
      </c>
      <c r="B221" s="26" t="s">
        <v>136</v>
      </c>
      <c r="C221" s="13" t="s">
        <v>469</v>
      </c>
      <c r="D221" s="48">
        <f>'дод. 3'!E55+'дод. 3'!E205</f>
        <v>706633</v>
      </c>
      <c r="E221" s="48">
        <f>'дод. 3'!F55+'дод. 3'!F205</f>
        <v>706633</v>
      </c>
      <c r="F221" s="48">
        <f>'дод. 3'!G55+'дод. 3'!G205</f>
        <v>0</v>
      </c>
      <c r="G221" s="48">
        <f>'дод. 3'!H55+'дод. 3'!H205</f>
        <v>5070</v>
      </c>
      <c r="H221" s="48">
        <f>'дод. 3'!I55+'дод. 3'!I205</f>
        <v>0</v>
      </c>
      <c r="I221" s="48">
        <f>'дод. 3'!J55+'дод. 3'!J205</f>
        <v>55900</v>
      </c>
      <c r="J221" s="48">
        <f>'дод. 3'!K55+'дод. 3'!K205</f>
        <v>0</v>
      </c>
      <c r="K221" s="48">
        <f>'дод. 3'!L55+'дод. 3'!L205</f>
        <v>0</v>
      </c>
      <c r="L221" s="48">
        <f>'дод. 3'!M55+'дод. 3'!M205</f>
        <v>0</v>
      </c>
      <c r="M221" s="48">
        <f>'дод. 3'!N55+'дод. 3'!N205</f>
        <v>55900</v>
      </c>
      <c r="N221" s="48">
        <f>'дод. 3'!O55+'дод. 3'!O205</f>
        <v>55900</v>
      </c>
      <c r="O221" s="48">
        <f>'дод. 3'!P55+'дод. 3'!P205</f>
        <v>762533</v>
      </c>
      <c r="P221" s="296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</row>
    <row r="222" spans="1:35" ht="24.75" customHeight="1">
      <c r="A222" s="5" t="s">
        <v>236</v>
      </c>
      <c r="B222" s="12" t="s">
        <v>136</v>
      </c>
      <c r="C222" s="13" t="s">
        <v>18</v>
      </c>
      <c r="D222" s="48">
        <f>'дод. 3'!E56</f>
        <v>1517110</v>
      </c>
      <c r="E222" s="48">
        <f>'дод. 3'!F56</f>
        <v>1517110</v>
      </c>
      <c r="F222" s="48">
        <f>'дод. 3'!G56</f>
        <v>1087750</v>
      </c>
      <c r="G222" s="48">
        <f>'дод. 3'!H56</f>
        <v>76315</v>
      </c>
      <c r="H222" s="48">
        <f>'дод. 3'!I56</f>
        <v>0</v>
      </c>
      <c r="I222" s="48">
        <f>'дод. 3'!J56</f>
        <v>63000</v>
      </c>
      <c r="J222" s="48">
        <f>'дод. 3'!K56</f>
        <v>5100</v>
      </c>
      <c r="K222" s="48">
        <f>'дод. 3'!L56</f>
        <v>0</v>
      </c>
      <c r="L222" s="48">
        <f>'дод. 3'!M56</f>
        <v>1200</v>
      </c>
      <c r="M222" s="48">
        <f>'дод. 3'!N56</f>
        <v>57900</v>
      </c>
      <c r="N222" s="48">
        <f>'дод. 3'!O56</f>
        <v>57900</v>
      </c>
      <c r="O222" s="48">
        <f>'дод. 3'!P56</f>
        <v>1580110</v>
      </c>
      <c r="P222" s="296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</row>
    <row r="223" spans="1:35" s="21" customFormat="1" ht="30" customHeight="1">
      <c r="A223" s="22" t="s">
        <v>394</v>
      </c>
      <c r="B223" s="22"/>
      <c r="C223" s="54" t="s">
        <v>395</v>
      </c>
      <c r="D223" s="49">
        <f aca="true" t="shared" si="60" ref="D223:O223">D224</f>
        <v>391300</v>
      </c>
      <c r="E223" s="49">
        <f t="shared" si="60"/>
        <v>391300</v>
      </c>
      <c r="F223" s="49">
        <f t="shared" si="60"/>
        <v>0</v>
      </c>
      <c r="G223" s="49">
        <f t="shared" si="60"/>
        <v>222241</v>
      </c>
      <c r="H223" s="49">
        <f t="shared" si="60"/>
        <v>0</v>
      </c>
      <c r="I223" s="49">
        <f t="shared" si="60"/>
        <v>0</v>
      </c>
      <c r="J223" s="49">
        <f t="shared" si="60"/>
        <v>0</v>
      </c>
      <c r="K223" s="49">
        <f t="shared" si="60"/>
        <v>0</v>
      </c>
      <c r="L223" s="49">
        <f t="shared" si="60"/>
        <v>0</v>
      </c>
      <c r="M223" s="49">
        <f t="shared" si="60"/>
        <v>0</v>
      </c>
      <c r="N223" s="49">
        <f t="shared" si="60"/>
        <v>0</v>
      </c>
      <c r="O223" s="49">
        <f t="shared" si="60"/>
        <v>391300</v>
      </c>
      <c r="P223" s="296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</row>
    <row r="224" spans="1:35" ht="30" customHeight="1">
      <c r="A224" s="5" t="s">
        <v>388</v>
      </c>
      <c r="B224" s="12" t="s">
        <v>389</v>
      </c>
      <c r="C224" s="13" t="s">
        <v>390</v>
      </c>
      <c r="D224" s="48">
        <f>'дод. 3'!E57</f>
        <v>391300</v>
      </c>
      <c r="E224" s="48">
        <f>'дод. 3'!F57</f>
        <v>391300</v>
      </c>
      <c r="F224" s="48">
        <f>'дод. 3'!G57</f>
        <v>0</v>
      </c>
      <c r="G224" s="48">
        <f>'дод. 3'!H57</f>
        <v>222241</v>
      </c>
      <c r="H224" s="48">
        <f>'дод. 3'!I57</f>
        <v>0</v>
      </c>
      <c r="I224" s="48">
        <f>'дод. 3'!J57</f>
        <v>0</v>
      </c>
      <c r="J224" s="48">
        <f>'дод. 3'!K57</f>
        <v>0</v>
      </c>
      <c r="K224" s="48">
        <f>'дод. 3'!L57</f>
        <v>0</v>
      </c>
      <c r="L224" s="48">
        <f>'дод. 3'!M57</f>
        <v>0</v>
      </c>
      <c r="M224" s="48">
        <f>'дод. 3'!N57</f>
        <v>0</v>
      </c>
      <c r="N224" s="48">
        <f>'дод. 3'!O57</f>
        <v>0</v>
      </c>
      <c r="O224" s="48">
        <f>'дод. 3'!P57</f>
        <v>391300</v>
      </c>
      <c r="P224" s="296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</row>
    <row r="225" spans="1:35" s="21" customFormat="1" ht="22.5" customHeight="1">
      <c r="A225" s="22" t="s">
        <v>14</v>
      </c>
      <c r="B225" s="34"/>
      <c r="C225" s="11" t="s">
        <v>19</v>
      </c>
      <c r="D225" s="49">
        <f>D226+D227</f>
        <v>76600</v>
      </c>
      <c r="E225" s="49">
        <f aca="true" t="shared" si="61" ref="E225:O225">E226+E227</f>
        <v>76600</v>
      </c>
      <c r="F225" s="49">
        <f t="shared" si="61"/>
        <v>0</v>
      </c>
      <c r="G225" s="49">
        <f t="shared" si="61"/>
        <v>0</v>
      </c>
      <c r="H225" s="49">
        <f t="shared" si="61"/>
        <v>0</v>
      </c>
      <c r="I225" s="49">
        <f t="shared" si="61"/>
        <v>6007508.87</v>
      </c>
      <c r="J225" s="49">
        <f t="shared" si="61"/>
        <v>2469687</v>
      </c>
      <c r="K225" s="49">
        <f t="shared" si="61"/>
        <v>0</v>
      </c>
      <c r="L225" s="49">
        <f t="shared" si="61"/>
        <v>0</v>
      </c>
      <c r="M225" s="49">
        <f t="shared" si="61"/>
        <v>3537821.87</v>
      </c>
      <c r="N225" s="49">
        <f t="shared" si="61"/>
        <v>0</v>
      </c>
      <c r="O225" s="49">
        <f t="shared" si="61"/>
        <v>6084108.87</v>
      </c>
      <c r="P225" s="296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</row>
    <row r="226" spans="1:35" s="21" customFormat="1" ht="26.25" customHeight="1">
      <c r="A226" s="5" t="s">
        <v>20</v>
      </c>
      <c r="B226" s="5" t="s">
        <v>135</v>
      </c>
      <c r="C226" s="13" t="s">
        <v>35</v>
      </c>
      <c r="D226" s="48">
        <f>'дод. 3'!E251</f>
        <v>76600</v>
      </c>
      <c r="E226" s="48">
        <f>'дод. 3'!F251</f>
        <v>76600</v>
      </c>
      <c r="F226" s="48">
        <f>'дод. 3'!G251</f>
        <v>0</v>
      </c>
      <c r="G226" s="48">
        <f>'дод. 3'!H251</f>
        <v>0</v>
      </c>
      <c r="H226" s="48">
        <f>'дод. 3'!I251</f>
        <v>0</v>
      </c>
      <c r="I226" s="48">
        <f>'дод. 3'!J251</f>
        <v>0</v>
      </c>
      <c r="J226" s="48">
        <f>'дод. 3'!K251</f>
        <v>0</v>
      </c>
      <c r="K226" s="48">
        <f>'дод. 3'!L251</f>
        <v>0</v>
      </c>
      <c r="L226" s="48">
        <f>'дод. 3'!M251</f>
        <v>0</v>
      </c>
      <c r="M226" s="48">
        <f>'дод. 3'!N251</f>
        <v>0</v>
      </c>
      <c r="N226" s="48">
        <f>'дод. 3'!O251</f>
        <v>0</v>
      </c>
      <c r="O226" s="48">
        <f>'дод. 3'!P251</f>
        <v>76600</v>
      </c>
      <c r="P226" s="296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</row>
    <row r="227" spans="1:35" s="21" customFormat="1" ht="37.5" customHeight="1">
      <c r="A227" s="5" t="s">
        <v>21</v>
      </c>
      <c r="B227" s="5" t="s">
        <v>139</v>
      </c>
      <c r="C227" s="13" t="s">
        <v>22</v>
      </c>
      <c r="D227" s="48">
        <f>'дод. 3'!E93+'дод. 3'!E314+'дод. 3'!E58+'дод. 3'!E252</f>
        <v>0</v>
      </c>
      <c r="E227" s="48">
        <f>'дод. 3'!F93+'дод. 3'!F314+'дод. 3'!F58+'дод. 3'!F252</f>
        <v>0</v>
      </c>
      <c r="F227" s="48">
        <f>'дод. 3'!G93+'дод. 3'!G314+'дод. 3'!G58+'дод. 3'!G252</f>
        <v>0</v>
      </c>
      <c r="G227" s="48">
        <f>'дод. 3'!H93+'дод. 3'!H314+'дод. 3'!H58+'дод. 3'!H252</f>
        <v>0</v>
      </c>
      <c r="H227" s="48">
        <f>'дод. 3'!I93+'дод. 3'!I314+'дод. 3'!I58+'дод. 3'!I252</f>
        <v>0</v>
      </c>
      <c r="I227" s="48">
        <f>'дод. 3'!J93+'дод. 3'!J314+'дод. 3'!J58+'дод. 3'!J252</f>
        <v>6007508.87</v>
      </c>
      <c r="J227" s="48">
        <f>'дод. 3'!K93+'дод. 3'!K314+'дод. 3'!K58+'дод. 3'!K252</f>
        <v>2469687</v>
      </c>
      <c r="K227" s="48">
        <f>'дод. 3'!L93+'дод. 3'!L314+'дод. 3'!L58+'дод. 3'!L252</f>
        <v>0</v>
      </c>
      <c r="L227" s="48">
        <f>'дод. 3'!M93+'дод. 3'!M314+'дод. 3'!M58+'дод. 3'!M252</f>
        <v>0</v>
      </c>
      <c r="M227" s="48">
        <f>'дод. 3'!N93+'дод. 3'!N314+'дод. 3'!N58+'дод. 3'!N252</f>
        <v>3537821.87</v>
      </c>
      <c r="N227" s="48">
        <f>'дод. 3'!O93+'дод. 3'!O314+'дод. 3'!O58+'дод. 3'!O252</f>
        <v>0</v>
      </c>
      <c r="O227" s="48">
        <f>'дод. 3'!P93+'дод. 3'!P314+'дод. 3'!P58+'дод. 3'!P252</f>
        <v>6007508.87</v>
      </c>
      <c r="P227" s="296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</row>
    <row r="228" spans="1:35" s="21" customFormat="1" ht="26.25" customHeight="1">
      <c r="A228" s="22" t="s">
        <v>211</v>
      </c>
      <c r="B228" s="34"/>
      <c r="C228" s="11" t="s">
        <v>117</v>
      </c>
      <c r="D228" s="49">
        <f aca="true" t="shared" si="62" ref="D228:O228">D229</f>
        <v>164000</v>
      </c>
      <c r="E228" s="49">
        <f t="shared" si="62"/>
        <v>164000</v>
      </c>
      <c r="F228" s="49">
        <f t="shared" si="62"/>
        <v>0</v>
      </c>
      <c r="G228" s="49">
        <f t="shared" si="62"/>
        <v>0</v>
      </c>
      <c r="H228" s="49">
        <f t="shared" si="62"/>
        <v>0</v>
      </c>
      <c r="I228" s="49">
        <f t="shared" si="62"/>
        <v>0</v>
      </c>
      <c r="J228" s="49">
        <f t="shared" si="62"/>
        <v>0</v>
      </c>
      <c r="K228" s="49">
        <f t="shared" si="62"/>
        <v>0</v>
      </c>
      <c r="L228" s="49">
        <f t="shared" si="62"/>
        <v>0</v>
      </c>
      <c r="M228" s="49">
        <f t="shared" si="62"/>
        <v>0</v>
      </c>
      <c r="N228" s="49">
        <f t="shared" si="62"/>
        <v>0</v>
      </c>
      <c r="O228" s="49">
        <f t="shared" si="62"/>
        <v>164000</v>
      </c>
      <c r="P228" s="296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</row>
    <row r="229" spans="1:35" s="21" customFormat="1" ht="25.5" customHeight="1">
      <c r="A229" s="5" t="s">
        <v>399</v>
      </c>
      <c r="B229" s="12" t="s">
        <v>118</v>
      </c>
      <c r="C229" s="13" t="s">
        <v>400</v>
      </c>
      <c r="D229" s="48">
        <f>'дод. 3'!E59</f>
        <v>164000</v>
      </c>
      <c r="E229" s="48">
        <f>'дод. 3'!F59</f>
        <v>164000</v>
      </c>
      <c r="F229" s="48">
        <f>'дод. 3'!G59</f>
        <v>0</v>
      </c>
      <c r="G229" s="48">
        <f>'дод. 3'!H59</f>
        <v>0</v>
      </c>
      <c r="H229" s="48">
        <f>'дод. 3'!I59</f>
        <v>0</v>
      </c>
      <c r="I229" s="48">
        <f>'дод. 3'!J59</f>
        <v>0</v>
      </c>
      <c r="J229" s="48">
        <f>'дод. 3'!K59</f>
        <v>0</v>
      </c>
      <c r="K229" s="48">
        <f>'дод. 3'!L59</f>
        <v>0</v>
      </c>
      <c r="L229" s="48">
        <f>'дод. 3'!M59</f>
        <v>0</v>
      </c>
      <c r="M229" s="48">
        <f>'дод. 3'!N59</f>
        <v>0</v>
      </c>
      <c r="N229" s="48">
        <f>'дод. 3'!O59</f>
        <v>0</v>
      </c>
      <c r="O229" s="48">
        <f>'дод. 3'!P59</f>
        <v>164000</v>
      </c>
      <c r="P229" s="296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</row>
    <row r="230" spans="1:35" s="21" customFormat="1" ht="26.25" customHeight="1">
      <c r="A230" s="22" t="s">
        <v>142</v>
      </c>
      <c r="B230" s="22" t="s">
        <v>137</v>
      </c>
      <c r="C230" s="11" t="s">
        <v>23</v>
      </c>
      <c r="D230" s="49">
        <f>'дод. 3'!E315</f>
        <v>177952.41</v>
      </c>
      <c r="E230" s="49">
        <f>'дод. 3'!F315</f>
        <v>177952.41</v>
      </c>
      <c r="F230" s="49">
        <f>'дод. 3'!G315</f>
        <v>0</v>
      </c>
      <c r="G230" s="49">
        <f>'дод. 3'!H315</f>
        <v>0</v>
      </c>
      <c r="H230" s="49">
        <f>'дод. 3'!I315</f>
        <v>0</v>
      </c>
      <c r="I230" s="49">
        <f>'дод. 3'!J315</f>
        <v>0</v>
      </c>
      <c r="J230" s="49">
        <f>'дод. 3'!K315</f>
        <v>0</v>
      </c>
      <c r="K230" s="49">
        <f>'дод. 3'!L315</f>
        <v>0</v>
      </c>
      <c r="L230" s="49">
        <f>'дод. 3'!M315</f>
        <v>0</v>
      </c>
      <c r="M230" s="49">
        <f>'дод. 3'!N315</f>
        <v>0</v>
      </c>
      <c r="N230" s="49">
        <f>'дод. 3'!O315</f>
        <v>0</v>
      </c>
      <c r="O230" s="49">
        <f>'дод. 3'!P315</f>
        <v>177952.41</v>
      </c>
      <c r="P230" s="296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</row>
    <row r="231" spans="1:35" s="21" customFormat="1" ht="26.25" customHeight="1">
      <c r="A231" s="22" t="s">
        <v>24</v>
      </c>
      <c r="B231" s="22" t="s">
        <v>140</v>
      </c>
      <c r="C231" s="11" t="s">
        <v>38</v>
      </c>
      <c r="D231" s="49">
        <f>'дод. 3'!E316</f>
        <v>3472107.5599999987</v>
      </c>
      <c r="E231" s="49">
        <f>'дод. 3'!F316</f>
        <v>0</v>
      </c>
      <c r="F231" s="49">
        <f>'дод. 3'!G316</f>
        <v>0</v>
      </c>
      <c r="G231" s="49">
        <f>'дод. 3'!H316</f>
        <v>0</v>
      </c>
      <c r="H231" s="49">
        <f>'дод. 3'!I316</f>
        <v>0</v>
      </c>
      <c r="I231" s="49">
        <f>'дод. 3'!J316</f>
        <v>0</v>
      </c>
      <c r="J231" s="49">
        <f>'дод. 3'!K316</f>
        <v>0</v>
      </c>
      <c r="K231" s="49">
        <f>'дод. 3'!L316</f>
        <v>0</v>
      </c>
      <c r="L231" s="49">
        <f>'дод. 3'!M316</f>
        <v>0</v>
      </c>
      <c r="M231" s="49">
        <f>'дод. 3'!N316</f>
        <v>0</v>
      </c>
      <c r="N231" s="49">
        <f>'дод. 3'!O316</f>
        <v>0</v>
      </c>
      <c r="O231" s="49">
        <f>'дод. 3'!P316</f>
        <v>3472107.5599999987</v>
      </c>
      <c r="P231" s="296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</row>
    <row r="232" spans="1:35" s="21" customFormat="1" ht="27.75" customHeight="1">
      <c r="A232" s="22" t="s">
        <v>25</v>
      </c>
      <c r="B232" s="22"/>
      <c r="C232" s="11" t="s">
        <v>164</v>
      </c>
      <c r="D232" s="49">
        <f>D234+D236+D240+D242</f>
        <v>89461000</v>
      </c>
      <c r="E232" s="49">
        <f aca="true" t="shared" si="63" ref="E232:O232">E234+E236+E240+E242</f>
        <v>89461000</v>
      </c>
      <c r="F232" s="49">
        <f t="shared" si="63"/>
        <v>0</v>
      </c>
      <c r="G232" s="49">
        <f t="shared" si="63"/>
        <v>0</v>
      </c>
      <c r="H232" s="49">
        <f t="shared" si="63"/>
        <v>0</v>
      </c>
      <c r="I232" s="49">
        <f t="shared" si="63"/>
        <v>11859580</v>
      </c>
      <c r="J232" s="49">
        <f t="shared" si="63"/>
        <v>4000000</v>
      </c>
      <c r="K232" s="49">
        <f t="shared" si="63"/>
        <v>0</v>
      </c>
      <c r="L232" s="49">
        <f t="shared" si="63"/>
        <v>0</v>
      </c>
      <c r="M232" s="49">
        <f t="shared" si="63"/>
        <v>7859580</v>
      </c>
      <c r="N232" s="49">
        <f t="shared" si="63"/>
        <v>7859580</v>
      </c>
      <c r="O232" s="49">
        <f t="shared" si="63"/>
        <v>101320580</v>
      </c>
      <c r="P232" s="296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</row>
    <row r="233" spans="1:35" s="21" customFormat="1" ht="27.75" customHeight="1">
      <c r="A233" s="22"/>
      <c r="B233" s="22"/>
      <c r="C233" s="223" t="s">
        <v>416</v>
      </c>
      <c r="D233" s="49">
        <f>D237</f>
        <v>0</v>
      </c>
      <c r="E233" s="49">
        <f aca="true" t="shared" si="64" ref="E233:O233">E237</f>
        <v>0</v>
      </c>
      <c r="F233" s="49">
        <f t="shared" si="64"/>
        <v>0</v>
      </c>
      <c r="G233" s="49">
        <f t="shared" si="64"/>
        <v>0</v>
      </c>
      <c r="H233" s="49">
        <f t="shared" si="64"/>
        <v>0</v>
      </c>
      <c r="I233" s="49">
        <f t="shared" si="64"/>
        <v>4000000</v>
      </c>
      <c r="J233" s="49">
        <f t="shared" si="64"/>
        <v>4000000</v>
      </c>
      <c r="K233" s="49">
        <f t="shared" si="64"/>
        <v>0</v>
      </c>
      <c r="L233" s="49">
        <f t="shared" si="64"/>
        <v>0</v>
      </c>
      <c r="M233" s="49">
        <f t="shared" si="64"/>
        <v>0</v>
      </c>
      <c r="N233" s="49">
        <f t="shared" si="64"/>
        <v>0</v>
      </c>
      <c r="O233" s="49">
        <f t="shared" si="64"/>
        <v>4000000</v>
      </c>
      <c r="P233" s="296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</row>
    <row r="234" spans="1:35" s="21" customFormat="1" ht="27.75" customHeight="1">
      <c r="A234" s="22" t="s">
        <v>397</v>
      </c>
      <c r="B234" s="22"/>
      <c r="C234" s="11" t="s">
        <v>470</v>
      </c>
      <c r="D234" s="49">
        <f aca="true" t="shared" si="65" ref="D234:O234">D235</f>
        <v>87299600</v>
      </c>
      <c r="E234" s="49">
        <f t="shared" si="65"/>
        <v>87299600</v>
      </c>
      <c r="F234" s="49">
        <f t="shared" si="65"/>
        <v>0</v>
      </c>
      <c r="G234" s="49">
        <f t="shared" si="65"/>
        <v>0</v>
      </c>
      <c r="H234" s="49">
        <f t="shared" si="65"/>
        <v>0</v>
      </c>
      <c r="I234" s="49">
        <f t="shared" si="65"/>
        <v>0</v>
      </c>
      <c r="J234" s="49">
        <f t="shared" si="65"/>
        <v>0</v>
      </c>
      <c r="K234" s="49">
        <f t="shared" si="65"/>
        <v>0</v>
      </c>
      <c r="L234" s="49">
        <f t="shared" si="65"/>
        <v>0</v>
      </c>
      <c r="M234" s="49">
        <f t="shared" si="65"/>
        <v>0</v>
      </c>
      <c r="N234" s="49">
        <f t="shared" si="65"/>
        <v>0</v>
      </c>
      <c r="O234" s="49">
        <f t="shared" si="65"/>
        <v>87299600</v>
      </c>
      <c r="P234" s="296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</row>
    <row r="235" spans="1:35" s="21" customFormat="1" ht="21.75" customHeight="1">
      <c r="A235" s="5" t="s">
        <v>138</v>
      </c>
      <c r="B235" s="12" t="s">
        <v>78</v>
      </c>
      <c r="C235" s="13" t="s">
        <v>162</v>
      </c>
      <c r="D235" s="48">
        <f>'дод. 3'!E317</f>
        <v>87299600</v>
      </c>
      <c r="E235" s="48">
        <f>'дод. 3'!F317</f>
        <v>87299600</v>
      </c>
      <c r="F235" s="48">
        <f>'дод. 3'!G317</f>
        <v>0</v>
      </c>
      <c r="G235" s="48">
        <f>'дод. 3'!H317</f>
        <v>0</v>
      </c>
      <c r="H235" s="48">
        <f>'дод. 3'!I317</f>
        <v>0</v>
      </c>
      <c r="I235" s="48">
        <f>'дод. 3'!J317</f>
        <v>0</v>
      </c>
      <c r="J235" s="48">
        <f>'дод. 3'!K317</f>
        <v>0</v>
      </c>
      <c r="K235" s="48">
        <f>'дод. 3'!L317</f>
        <v>0</v>
      </c>
      <c r="L235" s="48">
        <f>'дод. 3'!M317</f>
        <v>0</v>
      </c>
      <c r="M235" s="48">
        <f>'дод. 3'!N317</f>
        <v>0</v>
      </c>
      <c r="N235" s="48">
        <f>'дод. 3'!O317</f>
        <v>0</v>
      </c>
      <c r="O235" s="48">
        <f>'дод. 3'!P317</f>
        <v>87299600</v>
      </c>
      <c r="P235" s="296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</row>
    <row r="236" spans="1:35" s="21" customFormat="1" ht="66.75" customHeight="1">
      <c r="A236" s="22" t="s">
        <v>652</v>
      </c>
      <c r="B236" s="12"/>
      <c r="C236" s="246" t="s">
        <v>653</v>
      </c>
      <c r="D236" s="48">
        <f>D238</f>
        <v>0</v>
      </c>
      <c r="E236" s="48"/>
      <c r="F236" s="48"/>
      <c r="G236" s="48"/>
      <c r="H236" s="48"/>
      <c r="I236" s="49">
        <f>I238</f>
        <v>4000000</v>
      </c>
      <c r="J236" s="48">
        <f>J238</f>
        <v>4000000</v>
      </c>
      <c r="K236" s="48"/>
      <c r="L236" s="48"/>
      <c r="M236" s="48"/>
      <c r="N236" s="48"/>
      <c r="O236" s="49">
        <f>O238</f>
        <v>4000000</v>
      </c>
      <c r="P236" s="296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</row>
    <row r="237" spans="1:35" s="28" customFormat="1" ht="23.25" customHeight="1">
      <c r="A237" s="240"/>
      <c r="B237" s="266"/>
      <c r="C237" s="223" t="s">
        <v>416</v>
      </c>
      <c r="D237" s="241"/>
      <c r="E237" s="241"/>
      <c r="F237" s="241"/>
      <c r="G237" s="241"/>
      <c r="H237" s="241"/>
      <c r="I237" s="241">
        <f>I239</f>
        <v>4000000</v>
      </c>
      <c r="J237" s="241">
        <f>J239</f>
        <v>4000000</v>
      </c>
      <c r="K237" s="241"/>
      <c r="L237" s="241"/>
      <c r="M237" s="241"/>
      <c r="N237" s="241"/>
      <c r="O237" s="241">
        <f>I237+D237</f>
        <v>4000000</v>
      </c>
      <c r="P237" s="296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1:35" s="21" customFormat="1" ht="112.5" customHeight="1">
      <c r="A238" s="5" t="s">
        <v>651</v>
      </c>
      <c r="B238" s="12" t="s">
        <v>78</v>
      </c>
      <c r="C238" s="245" t="s">
        <v>650</v>
      </c>
      <c r="D238" s="48"/>
      <c r="E238" s="48"/>
      <c r="F238" s="48"/>
      <c r="G238" s="48"/>
      <c r="H238" s="48"/>
      <c r="I238" s="48">
        <f>J238+M238</f>
        <v>4000000</v>
      </c>
      <c r="J238" s="48">
        <f>'дод. 3'!K318</f>
        <v>4000000</v>
      </c>
      <c r="K238" s="48"/>
      <c r="L238" s="48"/>
      <c r="M238" s="48"/>
      <c r="N238" s="48"/>
      <c r="O238" s="48">
        <f>I238+D238</f>
        <v>4000000</v>
      </c>
      <c r="P238" s="300">
        <v>24</v>
      </c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</row>
    <row r="239" spans="1:35" s="21" customFormat="1" ht="23.25" customHeight="1">
      <c r="A239" s="5"/>
      <c r="B239" s="12"/>
      <c r="C239" s="223" t="s">
        <v>416</v>
      </c>
      <c r="D239" s="48"/>
      <c r="E239" s="48"/>
      <c r="F239" s="48"/>
      <c r="G239" s="48"/>
      <c r="H239" s="48"/>
      <c r="I239" s="48">
        <f>J239+M239</f>
        <v>4000000</v>
      </c>
      <c r="J239" s="48">
        <f>'дод. 3'!K319</f>
        <v>4000000</v>
      </c>
      <c r="K239" s="48"/>
      <c r="L239" s="48"/>
      <c r="M239" s="48"/>
      <c r="N239" s="48"/>
      <c r="O239" s="48">
        <f>I239+D239</f>
        <v>4000000</v>
      </c>
      <c r="P239" s="300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</row>
    <row r="240" spans="1:35" s="21" customFormat="1" ht="57" customHeight="1">
      <c r="A240" s="22" t="s">
        <v>26</v>
      </c>
      <c r="B240" s="10"/>
      <c r="C240" s="11" t="s">
        <v>27</v>
      </c>
      <c r="D240" s="49">
        <f aca="true" t="shared" si="66" ref="D240:O240">D241</f>
        <v>1574500</v>
      </c>
      <c r="E240" s="49">
        <f t="shared" si="66"/>
        <v>1574500</v>
      </c>
      <c r="F240" s="49">
        <f t="shared" si="66"/>
        <v>0</v>
      </c>
      <c r="G240" s="49">
        <f t="shared" si="66"/>
        <v>0</v>
      </c>
      <c r="H240" s="49">
        <f t="shared" si="66"/>
        <v>0</v>
      </c>
      <c r="I240" s="49">
        <f t="shared" si="66"/>
        <v>2116800</v>
      </c>
      <c r="J240" s="49">
        <f t="shared" si="66"/>
        <v>0</v>
      </c>
      <c r="K240" s="49">
        <f t="shared" si="66"/>
        <v>0</v>
      </c>
      <c r="L240" s="49">
        <f t="shared" si="66"/>
        <v>0</v>
      </c>
      <c r="M240" s="49">
        <f t="shared" si="66"/>
        <v>2116800</v>
      </c>
      <c r="N240" s="49">
        <f t="shared" si="66"/>
        <v>2116800</v>
      </c>
      <c r="O240" s="49">
        <f t="shared" si="66"/>
        <v>3691300</v>
      </c>
      <c r="P240" s="300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</row>
    <row r="241" spans="1:35" s="21" customFormat="1" ht="33.75" customHeight="1">
      <c r="A241" s="5" t="s">
        <v>28</v>
      </c>
      <c r="B241" s="12" t="s">
        <v>78</v>
      </c>
      <c r="C241" s="18" t="s">
        <v>415</v>
      </c>
      <c r="D241" s="48">
        <f>'дод. 3'!E253+'дод. 3'!E206+'дод. 3'!E320+'дод. 3'!E60+'дод. 3'!E130</f>
        <v>1574500</v>
      </c>
      <c r="E241" s="48">
        <f>'дод. 3'!F253+'дод. 3'!F206+'дод. 3'!F320+'дод. 3'!F60+'дод. 3'!F130</f>
        <v>1574500</v>
      </c>
      <c r="F241" s="48">
        <f>'дод. 3'!G253+'дод. 3'!G206+'дод. 3'!G320+'дод. 3'!G60+'дод. 3'!G130</f>
        <v>0</v>
      </c>
      <c r="G241" s="48">
        <f>'дод. 3'!H253+'дод. 3'!H206+'дод. 3'!H320+'дод. 3'!H60+'дод. 3'!H130</f>
        <v>0</v>
      </c>
      <c r="H241" s="48">
        <f>'дод. 3'!I253+'дод. 3'!I206+'дод. 3'!I320+'дод. 3'!I60+'дод. 3'!I130</f>
        <v>0</v>
      </c>
      <c r="I241" s="48">
        <f>'дод. 3'!J253+'дод. 3'!J206+'дод. 3'!J320+'дод. 3'!J60+'дод. 3'!J130</f>
        <v>2116800</v>
      </c>
      <c r="J241" s="48">
        <f>'дод. 3'!K253+'дод. 3'!K206+'дод. 3'!K320+'дод. 3'!K60+'дод. 3'!K130</f>
        <v>0</v>
      </c>
      <c r="K241" s="48">
        <f>'дод. 3'!L253+'дод. 3'!L206+'дод. 3'!L320+'дод. 3'!L60+'дод. 3'!L130</f>
        <v>0</v>
      </c>
      <c r="L241" s="48">
        <f>'дод. 3'!M253+'дод. 3'!M206+'дод. 3'!M320+'дод. 3'!M60+'дод. 3'!M130</f>
        <v>0</v>
      </c>
      <c r="M241" s="48">
        <f>'дод. 3'!N253+'дод. 3'!N206+'дод. 3'!N320+'дод. 3'!N60+'дод. 3'!N130</f>
        <v>2116800</v>
      </c>
      <c r="N241" s="48">
        <f>'дод. 3'!O253+'дод. 3'!O206+'дод. 3'!O320+'дод. 3'!O60+'дод. 3'!O130</f>
        <v>2116800</v>
      </c>
      <c r="O241" s="48">
        <f>'дод. 3'!P253+'дод. 3'!P206+'дод. 3'!P320+'дод. 3'!P60+'дод. 3'!P130</f>
        <v>3691300</v>
      </c>
      <c r="P241" s="300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</row>
    <row r="242" spans="1:35" s="21" customFormat="1" ht="60" customHeight="1">
      <c r="A242" s="22" t="s">
        <v>590</v>
      </c>
      <c r="B242" s="10"/>
      <c r="C242" s="39" t="s">
        <v>591</v>
      </c>
      <c r="D242" s="49">
        <f>D243</f>
        <v>586900</v>
      </c>
      <c r="E242" s="49">
        <f aca="true" t="shared" si="67" ref="E242:O242">E243</f>
        <v>586900</v>
      </c>
      <c r="F242" s="49">
        <f t="shared" si="67"/>
        <v>0</v>
      </c>
      <c r="G242" s="49">
        <f t="shared" si="67"/>
        <v>0</v>
      </c>
      <c r="H242" s="49">
        <f t="shared" si="67"/>
        <v>0</v>
      </c>
      <c r="I242" s="49">
        <f t="shared" si="67"/>
        <v>5742780</v>
      </c>
      <c r="J242" s="49">
        <f t="shared" si="67"/>
        <v>0</v>
      </c>
      <c r="K242" s="49">
        <f t="shared" si="67"/>
        <v>0</v>
      </c>
      <c r="L242" s="49">
        <f t="shared" si="67"/>
        <v>0</v>
      </c>
      <c r="M242" s="49">
        <f t="shared" si="67"/>
        <v>5742780</v>
      </c>
      <c r="N242" s="49">
        <f t="shared" si="67"/>
        <v>5742780</v>
      </c>
      <c r="O242" s="49">
        <f t="shared" si="67"/>
        <v>6329680</v>
      </c>
      <c r="P242" s="300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</row>
    <row r="243" spans="1:35" s="21" customFormat="1" ht="60.75" customHeight="1">
      <c r="A243" s="5" t="s">
        <v>590</v>
      </c>
      <c r="B243" s="12" t="s">
        <v>78</v>
      </c>
      <c r="C243" s="18" t="s">
        <v>591</v>
      </c>
      <c r="D243" s="48">
        <f>'дод. 3'!E61+'дод. 3'!E94+'дод. 3'!E305</f>
        <v>586900</v>
      </c>
      <c r="E243" s="48">
        <f>'дод. 3'!F61+'дод. 3'!F94+'дод. 3'!F305</f>
        <v>586900</v>
      </c>
      <c r="F243" s="48">
        <f>'дод. 3'!G61+'дод. 3'!G94+'дод. 3'!G305</f>
        <v>0</v>
      </c>
      <c r="G243" s="48">
        <f>'дод. 3'!H61+'дод. 3'!H94+'дод. 3'!H305</f>
        <v>0</v>
      </c>
      <c r="H243" s="48">
        <f>'дод. 3'!I61+'дод. 3'!I94+'дод. 3'!I305</f>
        <v>0</v>
      </c>
      <c r="I243" s="48">
        <f>'дод. 3'!J61+'дод. 3'!J94+'дод. 3'!J305</f>
        <v>5742780</v>
      </c>
      <c r="J243" s="48">
        <f>'дод. 3'!K61+'дод. 3'!K94+'дод. 3'!K305</f>
        <v>0</v>
      </c>
      <c r="K243" s="48">
        <f>'дод. 3'!L61+'дод. 3'!L94+'дод. 3'!L305</f>
        <v>0</v>
      </c>
      <c r="L243" s="48">
        <f>'дод. 3'!M61+'дод. 3'!M94+'дод. 3'!M305</f>
        <v>0</v>
      </c>
      <c r="M243" s="48">
        <f>'дод. 3'!N61+'дод. 3'!N94+'дод. 3'!N305</f>
        <v>5742780</v>
      </c>
      <c r="N243" s="48">
        <f>'дод. 3'!O61+'дод. 3'!O94+'дод. 3'!O305</f>
        <v>5742780</v>
      </c>
      <c r="O243" s="48">
        <f>'дод. 3'!P61+'дод. 3'!P94+'дод. 3'!P305</f>
        <v>6329680</v>
      </c>
      <c r="P243" s="300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</row>
    <row r="244" spans="1:35" s="21" customFormat="1" ht="25.5" customHeight="1">
      <c r="A244" s="22"/>
      <c r="B244" s="22"/>
      <c r="C244" s="11" t="s">
        <v>39</v>
      </c>
      <c r="D244" s="49">
        <f aca="true" t="shared" si="68" ref="D244:O244">D13+D16+D35+D63+D141+D147+D157+D176+D178+D193+D207+D209+D220+D223+D225+D228+D230+D231+D234+D240+D242+D236</f>
        <v>2904150133.2599998</v>
      </c>
      <c r="E244" s="49">
        <f t="shared" si="68"/>
        <v>2856869177.2</v>
      </c>
      <c r="F244" s="49">
        <f t="shared" si="68"/>
        <v>670634786.1</v>
      </c>
      <c r="G244" s="49">
        <f t="shared" si="68"/>
        <v>96170501.65</v>
      </c>
      <c r="H244" s="49">
        <f t="shared" si="68"/>
        <v>43808848.5</v>
      </c>
      <c r="I244" s="49">
        <f t="shared" si="68"/>
        <v>614380013.5799999</v>
      </c>
      <c r="J244" s="49">
        <f t="shared" si="68"/>
        <v>89333187.86</v>
      </c>
      <c r="K244" s="49">
        <f t="shared" si="68"/>
        <v>6315206</v>
      </c>
      <c r="L244" s="49">
        <f t="shared" si="68"/>
        <v>2472134</v>
      </c>
      <c r="M244" s="49">
        <f t="shared" si="68"/>
        <v>525046825.71999997</v>
      </c>
      <c r="N244" s="49">
        <f t="shared" si="68"/>
        <v>472871005.16999996</v>
      </c>
      <c r="O244" s="49">
        <f t="shared" si="68"/>
        <v>3518530146.84</v>
      </c>
      <c r="P244" s="300"/>
      <c r="Q244" s="187">
        <f>O244-D244-I244</f>
        <v>0</v>
      </c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</row>
    <row r="245" spans="1:35" s="21" customFormat="1" ht="25.5" customHeight="1">
      <c r="A245" s="61"/>
      <c r="B245" s="61"/>
      <c r="C245" s="11" t="s">
        <v>416</v>
      </c>
      <c r="D245" s="62">
        <f aca="true" t="shared" si="69" ref="D245:O245">D17+D36+D64+D179+D158+D194+D237</f>
        <v>1637408712.9</v>
      </c>
      <c r="E245" s="62">
        <f t="shared" si="69"/>
        <v>1637408712.9</v>
      </c>
      <c r="F245" s="62">
        <f t="shared" si="69"/>
        <v>213388985</v>
      </c>
      <c r="G245" s="62">
        <f t="shared" si="69"/>
        <v>0</v>
      </c>
      <c r="H245" s="62">
        <f t="shared" si="69"/>
        <v>0</v>
      </c>
      <c r="I245" s="62">
        <f t="shared" si="69"/>
        <v>77222964.55</v>
      </c>
      <c r="J245" s="62">
        <f t="shared" si="69"/>
        <v>15900000</v>
      </c>
      <c r="K245" s="62">
        <f t="shared" si="69"/>
        <v>0</v>
      </c>
      <c r="L245" s="62">
        <f t="shared" si="69"/>
        <v>0</v>
      </c>
      <c r="M245" s="62">
        <f t="shared" si="69"/>
        <v>61322964.55</v>
      </c>
      <c r="N245" s="62">
        <f t="shared" si="69"/>
        <v>15037601.5</v>
      </c>
      <c r="O245" s="62">
        <f t="shared" si="69"/>
        <v>1714631677.45</v>
      </c>
      <c r="P245" s="300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</row>
    <row r="246" spans="1:35" s="21" customFormat="1" ht="51" customHeight="1">
      <c r="A246" s="99"/>
      <c r="B246" s="99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300"/>
      <c r="Q246" s="188"/>
      <c r="R246" s="188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90"/>
    </row>
    <row r="247" spans="1:35" s="237" customFormat="1" ht="62.25" customHeight="1">
      <c r="A247" s="282"/>
      <c r="B247" s="283"/>
      <c r="C247" s="283"/>
      <c r="D247" s="234"/>
      <c r="E247" s="204"/>
      <c r="F247" s="204"/>
      <c r="G247" s="204"/>
      <c r="H247" s="204"/>
      <c r="I247" s="204"/>
      <c r="J247" s="204"/>
      <c r="K247" s="204"/>
      <c r="L247" s="204"/>
      <c r="M247" s="233"/>
      <c r="N247" s="207"/>
      <c r="O247" s="207"/>
      <c r="P247" s="300"/>
      <c r="Q247" s="235"/>
      <c r="R247" s="23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36"/>
    </row>
    <row r="248" spans="1:35" s="237" customFormat="1" ht="23.25" customHeight="1">
      <c r="A248" s="282" t="s">
        <v>666</v>
      </c>
      <c r="B248" s="283"/>
      <c r="C248" s="283"/>
      <c r="D248" s="234"/>
      <c r="E248" s="204"/>
      <c r="F248" s="204"/>
      <c r="G248" s="204"/>
      <c r="H248" s="204"/>
      <c r="I248" s="204"/>
      <c r="J248" s="204"/>
      <c r="K248" s="204"/>
      <c r="L248" s="204"/>
      <c r="M248" s="233" t="s">
        <v>667</v>
      </c>
      <c r="N248" s="207"/>
      <c r="O248" s="207"/>
      <c r="P248" s="300"/>
      <c r="Q248" s="235"/>
      <c r="R248" s="23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36"/>
    </row>
    <row r="249" spans="1:35" s="237" customFormat="1" ht="23.25" customHeight="1">
      <c r="A249" s="205"/>
      <c r="B249" s="231"/>
      <c r="C249" s="231"/>
      <c r="D249" s="231"/>
      <c r="E249" s="231"/>
      <c r="F249" s="231"/>
      <c r="G249" s="231"/>
      <c r="H249" s="231"/>
      <c r="I249" s="204"/>
      <c r="J249" s="204"/>
      <c r="K249" s="206"/>
      <c r="L249" s="204"/>
      <c r="M249" s="207"/>
      <c r="N249" s="207"/>
      <c r="O249" s="207"/>
      <c r="P249" s="300"/>
      <c r="Q249" s="235"/>
      <c r="R249" s="23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36"/>
    </row>
    <row r="250" spans="1:35" s="237" customFormat="1" ht="23.25" customHeight="1">
      <c r="A250" s="275" t="s">
        <v>668</v>
      </c>
      <c r="B250" s="275"/>
      <c r="C250" s="275"/>
      <c r="D250" s="208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207"/>
      <c r="P250" s="300"/>
      <c r="Q250" s="235"/>
      <c r="R250" s="23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36"/>
    </row>
    <row r="251" spans="1:35" s="21" customFormat="1" ht="29.25" customHeight="1">
      <c r="A251" s="261"/>
      <c r="B251" s="262"/>
      <c r="C251" s="262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300"/>
      <c r="Q251" s="188"/>
      <c r="R251" s="188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90"/>
    </row>
    <row r="252" spans="1:35" s="209" customFormat="1" ht="27">
      <c r="A252" s="17"/>
      <c r="B252" s="6"/>
      <c r="C252" s="43"/>
      <c r="D252" s="57"/>
      <c r="E252" s="57"/>
      <c r="F252" s="16"/>
      <c r="G252" s="16"/>
      <c r="H252" s="16"/>
      <c r="I252" s="16"/>
      <c r="J252" s="20"/>
      <c r="K252" s="20"/>
      <c r="L252" s="16"/>
      <c r="M252" s="16"/>
      <c r="N252" s="16"/>
      <c r="O252" s="260"/>
      <c r="P252" s="300"/>
      <c r="Q252" s="238"/>
      <c r="R252" s="238"/>
      <c r="AI252" s="239"/>
    </row>
    <row r="253" spans="1:35" s="16" customFormat="1" ht="27" customHeight="1">
      <c r="A253" s="267"/>
      <c r="B253" s="95"/>
      <c r="C253" s="95"/>
      <c r="D253" s="96"/>
      <c r="E253" s="97"/>
      <c r="F253" s="97"/>
      <c r="G253" s="97"/>
      <c r="H253" s="97"/>
      <c r="I253" s="97"/>
      <c r="J253" s="97"/>
      <c r="K253" s="97"/>
      <c r="L253" s="97"/>
      <c r="M253" s="97"/>
      <c r="N253" s="233"/>
      <c r="O253" s="97"/>
      <c r="P253" s="300"/>
      <c r="Q253" s="188"/>
      <c r="R253" s="188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3"/>
    </row>
    <row r="254" spans="1:35" s="16" customFormat="1" ht="27.75">
      <c r="A254" s="216"/>
      <c r="B254" s="216"/>
      <c r="C254" s="216"/>
      <c r="D254" s="72"/>
      <c r="E254" s="232"/>
      <c r="F254" s="204"/>
      <c r="G254" s="204"/>
      <c r="H254" s="204"/>
      <c r="I254" s="204"/>
      <c r="J254" s="204"/>
      <c r="K254" s="204"/>
      <c r="L254" s="204"/>
      <c r="M254" s="299"/>
      <c r="N254" s="299"/>
      <c r="O254" s="299"/>
      <c r="P254" s="300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3"/>
    </row>
    <row r="255" spans="1:35" s="16" customFormat="1" ht="26.25">
      <c r="A255" s="216"/>
      <c r="B255" s="216"/>
      <c r="C255" s="216"/>
      <c r="D255" s="272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P255" s="300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3"/>
    </row>
    <row r="256" spans="1:35" s="16" customFormat="1" ht="27.75">
      <c r="A256" s="273"/>
      <c r="B256" s="262"/>
      <c r="C256" s="262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P256" s="300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3"/>
    </row>
    <row r="257" spans="1:35" s="16" customFormat="1" ht="15.75">
      <c r="A257" s="17"/>
      <c r="B257" s="6"/>
      <c r="C257" s="43"/>
      <c r="D257" s="57"/>
      <c r="E257" s="57"/>
      <c r="J257" s="56"/>
      <c r="K257" s="56"/>
      <c r="P257" s="300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3"/>
    </row>
    <row r="258" spans="1:35" s="16" customFormat="1" ht="15.75">
      <c r="A258" s="17"/>
      <c r="B258" s="6"/>
      <c r="C258" s="43"/>
      <c r="J258" s="20"/>
      <c r="K258" s="20"/>
      <c r="P258" s="300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3"/>
    </row>
    <row r="259" spans="1:35" s="16" customFormat="1" ht="15.75">
      <c r="A259" s="17"/>
      <c r="B259" s="6"/>
      <c r="C259" s="43"/>
      <c r="D259" s="56"/>
      <c r="J259" s="20"/>
      <c r="K259" s="20"/>
      <c r="P259" s="300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3"/>
    </row>
    <row r="260" spans="1:35" s="16" customFormat="1" ht="15.75">
      <c r="A260" s="17"/>
      <c r="B260" s="6"/>
      <c r="C260" s="43"/>
      <c r="D260" s="56"/>
      <c r="J260" s="20"/>
      <c r="K260" s="20"/>
      <c r="P260" s="300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3"/>
    </row>
    <row r="261" spans="1:35" s="16" customFormat="1" ht="15.75">
      <c r="A261" s="17"/>
      <c r="B261" s="6"/>
      <c r="C261" s="43"/>
      <c r="J261" s="20"/>
      <c r="K261" s="20"/>
      <c r="P261" s="300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3"/>
    </row>
    <row r="262" spans="1:35" s="16" customFormat="1" ht="15.75">
      <c r="A262" s="17"/>
      <c r="B262" s="6"/>
      <c r="C262" s="43"/>
      <c r="J262" s="20"/>
      <c r="K262" s="20"/>
      <c r="P262" s="300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3"/>
    </row>
    <row r="263" spans="1:35" s="16" customFormat="1" ht="15.75">
      <c r="A263" s="17"/>
      <c r="B263" s="6"/>
      <c r="C263" s="43"/>
      <c r="D263" s="56">
        <f>D244-D245-D235</f>
        <v>1179441820.3599997</v>
      </c>
      <c r="J263" s="20"/>
      <c r="K263" s="20"/>
      <c r="P263" s="300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3"/>
    </row>
    <row r="264" spans="1:35" s="16" customFormat="1" ht="15.75">
      <c r="A264" s="17"/>
      <c r="B264" s="6"/>
      <c r="C264" s="43"/>
      <c r="D264" s="16">
        <v>259300600</v>
      </c>
      <c r="J264" s="20"/>
      <c r="K264" s="20"/>
      <c r="P264" s="300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3"/>
    </row>
    <row r="265" spans="1:35" s="16" customFormat="1" ht="15.75">
      <c r="A265" s="17"/>
      <c r="B265" s="6"/>
      <c r="C265" s="43"/>
      <c r="D265" s="16">
        <v>213805600</v>
      </c>
      <c r="J265" s="20"/>
      <c r="K265" s="20"/>
      <c r="P265" s="300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3"/>
    </row>
    <row r="266" spans="1:35" s="16" customFormat="1" ht="15.75">
      <c r="A266" s="17"/>
      <c r="B266" s="6"/>
      <c r="C266" s="43"/>
      <c r="D266" s="56">
        <f>D263+D264+D265</f>
        <v>1652548020.3599997</v>
      </c>
      <c r="J266" s="20"/>
      <c r="K266" s="20"/>
      <c r="P266" s="300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3"/>
    </row>
    <row r="267" spans="1:35" s="16" customFormat="1" ht="15.75">
      <c r="A267" s="17"/>
      <c r="B267" s="6"/>
      <c r="C267" s="43"/>
      <c r="P267" s="300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3"/>
    </row>
    <row r="268" spans="1:35" s="16" customFormat="1" ht="15.75">
      <c r="A268" s="17"/>
      <c r="B268" s="6"/>
      <c r="C268" s="43"/>
      <c r="P268" s="300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3"/>
    </row>
    <row r="269" spans="1:35" s="16" customFormat="1" ht="27.75">
      <c r="A269" s="282"/>
      <c r="B269" s="283"/>
      <c r="C269" s="283"/>
      <c r="D269" s="234"/>
      <c r="E269" s="204"/>
      <c r="F269" s="204"/>
      <c r="G269" s="204"/>
      <c r="H269" s="204"/>
      <c r="I269" s="204"/>
      <c r="J269" s="204"/>
      <c r="K269" s="204"/>
      <c r="L269" s="204"/>
      <c r="M269" s="233"/>
      <c r="N269" s="207"/>
      <c r="P269" s="300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3"/>
    </row>
    <row r="270" spans="1:35" s="16" customFormat="1" ht="27.75">
      <c r="A270" s="205"/>
      <c r="B270" s="231"/>
      <c r="C270" s="231"/>
      <c r="D270" s="231"/>
      <c r="E270" s="231"/>
      <c r="F270" s="231"/>
      <c r="G270" s="231"/>
      <c r="H270" s="231"/>
      <c r="I270" s="204"/>
      <c r="J270" s="204"/>
      <c r="K270" s="206"/>
      <c r="L270" s="204"/>
      <c r="M270" s="207"/>
      <c r="N270" s="207"/>
      <c r="P270" s="300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3"/>
    </row>
    <row r="271" spans="1:35" s="16" customFormat="1" ht="26.25">
      <c r="A271" s="275"/>
      <c r="B271" s="275"/>
      <c r="C271" s="275"/>
      <c r="D271" s="208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P271" s="300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3"/>
    </row>
    <row r="272" spans="1:35" s="16" customFormat="1" ht="27.75">
      <c r="A272" s="261"/>
      <c r="B272" s="262"/>
      <c r="C272" s="262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P272" s="300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3"/>
    </row>
    <row r="273" spans="1:35" s="16" customFormat="1" ht="15.75">
      <c r="A273" s="17"/>
      <c r="B273" s="6"/>
      <c r="C273" s="43"/>
      <c r="D273" s="57"/>
      <c r="E273" s="57"/>
      <c r="J273" s="20"/>
      <c r="K273" s="20"/>
      <c r="P273" s="300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3"/>
    </row>
    <row r="274" spans="1:35" s="16" customFormat="1" ht="15.75">
      <c r="A274" s="17"/>
      <c r="B274" s="6"/>
      <c r="C274" s="43"/>
      <c r="J274" s="20"/>
      <c r="K274" s="20"/>
      <c r="P274" s="300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3"/>
    </row>
    <row r="275" spans="1:35" s="16" customFormat="1" ht="15.75">
      <c r="A275" s="17"/>
      <c r="B275" s="6"/>
      <c r="C275" s="43"/>
      <c r="P275" s="300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3"/>
    </row>
    <row r="276" spans="1:35" s="16" customFormat="1" ht="15.75">
      <c r="A276" s="17"/>
      <c r="B276" s="6"/>
      <c r="C276" s="43"/>
      <c r="P276" s="300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3"/>
    </row>
    <row r="277" spans="1:35" s="16" customFormat="1" ht="15.75">
      <c r="A277" s="17"/>
      <c r="B277" s="6"/>
      <c r="C277" s="43"/>
      <c r="P277" s="300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3"/>
    </row>
    <row r="278" spans="1:35" s="16" customFormat="1" ht="15.75">
      <c r="A278" s="17"/>
      <c r="B278" s="6"/>
      <c r="C278" s="43"/>
      <c r="P278" s="300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3"/>
    </row>
    <row r="279" spans="1:35" s="16" customFormat="1" ht="15.75">
      <c r="A279" s="17"/>
      <c r="B279" s="6"/>
      <c r="C279" s="43"/>
      <c r="P279" s="300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3"/>
    </row>
    <row r="280" spans="1:35" s="16" customFormat="1" ht="15.75">
      <c r="A280" s="17"/>
      <c r="B280" s="6"/>
      <c r="C280" s="43"/>
      <c r="P280" s="300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3"/>
    </row>
    <row r="281" spans="1:35" s="16" customFormat="1" ht="15.75">
      <c r="A281" s="17"/>
      <c r="B281" s="6"/>
      <c r="C281" s="43"/>
      <c r="P281" s="300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3"/>
    </row>
    <row r="282" spans="1:35" s="16" customFormat="1" ht="15.75">
      <c r="A282" s="17"/>
      <c r="B282" s="6"/>
      <c r="C282" s="43"/>
      <c r="P282" s="300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3"/>
    </row>
    <row r="283" spans="1:35" s="16" customFormat="1" ht="15.75">
      <c r="A283" s="17"/>
      <c r="B283" s="6"/>
      <c r="C283" s="43"/>
      <c r="P283" s="300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3"/>
    </row>
    <row r="284" spans="1:35" s="16" customFormat="1" ht="15.75">
      <c r="A284" s="17"/>
      <c r="B284" s="6"/>
      <c r="C284" s="43"/>
      <c r="P284" s="300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3"/>
    </row>
    <row r="285" spans="1:35" s="16" customFormat="1" ht="15.75">
      <c r="A285" s="17"/>
      <c r="B285" s="6"/>
      <c r="C285" s="43"/>
      <c r="P285" s="300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3"/>
    </row>
    <row r="286" spans="1:35" s="16" customFormat="1" ht="15.75">
      <c r="A286" s="17"/>
      <c r="B286" s="6"/>
      <c r="C286" s="43"/>
      <c r="P286" s="300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3"/>
    </row>
    <row r="287" spans="1:35" s="16" customFormat="1" ht="15.75">
      <c r="A287" s="17"/>
      <c r="B287" s="6"/>
      <c r="C287" s="43"/>
      <c r="P287" s="201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3"/>
    </row>
    <row r="288" spans="1:35" s="16" customFormat="1" ht="15.75">
      <c r="A288" s="17"/>
      <c r="B288" s="6"/>
      <c r="C288" s="43"/>
      <c r="P288" s="201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3"/>
    </row>
    <row r="289" spans="1:35" s="16" customFormat="1" ht="15.75">
      <c r="A289" s="17"/>
      <c r="B289" s="6"/>
      <c r="C289" s="43"/>
      <c r="P289" s="201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3"/>
    </row>
    <row r="290" spans="1:35" s="16" customFormat="1" ht="15.75">
      <c r="A290" s="17"/>
      <c r="B290" s="6"/>
      <c r="C290" s="43"/>
      <c r="P290" s="201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3"/>
    </row>
    <row r="291" spans="1:35" s="16" customFormat="1" ht="15.75">
      <c r="A291" s="17"/>
      <c r="B291" s="6"/>
      <c r="C291" s="43"/>
      <c r="P291" s="201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3"/>
    </row>
    <row r="292" spans="1:35" s="16" customFormat="1" ht="15.75">
      <c r="A292" s="17"/>
      <c r="B292" s="6"/>
      <c r="C292" s="43"/>
      <c r="P292" s="201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3"/>
    </row>
    <row r="293" spans="1:35" s="16" customFormat="1" ht="15.75">
      <c r="A293" s="17"/>
      <c r="B293" s="6"/>
      <c r="C293" s="43"/>
      <c r="P293" s="201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3"/>
    </row>
    <row r="294" spans="1:35" s="16" customFormat="1" ht="15.75">
      <c r="A294" s="17"/>
      <c r="B294" s="6"/>
      <c r="C294" s="43"/>
      <c r="P294" s="201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3"/>
    </row>
    <row r="295" spans="1:35" s="16" customFormat="1" ht="15.75">
      <c r="A295" s="17"/>
      <c r="B295" s="6"/>
      <c r="C295" s="43"/>
      <c r="P295" s="201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3"/>
    </row>
    <row r="296" spans="1:35" s="16" customFormat="1" ht="15.75">
      <c r="A296" s="17"/>
      <c r="B296" s="6"/>
      <c r="C296" s="43"/>
      <c r="P296" s="201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3"/>
    </row>
    <row r="297" spans="1:35" s="16" customFormat="1" ht="15.75">
      <c r="A297" s="17"/>
      <c r="B297" s="6"/>
      <c r="C297" s="43"/>
      <c r="P297" s="201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3"/>
    </row>
    <row r="298" spans="1:35" s="16" customFormat="1" ht="15.75">
      <c r="A298" s="17"/>
      <c r="B298" s="6"/>
      <c r="C298" s="43"/>
      <c r="P298" s="201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3"/>
    </row>
    <row r="299" spans="1:35" s="16" customFormat="1" ht="15.75">
      <c r="A299" s="17"/>
      <c r="B299" s="6"/>
      <c r="C299" s="43"/>
      <c r="P299" s="201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3"/>
    </row>
    <row r="300" spans="1:35" s="16" customFormat="1" ht="15.75">
      <c r="A300" s="17"/>
      <c r="B300" s="6"/>
      <c r="C300" s="43"/>
      <c r="P300" s="201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3"/>
    </row>
    <row r="301" spans="1:35" s="16" customFormat="1" ht="15.75">
      <c r="A301" s="17"/>
      <c r="B301" s="6"/>
      <c r="C301" s="43"/>
      <c r="P301" s="201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3"/>
    </row>
    <row r="302" spans="1:35" s="16" customFormat="1" ht="15.75">
      <c r="A302" s="17"/>
      <c r="B302" s="6"/>
      <c r="C302" s="43"/>
      <c r="P302" s="201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3"/>
    </row>
    <row r="303" spans="1:35" s="16" customFormat="1" ht="15.75">
      <c r="A303" s="17"/>
      <c r="B303" s="6"/>
      <c r="C303" s="43"/>
      <c r="P303" s="201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3"/>
    </row>
    <row r="304" spans="1:35" s="16" customFormat="1" ht="15.75">
      <c r="A304" s="17"/>
      <c r="B304" s="6"/>
      <c r="C304" s="43"/>
      <c r="P304" s="201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3"/>
    </row>
    <row r="305" spans="1:35" s="16" customFormat="1" ht="15.75">
      <c r="A305" s="17"/>
      <c r="B305" s="6"/>
      <c r="C305" s="43"/>
      <c r="P305" s="201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3"/>
    </row>
    <row r="306" spans="1:35" s="16" customFormat="1" ht="15.75">
      <c r="A306" s="17"/>
      <c r="B306" s="6"/>
      <c r="C306" s="43"/>
      <c r="P306" s="201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3"/>
    </row>
    <row r="307" spans="1:35" s="16" customFormat="1" ht="15.75">
      <c r="A307" s="17"/>
      <c r="B307" s="6"/>
      <c r="C307" s="43"/>
      <c r="P307" s="201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3"/>
    </row>
    <row r="308" spans="1:35" s="16" customFormat="1" ht="15.75">
      <c r="A308" s="17"/>
      <c r="B308" s="6"/>
      <c r="C308" s="43"/>
      <c r="P308" s="201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3"/>
    </row>
    <row r="309" spans="1:35" s="16" customFormat="1" ht="15.75">
      <c r="A309" s="17"/>
      <c r="B309" s="6"/>
      <c r="C309" s="43"/>
      <c r="P309" s="201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3"/>
    </row>
    <row r="310" spans="1:35" s="16" customFormat="1" ht="15.75">
      <c r="A310" s="17"/>
      <c r="B310" s="6"/>
      <c r="C310" s="43"/>
      <c r="P310" s="201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3"/>
    </row>
    <row r="311" spans="1:35" s="16" customFormat="1" ht="15.75">
      <c r="A311" s="17"/>
      <c r="B311" s="6"/>
      <c r="C311" s="43"/>
      <c r="P311" s="201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3"/>
    </row>
    <row r="312" spans="1:35" s="16" customFormat="1" ht="15.75">
      <c r="A312" s="17"/>
      <c r="B312" s="6"/>
      <c r="C312" s="43"/>
      <c r="P312" s="201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3"/>
    </row>
    <row r="313" spans="1:35" s="16" customFormat="1" ht="15.75">
      <c r="A313" s="17"/>
      <c r="B313" s="6"/>
      <c r="C313" s="43"/>
      <c r="P313" s="201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3"/>
    </row>
    <row r="314" spans="1:35" s="16" customFormat="1" ht="15.75">
      <c r="A314" s="17"/>
      <c r="B314" s="6"/>
      <c r="C314" s="43"/>
      <c r="P314" s="201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3"/>
    </row>
    <row r="315" spans="1:35" s="16" customFormat="1" ht="15.75">
      <c r="A315" s="17"/>
      <c r="B315" s="6"/>
      <c r="C315" s="43"/>
      <c r="P315" s="201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3"/>
    </row>
    <row r="316" spans="1:35" s="16" customFormat="1" ht="15.75">
      <c r="A316" s="17"/>
      <c r="B316" s="6"/>
      <c r="C316" s="43"/>
      <c r="P316" s="201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3"/>
    </row>
    <row r="317" spans="1:35" s="16" customFormat="1" ht="15.75">
      <c r="A317" s="17"/>
      <c r="B317" s="6"/>
      <c r="C317" s="43"/>
      <c r="P317" s="201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3"/>
    </row>
    <row r="318" spans="1:35" s="16" customFormat="1" ht="15.75">
      <c r="A318" s="17"/>
      <c r="B318" s="6"/>
      <c r="C318" s="43"/>
      <c r="P318" s="201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3"/>
    </row>
    <row r="319" spans="1:35" s="16" customFormat="1" ht="15.75">
      <c r="A319" s="17"/>
      <c r="B319" s="6"/>
      <c r="C319" s="43"/>
      <c r="P319" s="201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3"/>
    </row>
    <row r="320" spans="1:35" s="16" customFormat="1" ht="15.75">
      <c r="A320" s="17"/>
      <c r="B320" s="6"/>
      <c r="C320" s="43"/>
      <c r="P320" s="201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3"/>
    </row>
    <row r="321" spans="1:35" s="16" customFormat="1" ht="15.75">
      <c r="A321" s="17"/>
      <c r="B321" s="6"/>
      <c r="C321" s="43"/>
      <c r="P321" s="201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3"/>
    </row>
    <row r="322" spans="1:35" s="16" customFormat="1" ht="15.75">
      <c r="A322" s="17"/>
      <c r="B322" s="6"/>
      <c r="C322" s="43"/>
      <c r="P322" s="201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3"/>
    </row>
    <row r="323" spans="1:35" s="16" customFormat="1" ht="15.75">
      <c r="A323" s="17"/>
      <c r="B323" s="6"/>
      <c r="C323" s="43"/>
      <c r="P323" s="201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3"/>
    </row>
    <row r="324" spans="1:35" s="16" customFormat="1" ht="15.75">
      <c r="A324" s="17"/>
      <c r="B324" s="6"/>
      <c r="C324" s="43"/>
      <c r="P324" s="201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3"/>
    </row>
    <row r="325" spans="1:35" s="16" customFormat="1" ht="15.75">
      <c r="A325" s="17"/>
      <c r="B325" s="6"/>
      <c r="C325" s="43"/>
      <c r="P325" s="201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3"/>
    </row>
    <row r="326" spans="1:35" s="16" customFormat="1" ht="15.75">
      <c r="A326" s="17"/>
      <c r="B326" s="6"/>
      <c r="C326" s="43"/>
      <c r="P326" s="201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3"/>
    </row>
    <row r="327" spans="1:35" s="16" customFormat="1" ht="15.75">
      <c r="A327" s="17"/>
      <c r="B327" s="6"/>
      <c r="C327" s="43"/>
      <c r="P327" s="201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3"/>
    </row>
    <row r="328" spans="1:35" s="16" customFormat="1" ht="15.75">
      <c r="A328" s="17"/>
      <c r="B328" s="6"/>
      <c r="C328" s="43"/>
      <c r="P328" s="201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3"/>
    </row>
    <row r="329" spans="1:35" s="16" customFormat="1" ht="15.75">
      <c r="A329" s="17"/>
      <c r="B329" s="6"/>
      <c r="C329" s="43"/>
      <c r="P329" s="201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3"/>
    </row>
    <row r="330" spans="1:35" s="16" customFormat="1" ht="15.75">
      <c r="A330" s="17"/>
      <c r="B330" s="6"/>
      <c r="C330" s="43"/>
      <c r="P330" s="201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3"/>
    </row>
    <row r="331" spans="1:35" s="16" customFormat="1" ht="15.75">
      <c r="A331" s="17"/>
      <c r="B331" s="6"/>
      <c r="C331" s="43"/>
      <c r="P331" s="201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3"/>
    </row>
    <row r="332" spans="1:35" s="16" customFormat="1" ht="15.75">
      <c r="A332" s="17"/>
      <c r="B332" s="6"/>
      <c r="C332" s="43"/>
      <c r="P332" s="201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3"/>
    </row>
    <row r="333" spans="1:35" s="16" customFormat="1" ht="15.75">
      <c r="A333" s="17"/>
      <c r="B333" s="6"/>
      <c r="C333" s="43"/>
      <c r="P333" s="201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3"/>
    </row>
    <row r="334" spans="1:35" s="16" customFormat="1" ht="15.75">
      <c r="A334" s="17"/>
      <c r="B334" s="6"/>
      <c r="C334" s="43"/>
      <c r="P334" s="201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3"/>
    </row>
    <row r="335" spans="1:35" s="16" customFormat="1" ht="15.75">
      <c r="A335" s="17"/>
      <c r="B335" s="6"/>
      <c r="C335" s="43"/>
      <c r="P335" s="201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3"/>
    </row>
    <row r="336" spans="1:35" s="16" customFormat="1" ht="15.75">
      <c r="A336" s="17"/>
      <c r="B336" s="6"/>
      <c r="C336" s="43"/>
      <c r="P336" s="201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3"/>
    </row>
    <row r="337" spans="1:35" s="16" customFormat="1" ht="15.75">
      <c r="A337" s="17"/>
      <c r="B337" s="6"/>
      <c r="C337" s="43"/>
      <c r="P337" s="201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3"/>
    </row>
    <row r="338" spans="1:35" s="16" customFormat="1" ht="15.75">
      <c r="A338" s="17"/>
      <c r="B338" s="6"/>
      <c r="C338" s="43"/>
      <c r="P338" s="201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3"/>
    </row>
    <row r="339" spans="1:35" s="16" customFormat="1" ht="15.75">
      <c r="A339" s="17"/>
      <c r="B339" s="6"/>
      <c r="C339" s="43"/>
      <c r="P339" s="201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3"/>
    </row>
    <row r="340" spans="1:35" s="16" customFormat="1" ht="15.75">
      <c r="A340" s="17"/>
      <c r="B340" s="6"/>
      <c r="C340" s="43"/>
      <c r="P340" s="201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3"/>
    </row>
    <row r="341" spans="1:35" s="16" customFormat="1" ht="15.75">
      <c r="A341" s="17"/>
      <c r="B341" s="6"/>
      <c r="C341" s="43"/>
      <c r="P341" s="201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3"/>
    </row>
    <row r="342" spans="1:35" s="16" customFormat="1" ht="15.75">
      <c r="A342" s="17"/>
      <c r="B342" s="6"/>
      <c r="C342" s="43"/>
      <c r="P342" s="201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3"/>
    </row>
    <row r="343" spans="1:35" s="16" customFormat="1" ht="15.75">
      <c r="A343" s="17"/>
      <c r="B343" s="6"/>
      <c r="C343" s="43"/>
      <c r="P343" s="201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3"/>
    </row>
    <row r="344" spans="1:35" s="16" customFormat="1" ht="15.75">
      <c r="A344" s="17"/>
      <c r="B344" s="6"/>
      <c r="C344" s="43"/>
      <c r="P344" s="201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3"/>
    </row>
    <row r="345" spans="1:35" s="16" customFormat="1" ht="15.75">
      <c r="A345" s="17"/>
      <c r="B345" s="6"/>
      <c r="C345" s="43"/>
      <c r="P345" s="201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3"/>
    </row>
    <row r="346" spans="1:35" s="16" customFormat="1" ht="15.75">
      <c r="A346" s="17"/>
      <c r="B346" s="6"/>
      <c r="C346" s="43"/>
      <c r="P346" s="201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3"/>
    </row>
    <row r="347" spans="1:35" s="16" customFormat="1" ht="15.75">
      <c r="A347" s="17"/>
      <c r="B347" s="6"/>
      <c r="C347" s="43"/>
      <c r="P347" s="201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3"/>
    </row>
    <row r="348" spans="1:35" s="16" customFormat="1" ht="15.75">
      <c r="A348" s="17"/>
      <c r="B348" s="6"/>
      <c r="C348" s="43"/>
      <c r="P348" s="201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3"/>
    </row>
    <row r="349" spans="1:35" s="16" customFormat="1" ht="15.75">
      <c r="A349" s="17"/>
      <c r="B349" s="6"/>
      <c r="C349" s="43"/>
      <c r="P349" s="201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3"/>
    </row>
    <row r="350" spans="1:35" s="16" customFormat="1" ht="15.75">
      <c r="A350" s="17"/>
      <c r="B350" s="6"/>
      <c r="C350" s="43"/>
      <c r="P350" s="201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3"/>
    </row>
    <row r="351" spans="1:35" s="16" customFormat="1" ht="15.75">
      <c r="A351" s="17"/>
      <c r="B351" s="6"/>
      <c r="C351" s="43"/>
      <c r="P351" s="201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3"/>
    </row>
    <row r="352" spans="1:35" s="16" customFormat="1" ht="15.75">
      <c r="A352" s="17"/>
      <c r="B352" s="6"/>
      <c r="C352" s="43"/>
      <c r="P352" s="201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3"/>
    </row>
    <row r="353" spans="1:35" s="16" customFormat="1" ht="15.75">
      <c r="A353" s="17"/>
      <c r="B353" s="6"/>
      <c r="C353" s="43"/>
      <c r="P353" s="201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3"/>
    </row>
    <row r="354" spans="1:35" s="16" customFormat="1" ht="15.75">
      <c r="A354" s="17"/>
      <c r="B354" s="6"/>
      <c r="C354" s="43"/>
      <c r="P354" s="201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3"/>
    </row>
    <row r="355" spans="1:35" s="16" customFormat="1" ht="15.75">
      <c r="A355" s="17"/>
      <c r="B355" s="6"/>
      <c r="C355" s="43"/>
      <c r="P355" s="201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3"/>
    </row>
    <row r="356" spans="1:35" s="16" customFormat="1" ht="15.75">
      <c r="A356" s="17"/>
      <c r="B356" s="6"/>
      <c r="C356" s="43"/>
      <c r="P356" s="201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3"/>
    </row>
    <row r="357" spans="1:35" s="16" customFormat="1" ht="15.75">
      <c r="A357" s="17"/>
      <c r="B357" s="6"/>
      <c r="C357" s="43"/>
      <c r="P357" s="201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3"/>
    </row>
    <row r="358" spans="1:35" s="16" customFormat="1" ht="15.75">
      <c r="A358" s="17"/>
      <c r="B358" s="6"/>
      <c r="C358" s="43"/>
      <c r="P358" s="201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3"/>
    </row>
    <row r="359" spans="1:35" s="16" customFormat="1" ht="15.75">
      <c r="A359" s="17"/>
      <c r="B359" s="6"/>
      <c r="C359" s="43"/>
      <c r="P359" s="201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3"/>
    </row>
    <row r="360" spans="1:35" s="16" customFormat="1" ht="15.75">
      <c r="A360" s="17"/>
      <c r="B360" s="6"/>
      <c r="C360" s="43"/>
      <c r="P360" s="201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3"/>
    </row>
    <row r="361" spans="1:35" s="16" customFormat="1" ht="15.75">
      <c r="A361" s="17"/>
      <c r="B361" s="6"/>
      <c r="C361" s="43"/>
      <c r="P361" s="201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3"/>
    </row>
    <row r="362" spans="1:35" s="16" customFormat="1" ht="15.75">
      <c r="A362" s="17"/>
      <c r="B362" s="6"/>
      <c r="C362" s="43"/>
      <c r="P362" s="201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3"/>
    </row>
    <row r="363" spans="1:35" s="16" customFormat="1" ht="15.75">
      <c r="A363" s="17"/>
      <c r="B363" s="6"/>
      <c r="C363" s="43"/>
      <c r="P363" s="201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3"/>
    </row>
    <row r="364" spans="1:35" s="16" customFormat="1" ht="15.75">
      <c r="A364" s="17"/>
      <c r="B364" s="6"/>
      <c r="C364" s="43"/>
      <c r="P364" s="201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3"/>
    </row>
    <row r="365" spans="1:35" s="16" customFormat="1" ht="15.75">
      <c r="A365" s="17"/>
      <c r="B365" s="6"/>
      <c r="C365" s="43"/>
      <c r="P365" s="201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3"/>
    </row>
    <row r="366" spans="1:35" s="16" customFormat="1" ht="15.75">
      <c r="A366" s="17"/>
      <c r="B366" s="6"/>
      <c r="C366" s="43"/>
      <c r="P366" s="201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3"/>
    </row>
    <row r="367" spans="1:35" s="16" customFormat="1" ht="15.75">
      <c r="A367" s="17"/>
      <c r="B367" s="6"/>
      <c r="C367" s="43"/>
      <c r="P367" s="201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3"/>
    </row>
    <row r="368" spans="1:35" s="16" customFormat="1" ht="15.75">
      <c r="A368" s="17"/>
      <c r="B368" s="6"/>
      <c r="C368" s="43"/>
      <c r="P368" s="201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3"/>
    </row>
    <row r="369" spans="1:35" s="16" customFormat="1" ht="15.75">
      <c r="A369" s="17"/>
      <c r="B369" s="6"/>
      <c r="C369" s="43"/>
      <c r="P369" s="201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3"/>
    </row>
    <row r="370" spans="1:35" s="16" customFormat="1" ht="15.75">
      <c r="A370" s="17"/>
      <c r="B370" s="6"/>
      <c r="C370" s="43"/>
      <c r="P370" s="201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3"/>
    </row>
    <row r="371" spans="1:35" s="16" customFormat="1" ht="15.75">
      <c r="A371" s="17"/>
      <c r="B371" s="6"/>
      <c r="C371" s="43"/>
      <c r="P371" s="201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3"/>
    </row>
    <row r="372" spans="1:35" s="16" customFormat="1" ht="15.75">
      <c r="A372" s="17"/>
      <c r="B372" s="6"/>
      <c r="C372" s="43"/>
      <c r="P372" s="201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3"/>
    </row>
    <row r="373" spans="1:35" s="16" customFormat="1" ht="15.75">
      <c r="A373" s="17"/>
      <c r="B373" s="6"/>
      <c r="C373" s="43"/>
      <c r="P373" s="201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3"/>
    </row>
    <row r="374" spans="1:35" s="16" customFormat="1" ht="15.75">
      <c r="A374" s="17"/>
      <c r="B374" s="6"/>
      <c r="C374" s="43"/>
      <c r="P374" s="201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3"/>
    </row>
    <row r="375" spans="1:35" s="16" customFormat="1" ht="15.75">
      <c r="A375" s="17"/>
      <c r="B375" s="6"/>
      <c r="C375" s="43"/>
      <c r="P375" s="201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3"/>
    </row>
    <row r="376" spans="1:35" s="16" customFormat="1" ht="15.75">
      <c r="A376" s="17"/>
      <c r="B376" s="6"/>
      <c r="C376" s="43"/>
      <c r="P376" s="201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3"/>
    </row>
    <row r="377" spans="1:35" s="16" customFormat="1" ht="15.75">
      <c r="A377" s="17"/>
      <c r="B377" s="6"/>
      <c r="C377" s="43"/>
      <c r="P377" s="201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3"/>
    </row>
    <row r="378" spans="1:35" s="16" customFormat="1" ht="15.75">
      <c r="A378" s="17"/>
      <c r="B378" s="6"/>
      <c r="C378" s="43"/>
      <c r="P378" s="201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3"/>
    </row>
    <row r="379" spans="1:35" s="16" customFormat="1" ht="15.75">
      <c r="A379" s="17"/>
      <c r="B379" s="6"/>
      <c r="C379" s="43"/>
      <c r="P379" s="201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3"/>
    </row>
    <row r="380" spans="1:35" s="16" customFormat="1" ht="15.75">
      <c r="A380" s="17"/>
      <c r="B380" s="6"/>
      <c r="C380" s="43"/>
      <c r="P380" s="201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3"/>
    </row>
    <row r="381" spans="1:35" s="16" customFormat="1" ht="15.75">
      <c r="A381" s="17"/>
      <c r="B381" s="6"/>
      <c r="C381" s="43"/>
      <c r="P381" s="201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3"/>
    </row>
    <row r="382" spans="1:35" s="16" customFormat="1" ht="15.75">
      <c r="A382" s="17"/>
      <c r="B382" s="6"/>
      <c r="C382" s="43"/>
      <c r="P382" s="201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3"/>
    </row>
    <row r="383" spans="1:35" s="16" customFormat="1" ht="15.75">
      <c r="A383" s="17"/>
      <c r="B383" s="6"/>
      <c r="C383" s="43"/>
      <c r="P383" s="201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3"/>
    </row>
    <row r="384" spans="1:35" s="16" customFormat="1" ht="15.75">
      <c r="A384" s="17"/>
      <c r="B384" s="6"/>
      <c r="C384" s="43"/>
      <c r="P384" s="201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3"/>
    </row>
    <row r="385" spans="1:35" s="16" customFormat="1" ht="15.75">
      <c r="A385" s="17"/>
      <c r="B385" s="6"/>
      <c r="C385" s="43"/>
      <c r="P385" s="201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3"/>
    </row>
    <row r="386" spans="1:35" s="16" customFormat="1" ht="15.75">
      <c r="A386" s="17"/>
      <c r="B386" s="6"/>
      <c r="C386" s="43"/>
      <c r="P386" s="201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3"/>
    </row>
    <row r="387" spans="1:35" s="16" customFormat="1" ht="15.75">
      <c r="A387" s="17"/>
      <c r="B387" s="6"/>
      <c r="C387" s="43"/>
      <c r="P387" s="201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3"/>
    </row>
    <row r="388" spans="1:35" s="16" customFormat="1" ht="15.75">
      <c r="A388" s="17"/>
      <c r="B388" s="6"/>
      <c r="C388" s="43"/>
      <c r="P388" s="201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3"/>
    </row>
    <row r="389" spans="1:35" s="16" customFormat="1" ht="15.75">
      <c r="A389" s="17"/>
      <c r="B389" s="6"/>
      <c r="C389" s="43"/>
      <c r="P389" s="201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3"/>
    </row>
    <row r="390" spans="1:35" s="16" customFormat="1" ht="15.75">
      <c r="A390" s="17"/>
      <c r="B390" s="6"/>
      <c r="C390" s="43"/>
      <c r="P390" s="201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3"/>
    </row>
    <row r="391" spans="1:35" s="16" customFormat="1" ht="15.75">
      <c r="A391" s="17"/>
      <c r="B391" s="6"/>
      <c r="C391" s="43"/>
      <c r="P391" s="201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3"/>
    </row>
    <row r="392" spans="1:35" s="16" customFormat="1" ht="15.75">
      <c r="A392" s="17"/>
      <c r="B392" s="6"/>
      <c r="C392" s="43"/>
      <c r="P392" s="201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3"/>
    </row>
    <row r="393" spans="1:35" s="16" customFormat="1" ht="15.75">
      <c r="A393" s="17"/>
      <c r="B393" s="6"/>
      <c r="C393" s="43"/>
      <c r="P393" s="201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3"/>
    </row>
    <row r="394" spans="1:35" s="16" customFormat="1" ht="15.75">
      <c r="A394" s="17"/>
      <c r="B394" s="6"/>
      <c r="C394" s="43"/>
      <c r="P394" s="201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3"/>
    </row>
    <row r="395" spans="1:35" s="16" customFormat="1" ht="15.75">
      <c r="A395" s="17"/>
      <c r="B395" s="6"/>
      <c r="C395" s="43"/>
      <c r="P395" s="201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3"/>
    </row>
    <row r="396" spans="1:35" s="16" customFormat="1" ht="15.75">
      <c r="A396" s="17"/>
      <c r="B396" s="6"/>
      <c r="C396" s="43"/>
      <c r="P396" s="201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3"/>
    </row>
    <row r="397" spans="1:35" s="16" customFormat="1" ht="15.75">
      <c r="A397" s="17"/>
      <c r="B397" s="6"/>
      <c r="C397" s="43"/>
      <c r="P397" s="201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3"/>
    </row>
    <row r="398" spans="1:35" s="16" customFormat="1" ht="15.75">
      <c r="A398" s="17"/>
      <c r="B398" s="6"/>
      <c r="C398" s="43"/>
      <c r="P398" s="201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3"/>
    </row>
    <row r="399" spans="1:35" s="16" customFormat="1" ht="15.75">
      <c r="A399" s="17"/>
      <c r="B399" s="6"/>
      <c r="C399" s="43"/>
      <c r="P399" s="201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3"/>
    </row>
    <row r="400" spans="1:35" s="16" customFormat="1" ht="15.75">
      <c r="A400" s="17"/>
      <c r="B400" s="6"/>
      <c r="C400" s="43"/>
      <c r="P400" s="201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3"/>
    </row>
    <row r="401" spans="1:35" s="16" customFormat="1" ht="15.75">
      <c r="A401" s="17"/>
      <c r="B401" s="6"/>
      <c r="C401" s="43"/>
      <c r="P401" s="201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3"/>
    </row>
    <row r="402" spans="1:35" s="16" customFormat="1" ht="15.75">
      <c r="A402" s="17"/>
      <c r="B402" s="6"/>
      <c r="C402" s="43"/>
      <c r="P402" s="201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3"/>
    </row>
    <row r="403" spans="1:35" s="16" customFormat="1" ht="15.75">
      <c r="A403" s="17"/>
      <c r="B403" s="6"/>
      <c r="C403" s="43"/>
      <c r="P403" s="201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3"/>
    </row>
    <row r="404" spans="1:35" s="16" customFormat="1" ht="15.75">
      <c r="A404" s="17"/>
      <c r="B404" s="6"/>
      <c r="C404" s="43"/>
      <c r="P404" s="201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3"/>
    </row>
    <row r="405" spans="1:35" s="16" customFormat="1" ht="15.75">
      <c r="A405" s="17"/>
      <c r="B405" s="6"/>
      <c r="C405" s="43"/>
      <c r="P405" s="201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3"/>
    </row>
    <row r="406" spans="1:35" s="16" customFormat="1" ht="15.75">
      <c r="A406" s="17"/>
      <c r="B406" s="6"/>
      <c r="C406" s="43"/>
      <c r="P406" s="201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3"/>
    </row>
    <row r="407" spans="1:35" s="16" customFormat="1" ht="15.75">
      <c r="A407" s="17"/>
      <c r="B407" s="6"/>
      <c r="C407" s="43"/>
      <c r="P407" s="201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3"/>
    </row>
    <row r="408" spans="1:35" s="16" customFormat="1" ht="15.75">
      <c r="A408" s="17"/>
      <c r="B408" s="6"/>
      <c r="C408" s="43"/>
      <c r="P408" s="201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3"/>
    </row>
    <row r="409" spans="1:35" s="16" customFormat="1" ht="15.75">
      <c r="A409" s="17"/>
      <c r="B409" s="6"/>
      <c r="C409" s="43"/>
      <c r="P409" s="201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3"/>
    </row>
    <row r="410" spans="1:35" s="16" customFormat="1" ht="15.75">
      <c r="A410" s="17"/>
      <c r="B410" s="6"/>
      <c r="C410" s="43"/>
      <c r="P410" s="201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3"/>
    </row>
    <row r="411" spans="1:35" s="16" customFormat="1" ht="15.75">
      <c r="A411" s="17"/>
      <c r="B411" s="6"/>
      <c r="C411" s="43"/>
      <c r="P411" s="201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3"/>
    </row>
    <row r="412" spans="1:35" s="16" customFormat="1" ht="15.75">
      <c r="A412" s="17"/>
      <c r="B412" s="6"/>
      <c r="C412" s="43"/>
      <c r="P412" s="201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3"/>
    </row>
    <row r="413" spans="1:35" s="16" customFormat="1" ht="15.75">
      <c r="A413" s="17"/>
      <c r="B413" s="6"/>
      <c r="C413" s="43"/>
      <c r="P413" s="201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3"/>
    </row>
    <row r="414" spans="1:35" s="16" customFormat="1" ht="15.75">
      <c r="A414" s="17"/>
      <c r="B414" s="6"/>
      <c r="C414" s="43"/>
      <c r="P414" s="201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3"/>
    </row>
    <row r="415" spans="1:35" s="16" customFormat="1" ht="15.75">
      <c r="A415" s="17"/>
      <c r="B415" s="6"/>
      <c r="C415" s="43"/>
      <c r="P415" s="201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3"/>
    </row>
    <row r="416" spans="1:35" s="16" customFormat="1" ht="15.75">
      <c r="A416" s="17"/>
      <c r="B416" s="6"/>
      <c r="C416" s="43"/>
      <c r="P416" s="201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3"/>
    </row>
    <row r="417" spans="1:35" s="16" customFormat="1" ht="15.75">
      <c r="A417" s="17"/>
      <c r="B417" s="6"/>
      <c r="C417" s="43"/>
      <c r="P417" s="201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3"/>
    </row>
    <row r="418" spans="1:35" s="16" customFormat="1" ht="15.75">
      <c r="A418" s="17"/>
      <c r="B418" s="6"/>
      <c r="C418" s="43"/>
      <c r="P418" s="201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3"/>
    </row>
    <row r="419" spans="1:35" s="16" customFormat="1" ht="15.75">
      <c r="A419" s="17"/>
      <c r="B419" s="6"/>
      <c r="C419" s="43"/>
      <c r="P419" s="201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3"/>
    </row>
    <row r="420" spans="1:35" s="16" customFormat="1" ht="15.75">
      <c r="A420" s="17"/>
      <c r="B420" s="6"/>
      <c r="C420" s="43"/>
      <c r="P420" s="201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3"/>
    </row>
    <row r="421" spans="1:35" s="16" customFormat="1" ht="15.75">
      <c r="A421" s="17"/>
      <c r="B421" s="6"/>
      <c r="C421" s="43"/>
      <c r="P421" s="201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3"/>
    </row>
    <row r="422" spans="1:35" s="16" customFormat="1" ht="15.75">
      <c r="A422" s="17"/>
      <c r="B422" s="6"/>
      <c r="C422" s="43"/>
      <c r="P422" s="201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3"/>
    </row>
    <row r="423" spans="1:35" s="16" customFormat="1" ht="15.75">
      <c r="A423" s="17"/>
      <c r="B423" s="6"/>
      <c r="C423" s="43"/>
      <c r="P423" s="201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3"/>
    </row>
    <row r="424" spans="1:35" s="16" customFormat="1" ht="15.75">
      <c r="A424" s="17"/>
      <c r="B424" s="6"/>
      <c r="C424" s="43"/>
      <c r="P424" s="201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3"/>
    </row>
    <row r="425" spans="1:35" s="16" customFormat="1" ht="15.75">
      <c r="A425" s="17"/>
      <c r="B425" s="6"/>
      <c r="C425" s="43"/>
      <c r="P425" s="201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3"/>
    </row>
    <row r="426" spans="1:35" s="16" customFormat="1" ht="15.75">
      <c r="A426" s="17"/>
      <c r="B426" s="6"/>
      <c r="C426" s="43"/>
      <c r="P426" s="201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3"/>
    </row>
    <row r="427" spans="1:35" s="16" customFormat="1" ht="15.75">
      <c r="A427" s="17"/>
      <c r="B427" s="6"/>
      <c r="C427" s="43"/>
      <c r="P427" s="201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3"/>
    </row>
    <row r="428" spans="1:35" s="16" customFormat="1" ht="15.75">
      <c r="A428" s="17"/>
      <c r="B428" s="6"/>
      <c r="C428" s="43"/>
      <c r="P428" s="201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3"/>
    </row>
    <row r="429" spans="1:35" s="16" customFormat="1" ht="15.75">
      <c r="A429" s="17"/>
      <c r="B429" s="6"/>
      <c r="C429" s="43"/>
      <c r="P429" s="201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3"/>
    </row>
    <row r="430" spans="1:35" s="16" customFormat="1" ht="15.75">
      <c r="A430" s="17"/>
      <c r="B430" s="6"/>
      <c r="C430" s="43"/>
      <c r="P430" s="201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3"/>
    </row>
    <row r="431" spans="1:35" s="16" customFormat="1" ht="15.75">
      <c r="A431" s="17"/>
      <c r="B431" s="6"/>
      <c r="C431" s="43"/>
      <c r="P431" s="201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3"/>
    </row>
    <row r="432" spans="1:35" s="16" customFormat="1" ht="15.75">
      <c r="A432" s="17"/>
      <c r="B432" s="6"/>
      <c r="C432" s="43"/>
      <c r="P432" s="201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3"/>
    </row>
    <row r="433" spans="1:35" s="16" customFormat="1" ht="15.75">
      <c r="A433" s="17"/>
      <c r="B433" s="6"/>
      <c r="C433" s="43"/>
      <c r="P433" s="201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3"/>
    </row>
    <row r="434" spans="1:35" s="16" customFormat="1" ht="15.75">
      <c r="A434" s="17"/>
      <c r="B434" s="6"/>
      <c r="C434" s="43"/>
      <c r="P434" s="201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3"/>
    </row>
    <row r="435" spans="1:35" s="16" customFormat="1" ht="15.75">
      <c r="A435" s="17"/>
      <c r="B435" s="6"/>
      <c r="C435" s="43"/>
      <c r="P435" s="201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3"/>
    </row>
    <row r="436" spans="1:35" s="16" customFormat="1" ht="15.75">
      <c r="A436" s="17"/>
      <c r="B436" s="6"/>
      <c r="C436" s="43"/>
      <c r="P436" s="201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3"/>
    </row>
    <row r="437" spans="1:35" s="16" customFormat="1" ht="15.75">
      <c r="A437" s="17"/>
      <c r="B437" s="6"/>
      <c r="C437" s="43"/>
      <c r="P437" s="201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3"/>
    </row>
    <row r="438" spans="1:35" s="16" customFormat="1" ht="15.75">
      <c r="A438" s="17"/>
      <c r="B438" s="6"/>
      <c r="C438" s="43"/>
      <c r="P438" s="201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3"/>
    </row>
    <row r="439" spans="1:35" s="16" customFormat="1" ht="15.75">
      <c r="A439" s="17"/>
      <c r="B439" s="6"/>
      <c r="C439" s="43"/>
      <c r="P439" s="201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3"/>
    </row>
    <row r="440" spans="1:35" s="16" customFormat="1" ht="15.75">
      <c r="A440" s="17"/>
      <c r="B440" s="6"/>
      <c r="C440" s="43"/>
      <c r="P440" s="201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3"/>
    </row>
    <row r="441" spans="1:35" s="16" customFormat="1" ht="15.75">
      <c r="A441" s="17"/>
      <c r="B441" s="6"/>
      <c r="C441" s="43"/>
      <c r="P441" s="201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3"/>
    </row>
    <row r="442" spans="1:35" s="16" customFormat="1" ht="15.75">
      <c r="A442" s="17"/>
      <c r="B442" s="6"/>
      <c r="C442" s="43"/>
      <c r="P442" s="201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3"/>
    </row>
    <row r="443" spans="1:35" s="16" customFormat="1" ht="15.75">
      <c r="A443" s="17"/>
      <c r="B443" s="6"/>
      <c r="C443" s="43"/>
      <c r="P443" s="201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3"/>
    </row>
    <row r="444" spans="1:35" s="16" customFormat="1" ht="15.75">
      <c r="A444" s="17"/>
      <c r="B444" s="6"/>
      <c r="C444" s="43"/>
      <c r="P444" s="201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3"/>
    </row>
    <row r="445" spans="1:35" s="16" customFormat="1" ht="15.75">
      <c r="A445" s="17"/>
      <c r="B445" s="6"/>
      <c r="C445" s="43"/>
      <c r="P445" s="201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3"/>
    </row>
    <row r="446" spans="1:35" s="16" customFormat="1" ht="15.75">
      <c r="A446" s="17"/>
      <c r="B446" s="6"/>
      <c r="C446" s="43"/>
      <c r="P446" s="201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3"/>
    </row>
    <row r="447" spans="1:35" s="16" customFormat="1" ht="15.75">
      <c r="A447" s="17"/>
      <c r="B447" s="6"/>
      <c r="C447" s="43"/>
      <c r="P447" s="201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3"/>
    </row>
    <row r="448" spans="1:35" s="16" customFormat="1" ht="15.75">
      <c r="A448" s="17"/>
      <c r="B448" s="6"/>
      <c r="C448" s="43"/>
      <c r="P448" s="201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3"/>
    </row>
    <row r="449" spans="1:35" s="16" customFormat="1" ht="15.75">
      <c r="A449" s="17"/>
      <c r="B449" s="6"/>
      <c r="C449" s="43"/>
      <c r="P449" s="201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3"/>
    </row>
    <row r="450" spans="1:35" s="16" customFormat="1" ht="15.75">
      <c r="A450" s="17"/>
      <c r="B450" s="6"/>
      <c r="C450" s="43"/>
      <c r="P450" s="201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3"/>
    </row>
    <row r="451" spans="1:35" s="16" customFormat="1" ht="15.75">
      <c r="A451" s="17"/>
      <c r="B451" s="6"/>
      <c r="C451" s="43"/>
      <c r="P451" s="201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3"/>
    </row>
    <row r="452" spans="1:35" s="16" customFormat="1" ht="15.75">
      <c r="A452" s="17"/>
      <c r="B452" s="6"/>
      <c r="C452" s="43"/>
      <c r="P452" s="201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3"/>
    </row>
    <row r="453" spans="1:35" s="16" customFormat="1" ht="15.75">
      <c r="A453" s="17"/>
      <c r="B453" s="6"/>
      <c r="C453" s="43"/>
      <c r="P453" s="201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3"/>
    </row>
    <row r="454" spans="1:35" s="16" customFormat="1" ht="15.75">
      <c r="A454" s="17"/>
      <c r="B454" s="6"/>
      <c r="C454" s="43"/>
      <c r="P454" s="201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3"/>
    </row>
    <row r="455" spans="1:35" s="16" customFormat="1" ht="15.75">
      <c r="A455" s="17"/>
      <c r="B455" s="6"/>
      <c r="C455" s="43"/>
      <c r="P455" s="201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3"/>
    </row>
    <row r="456" spans="1:35" s="16" customFormat="1" ht="15.75">
      <c r="A456" s="17"/>
      <c r="B456" s="6"/>
      <c r="C456" s="43"/>
      <c r="P456" s="201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3"/>
    </row>
    <row r="457" spans="1:35" s="16" customFormat="1" ht="15.75">
      <c r="A457" s="17"/>
      <c r="B457" s="6"/>
      <c r="C457" s="43"/>
      <c r="P457" s="201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3"/>
    </row>
    <row r="458" spans="1:35" s="16" customFormat="1" ht="15.75">
      <c r="A458" s="17"/>
      <c r="B458" s="6"/>
      <c r="C458" s="43"/>
      <c r="P458" s="201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3"/>
    </row>
    <row r="459" spans="1:35" s="16" customFormat="1" ht="15.75">
      <c r="A459" s="17"/>
      <c r="B459" s="6"/>
      <c r="C459" s="43"/>
      <c r="P459" s="201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3"/>
    </row>
    <row r="460" spans="1:35" s="16" customFormat="1" ht="15.75">
      <c r="A460" s="17"/>
      <c r="B460" s="6"/>
      <c r="C460" s="43"/>
      <c r="P460" s="201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3"/>
    </row>
    <row r="461" spans="1:35" s="16" customFormat="1" ht="15.75">
      <c r="A461" s="17"/>
      <c r="B461" s="6"/>
      <c r="C461" s="43"/>
      <c r="P461" s="201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3"/>
    </row>
    <row r="462" spans="1:35" s="16" customFormat="1" ht="15.75">
      <c r="A462" s="17"/>
      <c r="B462" s="6"/>
      <c r="C462" s="43"/>
      <c r="P462" s="201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3"/>
    </row>
    <row r="463" spans="1:35" s="16" customFormat="1" ht="15.75">
      <c r="A463" s="17"/>
      <c r="B463" s="6"/>
      <c r="C463" s="43"/>
      <c r="P463" s="201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3"/>
    </row>
    <row r="464" spans="1:35" s="16" customFormat="1" ht="15.75">
      <c r="A464" s="17"/>
      <c r="B464" s="6"/>
      <c r="C464" s="43"/>
      <c r="P464" s="201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3"/>
    </row>
    <row r="465" spans="1:35" s="16" customFormat="1" ht="15.75">
      <c r="A465" s="17"/>
      <c r="B465" s="6"/>
      <c r="C465" s="43"/>
      <c r="P465" s="201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3"/>
    </row>
    <row r="466" spans="1:35" s="16" customFormat="1" ht="15.75">
      <c r="A466" s="17"/>
      <c r="B466" s="6"/>
      <c r="C466" s="43"/>
      <c r="P466" s="201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3"/>
    </row>
    <row r="467" spans="1:35" s="16" customFormat="1" ht="15.75">
      <c r="A467" s="17"/>
      <c r="B467" s="6"/>
      <c r="C467" s="43"/>
      <c r="P467" s="201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3"/>
    </row>
    <row r="468" spans="1:35" s="16" customFormat="1" ht="15.75">
      <c r="A468" s="17"/>
      <c r="B468" s="6"/>
      <c r="C468" s="43"/>
      <c r="P468" s="201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3"/>
    </row>
    <row r="469" spans="1:35" s="16" customFormat="1" ht="15.75">
      <c r="A469" s="17"/>
      <c r="B469" s="6"/>
      <c r="C469" s="43"/>
      <c r="P469" s="201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3"/>
    </row>
    <row r="470" spans="1:35" s="16" customFormat="1" ht="15.75">
      <c r="A470" s="17"/>
      <c r="B470" s="6"/>
      <c r="C470" s="43"/>
      <c r="P470" s="201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3"/>
    </row>
    <row r="471" spans="1:35" s="16" customFormat="1" ht="15.75">
      <c r="A471" s="17"/>
      <c r="B471" s="6"/>
      <c r="C471" s="43"/>
      <c r="P471" s="201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3"/>
    </row>
    <row r="472" spans="1:35" s="16" customFormat="1" ht="15.75">
      <c r="A472" s="17"/>
      <c r="B472" s="6"/>
      <c r="C472" s="43"/>
      <c r="P472" s="201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3"/>
    </row>
    <row r="473" spans="1:35" s="16" customFormat="1" ht="15.75">
      <c r="A473" s="17"/>
      <c r="B473" s="6"/>
      <c r="C473" s="43"/>
      <c r="P473" s="201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3"/>
    </row>
    <row r="474" spans="1:35" s="16" customFormat="1" ht="15.75">
      <c r="A474" s="17"/>
      <c r="B474" s="6"/>
      <c r="C474" s="43"/>
      <c r="P474" s="201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3"/>
    </row>
    <row r="475" spans="1:35" s="16" customFormat="1" ht="15.75">
      <c r="A475" s="17"/>
      <c r="B475" s="6"/>
      <c r="C475" s="43"/>
      <c r="P475" s="201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3"/>
    </row>
    <row r="476" spans="1:35" s="16" customFormat="1" ht="15.75">
      <c r="A476" s="17"/>
      <c r="B476" s="6"/>
      <c r="C476" s="43"/>
      <c r="P476" s="201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3"/>
    </row>
    <row r="477" spans="1:35" s="16" customFormat="1" ht="15.75">
      <c r="A477" s="17"/>
      <c r="B477" s="6"/>
      <c r="C477" s="43"/>
      <c r="P477" s="201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3"/>
    </row>
    <row r="478" spans="1:35" s="16" customFormat="1" ht="15.75">
      <c r="A478" s="17"/>
      <c r="B478" s="6"/>
      <c r="C478" s="43"/>
      <c r="P478" s="201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3"/>
    </row>
    <row r="479" spans="1:35" s="16" customFormat="1" ht="15.75">
      <c r="A479" s="17"/>
      <c r="B479" s="6"/>
      <c r="C479" s="43"/>
      <c r="P479" s="201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3"/>
    </row>
    <row r="480" spans="1:35" s="16" customFormat="1" ht="15.75">
      <c r="A480" s="17"/>
      <c r="B480" s="6"/>
      <c r="C480" s="43"/>
      <c r="P480" s="201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3"/>
    </row>
    <row r="481" spans="1:35" s="16" customFormat="1" ht="15.75">
      <c r="A481" s="17"/>
      <c r="B481" s="6"/>
      <c r="C481" s="43"/>
      <c r="P481" s="201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3"/>
    </row>
    <row r="482" spans="1:35" s="16" customFormat="1" ht="15.75">
      <c r="A482" s="17"/>
      <c r="B482" s="6"/>
      <c r="C482" s="43"/>
      <c r="P482" s="201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3"/>
    </row>
    <row r="483" spans="1:35" s="16" customFormat="1" ht="15.75">
      <c r="A483" s="17"/>
      <c r="B483" s="6"/>
      <c r="C483" s="43"/>
      <c r="P483" s="201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3"/>
    </row>
    <row r="484" spans="1:35" s="16" customFormat="1" ht="15.75">
      <c r="A484" s="17"/>
      <c r="B484" s="6"/>
      <c r="C484" s="43"/>
      <c r="P484" s="201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3"/>
    </row>
    <row r="485" spans="1:35" s="16" customFormat="1" ht="15.75">
      <c r="A485" s="17"/>
      <c r="B485" s="6"/>
      <c r="C485" s="43"/>
      <c r="P485" s="201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3"/>
    </row>
    <row r="486" spans="1:35" s="16" customFormat="1" ht="15.75">
      <c r="A486" s="17"/>
      <c r="B486" s="6"/>
      <c r="C486" s="43"/>
      <c r="P486" s="201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3"/>
    </row>
    <row r="487" spans="1:35" s="16" customFormat="1" ht="15.75">
      <c r="A487" s="17"/>
      <c r="B487" s="6"/>
      <c r="C487" s="43"/>
      <c r="P487" s="201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3"/>
    </row>
    <row r="488" spans="1:35" s="16" customFormat="1" ht="15.75">
      <c r="A488" s="17"/>
      <c r="B488" s="6"/>
      <c r="C488" s="43"/>
      <c r="P488" s="201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3"/>
    </row>
    <row r="489" spans="1:35" s="16" customFormat="1" ht="15.75">
      <c r="A489" s="17"/>
      <c r="B489" s="6"/>
      <c r="C489" s="43"/>
      <c r="P489" s="201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3"/>
    </row>
    <row r="490" spans="1:35" s="16" customFormat="1" ht="15.75">
      <c r="A490" s="17"/>
      <c r="B490" s="6"/>
      <c r="C490" s="43"/>
      <c r="P490" s="201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3"/>
    </row>
    <row r="491" spans="1:35" s="16" customFormat="1" ht="15.75">
      <c r="A491" s="17"/>
      <c r="B491" s="6"/>
      <c r="C491" s="43"/>
      <c r="P491" s="201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3"/>
    </row>
    <row r="492" spans="1:35" s="16" customFormat="1" ht="15.75">
      <c r="A492" s="17"/>
      <c r="B492" s="6"/>
      <c r="C492" s="43"/>
      <c r="P492" s="201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3"/>
    </row>
    <row r="493" spans="1:35" s="16" customFormat="1" ht="15.75">
      <c r="A493" s="17"/>
      <c r="B493" s="6"/>
      <c r="C493" s="43"/>
      <c r="P493" s="201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3"/>
    </row>
    <row r="494" spans="1:35" s="16" customFormat="1" ht="15.75">
      <c r="A494" s="17"/>
      <c r="B494" s="6"/>
      <c r="C494" s="43"/>
      <c r="P494" s="201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3"/>
    </row>
    <row r="495" spans="1:35" s="16" customFormat="1" ht="15.75">
      <c r="A495" s="17"/>
      <c r="B495" s="6"/>
      <c r="C495" s="43"/>
      <c r="P495" s="201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3"/>
    </row>
    <row r="496" spans="1:35" s="16" customFormat="1" ht="15.75">
      <c r="A496" s="17"/>
      <c r="B496" s="6"/>
      <c r="C496" s="43"/>
      <c r="P496" s="201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3"/>
    </row>
    <row r="497" spans="1:35" s="16" customFormat="1" ht="15.75">
      <c r="A497" s="17"/>
      <c r="B497" s="6"/>
      <c r="C497" s="43"/>
      <c r="P497" s="201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3"/>
    </row>
    <row r="498" spans="1:35" s="16" customFormat="1" ht="15.75">
      <c r="A498" s="17"/>
      <c r="B498" s="6"/>
      <c r="C498" s="43"/>
      <c r="P498" s="201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3"/>
    </row>
    <row r="499" spans="1:35" s="16" customFormat="1" ht="15.75">
      <c r="A499" s="17"/>
      <c r="B499" s="6"/>
      <c r="C499" s="43"/>
      <c r="P499" s="201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3"/>
    </row>
    <row r="500" spans="1:35" s="16" customFormat="1" ht="15.75">
      <c r="A500" s="17"/>
      <c r="B500" s="6"/>
      <c r="C500" s="43"/>
      <c r="P500" s="201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3"/>
    </row>
    <row r="501" spans="1:35" s="16" customFormat="1" ht="15.75">
      <c r="A501" s="17"/>
      <c r="B501" s="6"/>
      <c r="C501" s="43"/>
      <c r="P501" s="201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3"/>
    </row>
    <row r="502" spans="1:35" s="16" customFormat="1" ht="15.75">
      <c r="A502" s="17"/>
      <c r="B502" s="6"/>
      <c r="C502" s="43"/>
      <c r="P502" s="201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3"/>
    </row>
    <row r="503" spans="1:35" s="16" customFormat="1" ht="15.75">
      <c r="A503" s="17"/>
      <c r="B503" s="6"/>
      <c r="C503" s="43"/>
      <c r="P503" s="201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3"/>
    </row>
    <row r="504" spans="1:35" s="16" customFormat="1" ht="15.75">
      <c r="A504" s="17"/>
      <c r="B504" s="6"/>
      <c r="C504" s="43"/>
      <c r="P504" s="201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3"/>
    </row>
    <row r="505" spans="1:35" s="16" customFormat="1" ht="15.75">
      <c r="A505" s="17"/>
      <c r="B505" s="6"/>
      <c r="C505" s="43"/>
      <c r="P505" s="201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3"/>
    </row>
    <row r="506" spans="1:35" s="16" customFormat="1" ht="15.75">
      <c r="A506" s="17"/>
      <c r="B506" s="6"/>
      <c r="C506" s="43"/>
      <c r="P506" s="201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3"/>
    </row>
    <row r="507" spans="1:35" s="16" customFormat="1" ht="15.75">
      <c r="A507" s="17"/>
      <c r="B507" s="6"/>
      <c r="C507" s="43"/>
      <c r="P507" s="201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3"/>
    </row>
    <row r="508" spans="1:35" s="16" customFormat="1" ht="15.75">
      <c r="A508" s="17"/>
      <c r="B508" s="6"/>
      <c r="C508" s="43"/>
      <c r="P508" s="201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3"/>
    </row>
    <row r="509" spans="1:35" s="16" customFormat="1" ht="15.75">
      <c r="A509" s="17"/>
      <c r="B509" s="6"/>
      <c r="C509" s="43"/>
      <c r="P509" s="201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3"/>
    </row>
    <row r="510" spans="1:35" s="16" customFormat="1" ht="15.75">
      <c r="A510" s="17"/>
      <c r="B510" s="6"/>
      <c r="C510" s="43"/>
      <c r="P510" s="201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3"/>
    </row>
    <row r="511" spans="1:35" s="16" customFormat="1" ht="15.75">
      <c r="A511" s="17"/>
      <c r="B511" s="6"/>
      <c r="C511" s="43"/>
      <c r="P511" s="201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3"/>
    </row>
    <row r="512" spans="1:35" s="16" customFormat="1" ht="15.75">
      <c r="A512" s="17"/>
      <c r="B512" s="6"/>
      <c r="C512" s="43"/>
      <c r="P512" s="201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3"/>
    </row>
    <row r="513" spans="1:35" s="16" customFormat="1" ht="15.75">
      <c r="A513" s="17"/>
      <c r="B513" s="6"/>
      <c r="C513" s="43"/>
      <c r="P513" s="201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3"/>
    </row>
    <row r="514" spans="1:35" s="16" customFormat="1" ht="15.75">
      <c r="A514" s="17"/>
      <c r="B514" s="6"/>
      <c r="C514" s="43"/>
      <c r="P514" s="201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3"/>
    </row>
    <row r="515" spans="1:35" s="16" customFormat="1" ht="15.75">
      <c r="A515" s="17"/>
      <c r="B515" s="6"/>
      <c r="C515" s="43"/>
      <c r="P515" s="201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3"/>
    </row>
    <row r="516" spans="1:35" s="16" customFormat="1" ht="15.75">
      <c r="A516" s="17"/>
      <c r="B516" s="6"/>
      <c r="C516" s="43"/>
      <c r="P516" s="201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3"/>
    </row>
    <row r="517" spans="1:35" s="16" customFormat="1" ht="15.75">
      <c r="A517" s="17"/>
      <c r="B517" s="6"/>
      <c r="C517" s="43"/>
      <c r="P517" s="201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3"/>
    </row>
    <row r="518" spans="1:35" s="16" customFormat="1" ht="15.75">
      <c r="A518" s="17"/>
      <c r="B518" s="6"/>
      <c r="C518" s="43"/>
      <c r="P518" s="201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3"/>
    </row>
    <row r="519" spans="1:35" s="16" customFormat="1" ht="15.75">
      <c r="A519" s="17"/>
      <c r="B519" s="6"/>
      <c r="C519" s="43"/>
      <c r="P519" s="201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3"/>
    </row>
    <row r="520" spans="1:35" s="16" customFormat="1" ht="15.75">
      <c r="A520" s="17"/>
      <c r="B520" s="6"/>
      <c r="C520" s="43"/>
      <c r="P520" s="201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3"/>
    </row>
    <row r="521" spans="1:35" s="16" customFormat="1" ht="15.75">
      <c r="A521" s="17"/>
      <c r="B521" s="6"/>
      <c r="C521" s="43"/>
      <c r="P521" s="201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3"/>
    </row>
    <row r="522" spans="1:35" s="16" customFormat="1" ht="15.75">
      <c r="A522" s="17"/>
      <c r="B522" s="6"/>
      <c r="C522" s="43"/>
      <c r="P522" s="201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3"/>
    </row>
    <row r="523" spans="1:35" s="16" customFormat="1" ht="15.75">
      <c r="A523" s="17"/>
      <c r="B523" s="6"/>
      <c r="C523" s="43"/>
      <c r="P523" s="201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3"/>
    </row>
    <row r="524" spans="1:35" s="16" customFormat="1" ht="15.75">
      <c r="A524" s="17"/>
      <c r="B524" s="6"/>
      <c r="C524" s="43"/>
      <c r="P524" s="201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3"/>
    </row>
    <row r="525" spans="1:35" s="16" customFormat="1" ht="15.75">
      <c r="A525" s="17"/>
      <c r="B525" s="6"/>
      <c r="C525" s="43"/>
      <c r="P525" s="201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3"/>
    </row>
    <row r="526" spans="1:35" s="16" customFormat="1" ht="15.75">
      <c r="A526" s="17"/>
      <c r="B526" s="6"/>
      <c r="C526" s="43"/>
      <c r="P526" s="201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3"/>
    </row>
    <row r="527" spans="1:35" s="16" customFormat="1" ht="15.75">
      <c r="A527" s="17"/>
      <c r="B527" s="6"/>
      <c r="C527" s="43"/>
      <c r="P527" s="201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3"/>
    </row>
    <row r="528" spans="1:35" s="16" customFormat="1" ht="15.75">
      <c r="A528" s="17"/>
      <c r="B528" s="6"/>
      <c r="C528" s="43"/>
      <c r="P528" s="201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3"/>
    </row>
    <row r="529" spans="1:35" s="16" customFormat="1" ht="15.75">
      <c r="A529" s="17"/>
      <c r="B529" s="6"/>
      <c r="C529" s="43"/>
      <c r="P529" s="201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3"/>
    </row>
    <row r="530" spans="1:35" s="16" customFormat="1" ht="15.75">
      <c r="A530" s="17"/>
      <c r="B530" s="6"/>
      <c r="C530" s="43"/>
      <c r="P530" s="201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3"/>
    </row>
    <row r="531" spans="1:35" s="16" customFormat="1" ht="15.75">
      <c r="A531" s="17"/>
      <c r="B531" s="6"/>
      <c r="C531" s="43"/>
      <c r="P531" s="201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3"/>
    </row>
    <row r="532" spans="1:35" s="16" customFormat="1" ht="15.75">
      <c r="A532" s="17"/>
      <c r="B532" s="6"/>
      <c r="C532" s="43"/>
      <c r="P532" s="201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3"/>
    </row>
    <row r="533" spans="1:35" s="16" customFormat="1" ht="15.75">
      <c r="A533" s="17"/>
      <c r="B533" s="6"/>
      <c r="C533" s="43"/>
      <c r="P533" s="201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3"/>
    </row>
    <row r="534" spans="1:35" s="16" customFormat="1" ht="15.75">
      <c r="A534" s="17"/>
      <c r="B534" s="6"/>
      <c r="C534" s="43"/>
      <c r="P534" s="201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3"/>
    </row>
    <row r="535" spans="1:35" s="16" customFormat="1" ht="15.75">
      <c r="A535" s="17"/>
      <c r="B535" s="6"/>
      <c r="C535" s="43"/>
      <c r="P535" s="201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3"/>
    </row>
    <row r="536" spans="1:35" s="16" customFormat="1" ht="15.75">
      <c r="A536" s="17"/>
      <c r="B536" s="6"/>
      <c r="C536" s="43"/>
      <c r="P536" s="201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3"/>
    </row>
    <row r="537" spans="1:35" s="16" customFormat="1" ht="15.75">
      <c r="A537" s="17"/>
      <c r="B537" s="6"/>
      <c r="C537" s="43"/>
      <c r="P537" s="201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3"/>
    </row>
    <row r="538" spans="1:35" s="16" customFormat="1" ht="15.75">
      <c r="A538" s="17"/>
      <c r="B538" s="6"/>
      <c r="C538" s="43"/>
      <c r="P538" s="201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3"/>
    </row>
    <row r="539" spans="1:35" s="16" customFormat="1" ht="15.75">
      <c r="A539" s="17"/>
      <c r="B539" s="6"/>
      <c r="C539" s="43"/>
      <c r="P539" s="201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3"/>
    </row>
    <row r="540" spans="1:35" s="16" customFormat="1" ht="15.75">
      <c r="A540" s="17"/>
      <c r="B540" s="6"/>
      <c r="C540" s="43"/>
      <c r="P540" s="201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3"/>
    </row>
    <row r="541" spans="1:35" s="16" customFormat="1" ht="15.75">
      <c r="A541" s="17"/>
      <c r="B541" s="6"/>
      <c r="C541" s="43"/>
      <c r="P541" s="201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3"/>
    </row>
    <row r="542" spans="1:35" s="16" customFormat="1" ht="15.75">
      <c r="A542" s="17"/>
      <c r="B542" s="6"/>
      <c r="C542" s="43"/>
      <c r="P542" s="201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3"/>
    </row>
    <row r="543" spans="1:35" s="16" customFormat="1" ht="15.75">
      <c r="A543" s="17"/>
      <c r="B543" s="6"/>
      <c r="C543" s="43"/>
      <c r="P543" s="201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3"/>
    </row>
    <row r="544" spans="1:35" s="16" customFormat="1" ht="15.75">
      <c r="A544" s="17"/>
      <c r="B544" s="6"/>
      <c r="C544" s="43"/>
      <c r="P544" s="201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3"/>
    </row>
    <row r="545" spans="1:35" s="16" customFormat="1" ht="15.75">
      <c r="A545" s="17"/>
      <c r="B545" s="6"/>
      <c r="C545" s="43"/>
      <c r="P545" s="201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3"/>
    </row>
    <row r="546" spans="1:35" s="16" customFormat="1" ht="15.75">
      <c r="A546" s="17"/>
      <c r="B546" s="6"/>
      <c r="C546" s="43"/>
      <c r="P546" s="201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3"/>
    </row>
    <row r="547" spans="1:35" s="16" customFormat="1" ht="15.75">
      <c r="A547" s="17"/>
      <c r="B547" s="6"/>
      <c r="C547" s="43"/>
      <c r="P547" s="201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3"/>
    </row>
    <row r="548" spans="1:35" s="16" customFormat="1" ht="15.75">
      <c r="A548" s="17"/>
      <c r="B548" s="6"/>
      <c r="C548" s="43"/>
      <c r="P548" s="201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3"/>
    </row>
    <row r="549" spans="1:35" s="16" customFormat="1" ht="15.75">
      <c r="A549" s="17"/>
      <c r="B549" s="6"/>
      <c r="C549" s="43"/>
      <c r="P549" s="201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3"/>
    </row>
    <row r="550" spans="1:35" s="16" customFormat="1" ht="15.75">
      <c r="A550" s="17"/>
      <c r="B550" s="6"/>
      <c r="C550" s="43"/>
      <c r="P550" s="201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3"/>
    </row>
    <row r="551" spans="1:35" s="16" customFormat="1" ht="15.75">
      <c r="A551" s="17"/>
      <c r="B551" s="6"/>
      <c r="C551" s="43"/>
      <c r="P551" s="201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3"/>
    </row>
    <row r="552" spans="1:35" s="16" customFormat="1" ht="15.75">
      <c r="A552" s="17"/>
      <c r="B552" s="6"/>
      <c r="C552" s="43"/>
      <c r="P552" s="201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3"/>
    </row>
    <row r="553" spans="1:35" s="16" customFormat="1" ht="15.75">
      <c r="A553" s="17"/>
      <c r="B553" s="6"/>
      <c r="C553" s="43"/>
      <c r="P553" s="201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3"/>
    </row>
    <row r="554" spans="1:35" s="16" customFormat="1" ht="15.75">
      <c r="A554" s="17"/>
      <c r="B554" s="6"/>
      <c r="C554" s="43"/>
      <c r="P554" s="201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3"/>
    </row>
    <row r="555" spans="1:35" s="16" customFormat="1" ht="15.75">
      <c r="A555" s="17"/>
      <c r="B555" s="6"/>
      <c r="C555" s="43"/>
      <c r="P555" s="201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3"/>
    </row>
    <row r="556" spans="1:35" s="16" customFormat="1" ht="15.75">
      <c r="A556" s="17"/>
      <c r="B556" s="6"/>
      <c r="C556" s="43"/>
      <c r="P556" s="201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3"/>
    </row>
    <row r="557" spans="1:35" s="16" customFormat="1" ht="15.75">
      <c r="A557" s="17"/>
      <c r="B557" s="6"/>
      <c r="C557" s="43"/>
      <c r="P557" s="201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3"/>
    </row>
    <row r="558" spans="1:35" s="16" customFormat="1" ht="15.75">
      <c r="A558" s="17"/>
      <c r="B558" s="6"/>
      <c r="C558" s="43"/>
      <c r="P558" s="201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3"/>
    </row>
    <row r="559" spans="1:35" s="16" customFormat="1" ht="15.75">
      <c r="A559" s="17"/>
      <c r="B559" s="6"/>
      <c r="C559" s="43"/>
      <c r="P559" s="201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3"/>
    </row>
    <row r="560" spans="1:35" s="16" customFormat="1" ht="15.75">
      <c r="A560" s="17"/>
      <c r="B560" s="6"/>
      <c r="C560" s="43"/>
      <c r="P560" s="201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3"/>
    </row>
    <row r="561" spans="1:35" s="16" customFormat="1" ht="15.75">
      <c r="A561" s="17"/>
      <c r="B561" s="6"/>
      <c r="C561" s="43"/>
      <c r="P561" s="201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3"/>
    </row>
    <row r="562" spans="1:35" s="16" customFormat="1" ht="15.75">
      <c r="A562" s="17"/>
      <c r="B562" s="6"/>
      <c r="C562" s="43"/>
      <c r="P562" s="201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3"/>
    </row>
    <row r="563" spans="1:35" s="16" customFormat="1" ht="15.75">
      <c r="A563" s="17"/>
      <c r="B563" s="6"/>
      <c r="C563" s="43"/>
      <c r="P563" s="201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3"/>
    </row>
    <row r="564" spans="1:35" s="16" customFormat="1" ht="15.75">
      <c r="A564" s="17"/>
      <c r="B564" s="6"/>
      <c r="C564" s="43"/>
      <c r="P564" s="201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3"/>
    </row>
    <row r="565" spans="1:35" s="16" customFormat="1" ht="15.75">
      <c r="A565" s="17"/>
      <c r="B565" s="6"/>
      <c r="C565" s="43"/>
      <c r="P565" s="201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3"/>
    </row>
    <row r="566" spans="1:35" s="16" customFormat="1" ht="15.75">
      <c r="A566" s="17"/>
      <c r="B566" s="6"/>
      <c r="C566" s="43"/>
      <c r="P566" s="201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3"/>
    </row>
    <row r="567" spans="1:35" s="16" customFormat="1" ht="15.75">
      <c r="A567" s="17"/>
      <c r="B567" s="6"/>
      <c r="C567" s="43"/>
      <c r="P567" s="201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3"/>
    </row>
    <row r="568" spans="1:35" s="16" customFormat="1" ht="15.75">
      <c r="A568" s="17"/>
      <c r="B568" s="6"/>
      <c r="C568" s="43"/>
      <c r="P568" s="201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3"/>
    </row>
    <row r="569" spans="1:35" s="16" customFormat="1" ht="15.75">
      <c r="A569" s="17"/>
      <c r="B569" s="6"/>
      <c r="C569" s="43"/>
      <c r="P569" s="201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3"/>
    </row>
    <row r="570" spans="1:35" s="16" customFormat="1" ht="15.75">
      <c r="A570" s="17"/>
      <c r="B570" s="6"/>
      <c r="C570" s="43"/>
      <c r="P570" s="201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3"/>
    </row>
    <row r="571" spans="1:35" s="16" customFormat="1" ht="15.75">
      <c r="A571" s="17"/>
      <c r="B571" s="6"/>
      <c r="C571" s="43"/>
      <c r="P571" s="201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3"/>
    </row>
    <row r="572" spans="1:35" s="16" customFormat="1" ht="15.75">
      <c r="A572" s="17"/>
      <c r="B572" s="6"/>
      <c r="C572" s="43"/>
      <c r="P572" s="201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3"/>
    </row>
    <row r="573" spans="1:35" s="16" customFormat="1" ht="15.75">
      <c r="A573" s="17"/>
      <c r="B573" s="6"/>
      <c r="C573" s="43"/>
      <c r="P573" s="201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3"/>
    </row>
    <row r="574" spans="1:35" s="16" customFormat="1" ht="15.75">
      <c r="A574" s="17"/>
      <c r="B574" s="6"/>
      <c r="C574" s="43"/>
      <c r="P574" s="201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3"/>
    </row>
    <row r="575" spans="1:35" s="16" customFormat="1" ht="15.75">
      <c r="A575" s="17"/>
      <c r="B575" s="6"/>
      <c r="C575" s="43"/>
      <c r="P575" s="201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3"/>
    </row>
    <row r="576" spans="1:35" s="16" customFormat="1" ht="15.75">
      <c r="A576" s="17"/>
      <c r="B576" s="6"/>
      <c r="C576" s="43"/>
      <c r="P576" s="201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3"/>
    </row>
    <row r="577" spans="1:35" s="16" customFormat="1" ht="15.75">
      <c r="A577" s="17"/>
      <c r="B577" s="6"/>
      <c r="C577" s="43"/>
      <c r="P577" s="201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3"/>
    </row>
    <row r="578" spans="1:35" s="16" customFormat="1" ht="15.75">
      <c r="A578" s="17"/>
      <c r="B578" s="6"/>
      <c r="C578" s="43"/>
      <c r="P578" s="201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3"/>
    </row>
    <row r="579" spans="1:35" s="16" customFormat="1" ht="15.75">
      <c r="A579" s="17"/>
      <c r="B579" s="6"/>
      <c r="C579" s="43"/>
      <c r="P579" s="201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3"/>
    </row>
    <row r="580" spans="1:35" s="16" customFormat="1" ht="15.75">
      <c r="A580" s="17"/>
      <c r="B580" s="6"/>
      <c r="C580" s="43"/>
      <c r="P580" s="201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3"/>
    </row>
    <row r="581" spans="1:35" s="16" customFormat="1" ht="15.75">
      <c r="A581" s="17"/>
      <c r="B581" s="6"/>
      <c r="C581" s="43"/>
      <c r="P581" s="201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3"/>
    </row>
    <row r="582" spans="1:35" s="16" customFormat="1" ht="15.75">
      <c r="A582" s="17"/>
      <c r="B582" s="6"/>
      <c r="C582" s="43"/>
      <c r="P582" s="201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3"/>
    </row>
    <row r="583" spans="1:35" s="16" customFormat="1" ht="15.75">
      <c r="A583" s="17"/>
      <c r="B583" s="6"/>
      <c r="C583" s="43"/>
      <c r="P583" s="201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3"/>
    </row>
    <row r="584" spans="1:35" s="16" customFormat="1" ht="15.75">
      <c r="A584" s="17"/>
      <c r="B584" s="6"/>
      <c r="C584" s="43"/>
      <c r="P584" s="201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3"/>
    </row>
    <row r="585" spans="1:35" s="16" customFormat="1" ht="15.75">
      <c r="A585" s="17"/>
      <c r="B585" s="6"/>
      <c r="C585" s="43"/>
      <c r="P585" s="201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3"/>
    </row>
    <row r="586" spans="1:35" s="16" customFormat="1" ht="15.75">
      <c r="A586" s="17"/>
      <c r="B586" s="6"/>
      <c r="C586" s="43"/>
      <c r="P586" s="201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3"/>
    </row>
    <row r="587" spans="1:35" s="16" customFormat="1" ht="15.75">
      <c r="A587" s="17"/>
      <c r="B587" s="6"/>
      <c r="C587" s="43"/>
      <c r="P587" s="201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3"/>
    </row>
    <row r="588" spans="1:35" s="16" customFormat="1" ht="15.75">
      <c r="A588" s="17"/>
      <c r="B588" s="6"/>
      <c r="C588" s="43"/>
      <c r="P588" s="201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3"/>
    </row>
    <row r="589" spans="1:35" s="16" customFormat="1" ht="15.75">
      <c r="A589" s="17"/>
      <c r="B589" s="6"/>
      <c r="C589" s="43"/>
      <c r="P589" s="201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3"/>
    </row>
    <row r="590" spans="1:35" s="16" customFormat="1" ht="15.75">
      <c r="A590" s="17"/>
      <c r="B590" s="6"/>
      <c r="C590" s="43"/>
      <c r="P590" s="201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3"/>
    </row>
  </sheetData>
  <sheetProtection/>
  <mergeCells count="44">
    <mergeCell ref="M254:O254"/>
    <mergeCell ref="P209:P237"/>
    <mergeCell ref="P238:P286"/>
    <mergeCell ref="A247:C247"/>
    <mergeCell ref="A271:C271"/>
    <mergeCell ref="A7:O7"/>
    <mergeCell ref="I10:I12"/>
    <mergeCell ref="C9:C12"/>
    <mergeCell ref="D9:H9"/>
    <mergeCell ref="I9:N9"/>
    <mergeCell ref="O9:O12"/>
    <mergeCell ref="M10:M12"/>
    <mergeCell ref="K11:K12"/>
    <mergeCell ref="G11:G12"/>
    <mergeCell ref="H10:H12"/>
    <mergeCell ref="N11:N12"/>
    <mergeCell ref="L11:L12"/>
    <mergeCell ref="Z8:AI8"/>
    <mergeCell ref="Z9:AC10"/>
    <mergeCell ref="AD9:AD12"/>
    <mergeCell ref="AE9:AE12"/>
    <mergeCell ref="AF9:AI9"/>
    <mergeCell ref="AF10:AF12"/>
    <mergeCell ref="B9:B12"/>
    <mergeCell ref="F10:G10"/>
    <mergeCell ref="J10:J12"/>
    <mergeCell ref="K10:L10"/>
    <mergeCell ref="P154:P176"/>
    <mergeCell ref="P177:P208"/>
    <mergeCell ref="P1:P38"/>
    <mergeCell ref="P39:P72"/>
    <mergeCell ref="P73:P101"/>
    <mergeCell ref="P102:P123"/>
    <mergeCell ref="P124:P153"/>
    <mergeCell ref="K1:N1"/>
    <mergeCell ref="K4:O4"/>
    <mergeCell ref="K5:O5"/>
    <mergeCell ref="A269:C269"/>
    <mergeCell ref="A248:C248"/>
    <mergeCell ref="A250:C250"/>
    <mergeCell ref="F11:F12"/>
    <mergeCell ref="A9:A12"/>
    <mergeCell ref="D10:D12"/>
    <mergeCell ref="E10:E12"/>
  </mergeCells>
  <printOptions horizontalCentered="1"/>
  <pageMargins left="0.28" right="0.28" top="0.55" bottom="0.3937007874015748" header="0.2755905511811024" footer="0.2362204724409449"/>
  <pageSetup fitToHeight="100" fitToWidth="1" horizontalDpi="600" verticalDpi="600" orientation="landscape" paperSize="9" scale="43" r:id="rId1"/>
  <headerFooter alignWithMargins="0">
    <oddFooter xml:space="preserve">&amp;R&amp;20Сторінка  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2018-06-21T13:30:51Z</cp:lastPrinted>
  <dcterms:created xsi:type="dcterms:W3CDTF">2014-01-17T10:52:16Z</dcterms:created>
  <dcterms:modified xsi:type="dcterms:W3CDTF">2018-06-21T13:30:56Z</dcterms:modified>
  <cp:category/>
  <cp:version/>
  <cp:contentType/>
  <cp:contentStatus/>
</cp:coreProperties>
</file>