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2396" windowHeight="8652" tabRatio="246" activeTab="0"/>
  </bookViews>
  <sheets>
    <sheet name="дод 4 (с)" sheetId="1" r:id="rId1"/>
  </sheets>
  <definedNames>
    <definedName name="_xlfn.AGGREGATE" hidden="1">#NAME?</definedName>
    <definedName name="_xlnm.Print_Titles" localSheetId="0">'дод 4 (с)'!$12:$12</definedName>
    <definedName name="_xlnm.Print_Area" localSheetId="0">'дод 4 (с)'!$A$1:$K$356</definedName>
  </definedNames>
  <calcPr fullCalcOnLoad="1"/>
</workbook>
</file>

<file path=xl/sharedStrings.xml><?xml version="1.0" encoding="utf-8"?>
<sst xmlns="http://schemas.openxmlformats.org/spreadsheetml/2006/main" count="648" uniqueCount="488">
  <si>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</si>
  <si>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</si>
  <si>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</si>
  <si>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</si>
  <si>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</si>
  <si>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</si>
  <si>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</si>
  <si>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</si>
  <si>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</si>
  <si>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</si>
  <si>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</si>
  <si>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</si>
  <si>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</si>
  <si>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</si>
  <si>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</si>
  <si>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</si>
  <si>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</si>
  <si>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</si>
  <si>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</si>
  <si>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</si>
  <si>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</si>
  <si>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</si>
  <si>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</si>
  <si>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</si>
  <si>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</si>
  <si>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</si>
  <si>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</si>
  <si>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</si>
  <si>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</si>
  <si>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</si>
  <si>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</si>
  <si>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</si>
  <si>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</si>
  <si>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</si>
  <si>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</si>
  <si>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</si>
  <si>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</si>
  <si>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</si>
  <si>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</si>
  <si>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</si>
  <si>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</si>
  <si>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</si>
  <si>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</si>
  <si>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</si>
  <si>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</si>
  <si>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</si>
  <si>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</si>
  <si>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</si>
  <si>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</si>
  <si>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</si>
  <si>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</si>
  <si>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</si>
  <si>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</si>
  <si>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</si>
  <si>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</si>
  <si>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</si>
  <si>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</si>
  <si>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</si>
  <si>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</si>
  <si>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</si>
  <si>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</si>
  <si>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</si>
  <si>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</si>
  <si>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</si>
  <si>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</si>
  <si>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</si>
  <si>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</si>
  <si>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</si>
  <si>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</si>
  <si>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</si>
  <si>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</si>
  <si>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</si>
  <si>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</si>
  <si>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</si>
  <si>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</si>
  <si>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</si>
  <si>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</si>
  <si>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</si>
  <si>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</si>
  <si>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</si>
  <si>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</si>
  <si>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</si>
  <si>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</si>
  <si>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</si>
  <si>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</si>
  <si>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</si>
  <si>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</si>
  <si>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</si>
  <si>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</si>
  <si>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</si>
  <si>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</si>
  <si>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</si>
  <si>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</si>
  <si>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</si>
  <si>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</si>
  <si>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</si>
  <si>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</si>
  <si>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</si>
  <si>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</si>
  <si>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</si>
  <si>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</si>
  <si>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</si>
  <si>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</si>
  <si>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</si>
  <si>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</si>
  <si>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</si>
  <si>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</si>
  <si>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</si>
  <si>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</si>
  <si>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</si>
  <si>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</si>
  <si>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</si>
  <si>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</si>
  <si>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</si>
  <si>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</si>
  <si>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</si>
  <si>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</si>
  <si>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</si>
  <si>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</si>
  <si>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</si>
  <si>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</si>
  <si>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</si>
  <si>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</si>
  <si>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</si>
  <si>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</si>
  <si>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</si>
  <si>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</si>
  <si>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</si>
  <si>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</si>
  <si>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</si>
  <si>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</si>
  <si>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</si>
  <si>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</si>
  <si>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</si>
  <si>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</si>
  <si>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</si>
  <si>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</si>
  <si>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</si>
  <si>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</si>
  <si>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</si>
  <si>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</si>
  <si>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</si>
  <si>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</si>
  <si>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</si>
  <si>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</si>
  <si>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</si>
  <si>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</si>
  <si>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</si>
  <si>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</si>
  <si>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</si>
  <si>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</si>
  <si>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</si>
  <si>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</si>
  <si>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</si>
  <si>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</si>
  <si>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</si>
  <si>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</si>
  <si>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</si>
  <si>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</si>
  <si>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</si>
  <si>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</si>
  <si>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</si>
  <si>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</si>
  <si>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</si>
  <si>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</si>
  <si>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</si>
  <si>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</si>
  <si>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</si>
  <si>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</si>
  <si>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</si>
  <si>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</si>
  <si>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</si>
  <si>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</si>
  <si>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</si>
  <si>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</si>
  <si>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</si>
  <si>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</si>
  <si>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</si>
  <si>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</si>
  <si>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</si>
  <si>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</si>
  <si>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</si>
  <si>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</si>
  <si>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</si>
  <si>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</si>
  <si>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</si>
  <si>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</si>
  <si>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</si>
  <si>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</si>
  <si>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</si>
  <si>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</si>
  <si>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</si>
  <si>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</si>
  <si>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</si>
  <si>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</si>
  <si>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</si>
  <si>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</si>
  <si>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</si>
  <si>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</si>
  <si>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</si>
  <si>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</si>
  <si>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</si>
  <si>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</si>
  <si>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</si>
  <si>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</si>
  <si>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</si>
  <si>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</si>
  <si>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</si>
  <si>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</si>
  <si>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</si>
  <si>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</si>
  <si>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</si>
  <si>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</si>
  <si>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</si>
  <si>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</si>
  <si>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</si>
  <si>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</si>
  <si>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</si>
  <si>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</si>
  <si>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</si>
  <si>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</si>
  <si>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</si>
  <si>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</si>
  <si>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</si>
  <si>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</si>
  <si>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</si>
  <si>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</si>
  <si>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</si>
  <si>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</si>
  <si>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</si>
  <si>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</si>
  <si>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</si>
  <si>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</si>
  <si>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</si>
  <si>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</si>
  <si>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</si>
  <si>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</si>
  <si>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</si>
  <si>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</si>
  <si>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</si>
  <si>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</si>
  <si>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</si>
  <si>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</si>
  <si>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</si>
  <si>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</si>
  <si>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</si>
  <si>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</si>
  <si>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</si>
  <si>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</si>
  <si>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</si>
  <si>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</si>
  <si>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</si>
  <si>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</si>
  <si>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</si>
  <si>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</si>
  <si>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</si>
  <si>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</si>
  <si>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</si>
  <si>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</si>
  <si>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</si>
  <si>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</si>
  <si>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</si>
  <si>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</si>
  <si>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</si>
  <si>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</si>
  <si>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</si>
  <si>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</si>
  <si>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</si>
  <si>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</si>
  <si>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</si>
  <si>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</si>
  <si>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</si>
  <si>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</si>
  <si>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</si>
  <si>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</si>
  <si>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</si>
  <si>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</si>
  <si>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</si>
  <si>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</si>
  <si>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</si>
  <si>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</si>
  <si>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</si>
  <si>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</si>
  <si>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</si>
  <si>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</si>
  <si>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</si>
  <si>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</si>
  <si>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</si>
  <si>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</si>
  <si>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</si>
  <si>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</si>
  <si>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</si>
  <si>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</si>
  <si>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</si>
  <si>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</si>
  <si>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</si>
  <si>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</si>
  <si>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</si>
  <si>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</si>
  <si>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</si>
  <si>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</si>
  <si>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</si>
  <si>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</si>
  <si>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</si>
  <si>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</si>
  <si>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</si>
  <si>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</si>
  <si>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</si>
  <si>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</si>
  <si>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</si>
  <si>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</si>
  <si>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</si>
  <si>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</si>
  <si>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</si>
  <si>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</si>
  <si>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</si>
  <si>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</si>
  <si>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</si>
  <si>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</si>
  <si>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</si>
  <si>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</si>
  <si>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</si>
  <si>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</si>
  <si>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</si>
  <si>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</si>
  <si>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</si>
  <si>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</si>
  <si>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</si>
  <si>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</si>
  <si>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</si>
  <si>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</si>
  <si>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</si>
  <si>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</si>
  <si>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</si>
  <si>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</si>
  <si>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</si>
  <si>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</si>
  <si>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</si>
  <si>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</si>
  <si>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</si>
  <si>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</si>
  <si>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</si>
  <si>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</si>
  <si>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</si>
  <si>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</si>
  <si>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</si>
  <si>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</si>
  <si>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</si>
  <si>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</si>
  <si>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</si>
  <si>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</si>
  <si>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</si>
  <si>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</si>
  <si>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</si>
  <si>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</si>
  <si>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</si>
  <si>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</si>
  <si>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</si>
  <si>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</si>
  <si>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</si>
  <si>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</si>
  <si>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</si>
  <si>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</si>
  <si>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</si>
  <si>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</si>
  <si>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</si>
  <si>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</si>
  <si>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</si>
  <si>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</si>
  <si>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>Реконструкція кабельної лінії до опор по вул. Героїв Сумщини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</si>
  <si>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</si>
  <si>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</si>
  <si>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</si>
  <si>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Будівництво огородження території І поясу  зони санітарної охорони  водозабору та окремо збудованих  свердловин  на  Ново-Оболонському  водозаборі в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</si>
  <si>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</si>
  <si>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</si>
  <si>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</si>
  <si>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</si>
  <si>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</si>
  <si>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</si>
  <si>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</si>
  <si>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</si>
  <si>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</si>
  <si>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</si>
  <si>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</si>
  <si>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</si>
  <si>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</si>
  <si>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</si>
  <si>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</si>
  <si>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</si>
  <si>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</si>
  <si>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</si>
  <si>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</si>
  <si>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</si>
  <si>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</si>
  <si>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</si>
  <si>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</si>
  <si>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</si>
  <si>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</si>
  <si>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</si>
  <si>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</si>
  <si>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</si>
  <si>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</si>
  <si>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</si>
  <si>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</si>
  <si>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</si>
  <si>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</si>
  <si>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</si>
  <si>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</si>
  <si>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</si>
  <si>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</si>
  <si>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</si>
  <si>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</si>
  <si>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</si>
  <si>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</si>
  <si>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</si>
  <si>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</si>
  <si>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</si>
  <si>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</si>
  <si>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</si>
  <si>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</si>
  <si>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</si>
  <si>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</si>
  <si>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</si>
  <si>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</si>
  <si>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</si>
  <si>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</si>
  <si>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</si>
  <si>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</si>
  <si>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</si>
  <si>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Влаштування пандусів до житлового будинку      № 15 по вул. Івана Сірка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</si>
  <si>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</si>
  <si>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</si>
  <si>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</si>
  <si>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</si>
  <si>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</si>
  <si>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</si>
  <si>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</si>
  <si>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</si>
  <si>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</si>
  <si>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</si>
  <si>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</si>
  <si>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Реконструкція стадіону «Авангард» з влаштуванням штучного покриття бігових доріжок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</si>
  <si>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</si>
  <si>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</si>
  <si>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</si>
  <si>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</si>
  <si>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</si>
  <si>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</si>
  <si>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</si>
  <si>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</si>
  <si>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</si>
  <si>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</si>
  <si>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</si>
  <si>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</si>
  <si>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</si>
  <si>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</si>
  <si>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</si>
  <si>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</si>
  <si>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у т.ч. за рахунок субвенції з дербюджету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</si>
  <si>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</si>
  <si>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</si>
  <si>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</si>
  <si>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</si>
  <si>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</si>
  <si>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</si>
  <si>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до   рішення   Сумської  міської   ради</t>
  </si>
  <si>
    <t xml:space="preserve">«Про   внесення    змін   та   доповнень </t>
  </si>
  <si>
    <t>до  міського   бюджету  на   2018   рік»</t>
  </si>
  <si>
    <t xml:space="preserve">Сумський міський голова </t>
  </si>
  <si>
    <t xml:space="preserve">О.М.Лисенко </t>
  </si>
  <si>
    <t>Виконавець: Липова С.А.</t>
  </si>
  <si>
    <t>Реконструкція 1-го поверху КУ «ССШ № 3» по вул. 20 років Перемоги, 9</t>
  </si>
  <si>
    <t>Будівництво дитячого майданчика по просп. М.Лушпи, буд. 22</t>
  </si>
  <si>
    <t>Будівництво ліфта в Комунальній установі Сумський навчально-виховний комплекс № 16 імені Олексія Братушки «Загальноосвітня школа І-ІІІ ступенів – дошкільний навчальний заклад» Сумської міської ради</t>
  </si>
  <si>
    <t>0813222</t>
  </si>
  <si>
    <t>3222</t>
  </si>
  <si>
    <t>1060</t>
  </si>
  <si>
    <t>0916080</t>
  </si>
  <si>
    <t>0900000</t>
  </si>
  <si>
    <t>Служба у справах  дітей  Сумської міської ради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</si>
  <si>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</si>
  <si>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</si>
  <si>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0910000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</si>
  <si>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</si>
  <si>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</si>
  <si>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>від 25  липня  2018 року  № 3662 - МР</t>
  </si>
  <si>
    <t xml:space="preserve">                      Додаток № 6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</si>
</sst>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 vertical="center"/>
    </xf>
    <xf numFmtId="0" fontId="32" fillId="55" borderId="0" xfId="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3" fillId="55" borderId="0" xfId="0" applyFont="1" applyFill="1" applyAlignment="1">
      <alignment horizontal="right" vertical="center"/>
    </xf>
    <xf numFmtId="0" fontId="30" fillId="55" borderId="0" xfId="0" applyFont="1" applyFill="1" applyAlignment="1">
      <alignment horizontal="right" vertical="center"/>
    </xf>
    <xf numFmtId="0" fontId="33" fillId="55" borderId="0" xfId="0" applyFont="1" applyFill="1" applyAlignment="1">
      <alignment vertical="center"/>
    </xf>
    <xf numFmtId="0" fontId="30" fillId="55" borderId="0" xfId="0" applyFont="1" applyFill="1" applyBorder="1" applyAlignment="1">
      <alignment vertical="center"/>
    </xf>
    <xf numFmtId="0" fontId="33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/>
    </xf>
    <xf numFmtId="0" fontId="32" fillId="55" borderId="0" xfId="0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33" fillId="55" borderId="0" xfId="0" applyFont="1" applyFill="1" applyBorder="1" applyAlignment="1">
      <alignment/>
    </xf>
    <xf numFmtId="0" fontId="33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3" fillId="56" borderId="0" xfId="0" applyFont="1" applyFill="1" applyAlignment="1">
      <alignment vertical="center"/>
    </xf>
    <xf numFmtId="0" fontId="32" fillId="56" borderId="0" xfId="0" applyFont="1" applyFill="1" applyAlignment="1">
      <alignment vertical="center"/>
    </xf>
    <xf numFmtId="0" fontId="33" fillId="57" borderId="0" xfId="0" applyFont="1" applyFill="1" applyBorder="1" applyAlignment="1">
      <alignment vertical="center"/>
    </xf>
    <xf numFmtId="0" fontId="38" fillId="56" borderId="0" xfId="0" applyFont="1" applyFill="1" applyAlignment="1">
      <alignment vertical="center"/>
    </xf>
    <xf numFmtId="0" fontId="29" fillId="56" borderId="0" xfId="0" applyFont="1" applyFill="1" applyAlignment="1">
      <alignment vertical="center"/>
    </xf>
    <xf numFmtId="0" fontId="30" fillId="58" borderId="0" xfId="0" applyFont="1" applyFill="1" applyBorder="1" applyAlignment="1">
      <alignment/>
    </xf>
    <xf numFmtId="0" fontId="26" fillId="55" borderId="0" xfId="0" applyFont="1" applyFill="1" applyAlignment="1">
      <alignment/>
    </xf>
    <xf numFmtId="0" fontId="30" fillId="58" borderId="0" xfId="0" applyFont="1" applyFill="1" applyAlignment="1">
      <alignment vertical="center"/>
    </xf>
    <xf numFmtId="0" fontId="30" fillId="59" borderId="0" xfId="0" applyFont="1" applyFill="1" applyBorder="1" applyAlignment="1">
      <alignment/>
    </xf>
    <xf numFmtId="0" fontId="30" fillId="59" borderId="0" xfId="0" applyFont="1" applyFill="1" applyAlignment="1">
      <alignment/>
    </xf>
    <xf numFmtId="0" fontId="30" fillId="60" borderId="0" xfId="0" applyFont="1" applyFill="1" applyBorder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 horizontal="left"/>
      <protection/>
    </xf>
    <xf numFmtId="0" fontId="27" fillId="0" borderId="0" xfId="0" applyNumberFormat="1" applyFont="1" applyFill="1" applyAlignment="1" applyProtection="1">
      <alignment vertical="top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>
      <alignment horizont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17" xfId="0" applyFont="1" applyFill="1" applyBorder="1" applyAlignment="1">
      <alignment vertical="center" wrapText="1"/>
    </xf>
    <xf numFmtId="4" fontId="32" fillId="0" borderId="16" xfId="0" applyNumberFormat="1" applyFont="1" applyFill="1" applyBorder="1" applyAlignment="1">
      <alignment horizontal="right" vertical="center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>
      <alignment horizontal="left" vertical="center" wrapText="1"/>
    </xf>
    <xf numFmtId="4" fontId="30" fillId="0" borderId="16" xfId="0" applyNumberFormat="1" applyFont="1" applyFill="1" applyBorder="1" applyAlignment="1">
      <alignment horizontal="right" vertical="center"/>
    </xf>
    <xf numFmtId="49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right" vertical="center" wrapText="1"/>
    </xf>
    <xf numFmtId="4" fontId="33" fillId="0" borderId="16" xfId="0" applyNumberFormat="1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right"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49" fontId="32" fillId="0" borderId="16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justify" vertical="center"/>
    </xf>
    <xf numFmtId="4" fontId="30" fillId="0" borderId="1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justify" vertical="center"/>
    </xf>
    <xf numFmtId="4" fontId="33" fillId="0" borderId="16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>
      <alignment horizontal="left" vertical="center" wrapText="1"/>
    </xf>
    <xf numFmtId="4" fontId="30" fillId="0" borderId="17" xfId="0" applyNumberFormat="1" applyFont="1" applyFill="1" applyBorder="1" applyAlignment="1">
      <alignment horizontal="right" vertical="center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>
      <alignment horizontal="left" vertical="center" wrapText="1"/>
    </xf>
    <xf numFmtId="4" fontId="33" fillId="0" borderId="18" xfId="0" applyNumberFormat="1" applyFont="1" applyFill="1" applyBorder="1" applyAlignment="1">
      <alignment horizontal="right" vertical="center"/>
    </xf>
    <xf numFmtId="0" fontId="33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>
      <alignment wrapText="1"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9" xfId="0" applyFont="1" applyFill="1" applyBorder="1" applyAlignment="1">
      <alignment horizontal="justify" vertical="center" wrapText="1"/>
    </xf>
    <xf numFmtId="0" fontId="33" fillId="0" borderId="0" xfId="0" applyFont="1" applyFill="1" applyAlignment="1">
      <alignment vertical="center" wrapText="1"/>
    </xf>
    <xf numFmtId="0" fontId="29" fillId="0" borderId="2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justify" vertical="center"/>
    </xf>
    <xf numFmtId="0" fontId="30" fillId="0" borderId="21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wrapText="1"/>
    </xf>
    <xf numFmtId="0" fontId="33" fillId="0" borderId="16" xfId="0" applyFont="1" applyFill="1" applyBorder="1" applyAlignment="1">
      <alignment wrapText="1"/>
    </xf>
    <xf numFmtId="49" fontId="38" fillId="0" borderId="16" xfId="0" applyNumberFormat="1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>
      <alignment horizontal="left" vertical="center" wrapText="1"/>
    </xf>
    <xf numFmtId="4" fontId="38" fillId="0" borderId="16" xfId="0" applyNumberFormat="1" applyFont="1" applyFill="1" applyBorder="1" applyAlignment="1">
      <alignment horizontal="right"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3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justify" vertical="center" wrapText="1"/>
    </xf>
    <xf numFmtId="200" fontId="30" fillId="0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/>
    </xf>
    <xf numFmtId="3" fontId="32" fillId="0" borderId="16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left" vertical="center"/>
    </xf>
    <xf numFmtId="3" fontId="30" fillId="0" borderId="16" xfId="0" applyNumberFormat="1" applyFont="1" applyFill="1" applyBorder="1" applyAlignment="1">
      <alignment horizontal="center" vertical="center" wrapText="1"/>
    </xf>
    <xf numFmtId="200" fontId="30" fillId="0" borderId="1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3" fontId="33" fillId="0" borderId="16" xfId="0" applyNumberFormat="1" applyFont="1" applyFill="1" applyBorder="1" applyAlignment="1">
      <alignment horizontal="center" vertical="center"/>
    </xf>
    <xf numFmtId="200" fontId="33" fillId="0" borderId="16" xfId="0" applyNumberFormat="1" applyFont="1" applyFill="1" applyBorder="1" applyAlignment="1">
      <alignment horizontal="center" vertical="center" wrapText="1"/>
    </xf>
    <xf numFmtId="3" fontId="30" fillId="0" borderId="16" xfId="95" applyNumberFormat="1" applyFont="1" applyFill="1" applyBorder="1" applyAlignment="1">
      <alignment horizontal="center" vertical="center"/>
      <protection/>
    </xf>
    <xf numFmtId="200" fontId="30" fillId="0" borderId="16" xfId="95" applyNumberFormat="1" applyFont="1" applyFill="1" applyBorder="1" applyAlignment="1">
      <alignment horizontal="center" vertical="center"/>
      <protection/>
    </xf>
    <xf numFmtId="4" fontId="30" fillId="0" borderId="16" xfId="95" applyNumberFormat="1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wrapText="1"/>
    </xf>
    <xf numFmtId="3" fontId="33" fillId="0" borderId="16" xfId="0" applyNumberFormat="1" applyFont="1" applyFill="1" applyBorder="1" applyAlignment="1">
      <alignment horizontal="center"/>
    </xf>
    <xf numFmtId="0" fontId="29" fillId="0" borderId="0" xfId="0" applyFont="1" applyFill="1" applyAlignment="1">
      <alignment wrapText="1"/>
    </xf>
    <xf numFmtId="3" fontId="29" fillId="0" borderId="16" xfId="0" applyNumberFormat="1" applyFont="1" applyFill="1" applyBorder="1" applyAlignment="1">
      <alignment horizontal="right" vertical="center"/>
    </xf>
    <xf numFmtId="203" fontId="30" fillId="0" borderId="16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right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2" fontId="30" fillId="0" borderId="16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left" vertical="center" wrapText="1"/>
    </xf>
    <xf numFmtId="4" fontId="30" fillId="0" borderId="16" xfId="0" applyNumberFormat="1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1" fontId="35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26" fillId="0" borderId="0" xfId="0" applyFont="1" applyFill="1" applyBorder="1" applyAlignment="1">
      <alignment vertical="center" textRotation="180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7" fillId="0" borderId="0" xfId="0" applyFont="1" applyFill="1" applyBorder="1" applyAlignment="1">
      <alignment horizontal="right"/>
    </xf>
    <xf numFmtId="49" fontId="27" fillId="0" borderId="0" xfId="0" applyNumberFormat="1" applyFont="1" applyFill="1" applyAlignment="1" applyProtection="1">
      <alignment horizontal="center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9" fontId="33" fillId="0" borderId="18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0" fontId="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wrapText="1"/>
    </xf>
    <xf numFmtId="49" fontId="30" fillId="0" borderId="0" xfId="0" applyNumberFormat="1" applyFont="1" applyFill="1" applyAlignment="1" applyProtection="1">
      <alignment horizontal="center"/>
      <protection/>
    </xf>
    <xf numFmtId="0" fontId="28" fillId="0" borderId="0" xfId="0" applyFont="1" applyFill="1" applyAlignment="1">
      <alignment vertical="top"/>
    </xf>
    <xf numFmtId="0" fontId="34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left"/>
      <protection/>
    </xf>
    <xf numFmtId="0" fontId="36" fillId="0" borderId="16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49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distributed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450"/>
  <sheetViews>
    <sheetView showGridLines="0" tabSelected="1" view="pageBreakPreview" zoomScale="51" zoomScaleNormal="70" zoomScaleSheetLayoutView="51" zoomScalePageLayoutView="0" workbookViewId="0" topLeftCell="A220">
      <selection activeCell="E343" sqref="E343"/>
    </sheetView>
  </sheetViews>
  <sheetFormatPr defaultColWidth="9.16015625" defaultRowHeight="12.75"/>
  <cols>
    <col min="1" max="1" width="19.33203125" style="147" customWidth="1"/>
    <col min="2" max="2" width="17.33203125" style="31" customWidth="1"/>
    <col min="3" max="3" width="17.16015625" style="31" customWidth="1"/>
    <col min="4" max="5" width="56.83203125" style="32" customWidth="1"/>
    <col min="6" max="6" width="17.83203125" style="32" customWidth="1"/>
    <col min="7" max="7" width="19.16015625" style="32" customWidth="1"/>
    <col min="8" max="8" width="19.5" style="32" customWidth="1"/>
    <col min="9" max="9" width="24.33203125" style="146" customWidth="1"/>
    <col min="10" max="10" width="24.66015625" style="39" customWidth="1"/>
    <col min="11" max="11" width="25.83203125" style="39" customWidth="1"/>
    <col min="12" max="12" width="36.83203125" style="39" customWidth="1"/>
    <col min="13" max="35" width="9.16015625" style="39" customWidth="1"/>
    <col min="36" max="16384" width="9.16015625" style="2" customWidth="1"/>
  </cols>
  <sheetData>
    <row r="1" spans="7:11" ht="30" customHeight="1">
      <c r="G1" s="33"/>
      <c r="H1" s="171" t="s">
        <v>487</v>
      </c>
      <c r="I1" s="171"/>
      <c r="J1" s="171"/>
      <c r="K1" s="171"/>
    </row>
    <row r="2" spans="7:11" ht="30">
      <c r="G2" s="33"/>
      <c r="H2" s="171" t="s">
        <v>466</v>
      </c>
      <c r="I2" s="171"/>
      <c r="J2" s="171"/>
      <c r="K2" s="171"/>
    </row>
    <row r="3" spans="7:11" ht="30">
      <c r="G3" s="33"/>
      <c r="H3" s="171" t="s">
        <v>467</v>
      </c>
      <c r="I3" s="171"/>
      <c r="J3" s="171"/>
      <c r="K3" s="171"/>
    </row>
    <row r="4" spans="1:35" s="3" customFormat="1" ht="30">
      <c r="A4" s="147"/>
      <c r="B4" s="31"/>
      <c r="C4" s="31"/>
      <c r="D4" s="35"/>
      <c r="E4" s="35"/>
      <c r="F4" s="35"/>
      <c r="G4" s="36"/>
      <c r="H4" s="34" t="s">
        <v>468</v>
      </c>
      <c r="I4" s="34"/>
      <c r="J4" s="34"/>
      <c r="K4" s="34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</row>
    <row r="5" spans="1:35" s="3" customFormat="1" ht="30">
      <c r="A5" s="147"/>
      <c r="B5" s="31"/>
      <c r="C5" s="31"/>
      <c r="D5" s="35"/>
      <c r="E5" s="35"/>
      <c r="F5" s="35"/>
      <c r="G5" s="36"/>
      <c r="H5" s="171" t="s">
        <v>486</v>
      </c>
      <c r="I5" s="171"/>
      <c r="J5" s="171"/>
      <c r="K5" s="171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spans="1:35" s="3" customFormat="1" ht="38.25" customHeight="1">
      <c r="A6" s="147"/>
      <c r="B6" s="31"/>
      <c r="C6" s="31"/>
      <c r="D6" s="35"/>
      <c r="E6" s="35"/>
      <c r="F6" s="35"/>
      <c r="G6" s="36"/>
      <c r="H6" s="34"/>
      <c r="I6" s="34"/>
      <c r="J6" s="34"/>
      <c r="K6" s="34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</row>
    <row r="7" spans="1:11" ht="45" customHeight="1">
      <c r="A7" s="170" t="s">
        <v>212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4:11" ht="18">
      <c r="D8" s="37"/>
      <c r="E8" s="37"/>
      <c r="F8" s="37"/>
      <c r="G8" s="37"/>
      <c r="H8" s="37"/>
      <c r="I8" s="38"/>
      <c r="K8" s="40" t="s">
        <v>149</v>
      </c>
    </row>
    <row r="9" spans="1:35" s="4" customFormat="1" ht="42.75" customHeight="1">
      <c r="A9" s="176" t="s">
        <v>59</v>
      </c>
      <c r="B9" s="178" t="s">
        <v>60</v>
      </c>
      <c r="C9" s="178" t="s">
        <v>36</v>
      </c>
      <c r="D9" s="178" t="s">
        <v>68</v>
      </c>
      <c r="E9" s="179" t="s">
        <v>207</v>
      </c>
      <c r="F9" s="173" t="s">
        <v>208</v>
      </c>
      <c r="G9" s="173" t="s">
        <v>209</v>
      </c>
      <c r="H9" s="173" t="s">
        <v>210</v>
      </c>
      <c r="I9" s="173" t="s">
        <v>211</v>
      </c>
      <c r="J9" s="172" t="s">
        <v>259</v>
      </c>
      <c r="K9" s="172" t="s">
        <v>260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</row>
    <row r="10" spans="1:35" s="4" customFormat="1" ht="42" customHeight="1">
      <c r="A10" s="176"/>
      <c r="B10" s="178"/>
      <c r="C10" s="178"/>
      <c r="D10" s="178"/>
      <c r="E10" s="180"/>
      <c r="F10" s="174"/>
      <c r="G10" s="174"/>
      <c r="H10" s="174"/>
      <c r="I10" s="174"/>
      <c r="J10" s="172"/>
      <c r="K10" s="172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</row>
    <row r="11" spans="1:35" s="4" customFormat="1" ht="53.25" customHeight="1">
      <c r="A11" s="176"/>
      <c r="B11" s="178"/>
      <c r="C11" s="178"/>
      <c r="D11" s="178"/>
      <c r="E11" s="181"/>
      <c r="F11" s="175"/>
      <c r="G11" s="175"/>
      <c r="H11" s="175"/>
      <c r="I11" s="175"/>
      <c r="J11" s="172"/>
      <c r="K11" s="172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</row>
    <row r="12" spans="1:35" s="4" customFormat="1" ht="15.75" customHeight="1">
      <c r="A12" s="148" t="s">
        <v>206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2">
        <v>10</v>
      </c>
      <c r="K12" s="42">
        <v>11</v>
      </c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</row>
    <row r="13" spans="1:35" s="5" customFormat="1" ht="45" customHeight="1">
      <c r="A13" s="43" t="s">
        <v>91</v>
      </c>
      <c r="B13" s="43"/>
      <c r="C13" s="43"/>
      <c r="D13" s="44" t="s">
        <v>29</v>
      </c>
      <c r="E13" s="44"/>
      <c r="F13" s="44"/>
      <c r="G13" s="44"/>
      <c r="H13" s="44"/>
      <c r="I13" s="45">
        <f>I14</f>
        <v>46918894</v>
      </c>
      <c r="J13" s="45">
        <f>J14</f>
        <v>3327200</v>
      </c>
      <c r="K13" s="45">
        <f>K14</f>
        <v>50246094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</row>
    <row r="14" spans="1:35" s="6" customFormat="1" ht="33" customHeight="1">
      <c r="A14" s="46" t="s">
        <v>92</v>
      </c>
      <c r="B14" s="46"/>
      <c r="C14" s="46"/>
      <c r="D14" s="47" t="s">
        <v>29</v>
      </c>
      <c r="E14" s="47"/>
      <c r="F14" s="47"/>
      <c r="G14" s="47"/>
      <c r="H14" s="47"/>
      <c r="I14" s="48">
        <f>I15+I16+I19+I23+I26+I29+I33+I31+I21+I18+I32+I34+I37+I35+I36</f>
        <v>46918894</v>
      </c>
      <c r="J14" s="48">
        <f>J15+J16+J19+J23+J26+J29+J33+J31+J21+J18+J32+J34+J37+J35+J36</f>
        <v>3327200</v>
      </c>
      <c r="K14" s="48">
        <f>K15+K16+K19+K23+K26+K29+K33+K31+K21+K18+K32+K34+K37+K35+K36</f>
        <v>50246094</v>
      </c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5" s="7" customFormat="1" ht="56.25" customHeight="1">
      <c r="A15" s="49" t="s">
        <v>93</v>
      </c>
      <c r="B15" s="49" t="s">
        <v>70</v>
      </c>
      <c r="C15" s="49" t="s">
        <v>35</v>
      </c>
      <c r="D15" s="50" t="s">
        <v>71</v>
      </c>
      <c r="E15" s="50"/>
      <c r="F15" s="50"/>
      <c r="G15" s="50"/>
      <c r="H15" s="50"/>
      <c r="I15" s="51">
        <f>4000000-1295000+302014</f>
        <v>3007014</v>
      </c>
      <c r="J15" s="51">
        <v>31200</v>
      </c>
      <c r="K15" s="51">
        <f>J15+I15</f>
        <v>3038214</v>
      </c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</row>
    <row r="16" spans="1:35" s="7" customFormat="1" ht="45" customHeight="1">
      <c r="A16" s="49" t="s">
        <v>94</v>
      </c>
      <c r="B16" s="49" t="s">
        <v>75</v>
      </c>
      <c r="C16" s="49"/>
      <c r="D16" s="50" t="s">
        <v>13</v>
      </c>
      <c r="E16" s="50"/>
      <c r="F16" s="50"/>
      <c r="G16" s="50"/>
      <c r="H16" s="50"/>
      <c r="I16" s="51">
        <f>I17</f>
        <v>405500</v>
      </c>
      <c r="J16" s="51">
        <f>J17</f>
        <v>300000</v>
      </c>
      <c r="K16" s="51">
        <f>K17</f>
        <v>705500</v>
      </c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</row>
    <row r="17" spans="1:35" s="8" customFormat="1" ht="54" customHeight="1">
      <c r="A17" s="52" t="s">
        <v>95</v>
      </c>
      <c r="B17" s="52" t="s">
        <v>76</v>
      </c>
      <c r="C17" s="52" t="s">
        <v>58</v>
      </c>
      <c r="D17" s="53" t="s">
        <v>77</v>
      </c>
      <c r="E17" s="54"/>
      <c r="F17" s="54"/>
      <c r="G17" s="54"/>
      <c r="H17" s="54"/>
      <c r="I17" s="55">
        <f>20500+385000</f>
        <v>405500</v>
      </c>
      <c r="J17" s="55">
        <v>300000</v>
      </c>
      <c r="K17" s="55">
        <f>J17+I17</f>
        <v>705500</v>
      </c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</row>
    <row r="18" spans="1:35" s="9" customFormat="1" ht="63" customHeight="1">
      <c r="A18" s="49" t="s">
        <v>282</v>
      </c>
      <c r="B18" s="49" t="s">
        <v>283</v>
      </c>
      <c r="C18" s="49" t="s">
        <v>281</v>
      </c>
      <c r="D18" s="50" t="s">
        <v>280</v>
      </c>
      <c r="E18" s="56"/>
      <c r="F18" s="56"/>
      <c r="G18" s="56"/>
      <c r="H18" s="56"/>
      <c r="I18" s="51">
        <v>28500</v>
      </c>
      <c r="J18" s="51"/>
      <c r="K18" s="51">
        <f>J18+I18</f>
        <v>28500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</row>
    <row r="19" spans="1:35" s="7" customFormat="1" ht="42.75" customHeight="1">
      <c r="A19" s="49" t="s">
        <v>96</v>
      </c>
      <c r="B19" s="49" t="s">
        <v>9</v>
      </c>
      <c r="C19" s="49"/>
      <c r="D19" s="50" t="s">
        <v>10</v>
      </c>
      <c r="E19" s="50"/>
      <c r="F19" s="50"/>
      <c r="G19" s="50"/>
      <c r="H19" s="50"/>
      <c r="I19" s="51">
        <f>I20</f>
        <v>20500</v>
      </c>
      <c r="J19" s="51">
        <f>J20</f>
        <v>0</v>
      </c>
      <c r="K19" s="51">
        <f>K20</f>
        <v>20500</v>
      </c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</row>
    <row r="20" spans="1:35" s="10" customFormat="1" ht="56.25" customHeight="1">
      <c r="A20" s="52" t="s">
        <v>232</v>
      </c>
      <c r="B20" s="52" t="s">
        <v>233</v>
      </c>
      <c r="C20" s="52" t="s">
        <v>53</v>
      </c>
      <c r="D20" s="53" t="s">
        <v>234</v>
      </c>
      <c r="E20" s="53"/>
      <c r="F20" s="53"/>
      <c r="G20" s="53"/>
      <c r="H20" s="53"/>
      <c r="I20" s="55">
        <f>49000-28500</f>
        <v>20500</v>
      </c>
      <c r="J20" s="55"/>
      <c r="K20" s="55">
        <f>J20+I20</f>
        <v>20500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</row>
    <row r="21" spans="1:35" s="7" customFormat="1" ht="28.5" customHeight="1">
      <c r="A21" s="49" t="s">
        <v>261</v>
      </c>
      <c r="B21" s="49" t="s">
        <v>264</v>
      </c>
      <c r="C21" s="49"/>
      <c r="D21" s="50" t="s">
        <v>263</v>
      </c>
      <c r="E21" s="50"/>
      <c r="F21" s="50"/>
      <c r="G21" s="50"/>
      <c r="H21" s="50"/>
      <c r="I21" s="51">
        <f>I22</f>
        <v>177000</v>
      </c>
      <c r="J21" s="51">
        <f>J22</f>
        <v>0</v>
      </c>
      <c r="K21" s="51">
        <f>K22</f>
        <v>177000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</row>
    <row r="22" spans="1:35" s="10" customFormat="1" ht="50.25" customHeight="1">
      <c r="A22" s="52" t="s">
        <v>262</v>
      </c>
      <c r="B22" s="52" t="s">
        <v>265</v>
      </c>
      <c r="C22" s="52" t="s">
        <v>54</v>
      </c>
      <c r="D22" s="53" t="s">
        <v>266</v>
      </c>
      <c r="E22" s="53"/>
      <c r="F22" s="53"/>
      <c r="G22" s="53"/>
      <c r="H22" s="53"/>
      <c r="I22" s="55">
        <v>177000</v>
      </c>
      <c r="J22" s="55"/>
      <c r="K22" s="55">
        <f>J22+I22</f>
        <v>177000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</row>
    <row r="23" spans="1:35" s="7" customFormat="1" ht="40.5" customHeight="1">
      <c r="A23" s="57" t="s">
        <v>97</v>
      </c>
      <c r="B23" s="57" t="s">
        <v>65</v>
      </c>
      <c r="C23" s="57"/>
      <c r="D23" s="50" t="s">
        <v>67</v>
      </c>
      <c r="E23" s="50"/>
      <c r="F23" s="50"/>
      <c r="G23" s="50"/>
      <c r="H23" s="50"/>
      <c r="I23" s="51">
        <f>I24+I25</f>
        <v>210000</v>
      </c>
      <c r="J23" s="51">
        <f>J24+J25</f>
        <v>25000</v>
      </c>
      <c r="K23" s="51">
        <f>K24+K25</f>
        <v>235000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</row>
    <row r="24" spans="1:35" s="8" customFormat="1" ht="75" customHeight="1">
      <c r="A24" s="58" t="s">
        <v>98</v>
      </c>
      <c r="B24" s="58" t="s">
        <v>66</v>
      </c>
      <c r="C24" s="58" t="s">
        <v>54</v>
      </c>
      <c r="D24" s="53" t="s">
        <v>14</v>
      </c>
      <c r="E24" s="54"/>
      <c r="F24" s="54"/>
      <c r="G24" s="54"/>
      <c r="H24" s="54"/>
      <c r="I24" s="55">
        <v>200000</v>
      </c>
      <c r="J24" s="55">
        <v>25000</v>
      </c>
      <c r="K24" s="55">
        <f>J24+I24</f>
        <v>225000</v>
      </c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</row>
    <row r="25" spans="1:35" s="8" customFormat="1" ht="66" customHeight="1">
      <c r="A25" s="58" t="s">
        <v>425</v>
      </c>
      <c r="B25" s="58" t="s">
        <v>426</v>
      </c>
      <c r="C25" s="58" t="s">
        <v>54</v>
      </c>
      <c r="D25" s="53" t="s">
        <v>427</v>
      </c>
      <c r="E25" s="54"/>
      <c r="F25" s="54"/>
      <c r="G25" s="54"/>
      <c r="H25" s="54"/>
      <c r="I25" s="55">
        <v>10000</v>
      </c>
      <c r="J25" s="55"/>
      <c r="K25" s="55">
        <f>J25+I25</f>
        <v>10000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</row>
    <row r="26" spans="1:35" s="10" customFormat="1" ht="36">
      <c r="A26" s="57" t="s">
        <v>99</v>
      </c>
      <c r="B26" s="57" t="s">
        <v>55</v>
      </c>
      <c r="C26" s="57"/>
      <c r="D26" s="50" t="s">
        <v>62</v>
      </c>
      <c r="E26" s="50"/>
      <c r="F26" s="50"/>
      <c r="G26" s="50"/>
      <c r="H26" s="50"/>
      <c r="I26" s="51">
        <f>I27+I28</f>
        <v>20000</v>
      </c>
      <c r="J26" s="51">
        <f>J27+J28</f>
        <v>2920000</v>
      </c>
      <c r="K26" s="51">
        <f>K27+K28</f>
        <v>2940000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</row>
    <row r="27" spans="1:35" s="10" customFormat="1" ht="76.5" customHeight="1">
      <c r="A27" s="58" t="s">
        <v>100</v>
      </c>
      <c r="B27" s="58" t="s">
        <v>63</v>
      </c>
      <c r="C27" s="58" t="s">
        <v>54</v>
      </c>
      <c r="D27" s="53" t="s">
        <v>64</v>
      </c>
      <c r="E27" s="53"/>
      <c r="F27" s="53"/>
      <c r="G27" s="53"/>
      <c r="H27" s="53"/>
      <c r="I27" s="55">
        <v>20000</v>
      </c>
      <c r="J27" s="55">
        <v>2900000</v>
      </c>
      <c r="K27" s="55">
        <f>J27+I27</f>
        <v>2920000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</row>
    <row r="28" spans="1:35" s="10" customFormat="1" ht="76.5" customHeight="1">
      <c r="A28" s="58" t="s">
        <v>449</v>
      </c>
      <c r="B28" s="58" t="s">
        <v>450</v>
      </c>
      <c r="C28" s="58" t="s">
        <v>54</v>
      </c>
      <c r="D28" s="53" t="s">
        <v>451</v>
      </c>
      <c r="E28" s="53"/>
      <c r="F28" s="53"/>
      <c r="G28" s="53"/>
      <c r="H28" s="53"/>
      <c r="I28" s="55"/>
      <c r="J28" s="55">
        <v>20000</v>
      </c>
      <c r="K28" s="55">
        <f>J28+I28</f>
        <v>20000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</row>
    <row r="29" spans="1:35" s="7" customFormat="1" ht="36">
      <c r="A29" s="57" t="s">
        <v>101</v>
      </c>
      <c r="B29" s="57" t="s">
        <v>3</v>
      </c>
      <c r="C29" s="57"/>
      <c r="D29" s="50" t="s">
        <v>4</v>
      </c>
      <c r="E29" s="50"/>
      <c r="F29" s="50"/>
      <c r="G29" s="50"/>
      <c r="H29" s="50"/>
      <c r="I29" s="51">
        <f>I30</f>
        <v>1490000</v>
      </c>
      <c r="J29" s="51">
        <f>J30</f>
        <v>0</v>
      </c>
      <c r="K29" s="51">
        <f>K30</f>
        <v>1490000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</row>
    <row r="30" spans="1:35" s="10" customFormat="1" ht="30" customHeight="1">
      <c r="A30" s="58" t="s">
        <v>150</v>
      </c>
      <c r="B30" s="58" t="s">
        <v>5</v>
      </c>
      <c r="C30" s="58" t="s">
        <v>247</v>
      </c>
      <c r="D30" s="53" t="s">
        <v>11</v>
      </c>
      <c r="E30" s="53"/>
      <c r="F30" s="53"/>
      <c r="G30" s="53"/>
      <c r="H30" s="53"/>
      <c r="I30" s="55">
        <f>810000+680000</f>
        <v>1490000</v>
      </c>
      <c r="J30" s="55"/>
      <c r="K30" s="55">
        <f aca="true" t="shared" si="0" ref="K30:K37">J30+I30</f>
        <v>1490000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</row>
    <row r="31" spans="1:35" s="7" customFormat="1" ht="36">
      <c r="A31" s="57" t="s">
        <v>243</v>
      </c>
      <c r="B31" s="57" t="s">
        <v>244</v>
      </c>
      <c r="C31" s="57" t="s">
        <v>246</v>
      </c>
      <c r="D31" s="50" t="s">
        <v>245</v>
      </c>
      <c r="E31" s="50"/>
      <c r="F31" s="50"/>
      <c r="G31" s="50"/>
      <c r="H31" s="50"/>
      <c r="I31" s="51">
        <f>4897000+3385000</f>
        <v>8282000</v>
      </c>
      <c r="J31" s="51"/>
      <c r="K31" s="51">
        <f t="shared" si="0"/>
        <v>8282000</v>
      </c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</row>
    <row r="32" spans="1:35" s="7" customFormat="1" ht="46.5" customHeight="1">
      <c r="A32" s="57" t="s">
        <v>287</v>
      </c>
      <c r="B32" s="57" t="s">
        <v>288</v>
      </c>
      <c r="C32" s="57" t="s">
        <v>290</v>
      </c>
      <c r="D32" s="59" t="s">
        <v>289</v>
      </c>
      <c r="E32" s="50"/>
      <c r="F32" s="50"/>
      <c r="G32" s="50"/>
      <c r="H32" s="50"/>
      <c r="I32" s="51">
        <v>16800</v>
      </c>
      <c r="J32" s="51"/>
      <c r="K32" s="51">
        <f t="shared" si="0"/>
        <v>16800</v>
      </c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</row>
    <row r="33" spans="1:35" s="10" customFormat="1" ht="36">
      <c r="A33" s="57" t="s">
        <v>102</v>
      </c>
      <c r="B33" s="57" t="s">
        <v>6</v>
      </c>
      <c r="C33" s="57" t="s">
        <v>56</v>
      </c>
      <c r="D33" s="50" t="s">
        <v>15</v>
      </c>
      <c r="E33" s="50" t="s">
        <v>220</v>
      </c>
      <c r="F33" s="50"/>
      <c r="G33" s="50"/>
      <c r="H33" s="50"/>
      <c r="I33" s="51">
        <f>4220000+24220000+800000</f>
        <v>29240000</v>
      </c>
      <c r="J33" s="51"/>
      <c r="K33" s="51">
        <f t="shared" si="0"/>
        <v>29240000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</row>
    <row r="34" spans="1:35" s="10" customFormat="1" ht="54.75" customHeight="1">
      <c r="A34" s="57" t="s">
        <v>291</v>
      </c>
      <c r="B34" s="57" t="s">
        <v>292</v>
      </c>
      <c r="C34" s="57" t="s">
        <v>293</v>
      </c>
      <c r="D34" s="60" t="s">
        <v>294</v>
      </c>
      <c r="E34" s="50"/>
      <c r="F34" s="50"/>
      <c r="G34" s="50"/>
      <c r="H34" s="50"/>
      <c r="I34" s="51">
        <v>55900</v>
      </c>
      <c r="J34" s="51"/>
      <c r="K34" s="51">
        <f t="shared" si="0"/>
        <v>55900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</row>
    <row r="35" spans="1:35" s="10" customFormat="1" ht="24.75" customHeight="1">
      <c r="A35" s="57" t="s">
        <v>347</v>
      </c>
      <c r="B35" s="57" t="s">
        <v>350</v>
      </c>
      <c r="C35" s="57" t="s">
        <v>293</v>
      </c>
      <c r="D35" s="50" t="s">
        <v>349</v>
      </c>
      <c r="E35" s="50"/>
      <c r="F35" s="50"/>
      <c r="G35" s="50"/>
      <c r="H35" s="50"/>
      <c r="I35" s="51">
        <v>57900</v>
      </c>
      <c r="J35" s="51"/>
      <c r="K35" s="51">
        <f t="shared" si="0"/>
        <v>57900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</row>
    <row r="36" spans="1:35" s="10" customFormat="1" ht="27" customHeight="1">
      <c r="A36" s="57" t="s">
        <v>368</v>
      </c>
      <c r="B36" s="57" t="s">
        <v>252</v>
      </c>
      <c r="C36" s="57" t="s">
        <v>34</v>
      </c>
      <c r="D36" s="50" t="s">
        <v>249</v>
      </c>
      <c r="E36" s="50"/>
      <c r="F36" s="50"/>
      <c r="G36" s="50"/>
      <c r="H36" s="50"/>
      <c r="I36" s="51">
        <v>344000</v>
      </c>
      <c r="J36" s="51"/>
      <c r="K36" s="51">
        <f t="shared" si="0"/>
        <v>344000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</row>
    <row r="37" spans="1:35" s="10" customFormat="1" ht="64.5" customHeight="1">
      <c r="A37" s="57" t="s">
        <v>314</v>
      </c>
      <c r="B37" s="57" t="s">
        <v>302</v>
      </c>
      <c r="C37" s="57" t="s">
        <v>34</v>
      </c>
      <c r="D37" s="60" t="s">
        <v>313</v>
      </c>
      <c r="E37" s="50"/>
      <c r="F37" s="50"/>
      <c r="G37" s="50"/>
      <c r="H37" s="50"/>
      <c r="I37" s="51">
        <f>2563780+1000000</f>
        <v>3563780</v>
      </c>
      <c r="J37" s="51">
        <v>51000</v>
      </c>
      <c r="K37" s="51">
        <f t="shared" si="0"/>
        <v>3614780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</row>
    <row r="38" spans="1:35" s="5" customFormat="1" ht="42" customHeight="1">
      <c r="A38" s="61" t="s">
        <v>103</v>
      </c>
      <c r="B38" s="61"/>
      <c r="C38" s="61"/>
      <c r="D38" s="62" t="s">
        <v>16</v>
      </c>
      <c r="E38" s="62"/>
      <c r="F38" s="62"/>
      <c r="G38" s="62"/>
      <c r="H38" s="62"/>
      <c r="I38" s="45">
        <f>I39</f>
        <v>44747231.42</v>
      </c>
      <c r="J38" s="45">
        <f>J39</f>
        <v>10610000</v>
      </c>
      <c r="K38" s="45">
        <f>K39</f>
        <v>55357231.42</v>
      </c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</row>
    <row r="39" spans="1:35" s="6" customFormat="1" ht="42" customHeight="1">
      <c r="A39" s="63" t="s">
        <v>104</v>
      </c>
      <c r="B39" s="63"/>
      <c r="C39" s="63"/>
      <c r="D39" s="64" t="s">
        <v>16</v>
      </c>
      <c r="E39" s="64"/>
      <c r="F39" s="64"/>
      <c r="G39" s="64"/>
      <c r="H39" s="64"/>
      <c r="I39" s="48">
        <f>I41+I42+I43+I45+I46+I50+I53+I58+I55+I59+I47+I49</f>
        <v>44747231.42</v>
      </c>
      <c r="J39" s="48">
        <f>J41+J42+J43+J45+J46+J50+J53+J58+J55+J59+J47+J49</f>
        <v>10610000</v>
      </c>
      <c r="K39" s="48">
        <f>K41+K42+K43+K45+K46+K50+K53+K58+K55+K59+K47+K49</f>
        <v>55357231.42</v>
      </c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</row>
    <row r="40" spans="1:35" s="21" customFormat="1" ht="37.5" customHeight="1">
      <c r="A40" s="46"/>
      <c r="B40" s="46"/>
      <c r="C40" s="46"/>
      <c r="D40" s="64" t="s">
        <v>459</v>
      </c>
      <c r="E40" s="64"/>
      <c r="F40" s="64"/>
      <c r="G40" s="64"/>
      <c r="H40" s="64"/>
      <c r="I40" s="48">
        <f>I44+I48+I52+I57</f>
        <v>8088095.78</v>
      </c>
      <c r="J40" s="48">
        <f>J44+J48+J52+J57</f>
        <v>10077000</v>
      </c>
      <c r="K40" s="48">
        <f>K44+K48+K52+K57</f>
        <v>18165095.78</v>
      </c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</row>
    <row r="41" spans="1:35" s="7" customFormat="1" ht="54">
      <c r="A41" s="49" t="s">
        <v>105</v>
      </c>
      <c r="B41" s="49" t="s">
        <v>70</v>
      </c>
      <c r="C41" s="49" t="s">
        <v>35</v>
      </c>
      <c r="D41" s="50" t="s">
        <v>71</v>
      </c>
      <c r="E41" s="50"/>
      <c r="F41" s="50"/>
      <c r="G41" s="50"/>
      <c r="H41" s="50"/>
      <c r="I41" s="51">
        <v>16000</v>
      </c>
      <c r="J41" s="51"/>
      <c r="K41" s="51">
        <f aca="true" t="shared" si="1" ref="K41:K49">J41+I41</f>
        <v>16000</v>
      </c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</row>
    <row r="42" spans="1:35" s="7" customFormat="1" ht="28.5" customHeight="1">
      <c r="A42" s="49" t="s">
        <v>106</v>
      </c>
      <c r="B42" s="49" t="s">
        <v>37</v>
      </c>
      <c r="C42" s="49" t="s">
        <v>38</v>
      </c>
      <c r="D42" s="50" t="s">
        <v>86</v>
      </c>
      <c r="E42" s="50"/>
      <c r="F42" s="50"/>
      <c r="G42" s="50"/>
      <c r="H42" s="50"/>
      <c r="I42" s="51">
        <f>3500000+40000+300269+455116.65+15000+8000</f>
        <v>4318385.65</v>
      </c>
      <c r="J42" s="51">
        <v>60000</v>
      </c>
      <c r="K42" s="51">
        <f t="shared" si="1"/>
        <v>4378385.65</v>
      </c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</row>
    <row r="43" spans="1:35" s="7" customFormat="1" ht="133.5" customHeight="1">
      <c r="A43" s="49" t="s">
        <v>107</v>
      </c>
      <c r="B43" s="49" t="s">
        <v>39</v>
      </c>
      <c r="C43" s="49" t="s">
        <v>40</v>
      </c>
      <c r="D43" s="50" t="s">
        <v>87</v>
      </c>
      <c r="E43" s="50"/>
      <c r="F43" s="50"/>
      <c r="G43" s="50"/>
      <c r="H43" s="50"/>
      <c r="I43" s="51">
        <f>7400000+469705+50000+9851742-39059+70689+9975</f>
        <v>17813052</v>
      </c>
      <c r="J43" s="51">
        <f>26000+94690-7320</f>
        <v>113370</v>
      </c>
      <c r="K43" s="51">
        <f t="shared" si="1"/>
        <v>17926422</v>
      </c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</row>
    <row r="44" spans="1:35" s="20" customFormat="1" ht="18">
      <c r="A44" s="52"/>
      <c r="B44" s="52"/>
      <c r="C44" s="52"/>
      <c r="D44" s="53" t="s">
        <v>459</v>
      </c>
      <c r="E44" s="53"/>
      <c r="F44" s="53"/>
      <c r="G44" s="53"/>
      <c r="H44" s="53"/>
      <c r="I44" s="55">
        <v>1416542</v>
      </c>
      <c r="J44" s="55"/>
      <c r="K44" s="55">
        <f>J44+I44</f>
        <v>1416542</v>
      </c>
      <c r="L44" s="152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</row>
    <row r="45" spans="1:35" s="7" customFormat="1" ht="102" customHeight="1">
      <c r="A45" s="49" t="s">
        <v>144</v>
      </c>
      <c r="B45" s="49" t="s">
        <v>41</v>
      </c>
      <c r="C45" s="49" t="s">
        <v>42</v>
      </c>
      <c r="D45" s="50" t="s">
        <v>72</v>
      </c>
      <c r="E45" s="50"/>
      <c r="F45" s="50"/>
      <c r="G45" s="50"/>
      <c r="H45" s="50"/>
      <c r="I45" s="51">
        <v>100000</v>
      </c>
      <c r="J45" s="51">
        <v>3611</v>
      </c>
      <c r="K45" s="51">
        <f t="shared" si="1"/>
        <v>103611</v>
      </c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</row>
    <row r="46" spans="1:35" s="7" customFormat="1" ht="68.25" customHeight="1">
      <c r="A46" s="49" t="s">
        <v>145</v>
      </c>
      <c r="B46" s="49" t="s">
        <v>43</v>
      </c>
      <c r="C46" s="49" t="s">
        <v>44</v>
      </c>
      <c r="D46" s="50" t="s">
        <v>88</v>
      </c>
      <c r="E46" s="50"/>
      <c r="F46" s="50"/>
      <c r="G46" s="50"/>
      <c r="H46" s="50"/>
      <c r="I46" s="51">
        <f>400000+30000</f>
        <v>430000</v>
      </c>
      <c r="J46" s="51">
        <v>3709</v>
      </c>
      <c r="K46" s="51">
        <f t="shared" si="1"/>
        <v>433709</v>
      </c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</row>
    <row r="47" spans="1:35" s="7" customFormat="1" ht="46.5" customHeight="1">
      <c r="A47" s="49" t="s">
        <v>392</v>
      </c>
      <c r="B47" s="49" t="s">
        <v>393</v>
      </c>
      <c r="C47" s="49" t="s">
        <v>395</v>
      </c>
      <c r="D47" s="50" t="s">
        <v>394</v>
      </c>
      <c r="E47" s="50"/>
      <c r="F47" s="50"/>
      <c r="G47" s="50"/>
      <c r="H47" s="50"/>
      <c r="I47" s="51">
        <f>2300000+2700000-370000</f>
        <v>4630000</v>
      </c>
      <c r="J47" s="51"/>
      <c r="K47" s="51">
        <f t="shared" si="1"/>
        <v>4630000</v>
      </c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</row>
    <row r="48" spans="1:35" s="20" customFormat="1" ht="18">
      <c r="A48" s="52"/>
      <c r="B48" s="52"/>
      <c r="C48" s="52"/>
      <c r="D48" s="53" t="s">
        <v>459</v>
      </c>
      <c r="E48" s="53"/>
      <c r="F48" s="53"/>
      <c r="G48" s="53"/>
      <c r="H48" s="53"/>
      <c r="I48" s="55">
        <v>4630000</v>
      </c>
      <c r="J48" s="55"/>
      <c r="K48" s="55">
        <f>J48+I48</f>
        <v>4630000</v>
      </c>
      <c r="L48" s="152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</row>
    <row r="49" spans="1:35" s="7" customFormat="1" ht="36">
      <c r="A49" s="49" t="s">
        <v>420</v>
      </c>
      <c r="B49" s="49" t="s">
        <v>421</v>
      </c>
      <c r="C49" s="49" t="s">
        <v>46</v>
      </c>
      <c r="D49" s="59" t="s">
        <v>419</v>
      </c>
      <c r="E49" s="50"/>
      <c r="F49" s="50"/>
      <c r="G49" s="50"/>
      <c r="H49" s="50"/>
      <c r="I49" s="51">
        <v>13000</v>
      </c>
      <c r="J49" s="51"/>
      <c r="K49" s="51">
        <f t="shared" si="1"/>
        <v>13000</v>
      </c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</row>
    <row r="50" spans="1:35" s="7" customFormat="1" ht="44.25" customHeight="1">
      <c r="A50" s="49" t="s">
        <v>147</v>
      </c>
      <c r="B50" s="49" t="s">
        <v>148</v>
      </c>
      <c r="C50" s="49"/>
      <c r="D50" s="50" t="s">
        <v>146</v>
      </c>
      <c r="E50" s="50"/>
      <c r="F50" s="50"/>
      <c r="G50" s="50"/>
      <c r="H50" s="50"/>
      <c r="I50" s="51">
        <f>I51</f>
        <v>287950</v>
      </c>
      <c r="J50" s="51">
        <f>J51</f>
        <v>50000</v>
      </c>
      <c r="K50" s="51">
        <f>K51</f>
        <v>337950</v>
      </c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</row>
    <row r="51" spans="1:35" s="20" customFormat="1" ht="48" customHeight="1">
      <c r="A51" s="52" t="s">
        <v>235</v>
      </c>
      <c r="B51" s="52" t="s">
        <v>236</v>
      </c>
      <c r="C51" s="52" t="s">
        <v>46</v>
      </c>
      <c r="D51" s="65" t="s">
        <v>237</v>
      </c>
      <c r="E51" s="53"/>
      <c r="F51" s="53"/>
      <c r="G51" s="53"/>
      <c r="H51" s="53"/>
      <c r="I51" s="55">
        <f>180000+107950</f>
        <v>287950</v>
      </c>
      <c r="J51" s="55">
        <v>50000</v>
      </c>
      <c r="K51" s="55">
        <f>J51+I51</f>
        <v>337950</v>
      </c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</row>
    <row r="52" spans="1:35" s="20" customFormat="1" ht="18">
      <c r="A52" s="52"/>
      <c r="B52" s="52"/>
      <c r="C52" s="52"/>
      <c r="D52" s="53" t="s">
        <v>459</v>
      </c>
      <c r="E52" s="53"/>
      <c r="F52" s="53"/>
      <c r="G52" s="53"/>
      <c r="H52" s="53"/>
      <c r="I52" s="55">
        <v>107950</v>
      </c>
      <c r="J52" s="55"/>
      <c r="K52" s="55">
        <f>J52+I52</f>
        <v>107950</v>
      </c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</row>
    <row r="53" spans="1:35" s="7" customFormat="1" ht="42" customHeight="1">
      <c r="A53" s="49" t="s">
        <v>108</v>
      </c>
      <c r="B53" s="49" t="s">
        <v>65</v>
      </c>
      <c r="C53" s="49"/>
      <c r="D53" s="60" t="s">
        <v>67</v>
      </c>
      <c r="E53" s="60"/>
      <c r="F53" s="60"/>
      <c r="G53" s="60"/>
      <c r="H53" s="60"/>
      <c r="I53" s="51">
        <f>I54</f>
        <v>100000</v>
      </c>
      <c r="J53" s="51">
        <f>J54</f>
        <v>0</v>
      </c>
      <c r="K53" s="51">
        <f>K54</f>
        <v>100000</v>
      </c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</row>
    <row r="54" spans="1:35" s="10" customFormat="1" ht="71.25" customHeight="1">
      <c r="A54" s="52" t="s">
        <v>109</v>
      </c>
      <c r="B54" s="52" t="s">
        <v>66</v>
      </c>
      <c r="C54" s="52" t="s">
        <v>54</v>
      </c>
      <c r="D54" s="65" t="s">
        <v>14</v>
      </c>
      <c r="E54" s="65"/>
      <c r="F54" s="65"/>
      <c r="G54" s="65"/>
      <c r="H54" s="65"/>
      <c r="I54" s="55">
        <v>100000</v>
      </c>
      <c r="J54" s="55"/>
      <c r="K54" s="55">
        <f>J54+I54</f>
        <v>100000</v>
      </c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</row>
    <row r="55" spans="1:35" s="10" customFormat="1" ht="20.25" customHeight="1">
      <c r="A55" s="49" t="s">
        <v>306</v>
      </c>
      <c r="B55" s="49" t="s">
        <v>307</v>
      </c>
      <c r="C55" s="49"/>
      <c r="D55" s="66" t="s">
        <v>308</v>
      </c>
      <c r="E55" s="50"/>
      <c r="F55" s="50"/>
      <c r="G55" s="50"/>
      <c r="H55" s="50"/>
      <c r="I55" s="67">
        <f>SUM(I56)</f>
        <v>2087424.77</v>
      </c>
      <c r="J55" s="67">
        <f>SUM(J56)</f>
        <v>10379310</v>
      </c>
      <c r="K55" s="67">
        <f>SUM(K56)</f>
        <v>12466734.77</v>
      </c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</row>
    <row r="56" spans="1:35" s="10" customFormat="1" ht="75.75" customHeight="1">
      <c r="A56" s="52" t="s">
        <v>304</v>
      </c>
      <c r="B56" s="52" t="s">
        <v>315</v>
      </c>
      <c r="C56" s="52" t="s">
        <v>56</v>
      </c>
      <c r="D56" s="68" t="s">
        <v>305</v>
      </c>
      <c r="E56" s="53"/>
      <c r="F56" s="53"/>
      <c r="G56" s="53"/>
      <c r="H56" s="53"/>
      <c r="I56" s="69">
        <v>2087424.77</v>
      </c>
      <c r="J56" s="69">
        <f>302310+10077000</f>
        <v>10379310</v>
      </c>
      <c r="K56" s="69">
        <f>J56+I56</f>
        <v>12466734.77</v>
      </c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</row>
    <row r="57" spans="1:35" s="20" customFormat="1" ht="18">
      <c r="A57" s="52"/>
      <c r="B57" s="52"/>
      <c r="C57" s="52"/>
      <c r="D57" s="53" t="s">
        <v>459</v>
      </c>
      <c r="E57" s="53"/>
      <c r="F57" s="53"/>
      <c r="G57" s="53"/>
      <c r="H57" s="53"/>
      <c r="I57" s="55">
        <v>1933603.78</v>
      </c>
      <c r="J57" s="55">
        <v>10077000</v>
      </c>
      <c r="K57" s="55">
        <f>J57+I57</f>
        <v>12010603.78</v>
      </c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</row>
    <row r="58" spans="1:35" s="10" customFormat="1" ht="20.25" customHeight="1">
      <c r="A58" s="49" t="s">
        <v>110</v>
      </c>
      <c r="B58" s="49" t="s">
        <v>2</v>
      </c>
      <c r="C58" s="49" t="s">
        <v>57</v>
      </c>
      <c r="D58" s="50" t="s">
        <v>26</v>
      </c>
      <c r="E58" s="50"/>
      <c r="F58" s="50"/>
      <c r="G58" s="50"/>
      <c r="H58" s="50"/>
      <c r="I58" s="51">
        <f>11768000+900000+283419</f>
        <v>12951419</v>
      </c>
      <c r="J58" s="51"/>
      <c r="K58" s="51">
        <f>J58+I58</f>
        <v>12951419</v>
      </c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</row>
    <row r="59" spans="1:35" s="10" customFormat="1" ht="74.25" customHeight="1">
      <c r="A59" s="49" t="s">
        <v>343</v>
      </c>
      <c r="B59" s="49" t="s">
        <v>302</v>
      </c>
      <c r="C59" s="49" t="s">
        <v>34</v>
      </c>
      <c r="D59" s="50" t="s">
        <v>313</v>
      </c>
      <c r="E59" s="50"/>
      <c r="F59" s="50"/>
      <c r="G59" s="50"/>
      <c r="H59" s="50"/>
      <c r="I59" s="51">
        <v>2000000</v>
      </c>
      <c r="J59" s="51"/>
      <c r="K59" s="51">
        <f>J59+I59</f>
        <v>2000000</v>
      </c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</row>
    <row r="60" spans="1:35" s="5" customFormat="1" ht="40.5" customHeight="1">
      <c r="A60" s="43" t="s">
        <v>111</v>
      </c>
      <c r="B60" s="43"/>
      <c r="C60" s="43"/>
      <c r="D60" s="62" t="s">
        <v>18</v>
      </c>
      <c r="E60" s="62"/>
      <c r="F60" s="62"/>
      <c r="G60" s="62"/>
      <c r="H60" s="62"/>
      <c r="I60" s="45">
        <f>I61</f>
        <v>43451368.6</v>
      </c>
      <c r="J60" s="45">
        <f>J61</f>
        <v>3159000</v>
      </c>
      <c r="K60" s="45">
        <f>K61</f>
        <v>46610368.6</v>
      </c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</row>
    <row r="61" spans="1:35" s="6" customFormat="1" ht="46.5" customHeight="1">
      <c r="A61" s="46" t="s">
        <v>112</v>
      </c>
      <c r="B61" s="46"/>
      <c r="C61" s="46"/>
      <c r="D61" s="64" t="s">
        <v>18</v>
      </c>
      <c r="E61" s="64"/>
      <c r="F61" s="64"/>
      <c r="G61" s="64"/>
      <c r="H61" s="64"/>
      <c r="I61" s="48">
        <f>I63+I73+I70+I64+I65+I69</f>
        <v>43451368.6</v>
      </c>
      <c r="J61" s="48">
        <f>J63+J73+J70+J64+J65+J69</f>
        <v>3159000</v>
      </c>
      <c r="K61" s="48">
        <f>K63+K73+K70+K64+K65+K69</f>
        <v>46610368.6</v>
      </c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</row>
    <row r="62" spans="1:35" s="21" customFormat="1" ht="18">
      <c r="A62" s="46"/>
      <c r="B62" s="46"/>
      <c r="C62" s="46"/>
      <c r="D62" s="64" t="s">
        <v>459</v>
      </c>
      <c r="E62" s="64"/>
      <c r="F62" s="64"/>
      <c r="G62" s="64"/>
      <c r="H62" s="64"/>
      <c r="I62" s="48">
        <f>I72</f>
        <v>1335964.66</v>
      </c>
      <c r="J62" s="48">
        <f>J72</f>
        <v>3194000</v>
      </c>
      <c r="K62" s="48">
        <f>K72</f>
        <v>4529964.66</v>
      </c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</row>
    <row r="63" spans="1:35" s="7" customFormat="1" ht="60" customHeight="1">
      <c r="A63" s="49" t="s">
        <v>113</v>
      </c>
      <c r="B63" s="49" t="s">
        <v>47</v>
      </c>
      <c r="C63" s="49" t="s">
        <v>48</v>
      </c>
      <c r="D63" s="50" t="s">
        <v>20</v>
      </c>
      <c r="E63" s="50"/>
      <c r="F63" s="50"/>
      <c r="G63" s="50"/>
      <c r="H63" s="50"/>
      <c r="I63" s="51">
        <f>20000000+350000+182000+7028800+181429+1109000-249000</f>
        <v>28602229</v>
      </c>
      <c r="J63" s="51">
        <f>-95820-15000</f>
        <v>-110820</v>
      </c>
      <c r="K63" s="51">
        <f>J63+I63</f>
        <v>28491409</v>
      </c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</row>
    <row r="64" spans="1:35" s="7" customFormat="1" ht="36">
      <c r="A64" s="49" t="s">
        <v>377</v>
      </c>
      <c r="B64" s="49" t="s">
        <v>378</v>
      </c>
      <c r="C64" s="49" t="s">
        <v>380</v>
      </c>
      <c r="D64" s="50" t="s">
        <v>379</v>
      </c>
      <c r="E64" s="50"/>
      <c r="F64" s="50"/>
      <c r="G64" s="50"/>
      <c r="H64" s="50"/>
      <c r="I64" s="51">
        <f>15000+115000</f>
        <v>130000</v>
      </c>
      <c r="J64" s="51"/>
      <c r="K64" s="51">
        <f>J64+I64</f>
        <v>130000</v>
      </c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</row>
    <row r="65" spans="1:35" s="7" customFormat="1" ht="18">
      <c r="A65" s="49" t="s">
        <v>381</v>
      </c>
      <c r="B65" s="49" t="s">
        <v>382</v>
      </c>
      <c r="C65" s="49"/>
      <c r="D65" s="50" t="s">
        <v>383</v>
      </c>
      <c r="E65" s="50"/>
      <c r="F65" s="50"/>
      <c r="G65" s="50"/>
      <c r="H65" s="50"/>
      <c r="I65" s="51">
        <f>I66+I67</f>
        <v>89600</v>
      </c>
      <c r="J65" s="51">
        <f>J66+J67</f>
        <v>-20000</v>
      </c>
      <c r="K65" s="51">
        <f>K66+K67</f>
        <v>69600</v>
      </c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</row>
    <row r="66" spans="1:35" s="10" customFormat="1" ht="58.5" customHeight="1">
      <c r="A66" s="52" t="s">
        <v>384</v>
      </c>
      <c r="B66" s="52" t="s">
        <v>385</v>
      </c>
      <c r="C66" s="52" t="s">
        <v>387</v>
      </c>
      <c r="D66" s="53" t="s">
        <v>386</v>
      </c>
      <c r="E66" s="53"/>
      <c r="F66" s="53"/>
      <c r="G66" s="53"/>
      <c r="H66" s="53"/>
      <c r="I66" s="55">
        <v>35000</v>
      </c>
      <c r="J66" s="55"/>
      <c r="K66" s="51">
        <f>J66+I66</f>
        <v>35000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</row>
    <row r="67" spans="1:35" s="10" customFormat="1" ht="72.75" customHeight="1">
      <c r="A67" s="52" t="s">
        <v>388</v>
      </c>
      <c r="B67" s="52" t="s">
        <v>389</v>
      </c>
      <c r="C67" s="52" t="s">
        <v>390</v>
      </c>
      <c r="D67" s="53" t="s">
        <v>391</v>
      </c>
      <c r="E67" s="53"/>
      <c r="F67" s="53"/>
      <c r="G67" s="53"/>
      <c r="H67" s="53"/>
      <c r="I67" s="55">
        <f>22600+12000+20000</f>
        <v>54600</v>
      </c>
      <c r="J67" s="55">
        <v>-20000</v>
      </c>
      <c r="K67" s="51">
        <f>J67+I67</f>
        <v>34600</v>
      </c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</row>
    <row r="68" spans="1:35" s="7" customFormat="1" ht="36">
      <c r="A68" s="49" t="s">
        <v>406</v>
      </c>
      <c r="B68" s="49" t="s">
        <v>407</v>
      </c>
      <c r="C68" s="49"/>
      <c r="D68" s="50" t="s">
        <v>410</v>
      </c>
      <c r="E68" s="50"/>
      <c r="F68" s="50"/>
      <c r="G68" s="50"/>
      <c r="H68" s="50"/>
      <c r="I68" s="51">
        <f>I69</f>
        <v>3406496</v>
      </c>
      <c r="J68" s="51">
        <f>J69</f>
        <v>0</v>
      </c>
      <c r="K68" s="51">
        <f>K69</f>
        <v>3406496</v>
      </c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</row>
    <row r="69" spans="1:35" s="10" customFormat="1" ht="36">
      <c r="A69" s="52" t="s">
        <v>409</v>
      </c>
      <c r="B69" s="52" t="s">
        <v>408</v>
      </c>
      <c r="C69" s="52" t="s">
        <v>412</v>
      </c>
      <c r="D69" s="53" t="s">
        <v>411</v>
      </c>
      <c r="E69" s="53"/>
      <c r="F69" s="53"/>
      <c r="G69" s="53"/>
      <c r="H69" s="53"/>
      <c r="I69" s="55">
        <v>3406496</v>
      </c>
      <c r="J69" s="55"/>
      <c r="K69" s="55">
        <f>J69+I69</f>
        <v>3406496</v>
      </c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</row>
    <row r="70" spans="1:35" s="7" customFormat="1" ht="32.25" customHeight="1">
      <c r="A70" s="49" t="s">
        <v>334</v>
      </c>
      <c r="B70" s="49" t="s">
        <v>307</v>
      </c>
      <c r="C70" s="49"/>
      <c r="D70" s="50" t="s">
        <v>308</v>
      </c>
      <c r="E70" s="50"/>
      <c r="F70" s="50"/>
      <c r="G70" s="50"/>
      <c r="H70" s="50"/>
      <c r="I70" s="51">
        <f>SUM(I71)</f>
        <v>1376043.6</v>
      </c>
      <c r="J70" s="51">
        <f>SUM(J71)</f>
        <v>3289820</v>
      </c>
      <c r="K70" s="51">
        <f>SUM(K71)</f>
        <v>4665863.6</v>
      </c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</row>
    <row r="71" spans="1:35" s="10" customFormat="1" ht="84.75" customHeight="1">
      <c r="A71" s="52" t="s">
        <v>335</v>
      </c>
      <c r="B71" s="52" t="s">
        <v>315</v>
      </c>
      <c r="C71" s="52" t="s">
        <v>56</v>
      </c>
      <c r="D71" s="53" t="s">
        <v>305</v>
      </c>
      <c r="E71" s="53"/>
      <c r="F71" s="53"/>
      <c r="G71" s="53"/>
      <c r="H71" s="53"/>
      <c r="I71" s="55">
        <v>1376043.6</v>
      </c>
      <c r="J71" s="55">
        <f>95820+3194000</f>
        <v>3289820</v>
      </c>
      <c r="K71" s="55">
        <f>J71+I71</f>
        <v>4665863.6</v>
      </c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</row>
    <row r="72" spans="1:35" s="20" customFormat="1" ht="18">
      <c r="A72" s="52"/>
      <c r="B72" s="52"/>
      <c r="C72" s="52"/>
      <c r="D72" s="53" t="s">
        <v>459</v>
      </c>
      <c r="E72" s="53"/>
      <c r="F72" s="53"/>
      <c r="G72" s="53"/>
      <c r="H72" s="53"/>
      <c r="I72" s="55">
        <v>1335964.66</v>
      </c>
      <c r="J72" s="55">
        <v>3194000</v>
      </c>
      <c r="K72" s="55">
        <f>J72+I72</f>
        <v>4529964.66</v>
      </c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</row>
    <row r="73" spans="1:35" s="7" customFormat="1" ht="26.25" customHeight="1">
      <c r="A73" s="49" t="s">
        <v>114</v>
      </c>
      <c r="B73" s="49" t="s">
        <v>2</v>
      </c>
      <c r="C73" s="49" t="s">
        <v>57</v>
      </c>
      <c r="D73" s="50" t="s">
        <v>26</v>
      </c>
      <c r="E73" s="50"/>
      <c r="F73" s="50"/>
      <c r="G73" s="50"/>
      <c r="H73" s="50"/>
      <c r="I73" s="51">
        <f>6847000+3000000</f>
        <v>9847000</v>
      </c>
      <c r="J73" s="51"/>
      <c r="K73" s="51">
        <f>J73+I73</f>
        <v>9847000</v>
      </c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</row>
    <row r="74" spans="1:35" s="5" customFormat="1" ht="57" customHeight="1">
      <c r="A74" s="43" t="s">
        <v>115</v>
      </c>
      <c r="B74" s="43"/>
      <c r="C74" s="43"/>
      <c r="D74" s="62" t="s">
        <v>30</v>
      </c>
      <c r="E74" s="62"/>
      <c r="F74" s="62"/>
      <c r="G74" s="62"/>
      <c r="H74" s="62"/>
      <c r="I74" s="45">
        <f>I75</f>
        <v>6019081.21</v>
      </c>
      <c r="J74" s="45">
        <f>J75</f>
        <v>7773968.47</v>
      </c>
      <c r="K74" s="45">
        <f>K75</f>
        <v>13793049.68</v>
      </c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</row>
    <row r="75" spans="1:35" s="6" customFormat="1" ht="60.75" customHeight="1">
      <c r="A75" s="46" t="s">
        <v>116</v>
      </c>
      <c r="B75" s="46"/>
      <c r="C75" s="46"/>
      <c r="D75" s="64" t="s">
        <v>30</v>
      </c>
      <c r="E75" s="64"/>
      <c r="F75" s="64"/>
      <c r="G75" s="64"/>
      <c r="H75" s="64"/>
      <c r="I75" s="48">
        <f>I77+I78+I89+I80+I82</f>
        <v>6019081.21</v>
      </c>
      <c r="J75" s="48">
        <f>J77+J78+J89+J80+J82</f>
        <v>7773968.47</v>
      </c>
      <c r="K75" s="48">
        <f>K77+K78+K89+K80+K82</f>
        <v>13793049.68</v>
      </c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</row>
    <row r="76" spans="1:35" s="21" customFormat="1" ht="18">
      <c r="A76" s="46"/>
      <c r="B76" s="46"/>
      <c r="C76" s="46"/>
      <c r="D76" s="64" t="s">
        <v>459</v>
      </c>
      <c r="E76" s="64"/>
      <c r="F76" s="64"/>
      <c r="G76" s="64"/>
      <c r="H76" s="64"/>
      <c r="I76" s="48">
        <f>I84+I88+I86</f>
        <v>4839581.21</v>
      </c>
      <c r="J76" s="48">
        <f>J84+J88+J86</f>
        <v>7773968.47</v>
      </c>
      <c r="K76" s="48">
        <f>K84+K88+K86</f>
        <v>12613549.68</v>
      </c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</row>
    <row r="77" spans="1:35" s="7" customFormat="1" ht="80.25" customHeight="1">
      <c r="A77" s="70" t="s">
        <v>117</v>
      </c>
      <c r="B77" s="70" t="s">
        <v>70</v>
      </c>
      <c r="C77" s="70" t="s">
        <v>35</v>
      </c>
      <c r="D77" s="71" t="s">
        <v>71</v>
      </c>
      <c r="E77" s="71"/>
      <c r="F77" s="71"/>
      <c r="G77" s="71"/>
      <c r="H77" s="71"/>
      <c r="I77" s="72">
        <f>700000-128000</f>
        <v>572000</v>
      </c>
      <c r="J77" s="72"/>
      <c r="K77" s="72">
        <f>J77+I77</f>
        <v>572000</v>
      </c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</row>
    <row r="78" spans="1:35" s="11" customFormat="1" ht="92.25" customHeight="1">
      <c r="A78" s="49" t="s">
        <v>118</v>
      </c>
      <c r="B78" s="73">
        <v>3030</v>
      </c>
      <c r="C78" s="73"/>
      <c r="D78" s="50" t="s">
        <v>73</v>
      </c>
      <c r="E78" s="50"/>
      <c r="F78" s="50"/>
      <c r="G78" s="50"/>
      <c r="H78" s="50"/>
      <c r="I78" s="51">
        <f>I79</f>
        <v>214000</v>
      </c>
      <c r="J78" s="51">
        <f>J79</f>
        <v>0</v>
      </c>
      <c r="K78" s="51">
        <f>K79</f>
        <v>214000</v>
      </c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</row>
    <row r="79" spans="1:35" s="12" customFormat="1" ht="60" customHeight="1">
      <c r="A79" s="157" t="s">
        <v>119</v>
      </c>
      <c r="B79" s="74">
        <v>3031</v>
      </c>
      <c r="C79" s="74">
        <v>1030</v>
      </c>
      <c r="D79" s="75" t="s">
        <v>74</v>
      </c>
      <c r="E79" s="75"/>
      <c r="F79" s="75"/>
      <c r="G79" s="75"/>
      <c r="H79" s="75"/>
      <c r="I79" s="76">
        <v>214000</v>
      </c>
      <c r="J79" s="76"/>
      <c r="K79" s="76">
        <f>J79+I79</f>
        <v>214000</v>
      </c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</row>
    <row r="80" spans="1:35" s="12" customFormat="1" ht="98.25" customHeight="1">
      <c r="A80" s="49" t="s">
        <v>120</v>
      </c>
      <c r="B80" s="73">
        <v>3100</v>
      </c>
      <c r="C80" s="73"/>
      <c r="D80" s="50" t="s">
        <v>250</v>
      </c>
      <c r="E80" s="53"/>
      <c r="F80" s="53"/>
      <c r="G80" s="53"/>
      <c r="H80" s="53"/>
      <c r="I80" s="51">
        <f>I81</f>
        <v>18500</v>
      </c>
      <c r="J80" s="51">
        <f>J81</f>
        <v>0</v>
      </c>
      <c r="K80" s="51">
        <f>K81</f>
        <v>18500</v>
      </c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</row>
    <row r="81" spans="1:35" s="12" customFormat="1" ht="96.75" customHeight="1">
      <c r="A81" s="52" t="s">
        <v>121</v>
      </c>
      <c r="B81" s="77">
        <v>3104</v>
      </c>
      <c r="C81" s="77">
        <v>1020</v>
      </c>
      <c r="D81" s="53" t="s">
        <v>23</v>
      </c>
      <c r="E81" s="53"/>
      <c r="F81" s="53"/>
      <c r="G81" s="53"/>
      <c r="H81" s="53"/>
      <c r="I81" s="55">
        <v>18500</v>
      </c>
      <c r="J81" s="55"/>
      <c r="K81" s="55">
        <f>J81+I81</f>
        <v>18500</v>
      </c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</row>
    <row r="82" spans="1:35" s="11" customFormat="1" ht="92.25" customHeight="1">
      <c r="A82" s="49" t="s">
        <v>435</v>
      </c>
      <c r="B82" s="73">
        <v>3220</v>
      </c>
      <c r="C82" s="73"/>
      <c r="D82" s="50" t="s">
        <v>437</v>
      </c>
      <c r="E82" s="50"/>
      <c r="F82" s="50"/>
      <c r="G82" s="50"/>
      <c r="H82" s="50"/>
      <c r="I82" s="51">
        <f>I83+I87+I85</f>
        <v>4839581.21</v>
      </c>
      <c r="J82" s="51">
        <f>J83+J87+J85</f>
        <v>7773968.47</v>
      </c>
      <c r="K82" s="51">
        <f>K83+K87+K85</f>
        <v>12613549.68</v>
      </c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</row>
    <row r="83" spans="1:35" s="12" customFormat="1" ht="366" customHeight="1">
      <c r="A83" s="52" t="s">
        <v>436</v>
      </c>
      <c r="B83" s="77">
        <v>3221</v>
      </c>
      <c r="C83" s="77">
        <v>1060</v>
      </c>
      <c r="D83" s="53" t="s">
        <v>438</v>
      </c>
      <c r="E83" s="53"/>
      <c r="F83" s="53"/>
      <c r="G83" s="53"/>
      <c r="H83" s="53"/>
      <c r="I83" s="55">
        <v>4839581.21</v>
      </c>
      <c r="J83" s="55">
        <v>1707954</v>
      </c>
      <c r="K83" s="55">
        <f aca="true" t="shared" si="2" ref="K83:K88">J83+I83</f>
        <v>6547535.21</v>
      </c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</row>
    <row r="84" spans="1:35" s="20" customFormat="1" ht="49.5" customHeight="1">
      <c r="A84" s="52"/>
      <c r="B84" s="52"/>
      <c r="C84" s="52"/>
      <c r="D84" s="53" t="s">
        <v>459</v>
      </c>
      <c r="E84" s="53"/>
      <c r="F84" s="53"/>
      <c r="G84" s="53"/>
      <c r="H84" s="53"/>
      <c r="I84" s="55">
        <v>4839581.21</v>
      </c>
      <c r="J84" s="55">
        <v>1707954</v>
      </c>
      <c r="K84" s="55">
        <f t="shared" si="2"/>
        <v>6547535.21</v>
      </c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</row>
    <row r="85" spans="1:35" s="20" customFormat="1" ht="288">
      <c r="A85" s="52" t="s">
        <v>475</v>
      </c>
      <c r="B85" s="52" t="s">
        <v>476</v>
      </c>
      <c r="C85" s="52" t="s">
        <v>477</v>
      </c>
      <c r="D85" s="78" t="s">
        <v>484</v>
      </c>
      <c r="E85" s="53"/>
      <c r="F85" s="53"/>
      <c r="G85" s="53"/>
      <c r="H85" s="53"/>
      <c r="I85" s="55"/>
      <c r="J85" s="55">
        <v>2544480</v>
      </c>
      <c r="K85" s="55">
        <f t="shared" si="2"/>
        <v>2544480</v>
      </c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</row>
    <row r="86" spans="1:35" s="20" customFormat="1" ht="18">
      <c r="A86" s="52"/>
      <c r="B86" s="52"/>
      <c r="C86" s="52"/>
      <c r="D86" s="53" t="s">
        <v>459</v>
      </c>
      <c r="E86" s="53"/>
      <c r="F86" s="53"/>
      <c r="G86" s="53"/>
      <c r="H86" s="53"/>
      <c r="I86" s="55"/>
      <c r="J86" s="55">
        <v>2544480</v>
      </c>
      <c r="K86" s="55">
        <f t="shared" si="2"/>
        <v>2544480</v>
      </c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</row>
    <row r="87" spans="1:35" s="22" customFormat="1" ht="333.75" customHeight="1">
      <c r="A87" s="52" t="s">
        <v>452</v>
      </c>
      <c r="B87" s="77">
        <v>3223</v>
      </c>
      <c r="C87" s="77">
        <v>1060</v>
      </c>
      <c r="D87" s="53" t="s">
        <v>460</v>
      </c>
      <c r="E87" s="53"/>
      <c r="F87" s="53"/>
      <c r="G87" s="53"/>
      <c r="H87" s="53"/>
      <c r="I87" s="55"/>
      <c r="J87" s="55">
        <f>3073823.38+447711.09</f>
        <v>3521534.4699999997</v>
      </c>
      <c r="K87" s="55">
        <f t="shared" si="2"/>
        <v>3521534.4699999997</v>
      </c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</row>
    <row r="88" spans="1:35" s="20" customFormat="1" ht="18">
      <c r="A88" s="52"/>
      <c r="B88" s="52"/>
      <c r="C88" s="52"/>
      <c r="D88" s="53" t="s">
        <v>459</v>
      </c>
      <c r="E88" s="53"/>
      <c r="F88" s="53"/>
      <c r="G88" s="53"/>
      <c r="H88" s="53"/>
      <c r="I88" s="55"/>
      <c r="J88" s="55">
        <f>3073823.38+447711.09</f>
        <v>3521534.4699999997</v>
      </c>
      <c r="K88" s="55">
        <f t="shared" si="2"/>
        <v>3521534.4699999997</v>
      </c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</row>
    <row r="89" spans="1:35" s="7" customFormat="1" ht="26.25" customHeight="1">
      <c r="A89" s="49" t="s">
        <v>248</v>
      </c>
      <c r="B89" s="73">
        <v>3240</v>
      </c>
      <c r="C89" s="73"/>
      <c r="D89" s="50" t="s">
        <v>78</v>
      </c>
      <c r="E89" s="50"/>
      <c r="F89" s="50"/>
      <c r="G89" s="50"/>
      <c r="H89" s="50"/>
      <c r="I89" s="51">
        <f>I90+I91</f>
        <v>375000</v>
      </c>
      <c r="J89" s="51">
        <f>J90+J91</f>
        <v>0</v>
      </c>
      <c r="K89" s="51">
        <f>K90+K91</f>
        <v>375000</v>
      </c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</row>
    <row r="90" spans="1:35" s="10" customFormat="1" ht="60" customHeight="1">
      <c r="A90" s="52" t="s">
        <v>238</v>
      </c>
      <c r="B90" s="77">
        <v>3241</v>
      </c>
      <c r="C90" s="77">
        <v>1090</v>
      </c>
      <c r="D90" s="53" t="s">
        <v>239</v>
      </c>
      <c r="E90" s="53"/>
      <c r="F90" s="53"/>
      <c r="G90" s="53"/>
      <c r="H90" s="53"/>
      <c r="I90" s="55">
        <v>300000</v>
      </c>
      <c r="J90" s="55"/>
      <c r="K90" s="55">
        <f>J90+I90</f>
        <v>300000</v>
      </c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</row>
    <row r="91" spans="1:35" s="10" customFormat="1" ht="57" customHeight="1">
      <c r="A91" s="52" t="s">
        <v>240</v>
      </c>
      <c r="B91" s="77">
        <v>3242</v>
      </c>
      <c r="C91" s="77">
        <v>1090</v>
      </c>
      <c r="D91" s="53" t="s">
        <v>241</v>
      </c>
      <c r="E91" s="53"/>
      <c r="F91" s="53"/>
      <c r="G91" s="53"/>
      <c r="H91" s="53"/>
      <c r="I91" s="55">
        <v>75000</v>
      </c>
      <c r="J91" s="55"/>
      <c r="K91" s="55">
        <f>J91+I91</f>
        <v>75000</v>
      </c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</row>
    <row r="92" spans="1:35" s="21" customFormat="1" ht="49.5" customHeight="1">
      <c r="A92" s="43" t="s">
        <v>479</v>
      </c>
      <c r="B92" s="79"/>
      <c r="C92" s="79"/>
      <c r="D92" s="62" t="s">
        <v>480</v>
      </c>
      <c r="E92" s="62"/>
      <c r="F92" s="62"/>
      <c r="G92" s="62"/>
      <c r="H92" s="62"/>
      <c r="I92" s="45">
        <f>SUM(I93)</f>
        <v>0</v>
      </c>
      <c r="J92" s="45">
        <f>SUM(J93)</f>
        <v>809800</v>
      </c>
      <c r="K92" s="45">
        <f>SUM(K93)</f>
        <v>809800</v>
      </c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</row>
    <row r="93" spans="1:35" s="21" customFormat="1" ht="49.5" customHeight="1">
      <c r="A93" s="46" t="s">
        <v>483</v>
      </c>
      <c r="B93" s="79"/>
      <c r="C93" s="79"/>
      <c r="D93" s="64" t="s">
        <v>480</v>
      </c>
      <c r="E93" s="64"/>
      <c r="F93" s="64"/>
      <c r="G93" s="64"/>
      <c r="H93" s="64"/>
      <c r="I93" s="48">
        <f>SUM(I95)</f>
        <v>0</v>
      </c>
      <c r="J93" s="48">
        <f>SUM(J95)</f>
        <v>809800</v>
      </c>
      <c r="K93" s="48">
        <f>SUM(K95)</f>
        <v>809800</v>
      </c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</row>
    <row r="94" spans="1:35" s="21" customFormat="1" ht="45" customHeight="1" thickBot="1">
      <c r="A94" s="46"/>
      <c r="B94" s="79"/>
      <c r="C94" s="79"/>
      <c r="D94" s="64" t="s">
        <v>459</v>
      </c>
      <c r="E94" s="64"/>
      <c r="F94" s="64"/>
      <c r="G94" s="64"/>
      <c r="H94" s="64"/>
      <c r="I94" s="48">
        <f>SUM(I97)</f>
        <v>0</v>
      </c>
      <c r="J94" s="48">
        <f>SUM(J97)</f>
        <v>809800</v>
      </c>
      <c r="K94" s="48">
        <f>SUM(K97)</f>
        <v>809800</v>
      </c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</row>
    <row r="95" spans="1:35" s="20" customFormat="1" ht="51" customHeight="1" thickBot="1">
      <c r="A95" s="52" t="s">
        <v>478</v>
      </c>
      <c r="B95" s="77">
        <v>6080</v>
      </c>
      <c r="C95" s="52" t="s">
        <v>340</v>
      </c>
      <c r="D95" s="80" t="s">
        <v>338</v>
      </c>
      <c r="E95" s="50"/>
      <c r="F95" s="50"/>
      <c r="G95" s="50"/>
      <c r="H95" s="50"/>
      <c r="I95" s="51">
        <f>SUM(I96)</f>
        <v>0</v>
      </c>
      <c r="J95" s="51">
        <f>SUM(J96)</f>
        <v>809800</v>
      </c>
      <c r="K95" s="51">
        <f>SUM(K96)</f>
        <v>809800</v>
      </c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</row>
    <row r="96" spans="1:35" s="20" customFormat="1" ht="117.75" customHeight="1">
      <c r="A96" s="52" t="s">
        <v>481</v>
      </c>
      <c r="B96" s="77">
        <v>6083</v>
      </c>
      <c r="C96" s="52" t="s">
        <v>340</v>
      </c>
      <c r="D96" s="78" t="s">
        <v>482</v>
      </c>
      <c r="E96" s="53"/>
      <c r="F96" s="53"/>
      <c r="G96" s="53"/>
      <c r="H96" s="53"/>
      <c r="I96" s="55"/>
      <c r="J96" s="55">
        <v>809800</v>
      </c>
      <c r="K96" s="55">
        <f>SUM(I96)+J96</f>
        <v>809800</v>
      </c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</row>
    <row r="97" spans="1:35" s="20" customFormat="1" ht="30.75" customHeight="1">
      <c r="A97" s="52"/>
      <c r="B97" s="77"/>
      <c r="C97" s="77"/>
      <c r="D97" s="64" t="s">
        <v>459</v>
      </c>
      <c r="E97" s="53"/>
      <c r="F97" s="53"/>
      <c r="G97" s="53"/>
      <c r="H97" s="53"/>
      <c r="I97" s="55"/>
      <c r="J97" s="55">
        <v>809800</v>
      </c>
      <c r="K97" s="55">
        <f>SUM(I97)+J97</f>
        <v>809800</v>
      </c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</row>
    <row r="98" spans="1:35" s="5" customFormat="1" ht="45" customHeight="1">
      <c r="A98" s="43" t="s">
        <v>17</v>
      </c>
      <c r="B98" s="43"/>
      <c r="C98" s="43"/>
      <c r="D98" s="62" t="s">
        <v>24</v>
      </c>
      <c r="E98" s="62"/>
      <c r="F98" s="62"/>
      <c r="G98" s="62"/>
      <c r="H98" s="62"/>
      <c r="I98" s="45">
        <f>I99</f>
        <v>3150450</v>
      </c>
      <c r="J98" s="45">
        <f>J99</f>
        <v>500000</v>
      </c>
      <c r="K98" s="45">
        <f>K99</f>
        <v>3650450</v>
      </c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</row>
    <row r="99" spans="1:35" s="6" customFormat="1" ht="42.75" customHeight="1">
      <c r="A99" s="46" t="s">
        <v>122</v>
      </c>
      <c r="B99" s="46"/>
      <c r="C99" s="46"/>
      <c r="D99" s="64" t="s">
        <v>24</v>
      </c>
      <c r="E99" s="64"/>
      <c r="F99" s="64"/>
      <c r="G99" s="64"/>
      <c r="H99" s="64"/>
      <c r="I99" s="48">
        <f>I101+I102+I103+I104+I109+I106</f>
        <v>3150450</v>
      </c>
      <c r="J99" s="48">
        <f>J101+J102+J103+J104+J109+J106</f>
        <v>500000</v>
      </c>
      <c r="K99" s="48">
        <f>K101+K102+K103+K104+K109+K106</f>
        <v>3650450</v>
      </c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</row>
    <row r="100" spans="1:35" s="21" customFormat="1" ht="18">
      <c r="A100" s="46"/>
      <c r="B100" s="46"/>
      <c r="C100" s="46"/>
      <c r="D100" s="64" t="s">
        <v>459</v>
      </c>
      <c r="E100" s="64"/>
      <c r="F100" s="64"/>
      <c r="G100" s="64"/>
      <c r="H100" s="64"/>
      <c r="I100" s="48">
        <f>I108</f>
        <v>0</v>
      </c>
      <c r="J100" s="48">
        <f>J108</f>
        <v>500000</v>
      </c>
      <c r="K100" s="48">
        <f>K108</f>
        <v>500000</v>
      </c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</row>
    <row r="101" spans="1:35" s="7" customFormat="1" ht="66.75" customHeight="1">
      <c r="A101" s="49" t="s">
        <v>85</v>
      </c>
      <c r="B101" s="49" t="s">
        <v>70</v>
      </c>
      <c r="C101" s="49" t="s">
        <v>35</v>
      </c>
      <c r="D101" s="50" t="s">
        <v>71</v>
      </c>
      <c r="E101" s="50"/>
      <c r="F101" s="50"/>
      <c r="G101" s="50"/>
      <c r="H101" s="50"/>
      <c r="I101" s="51">
        <v>10000</v>
      </c>
      <c r="J101" s="51"/>
      <c r="K101" s="51">
        <f>J101+I101</f>
        <v>10000</v>
      </c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</row>
    <row r="102" spans="1:35" s="7" customFormat="1" ht="78" customHeight="1">
      <c r="A102" s="49" t="s">
        <v>143</v>
      </c>
      <c r="B102" s="49" t="s">
        <v>45</v>
      </c>
      <c r="C102" s="49" t="s">
        <v>44</v>
      </c>
      <c r="D102" s="50" t="s">
        <v>8</v>
      </c>
      <c r="E102" s="50"/>
      <c r="F102" s="50"/>
      <c r="G102" s="50"/>
      <c r="H102" s="50"/>
      <c r="I102" s="51">
        <f>200000+12300</f>
        <v>212300</v>
      </c>
      <c r="J102" s="51">
        <f>-15000</f>
        <v>-15000</v>
      </c>
      <c r="K102" s="51">
        <f>J102+I102</f>
        <v>197300</v>
      </c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</row>
    <row r="103" spans="1:35" s="7" customFormat="1" ht="21" customHeight="1">
      <c r="A103" s="49" t="s">
        <v>123</v>
      </c>
      <c r="B103" s="49" t="s">
        <v>51</v>
      </c>
      <c r="C103" s="49" t="s">
        <v>52</v>
      </c>
      <c r="D103" s="50" t="s">
        <v>7</v>
      </c>
      <c r="E103" s="50"/>
      <c r="F103" s="50"/>
      <c r="G103" s="50"/>
      <c r="H103" s="50"/>
      <c r="I103" s="51">
        <f>300000+850050+70100+10000</f>
        <v>1230150</v>
      </c>
      <c r="J103" s="51"/>
      <c r="K103" s="51">
        <f>J103+I103</f>
        <v>1230150</v>
      </c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</row>
    <row r="104" spans="1:35" s="7" customFormat="1" ht="48" customHeight="1">
      <c r="A104" s="49" t="s">
        <v>124</v>
      </c>
      <c r="B104" s="49" t="s">
        <v>9</v>
      </c>
      <c r="C104" s="49"/>
      <c r="D104" s="50" t="s">
        <v>10</v>
      </c>
      <c r="E104" s="50"/>
      <c r="F104" s="50"/>
      <c r="G104" s="50"/>
      <c r="H104" s="50"/>
      <c r="I104" s="51">
        <f>I105</f>
        <v>50000</v>
      </c>
      <c r="J104" s="51">
        <f>J105</f>
        <v>0</v>
      </c>
      <c r="K104" s="51">
        <f>K105</f>
        <v>50000</v>
      </c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</row>
    <row r="105" spans="1:35" s="10" customFormat="1" ht="36">
      <c r="A105" s="52" t="s">
        <v>242</v>
      </c>
      <c r="B105" s="52" t="s">
        <v>233</v>
      </c>
      <c r="C105" s="52" t="s">
        <v>53</v>
      </c>
      <c r="D105" s="53" t="s">
        <v>234</v>
      </c>
      <c r="E105" s="53"/>
      <c r="F105" s="53"/>
      <c r="G105" s="53"/>
      <c r="H105" s="53"/>
      <c r="I105" s="55">
        <v>50000</v>
      </c>
      <c r="J105" s="55"/>
      <c r="K105" s="55">
        <f>J105+I105</f>
        <v>50000</v>
      </c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</row>
    <row r="106" spans="1:35" s="10" customFormat="1" ht="18">
      <c r="A106" s="49" t="s">
        <v>447</v>
      </c>
      <c r="B106" s="49" t="s">
        <v>307</v>
      </c>
      <c r="C106" s="49"/>
      <c r="D106" s="50" t="s">
        <v>308</v>
      </c>
      <c r="E106" s="53"/>
      <c r="F106" s="53"/>
      <c r="G106" s="53"/>
      <c r="H106" s="53"/>
      <c r="I106" s="51">
        <f>I107</f>
        <v>0</v>
      </c>
      <c r="J106" s="51">
        <f>J107</f>
        <v>515000</v>
      </c>
      <c r="K106" s="51">
        <f>K107</f>
        <v>515000</v>
      </c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</row>
    <row r="107" spans="1:35" s="10" customFormat="1" ht="54">
      <c r="A107" s="52" t="s">
        <v>448</v>
      </c>
      <c r="B107" s="52" t="s">
        <v>315</v>
      </c>
      <c r="C107" s="52" t="s">
        <v>56</v>
      </c>
      <c r="D107" s="53" t="s">
        <v>305</v>
      </c>
      <c r="E107" s="53"/>
      <c r="F107" s="53"/>
      <c r="G107" s="53"/>
      <c r="H107" s="53"/>
      <c r="I107" s="55"/>
      <c r="J107" s="55">
        <f>15000+500000</f>
        <v>515000</v>
      </c>
      <c r="K107" s="55">
        <f>J107+I107</f>
        <v>515000</v>
      </c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</row>
    <row r="108" spans="1:35" s="20" customFormat="1" ht="18">
      <c r="A108" s="52"/>
      <c r="B108" s="52"/>
      <c r="C108" s="52"/>
      <c r="D108" s="53" t="s">
        <v>459</v>
      </c>
      <c r="E108" s="53"/>
      <c r="F108" s="53"/>
      <c r="G108" s="53"/>
      <c r="H108" s="53"/>
      <c r="I108" s="55"/>
      <c r="J108" s="55">
        <v>500000</v>
      </c>
      <c r="K108" s="55">
        <f>J108+I108</f>
        <v>500000</v>
      </c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</row>
    <row r="109" spans="1:35" s="7" customFormat="1" ht="24.75" customHeight="1">
      <c r="A109" s="49" t="s">
        <v>89</v>
      </c>
      <c r="B109" s="49" t="s">
        <v>2</v>
      </c>
      <c r="C109" s="49" t="s">
        <v>57</v>
      </c>
      <c r="D109" s="50" t="s">
        <v>26</v>
      </c>
      <c r="E109" s="50"/>
      <c r="F109" s="50"/>
      <c r="G109" s="50"/>
      <c r="H109" s="50"/>
      <c r="I109" s="51">
        <v>1648000</v>
      </c>
      <c r="J109" s="51"/>
      <c r="K109" s="51">
        <f>J109+I109</f>
        <v>1648000</v>
      </c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</row>
    <row r="110" spans="1:35" s="5" customFormat="1" ht="42" customHeight="1">
      <c r="A110" s="43" t="s">
        <v>125</v>
      </c>
      <c r="B110" s="43"/>
      <c r="C110" s="43"/>
      <c r="D110" s="62" t="s">
        <v>25</v>
      </c>
      <c r="E110" s="62"/>
      <c r="F110" s="62"/>
      <c r="G110" s="62"/>
      <c r="H110" s="62"/>
      <c r="I110" s="45">
        <f>I111</f>
        <v>148157245.94</v>
      </c>
      <c r="J110" s="45">
        <f>J111</f>
        <v>880669</v>
      </c>
      <c r="K110" s="45">
        <f>K111</f>
        <v>149037914.94</v>
      </c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</row>
    <row r="111" spans="1:35" s="6" customFormat="1" ht="48.75" customHeight="1">
      <c r="A111" s="46" t="s">
        <v>126</v>
      </c>
      <c r="B111" s="46"/>
      <c r="C111" s="46"/>
      <c r="D111" s="64" t="s">
        <v>25</v>
      </c>
      <c r="E111" s="64"/>
      <c r="F111" s="64"/>
      <c r="G111" s="64"/>
      <c r="H111" s="64"/>
      <c r="I111" s="48">
        <f>I113+I114+I119+I165+I183+I120+I155+I168</f>
        <v>148157245.94</v>
      </c>
      <c r="J111" s="48">
        <f>J113+J114+J119+J165+J183+J120+J155+J168</f>
        <v>880669</v>
      </c>
      <c r="K111" s="48">
        <f>K113+K114+K119+K165+K183+K120+K155+K168</f>
        <v>149037914.94</v>
      </c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</row>
    <row r="112" spans="1:35" s="21" customFormat="1" ht="18">
      <c r="A112" s="46"/>
      <c r="B112" s="46"/>
      <c r="C112" s="46"/>
      <c r="D112" s="64" t="s">
        <v>459</v>
      </c>
      <c r="E112" s="64"/>
      <c r="F112" s="64"/>
      <c r="G112" s="64"/>
      <c r="H112" s="64"/>
      <c r="I112" s="48">
        <f>I172</f>
        <v>773868.85</v>
      </c>
      <c r="J112" s="48">
        <f>J172</f>
        <v>3469000</v>
      </c>
      <c r="K112" s="48">
        <f>J112+I112</f>
        <v>4242868.85</v>
      </c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</row>
    <row r="113" spans="1:35" s="7" customFormat="1" ht="70.5" customHeight="1">
      <c r="A113" s="49" t="s">
        <v>127</v>
      </c>
      <c r="B113" s="49" t="s">
        <v>70</v>
      </c>
      <c r="C113" s="49" t="s">
        <v>35</v>
      </c>
      <c r="D113" s="50" t="s">
        <v>71</v>
      </c>
      <c r="E113" s="50"/>
      <c r="F113" s="50"/>
      <c r="G113" s="50"/>
      <c r="H113" s="50"/>
      <c r="I113" s="51">
        <f>200000-137500</f>
        <v>62500</v>
      </c>
      <c r="J113" s="51"/>
      <c r="K113" s="51">
        <f>J113+I113</f>
        <v>62500</v>
      </c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</row>
    <row r="114" spans="1:35" s="7" customFormat="1" ht="60" customHeight="1">
      <c r="A114" s="49" t="s">
        <v>128</v>
      </c>
      <c r="B114" s="49" t="s">
        <v>49</v>
      </c>
      <c r="C114" s="49"/>
      <c r="D114" s="50" t="s">
        <v>79</v>
      </c>
      <c r="E114" s="50"/>
      <c r="F114" s="50"/>
      <c r="G114" s="50"/>
      <c r="H114" s="50"/>
      <c r="I114" s="51">
        <f>I115+I117+I116+I118</f>
        <v>65654890</v>
      </c>
      <c r="J114" s="51">
        <f>J115+J117+J116+J118</f>
        <v>23870</v>
      </c>
      <c r="K114" s="51">
        <f>K115+K117+K116+K118</f>
        <v>65678760</v>
      </c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</row>
    <row r="115" spans="1:35" s="10" customFormat="1" ht="36">
      <c r="A115" s="52" t="s">
        <v>129</v>
      </c>
      <c r="B115" s="52" t="s">
        <v>80</v>
      </c>
      <c r="C115" s="52" t="s">
        <v>50</v>
      </c>
      <c r="D115" s="53" t="s">
        <v>81</v>
      </c>
      <c r="E115" s="53"/>
      <c r="F115" s="53"/>
      <c r="G115" s="53"/>
      <c r="H115" s="53"/>
      <c r="I115" s="55">
        <f>20000000+15000000-150000-4100000+20000+350000+96000+118268+1635000</f>
        <v>32969268</v>
      </c>
      <c r="J115" s="55">
        <f>-38060+73000-8470+5000</f>
        <v>31470</v>
      </c>
      <c r="K115" s="55">
        <f>J115+I115</f>
        <v>33000738</v>
      </c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</row>
    <row r="116" spans="1:35" s="10" customFormat="1" ht="51" customHeight="1">
      <c r="A116" s="52" t="s">
        <v>295</v>
      </c>
      <c r="B116" s="52" t="s">
        <v>296</v>
      </c>
      <c r="C116" s="52" t="s">
        <v>50</v>
      </c>
      <c r="D116" s="81" t="s">
        <v>297</v>
      </c>
      <c r="E116" s="53"/>
      <c r="F116" s="53"/>
      <c r="G116" s="53"/>
      <c r="H116" s="53"/>
      <c r="I116" s="55">
        <f>222622+320000</f>
        <v>542622</v>
      </c>
      <c r="J116" s="55"/>
      <c r="K116" s="55">
        <f>J116+I116</f>
        <v>542622</v>
      </c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</row>
    <row r="117" spans="1:35" s="10" customFormat="1" ht="45" customHeight="1">
      <c r="A117" s="52" t="s">
        <v>151</v>
      </c>
      <c r="B117" s="52" t="s">
        <v>152</v>
      </c>
      <c r="C117" s="52" t="s">
        <v>50</v>
      </c>
      <c r="D117" s="53" t="s">
        <v>153</v>
      </c>
      <c r="E117" s="53"/>
      <c r="F117" s="53"/>
      <c r="G117" s="53"/>
      <c r="H117" s="53"/>
      <c r="I117" s="55">
        <f>20000000+10000000-35000</f>
        <v>29965000</v>
      </c>
      <c r="J117" s="55">
        <f>-7600</f>
        <v>-7600</v>
      </c>
      <c r="K117" s="55">
        <f>J117+I117</f>
        <v>29957400</v>
      </c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</row>
    <row r="118" spans="1:35" s="10" customFormat="1" ht="67.5" customHeight="1">
      <c r="A118" s="52" t="s">
        <v>298</v>
      </c>
      <c r="B118" s="52" t="s">
        <v>299</v>
      </c>
      <c r="C118" s="52" t="s">
        <v>50</v>
      </c>
      <c r="D118" s="53" t="s">
        <v>300</v>
      </c>
      <c r="E118" s="53"/>
      <c r="F118" s="53"/>
      <c r="G118" s="53"/>
      <c r="H118" s="53"/>
      <c r="I118" s="55">
        <v>2178000</v>
      </c>
      <c r="J118" s="55"/>
      <c r="K118" s="55">
        <f>J118+I118</f>
        <v>2178000</v>
      </c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</row>
    <row r="119" spans="1:35" s="7" customFormat="1" ht="37.5" customHeight="1">
      <c r="A119" s="49" t="s">
        <v>130</v>
      </c>
      <c r="B119" s="49" t="s">
        <v>82</v>
      </c>
      <c r="C119" s="49" t="s">
        <v>50</v>
      </c>
      <c r="D119" s="50" t="s">
        <v>83</v>
      </c>
      <c r="E119" s="50"/>
      <c r="F119" s="50"/>
      <c r="G119" s="50"/>
      <c r="H119" s="50"/>
      <c r="I119" s="51">
        <f>37188104+9000000+2000000+7000000-1000000+3150000-7524305-825875-865089-265716.65-1167674-3455475</f>
        <v>43233969.35</v>
      </c>
      <c r="J119" s="51">
        <f>494000-37410-283300-59000-8470-627609-55000-48000</f>
        <v>-624789</v>
      </c>
      <c r="K119" s="51">
        <f>J119+I119</f>
        <v>42609180.35</v>
      </c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</row>
    <row r="120" spans="1:35" s="7" customFormat="1" ht="42" customHeight="1">
      <c r="A120" s="49" t="s">
        <v>160</v>
      </c>
      <c r="B120" s="49" t="s">
        <v>161</v>
      </c>
      <c r="C120" s="49" t="s">
        <v>61</v>
      </c>
      <c r="D120" s="62" t="s">
        <v>168</v>
      </c>
      <c r="E120" s="50"/>
      <c r="F120" s="50"/>
      <c r="G120" s="50"/>
      <c r="H120" s="50"/>
      <c r="I120" s="45">
        <f>I121+I129+I144</f>
        <v>27909194.13</v>
      </c>
      <c r="J120" s="45">
        <f>J121+J129+J144</f>
        <v>-2885814</v>
      </c>
      <c r="K120" s="45">
        <f>K121+K129+K144</f>
        <v>25023380.13</v>
      </c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</row>
    <row r="121" spans="1:35" s="7" customFormat="1" ht="27.75" customHeight="1">
      <c r="A121" s="49"/>
      <c r="B121" s="49"/>
      <c r="C121" s="49"/>
      <c r="D121" s="50"/>
      <c r="E121" s="82" t="s">
        <v>174</v>
      </c>
      <c r="F121" s="50"/>
      <c r="G121" s="50"/>
      <c r="H121" s="50"/>
      <c r="I121" s="45">
        <f>SUM(I122:I128)</f>
        <v>6217344</v>
      </c>
      <c r="J121" s="45">
        <f>SUM(J122:J128)</f>
        <v>-1337344</v>
      </c>
      <c r="K121" s="45">
        <f>SUM(K122:K128)</f>
        <v>4880000</v>
      </c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</row>
    <row r="122" spans="1:35" s="7" customFormat="1" ht="98.25" customHeight="1">
      <c r="A122" s="49"/>
      <c r="B122" s="49"/>
      <c r="C122" s="49"/>
      <c r="D122" s="50"/>
      <c r="E122" s="83" t="s">
        <v>346</v>
      </c>
      <c r="F122" s="50"/>
      <c r="G122" s="50"/>
      <c r="H122" s="50"/>
      <c r="I122" s="51">
        <v>650000</v>
      </c>
      <c r="J122" s="51"/>
      <c r="K122" s="51">
        <f>J122+I122</f>
        <v>650000</v>
      </c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</row>
    <row r="123" spans="1:35" s="7" customFormat="1" ht="117" customHeight="1">
      <c r="A123" s="49"/>
      <c r="B123" s="49"/>
      <c r="C123" s="49"/>
      <c r="D123" s="50"/>
      <c r="E123" s="83" t="s">
        <v>433</v>
      </c>
      <c r="F123" s="50"/>
      <c r="G123" s="50"/>
      <c r="H123" s="50"/>
      <c r="I123" s="51">
        <v>350000</v>
      </c>
      <c r="J123" s="51"/>
      <c r="K123" s="51">
        <v>350000</v>
      </c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</row>
    <row r="124" spans="1:35" s="7" customFormat="1" ht="85.5" customHeight="1">
      <c r="A124" s="49"/>
      <c r="B124" s="49"/>
      <c r="C124" s="49"/>
      <c r="D124" s="50"/>
      <c r="E124" s="83" t="s">
        <v>414</v>
      </c>
      <c r="F124" s="50"/>
      <c r="G124" s="50"/>
      <c r="H124" s="50"/>
      <c r="I124" s="51">
        <v>350000</v>
      </c>
      <c r="J124" s="51"/>
      <c r="K124" s="51">
        <f>J124+I124</f>
        <v>350000</v>
      </c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</row>
    <row r="125" spans="1:35" s="7" customFormat="1" ht="88.5" customHeight="1">
      <c r="A125" s="49"/>
      <c r="B125" s="49"/>
      <c r="C125" s="49"/>
      <c r="D125" s="50"/>
      <c r="E125" s="83" t="s">
        <v>415</v>
      </c>
      <c r="F125" s="50"/>
      <c r="G125" s="50"/>
      <c r="H125" s="50"/>
      <c r="I125" s="51">
        <f>250000</f>
        <v>250000</v>
      </c>
      <c r="J125" s="51"/>
      <c r="K125" s="51">
        <f>J125+I125</f>
        <v>250000</v>
      </c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</row>
    <row r="126" spans="1:35" s="7" customFormat="1" ht="106.5" customHeight="1">
      <c r="A126" s="49"/>
      <c r="B126" s="49"/>
      <c r="C126" s="49"/>
      <c r="D126" s="50"/>
      <c r="E126" s="83" t="s">
        <v>373</v>
      </c>
      <c r="F126" s="50"/>
      <c r="G126" s="50"/>
      <c r="H126" s="50"/>
      <c r="I126" s="51">
        <v>1337344</v>
      </c>
      <c r="J126" s="51">
        <v>-1337344</v>
      </c>
      <c r="K126" s="51">
        <f>J126+I126</f>
        <v>0</v>
      </c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</row>
    <row r="127" spans="1:35" s="7" customFormat="1" ht="79.5" customHeight="1">
      <c r="A127" s="49"/>
      <c r="B127" s="49"/>
      <c r="C127" s="49"/>
      <c r="D127" s="50"/>
      <c r="E127" s="83" t="s">
        <v>344</v>
      </c>
      <c r="F127" s="50"/>
      <c r="G127" s="50"/>
      <c r="H127" s="50"/>
      <c r="I127" s="51">
        <v>1300000</v>
      </c>
      <c r="J127" s="51"/>
      <c r="K127" s="51">
        <f>J127+I127</f>
        <v>1300000</v>
      </c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</row>
    <row r="128" spans="1:35" s="7" customFormat="1" ht="79.5" customHeight="1">
      <c r="A128" s="49"/>
      <c r="B128" s="49"/>
      <c r="C128" s="49"/>
      <c r="D128" s="50"/>
      <c r="E128" s="84" t="s">
        <v>371</v>
      </c>
      <c r="F128" s="50"/>
      <c r="G128" s="50"/>
      <c r="H128" s="50"/>
      <c r="I128" s="51">
        <v>1980000</v>
      </c>
      <c r="J128" s="51"/>
      <c r="K128" s="51">
        <f>J128+I128</f>
        <v>1980000</v>
      </c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</row>
    <row r="129" spans="1:35" s="7" customFormat="1" ht="51" customHeight="1">
      <c r="A129" s="49"/>
      <c r="B129" s="49"/>
      <c r="C129" s="49"/>
      <c r="D129" s="50"/>
      <c r="E129" s="82" t="s">
        <v>221</v>
      </c>
      <c r="F129" s="50"/>
      <c r="G129" s="50"/>
      <c r="H129" s="50"/>
      <c r="I129" s="45">
        <f>SUM(I130:I143)</f>
        <v>795000</v>
      </c>
      <c r="J129" s="45">
        <f>SUM(J130:J143)</f>
        <v>0</v>
      </c>
      <c r="K129" s="45">
        <f>SUM(K130:K143)</f>
        <v>795000</v>
      </c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</row>
    <row r="130" spans="1:35" s="7" customFormat="1" ht="57" customHeight="1">
      <c r="A130" s="49"/>
      <c r="B130" s="49"/>
      <c r="C130" s="49"/>
      <c r="D130" s="50"/>
      <c r="E130" s="50" t="s">
        <v>228</v>
      </c>
      <c r="F130" s="50"/>
      <c r="G130" s="50"/>
      <c r="H130" s="50"/>
      <c r="I130" s="51">
        <f>50000-15000-34000</f>
        <v>1000</v>
      </c>
      <c r="J130" s="51"/>
      <c r="K130" s="51">
        <f aca="true" t="shared" si="3" ref="K130:K142">J130+I130</f>
        <v>1000</v>
      </c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</row>
    <row r="131" spans="1:35" s="7" customFormat="1" ht="48" customHeight="1">
      <c r="A131" s="49"/>
      <c r="B131" s="49"/>
      <c r="C131" s="49"/>
      <c r="D131" s="50"/>
      <c r="E131" s="50" t="s">
        <v>225</v>
      </c>
      <c r="F131" s="50"/>
      <c r="G131" s="50"/>
      <c r="H131" s="50"/>
      <c r="I131" s="51">
        <f>50000-15000+129000</f>
        <v>164000</v>
      </c>
      <c r="J131" s="51"/>
      <c r="K131" s="51">
        <f t="shared" si="3"/>
        <v>164000</v>
      </c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</row>
    <row r="132" spans="1:35" s="7" customFormat="1" ht="48" customHeight="1">
      <c r="A132" s="49"/>
      <c r="B132" s="49"/>
      <c r="C132" s="49"/>
      <c r="D132" s="50"/>
      <c r="E132" s="50" t="s">
        <v>222</v>
      </c>
      <c r="F132" s="50"/>
      <c r="G132" s="50"/>
      <c r="H132" s="50"/>
      <c r="I132" s="51">
        <f>50000-15000-34000</f>
        <v>1000</v>
      </c>
      <c r="J132" s="51"/>
      <c r="K132" s="51">
        <f t="shared" si="3"/>
        <v>1000</v>
      </c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</row>
    <row r="133" spans="1:35" s="7" customFormat="1" ht="48" customHeight="1">
      <c r="A133" s="49"/>
      <c r="B133" s="49"/>
      <c r="C133" s="49"/>
      <c r="D133" s="50"/>
      <c r="E133" s="50" t="s">
        <v>430</v>
      </c>
      <c r="F133" s="50"/>
      <c r="G133" s="50"/>
      <c r="H133" s="50"/>
      <c r="I133" s="51">
        <v>10000</v>
      </c>
      <c r="J133" s="51"/>
      <c r="K133" s="51">
        <f t="shared" si="3"/>
        <v>10000</v>
      </c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</row>
    <row r="134" spans="1:35" s="7" customFormat="1" ht="48" customHeight="1">
      <c r="A134" s="49"/>
      <c r="B134" s="49"/>
      <c r="C134" s="49"/>
      <c r="D134" s="50"/>
      <c r="E134" s="50" t="s">
        <v>229</v>
      </c>
      <c r="F134" s="50"/>
      <c r="G134" s="50"/>
      <c r="H134" s="50"/>
      <c r="I134" s="51">
        <f>50000-15000-25000</f>
        <v>10000</v>
      </c>
      <c r="J134" s="51"/>
      <c r="K134" s="51">
        <f t="shared" si="3"/>
        <v>10000</v>
      </c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52"/>
      <c r="AG134" s="152"/>
      <c r="AH134" s="152"/>
      <c r="AI134" s="152"/>
    </row>
    <row r="135" spans="1:35" s="7" customFormat="1" ht="45" customHeight="1">
      <c r="A135" s="49"/>
      <c r="B135" s="49"/>
      <c r="C135" s="49"/>
      <c r="D135" s="50"/>
      <c r="E135" s="50" t="s">
        <v>224</v>
      </c>
      <c r="F135" s="50"/>
      <c r="G135" s="50"/>
      <c r="H135" s="50"/>
      <c r="I135" s="51">
        <f>50000-15000-34000</f>
        <v>1000</v>
      </c>
      <c r="J135" s="51"/>
      <c r="K135" s="51">
        <f t="shared" si="3"/>
        <v>1000</v>
      </c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</row>
    <row r="136" spans="1:35" s="7" customFormat="1" ht="44.25" customHeight="1">
      <c r="A136" s="49"/>
      <c r="B136" s="49"/>
      <c r="C136" s="49"/>
      <c r="D136" s="50"/>
      <c r="E136" s="50" t="s">
        <v>226</v>
      </c>
      <c r="F136" s="50"/>
      <c r="G136" s="50"/>
      <c r="H136" s="50"/>
      <c r="I136" s="51">
        <f>50000-15000-25980</f>
        <v>9020</v>
      </c>
      <c r="J136" s="51">
        <v>530</v>
      </c>
      <c r="K136" s="51">
        <f t="shared" si="3"/>
        <v>9550</v>
      </c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</row>
    <row r="137" spans="1:35" s="7" customFormat="1" ht="66" customHeight="1">
      <c r="A137" s="49"/>
      <c r="B137" s="49"/>
      <c r="C137" s="49"/>
      <c r="D137" s="50"/>
      <c r="E137" s="50" t="s">
        <v>416</v>
      </c>
      <c r="F137" s="50"/>
      <c r="G137" s="50"/>
      <c r="H137" s="50"/>
      <c r="I137" s="51">
        <v>130000</v>
      </c>
      <c r="J137" s="51">
        <v>-19000</v>
      </c>
      <c r="K137" s="51">
        <f t="shared" si="3"/>
        <v>111000</v>
      </c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</row>
    <row r="138" spans="1:35" s="7" customFormat="1" ht="57" customHeight="1">
      <c r="A138" s="49"/>
      <c r="B138" s="49"/>
      <c r="C138" s="49"/>
      <c r="D138" s="50"/>
      <c r="E138" s="50" t="s">
        <v>227</v>
      </c>
      <c r="F138" s="50"/>
      <c r="G138" s="50"/>
      <c r="H138" s="50"/>
      <c r="I138" s="51">
        <f>50000-15000-25450</f>
        <v>9550</v>
      </c>
      <c r="J138" s="51"/>
      <c r="K138" s="51">
        <f t="shared" si="3"/>
        <v>9550</v>
      </c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</row>
    <row r="139" spans="1:35" s="7" customFormat="1" ht="48" customHeight="1">
      <c r="A139" s="49"/>
      <c r="B139" s="49"/>
      <c r="C139" s="49"/>
      <c r="D139" s="50"/>
      <c r="E139" s="50" t="s">
        <v>223</v>
      </c>
      <c r="F139" s="50"/>
      <c r="G139" s="50"/>
      <c r="H139" s="50"/>
      <c r="I139" s="51">
        <f>50000-15000+68430</f>
        <v>103430</v>
      </c>
      <c r="J139" s="51">
        <v>20470</v>
      </c>
      <c r="K139" s="51">
        <f t="shared" si="3"/>
        <v>123900</v>
      </c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</row>
    <row r="140" spans="1:35" s="7" customFormat="1" ht="48" customHeight="1">
      <c r="A140" s="49"/>
      <c r="B140" s="49"/>
      <c r="C140" s="49"/>
      <c r="D140" s="50"/>
      <c r="E140" s="50" t="s">
        <v>365</v>
      </c>
      <c r="F140" s="50"/>
      <c r="G140" s="50"/>
      <c r="H140" s="50"/>
      <c r="I140" s="51">
        <f>33000-3000-29000</f>
        <v>1000</v>
      </c>
      <c r="J140" s="51"/>
      <c r="K140" s="51">
        <f t="shared" si="3"/>
        <v>1000</v>
      </c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</row>
    <row r="141" spans="1:35" s="7" customFormat="1" ht="48" customHeight="1">
      <c r="A141" s="49"/>
      <c r="B141" s="49"/>
      <c r="C141" s="49"/>
      <c r="D141" s="50"/>
      <c r="E141" s="50" t="s">
        <v>366</v>
      </c>
      <c r="F141" s="50"/>
      <c r="G141" s="50"/>
      <c r="H141" s="50"/>
      <c r="I141" s="51">
        <f>33000-3000-20000</f>
        <v>10000</v>
      </c>
      <c r="J141" s="51"/>
      <c r="K141" s="51">
        <f t="shared" si="3"/>
        <v>10000</v>
      </c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</row>
    <row r="142" spans="1:35" s="7" customFormat="1" ht="48" customHeight="1">
      <c r="A142" s="49"/>
      <c r="B142" s="49"/>
      <c r="C142" s="49"/>
      <c r="D142" s="50"/>
      <c r="E142" s="50" t="s">
        <v>367</v>
      </c>
      <c r="F142" s="50"/>
      <c r="G142" s="50"/>
      <c r="H142" s="50"/>
      <c r="I142" s="51">
        <f>34000-4000+20000</f>
        <v>50000</v>
      </c>
      <c r="J142" s="51">
        <v>-2000</v>
      </c>
      <c r="K142" s="51">
        <f t="shared" si="3"/>
        <v>48000</v>
      </c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</row>
    <row r="143" spans="1:35" s="7" customFormat="1" ht="72.75" customHeight="1">
      <c r="A143" s="49"/>
      <c r="B143" s="49"/>
      <c r="C143" s="49"/>
      <c r="D143" s="50"/>
      <c r="E143" s="50" t="s">
        <v>345</v>
      </c>
      <c r="F143" s="50"/>
      <c r="G143" s="50"/>
      <c r="H143" s="50"/>
      <c r="I143" s="51">
        <v>295000</v>
      </c>
      <c r="J143" s="51"/>
      <c r="K143" s="51">
        <f>J143+I143</f>
        <v>295000</v>
      </c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</row>
    <row r="144" spans="1:35" s="7" customFormat="1" ht="24.75" customHeight="1">
      <c r="A144" s="49"/>
      <c r="B144" s="49"/>
      <c r="C144" s="49"/>
      <c r="D144" s="50"/>
      <c r="E144" s="62" t="s">
        <v>258</v>
      </c>
      <c r="F144" s="50"/>
      <c r="G144" s="50"/>
      <c r="H144" s="50"/>
      <c r="I144" s="45">
        <f>SUM(I145:I154)</f>
        <v>20896850.13</v>
      </c>
      <c r="J144" s="45">
        <f>SUM(J145:J154)</f>
        <v>-1548470</v>
      </c>
      <c r="K144" s="45">
        <f>SUM(K145:K154)</f>
        <v>19348380.13</v>
      </c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</row>
    <row r="145" spans="1:35" s="7" customFormat="1" ht="82.5" customHeight="1">
      <c r="A145" s="49"/>
      <c r="B145" s="49"/>
      <c r="C145" s="49"/>
      <c r="D145" s="50"/>
      <c r="E145" s="50" t="s">
        <v>219</v>
      </c>
      <c r="F145" s="50"/>
      <c r="G145" s="50"/>
      <c r="H145" s="50"/>
      <c r="I145" s="51">
        <v>250000</v>
      </c>
      <c r="J145" s="51"/>
      <c r="K145" s="51">
        <f aca="true" t="shared" si="4" ref="K145:K154">J145+I145</f>
        <v>250000</v>
      </c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</row>
    <row r="146" spans="1:35" s="7" customFormat="1" ht="117" customHeight="1">
      <c r="A146" s="49"/>
      <c r="B146" s="49"/>
      <c r="C146" s="49"/>
      <c r="D146" s="50"/>
      <c r="E146" s="50" t="s">
        <v>354</v>
      </c>
      <c r="F146" s="50"/>
      <c r="G146" s="50"/>
      <c r="H146" s="50"/>
      <c r="I146" s="51">
        <v>250000</v>
      </c>
      <c r="J146" s="51"/>
      <c r="K146" s="51">
        <f t="shared" si="4"/>
        <v>250000</v>
      </c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</row>
    <row r="147" spans="1:35" s="7" customFormat="1" ht="81" customHeight="1">
      <c r="A147" s="49"/>
      <c r="B147" s="49"/>
      <c r="C147" s="49"/>
      <c r="D147" s="50"/>
      <c r="E147" s="50" t="s">
        <v>355</v>
      </c>
      <c r="F147" s="50"/>
      <c r="G147" s="50"/>
      <c r="H147" s="50"/>
      <c r="I147" s="51">
        <v>240000</v>
      </c>
      <c r="J147" s="51"/>
      <c r="K147" s="51">
        <f t="shared" si="4"/>
        <v>240000</v>
      </c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</row>
    <row r="148" spans="1:35" s="7" customFormat="1" ht="99" customHeight="1">
      <c r="A148" s="49"/>
      <c r="B148" s="49"/>
      <c r="C148" s="49"/>
      <c r="D148" s="50"/>
      <c r="E148" s="50" t="s">
        <v>356</v>
      </c>
      <c r="F148" s="50"/>
      <c r="G148" s="50"/>
      <c r="H148" s="50"/>
      <c r="I148" s="51">
        <v>240000</v>
      </c>
      <c r="J148" s="51"/>
      <c r="K148" s="51">
        <f t="shared" si="4"/>
        <v>240000</v>
      </c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</row>
    <row r="149" spans="1:35" s="7" customFormat="1" ht="66" customHeight="1">
      <c r="A149" s="49"/>
      <c r="B149" s="49"/>
      <c r="C149" s="49"/>
      <c r="D149" s="50"/>
      <c r="E149" s="50" t="s">
        <v>401</v>
      </c>
      <c r="F149" s="50"/>
      <c r="G149" s="50"/>
      <c r="H149" s="50"/>
      <c r="I149" s="51">
        <v>20000</v>
      </c>
      <c r="J149" s="51"/>
      <c r="K149" s="51">
        <f t="shared" si="4"/>
        <v>20000</v>
      </c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</row>
    <row r="150" spans="1:35" s="7" customFormat="1" ht="135" customHeight="1">
      <c r="A150" s="49"/>
      <c r="B150" s="49"/>
      <c r="C150" s="49"/>
      <c r="D150" s="50"/>
      <c r="E150" s="50" t="s">
        <v>374</v>
      </c>
      <c r="F150" s="50"/>
      <c r="G150" s="50"/>
      <c r="H150" s="50"/>
      <c r="I150" s="51">
        <f>20000+1520000</f>
        <v>1540000</v>
      </c>
      <c r="J150" s="51">
        <f>-21000-1519000</f>
        <v>-1540000</v>
      </c>
      <c r="K150" s="51">
        <f t="shared" si="4"/>
        <v>0</v>
      </c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</row>
    <row r="151" spans="1:35" s="7" customFormat="1" ht="99" customHeight="1">
      <c r="A151" s="49"/>
      <c r="B151" s="49"/>
      <c r="C151" s="49"/>
      <c r="D151" s="50"/>
      <c r="E151" s="50" t="s">
        <v>434</v>
      </c>
      <c r="F151" s="50"/>
      <c r="G151" s="50"/>
      <c r="H151" s="50"/>
      <c r="I151" s="51">
        <f>2000000+13000000</f>
        <v>15000000</v>
      </c>
      <c r="J151" s="51">
        <v>-8470</v>
      </c>
      <c r="K151" s="51">
        <f t="shared" si="4"/>
        <v>14991530</v>
      </c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</row>
    <row r="152" spans="1:35" s="7" customFormat="1" ht="66" customHeight="1">
      <c r="A152" s="49"/>
      <c r="B152" s="49"/>
      <c r="C152" s="49"/>
      <c r="D152" s="50"/>
      <c r="E152" s="50" t="s">
        <v>432</v>
      </c>
      <c r="F152" s="50"/>
      <c r="G152" s="50"/>
      <c r="H152" s="50"/>
      <c r="I152" s="51">
        <v>200000</v>
      </c>
      <c r="J152" s="51"/>
      <c r="K152" s="51">
        <f t="shared" si="4"/>
        <v>200000</v>
      </c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</row>
    <row r="153" spans="1:35" s="7" customFormat="1" ht="81" customHeight="1">
      <c r="A153" s="49"/>
      <c r="B153" s="49"/>
      <c r="C153" s="49"/>
      <c r="D153" s="50"/>
      <c r="E153" s="50" t="s">
        <v>316</v>
      </c>
      <c r="F153" s="50"/>
      <c r="G153" s="50"/>
      <c r="H153" s="50"/>
      <c r="I153" s="51">
        <v>2887850.13</v>
      </c>
      <c r="J153" s="51"/>
      <c r="K153" s="51">
        <f t="shared" si="4"/>
        <v>2887850.13</v>
      </c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</row>
    <row r="154" spans="1:35" s="7" customFormat="1" ht="72" customHeight="1">
      <c r="A154" s="49"/>
      <c r="B154" s="49"/>
      <c r="C154" s="49"/>
      <c r="D154" s="50"/>
      <c r="E154" s="50" t="s">
        <v>364</v>
      </c>
      <c r="F154" s="50"/>
      <c r="G154" s="50"/>
      <c r="H154" s="50"/>
      <c r="I154" s="51">
        <v>269000</v>
      </c>
      <c r="J154" s="51"/>
      <c r="K154" s="51">
        <f t="shared" si="4"/>
        <v>269000</v>
      </c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</row>
    <row r="155" spans="1:35" s="7" customFormat="1" ht="67.5" customHeight="1">
      <c r="A155" s="49" t="s">
        <v>162</v>
      </c>
      <c r="B155" s="49" t="s">
        <v>163</v>
      </c>
      <c r="C155" s="49" t="s">
        <v>61</v>
      </c>
      <c r="D155" s="62" t="s">
        <v>169</v>
      </c>
      <c r="E155" s="50"/>
      <c r="F155" s="50"/>
      <c r="G155" s="50"/>
      <c r="H155" s="50"/>
      <c r="I155" s="45">
        <f>I156+I162</f>
        <v>5655800</v>
      </c>
      <c r="J155" s="45">
        <f>J156+J162</f>
        <v>221530</v>
      </c>
      <c r="K155" s="45">
        <f>K156+K162</f>
        <v>5877330</v>
      </c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</row>
    <row r="156" spans="1:35" s="7" customFormat="1" ht="22.5" customHeight="1">
      <c r="A156" s="49"/>
      <c r="B156" s="49"/>
      <c r="C156" s="49"/>
      <c r="D156" s="50"/>
      <c r="E156" s="82" t="s">
        <v>174</v>
      </c>
      <c r="F156" s="50"/>
      <c r="G156" s="50"/>
      <c r="H156" s="50"/>
      <c r="I156" s="45">
        <f>I157+I158+I159+I161+I160</f>
        <v>4211800</v>
      </c>
      <c r="J156" s="45">
        <f>J157+J158+J159+J161+J160</f>
        <v>230000</v>
      </c>
      <c r="K156" s="45">
        <f>K157+K158+K159+K161+K160</f>
        <v>4441800</v>
      </c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</row>
    <row r="157" spans="1:35" s="7" customFormat="1" ht="44.25" customHeight="1">
      <c r="A157" s="49"/>
      <c r="B157" s="49"/>
      <c r="C157" s="49"/>
      <c r="D157" s="50"/>
      <c r="E157" s="85" t="s">
        <v>254</v>
      </c>
      <c r="F157" s="50"/>
      <c r="G157" s="50"/>
      <c r="H157" s="50"/>
      <c r="I157" s="51">
        <f>1000000-865000</f>
        <v>135000</v>
      </c>
      <c r="J157" s="51">
        <v>200000</v>
      </c>
      <c r="K157" s="51">
        <f>J157+I157</f>
        <v>335000</v>
      </c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</row>
    <row r="158" spans="1:35" s="7" customFormat="1" ht="44.25" customHeight="1">
      <c r="A158" s="49"/>
      <c r="B158" s="49"/>
      <c r="C158" s="49"/>
      <c r="D158" s="50"/>
      <c r="E158" s="85" t="s">
        <v>257</v>
      </c>
      <c r="F158" s="50"/>
      <c r="G158" s="50"/>
      <c r="H158" s="50"/>
      <c r="I158" s="51">
        <v>3000000</v>
      </c>
      <c r="J158" s="51"/>
      <c r="K158" s="51">
        <f>J158+I158</f>
        <v>3000000</v>
      </c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</row>
    <row r="159" spans="1:35" s="7" customFormat="1" ht="27.75" customHeight="1">
      <c r="A159" s="49"/>
      <c r="B159" s="49"/>
      <c r="C159" s="49"/>
      <c r="D159" s="50"/>
      <c r="E159" s="85" t="s">
        <v>267</v>
      </c>
      <c r="F159" s="50"/>
      <c r="G159" s="50"/>
      <c r="H159" s="50"/>
      <c r="I159" s="51">
        <v>376800</v>
      </c>
      <c r="J159" s="51"/>
      <c r="K159" s="51">
        <f>J159+I159</f>
        <v>376800</v>
      </c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</row>
    <row r="160" spans="1:35" s="27" customFormat="1" ht="47.25" customHeight="1">
      <c r="A160" s="49"/>
      <c r="B160" s="49"/>
      <c r="C160" s="49"/>
      <c r="D160" s="50"/>
      <c r="E160" s="86" t="s">
        <v>473</v>
      </c>
      <c r="F160" s="50"/>
      <c r="G160" s="50"/>
      <c r="H160" s="50"/>
      <c r="I160" s="51"/>
      <c r="J160" s="51">
        <v>30000</v>
      </c>
      <c r="K160" s="51">
        <f>J160+I160</f>
        <v>30000</v>
      </c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</row>
    <row r="161" spans="1:35" s="7" customFormat="1" ht="108" customHeight="1">
      <c r="A161" s="49"/>
      <c r="B161" s="49"/>
      <c r="C161" s="49"/>
      <c r="D161" s="50"/>
      <c r="E161" s="85" t="s">
        <v>372</v>
      </c>
      <c r="F161" s="50"/>
      <c r="G161" s="50"/>
      <c r="H161" s="50"/>
      <c r="I161" s="51">
        <v>700000</v>
      </c>
      <c r="J161" s="51"/>
      <c r="K161" s="51">
        <f>J161+I161</f>
        <v>700000</v>
      </c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</row>
    <row r="162" spans="1:35" s="7" customFormat="1" ht="28.5" customHeight="1">
      <c r="A162" s="49"/>
      <c r="B162" s="49"/>
      <c r="C162" s="49"/>
      <c r="D162" s="50"/>
      <c r="E162" s="62" t="s">
        <v>178</v>
      </c>
      <c r="F162" s="50"/>
      <c r="G162" s="50"/>
      <c r="H162" s="50"/>
      <c r="I162" s="45">
        <f>I163+I164</f>
        <v>1444000</v>
      </c>
      <c r="J162" s="45">
        <f>J163+J164</f>
        <v>-8470</v>
      </c>
      <c r="K162" s="45">
        <f>K163+K164</f>
        <v>1435530</v>
      </c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</row>
    <row r="163" spans="1:35" s="7" customFormat="1" ht="91.5" customHeight="1">
      <c r="A163" s="49"/>
      <c r="B163" s="49"/>
      <c r="C163" s="49"/>
      <c r="D163" s="50"/>
      <c r="E163" s="85" t="s">
        <v>255</v>
      </c>
      <c r="F163" s="50"/>
      <c r="G163" s="50"/>
      <c r="H163" s="50"/>
      <c r="I163" s="51">
        <f>1100000+94000</f>
        <v>1194000</v>
      </c>
      <c r="J163" s="51">
        <v>-8470</v>
      </c>
      <c r="K163" s="51">
        <f>J163+I163</f>
        <v>1185530</v>
      </c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</row>
    <row r="164" spans="1:35" s="7" customFormat="1" ht="24" customHeight="1">
      <c r="A164" s="49"/>
      <c r="B164" s="49"/>
      <c r="C164" s="49"/>
      <c r="D164" s="50"/>
      <c r="E164" s="85" t="s">
        <v>256</v>
      </c>
      <c r="F164" s="50"/>
      <c r="G164" s="50"/>
      <c r="H164" s="50"/>
      <c r="I164" s="51">
        <v>250000</v>
      </c>
      <c r="J164" s="51"/>
      <c r="K164" s="51">
        <f>J164+I164</f>
        <v>250000</v>
      </c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</row>
    <row r="165" spans="1:35" s="7" customFormat="1" ht="52.5" customHeight="1">
      <c r="A165" s="49" t="s">
        <v>131</v>
      </c>
      <c r="B165" s="49" t="s">
        <v>84</v>
      </c>
      <c r="C165" s="49" t="s">
        <v>61</v>
      </c>
      <c r="D165" s="60" t="s">
        <v>1</v>
      </c>
      <c r="E165" s="60"/>
      <c r="F165" s="87"/>
      <c r="G165" s="87"/>
      <c r="H165" s="87"/>
      <c r="I165" s="51">
        <f>I166+I167</f>
        <v>3200000</v>
      </c>
      <c r="J165" s="51">
        <f>J166+J167</f>
        <v>-946198</v>
      </c>
      <c r="K165" s="51">
        <f>K166+K167</f>
        <v>2253802</v>
      </c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</row>
    <row r="166" spans="1:35" s="7" customFormat="1" ht="52.5" customHeight="1">
      <c r="A166" s="49"/>
      <c r="B166" s="49"/>
      <c r="C166" s="49"/>
      <c r="D166" s="87"/>
      <c r="E166" s="60" t="s">
        <v>213</v>
      </c>
      <c r="F166" s="87"/>
      <c r="G166" s="87"/>
      <c r="H166" s="87"/>
      <c r="I166" s="51">
        <v>1200000</v>
      </c>
      <c r="J166" s="51">
        <v>-946198</v>
      </c>
      <c r="K166" s="51">
        <f>J166+I166</f>
        <v>253802</v>
      </c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</row>
    <row r="167" spans="1:35" s="7" customFormat="1" ht="61.5" customHeight="1">
      <c r="A167" s="49"/>
      <c r="B167" s="49"/>
      <c r="C167" s="49"/>
      <c r="D167" s="87"/>
      <c r="E167" s="60" t="s">
        <v>231</v>
      </c>
      <c r="F167" s="87"/>
      <c r="G167" s="87"/>
      <c r="H167" s="87"/>
      <c r="I167" s="51">
        <f>2000000</f>
        <v>2000000</v>
      </c>
      <c r="J167" s="51">
        <f>1000000-1000000</f>
        <v>0</v>
      </c>
      <c r="K167" s="51">
        <f>J167+I167</f>
        <v>2000000</v>
      </c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</row>
    <row r="168" spans="1:35" s="7" customFormat="1" ht="52.5" customHeight="1">
      <c r="A168" s="49" t="s">
        <v>310</v>
      </c>
      <c r="B168" s="49" t="s">
        <v>307</v>
      </c>
      <c r="C168" s="49"/>
      <c r="D168" s="60" t="s">
        <v>308</v>
      </c>
      <c r="E168" s="60"/>
      <c r="F168" s="87"/>
      <c r="G168" s="87"/>
      <c r="H168" s="87"/>
      <c r="I168" s="67">
        <f>SUM(I171)+I169</f>
        <v>1220892.46</v>
      </c>
      <c r="J168" s="67">
        <f>SUM(J171)+J169</f>
        <v>5092070</v>
      </c>
      <c r="K168" s="67">
        <f>SUM(K171)+K169</f>
        <v>6312962.46</v>
      </c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  <c r="AE168" s="152"/>
      <c r="AF168" s="152"/>
      <c r="AG168" s="152"/>
      <c r="AH168" s="152"/>
      <c r="AI168" s="152"/>
    </row>
    <row r="169" spans="1:35" s="7" customFormat="1" ht="76.5" customHeight="1">
      <c r="A169" s="58" t="s">
        <v>317</v>
      </c>
      <c r="B169" s="58" t="s">
        <v>318</v>
      </c>
      <c r="C169" s="52" t="s">
        <v>56</v>
      </c>
      <c r="D169" s="53" t="s">
        <v>319</v>
      </c>
      <c r="E169" s="65"/>
      <c r="F169" s="87"/>
      <c r="G169" s="87"/>
      <c r="H169" s="87"/>
      <c r="I169" s="69">
        <f>I170</f>
        <v>426739</v>
      </c>
      <c r="J169" s="69"/>
      <c r="K169" s="69">
        <f>J169+I169</f>
        <v>426739</v>
      </c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  <c r="AE169" s="152"/>
      <c r="AF169" s="152"/>
      <c r="AG169" s="152"/>
      <c r="AH169" s="152"/>
      <c r="AI169" s="152"/>
    </row>
    <row r="170" spans="1:35" s="7" customFormat="1" ht="128.25" customHeight="1">
      <c r="A170" s="58"/>
      <c r="B170" s="58"/>
      <c r="C170" s="49"/>
      <c r="D170" s="53"/>
      <c r="E170" s="60" t="s">
        <v>422</v>
      </c>
      <c r="F170" s="87"/>
      <c r="G170" s="87"/>
      <c r="H170" s="87"/>
      <c r="I170" s="67">
        <v>426739</v>
      </c>
      <c r="J170" s="67"/>
      <c r="K170" s="67">
        <f>J170+I170</f>
        <v>426739</v>
      </c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  <c r="AC170" s="152"/>
      <c r="AD170" s="152"/>
      <c r="AE170" s="152"/>
      <c r="AF170" s="152"/>
      <c r="AG170" s="152"/>
      <c r="AH170" s="152"/>
      <c r="AI170" s="152"/>
    </row>
    <row r="171" spans="1:35" s="10" customFormat="1" ht="82.5" customHeight="1">
      <c r="A171" s="52" t="s">
        <v>309</v>
      </c>
      <c r="B171" s="52" t="s">
        <v>315</v>
      </c>
      <c r="C171" s="52" t="s">
        <v>56</v>
      </c>
      <c r="D171" s="65" t="s">
        <v>305</v>
      </c>
      <c r="E171" s="65"/>
      <c r="F171" s="88"/>
      <c r="G171" s="88"/>
      <c r="H171" s="88"/>
      <c r="I171" s="69">
        <f>I173+I177+I181+I179+I175</f>
        <v>794153.46</v>
      </c>
      <c r="J171" s="69">
        <f>J173+J177+J181+J179+J175</f>
        <v>5092070</v>
      </c>
      <c r="K171" s="69">
        <f>K173+K177+K181+K179+K175</f>
        <v>5886223.46</v>
      </c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</row>
    <row r="172" spans="1:35" s="20" customFormat="1" ht="18">
      <c r="A172" s="52"/>
      <c r="B172" s="52"/>
      <c r="C172" s="52"/>
      <c r="D172" s="53" t="s">
        <v>459</v>
      </c>
      <c r="E172" s="53"/>
      <c r="F172" s="53"/>
      <c r="G172" s="53"/>
      <c r="H172" s="53"/>
      <c r="I172" s="55">
        <f>I174+I176+I178+I180+I182</f>
        <v>773868.85</v>
      </c>
      <c r="J172" s="55">
        <f>J174+J176+J178+J180+J182</f>
        <v>3469000</v>
      </c>
      <c r="K172" s="55">
        <f>J172+I172</f>
        <v>4242868.85</v>
      </c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</row>
    <row r="173" spans="1:35" s="10" customFormat="1" ht="24.75" customHeight="1">
      <c r="A173" s="52"/>
      <c r="B173" s="52"/>
      <c r="C173" s="52"/>
      <c r="D173" s="65"/>
      <c r="E173" s="60" t="s">
        <v>453</v>
      </c>
      <c r="F173" s="87"/>
      <c r="G173" s="87"/>
      <c r="H173" s="87"/>
      <c r="I173" s="67">
        <f>1270.39+152292.46</f>
        <v>153562.85</v>
      </c>
      <c r="J173" s="67">
        <f>16440+10320+18900+548000+344000+630000</f>
        <v>1567660</v>
      </c>
      <c r="K173" s="67">
        <f>I173+J173</f>
        <v>1721222.85</v>
      </c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</row>
    <row r="174" spans="1:35" s="23" customFormat="1" ht="15">
      <c r="A174" s="89"/>
      <c r="B174" s="89"/>
      <c r="C174" s="89"/>
      <c r="D174" s="90" t="s">
        <v>459</v>
      </c>
      <c r="E174" s="90"/>
      <c r="F174" s="90"/>
      <c r="G174" s="90"/>
      <c r="H174" s="90"/>
      <c r="I174" s="91">
        <v>152292.46</v>
      </c>
      <c r="J174" s="91">
        <v>1522000</v>
      </c>
      <c r="K174" s="91">
        <f>J174+I174</f>
        <v>1674292.46</v>
      </c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</row>
    <row r="175" spans="1:35" s="10" customFormat="1" ht="72">
      <c r="A175" s="52"/>
      <c r="B175" s="52"/>
      <c r="C175" s="52"/>
      <c r="D175" s="65"/>
      <c r="E175" s="60" t="s">
        <v>456</v>
      </c>
      <c r="F175" s="87"/>
      <c r="G175" s="87"/>
      <c r="H175" s="87"/>
      <c r="I175" s="67"/>
      <c r="J175" s="67">
        <f>28500+950000</f>
        <v>978500</v>
      </c>
      <c r="K175" s="67">
        <f aca="true" t="shared" si="5" ref="K175:K181">I175+J175</f>
        <v>978500</v>
      </c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</row>
    <row r="176" spans="1:35" s="23" customFormat="1" ht="15">
      <c r="A176" s="89"/>
      <c r="B176" s="89"/>
      <c r="C176" s="89"/>
      <c r="D176" s="90" t="s">
        <v>459</v>
      </c>
      <c r="E176" s="90"/>
      <c r="F176" s="90"/>
      <c r="G176" s="90"/>
      <c r="H176" s="90"/>
      <c r="I176" s="91"/>
      <c r="J176" s="91">
        <v>950000</v>
      </c>
      <c r="K176" s="91">
        <f>J176+I176</f>
        <v>950000</v>
      </c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</row>
    <row r="177" spans="1:35" s="10" customFormat="1" ht="81.75" customHeight="1">
      <c r="A177" s="52"/>
      <c r="B177" s="52"/>
      <c r="C177" s="52"/>
      <c r="D177" s="65"/>
      <c r="E177" s="60" t="s">
        <v>454</v>
      </c>
      <c r="F177" s="87"/>
      <c r="G177" s="87"/>
      <c r="H177" s="87"/>
      <c r="I177" s="67">
        <f>19014.22+621576.39</f>
        <v>640590.61</v>
      </c>
      <c r="J177" s="67"/>
      <c r="K177" s="67">
        <f t="shared" si="5"/>
        <v>640590.61</v>
      </c>
      <c r="L177" s="81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</row>
    <row r="178" spans="1:35" s="23" customFormat="1" ht="15">
      <c r="A178" s="89"/>
      <c r="B178" s="89"/>
      <c r="C178" s="89"/>
      <c r="D178" s="90" t="s">
        <v>459</v>
      </c>
      <c r="E178" s="90"/>
      <c r="F178" s="90"/>
      <c r="G178" s="90"/>
      <c r="H178" s="90"/>
      <c r="I178" s="91">
        <v>621576.39</v>
      </c>
      <c r="J178" s="91"/>
      <c r="K178" s="91">
        <f>J178+I178</f>
        <v>621576.39</v>
      </c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</row>
    <row r="179" spans="1:35" s="10" customFormat="1" ht="36">
      <c r="A179" s="52"/>
      <c r="B179" s="52"/>
      <c r="C179" s="52"/>
      <c r="D179" s="65"/>
      <c r="E179" s="60" t="s">
        <v>455</v>
      </c>
      <c r="F179" s="87"/>
      <c r="G179" s="87"/>
      <c r="H179" s="87"/>
      <c r="I179" s="67"/>
      <c r="J179" s="67">
        <f>8910+297000</f>
        <v>305910</v>
      </c>
      <c r="K179" s="67">
        <f>I179+J179</f>
        <v>305910</v>
      </c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</row>
    <row r="180" spans="1:35" s="23" customFormat="1" ht="15">
      <c r="A180" s="89"/>
      <c r="B180" s="89"/>
      <c r="C180" s="89"/>
      <c r="D180" s="90" t="s">
        <v>459</v>
      </c>
      <c r="E180" s="90"/>
      <c r="F180" s="90"/>
      <c r="G180" s="90"/>
      <c r="H180" s="90"/>
      <c r="I180" s="91"/>
      <c r="J180" s="91">
        <v>297000</v>
      </c>
      <c r="K180" s="91">
        <f>J180+I180</f>
        <v>297000</v>
      </c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</row>
    <row r="181" spans="1:35" s="10" customFormat="1" ht="108" customHeight="1">
      <c r="A181" s="52"/>
      <c r="B181" s="52"/>
      <c r="C181" s="52"/>
      <c r="D181" s="65"/>
      <c r="E181" s="60" t="s">
        <v>374</v>
      </c>
      <c r="F181" s="87"/>
      <c r="G181" s="87"/>
      <c r="H181" s="87"/>
      <c r="I181" s="67"/>
      <c r="J181" s="67">
        <f>21000+700000+1519000</f>
        <v>2240000</v>
      </c>
      <c r="K181" s="67">
        <f t="shared" si="5"/>
        <v>2240000</v>
      </c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</row>
    <row r="182" spans="1:35" s="23" customFormat="1" ht="15">
      <c r="A182" s="89"/>
      <c r="B182" s="89"/>
      <c r="C182" s="89"/>
      <c r="D182" s="90" t="s">
        <v>459</v>
      </c>
      <c r="E182" s="90"/>
      <c r="F182" s="90"/>
      <c r="G182" s="90"/>
      <c r="H182" s="90"/>
      <c r="I182" s="91"/>
      <c r="J182" s="91">
        <v>700000</v>
      </c>
      <c r="K182" s="91">
        <f>J182+I182</f>
        <v>700000</v>
      </c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</row>
    <row r="183" spans="1:35" s="7" customFormat="1" ht="27.75" customHeight="1">
      <c r="A183" s="49" t="s">
        <v>132</v>
      </c>
      <c r="B183" s="73">
        <v>9770</v>
      </c>
      <c r="C183" s="49" t="s">
        <v>34</v>
      </c>
      <c r="D183" s="60" t="s">
        <v>249</v>
      </c>
      <c r="E183" s="60"/>
      <c r="F183" s="60"/>
      <c r="G183" s="60"/>
      <c r="H183" s="60"/>
      <c r="I183" s="51">
        <v>1220000</v>
      </c>
      <c r="J183" s="51"/>
      <c r="K183" s="51">
        <f>J183+I183</f>
        <v>1220000</v>
      </c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</row>
    <row r="184" spans="1:35" s="5" customFormat="1" ht="57.75" customHeight="1">
      <c r="A184" s="43" t="s">
        <v>19</v>
      </c>
      <c r="B184" s="92"/>
      <c r="C184" s="92"/>
      <c r="D184" s="62" t="s">
        <v>28</v>
      </c>
      <c r="E184" s="62"/>
      <c r="F184" s="62"/>
      <c r="G184" s="62"/>
      <c r="H184" s="62"/>
      <c r="I184" s="45">
        <f aca="true" t="shared" si="6" ref="I184:K185">I185</f>
        <v>10000</v>
      </c>
      <c r="J184" s="45">
        <f t="shared" si="6"/>
        <v>30000</v>
      </c>
      <c r="K184" s="45">
        <f t="shared" si="6"/>
        <v>40000</v>
      </c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</row>
    <row r="185" spans="1:35" s="6" customFormat="1" ht="57" customHeight="1">
      <c r="A185" s="46" t="s">
        <v>69</v>
      </c>
      <c r="B185" s="79"/>
      <c r="C185" s="79"/>
      <c r="D185" s="64" t="s">
        <v>28</v>
      </c>
      <c r="E185" s="64"/>
      <c r="F185" s="64"/>
      <c r="G185" s="64"/>
      <c r="H185" s="64"/>
      <c r="I185" s="48">
        <f t="shared" si="6"/>
        <v>10000</v>
      </c>
      <c r="J185" s="48">
        <f t="shared" si="6"/>
        <v>30000</v>
      </c>
      <c r="K185" s="48">
        <f t="shared" si="6"/>
        <v>40000</v>
      </c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</row>
    <row r="186" spans="1:35" s="7" customFormat="1" ht="92.25" customHeight="1">
      <c r="A186" s="49" t="s">
        <v>0</v>
      </c>
      <c r="B186" s="49" t="s">
        <v>70</v>
      </c>
      <c r="C186" s="49" t="s">
        <v>35</v>
      </c>
      <c r="D186" s="50" t="s">
        <v>71</v>
      </c>
      <c r="E186" s="50"/>
      <c r="F186" s="50"/>
      <c r="G186" s="50"/>
      <c r="H186" s="50"/>
      <c r="I186" s="51">
        <f>20000-10000</f>
        <v>10000</v>
      </c>
      <c r="J186" s="51">
        <v>30000</v>
      </c>
      <c r="K186" s="51">
        <f>J186+I186</f>
        <v>40000</v>
      </c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</row>
    <row r="187" spans="1:35" s="5" customFormat="1" ht="63.75" customHeight="1">
      <c r="A187" s="43" t="s">
        <v>21</v>
      </c>
      <c r="B187" s="43"/>
      <c r="C187" s="43"/>
      <c r="D187" s="62" t="s">
        <v>27</v>
      </c>
      <c r="E187" s="62"/>
      <c r="F187" s="62"/>
      <c r="G187" s="62"/>
      <c r="H187" s="62"/>
      <c r="I187" s="45">
        <f>I188</f>
        <v>179349434</v>
      </c>
      <c r="J187" s="45">
        <f>J188</f>
        <v>-646500</v>
      </c>
      <c r="K187" s="45">
        <f>K188</f>
        <v>178702934</v>
      </c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</row>
    <row r="188" spans="1:35" s="6" customFormat="1" ht="64.5" customHeight="1">
      <c r="A188" s="46" t="s">
        <v>22</v>
      </c>
      <c r="B188" s="46"/>
      <c r="C188" s="46"/>
      <c r="D188" s="64" t="s">
        <v>27</v>
      </c>
      <c r="E188" s="64"/>
      <c r="F188" s="64"/>
      <c r="G188" s="64"/>
      <c r="H188" s="64"/>
      <c r="I188" s="48">
        <f>I190+I323+I193+I212+I248+I313+I316+I191</f>
        <v>179349434</v>
      </c>
      <c r="J188" s="48">
        <f>J190+J323+J193+J212+J248+J313+J316+J191</f>
        <v>-646500</v>
      </c>
      <c r="K188" s="48">
        <f>K190+K323+K193+K212+K248+K313+K316+K191</f>
        <v>178702934</v>
      </c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  <c r="X188" s="151"/>
      <c r="Y188" s="151"/>
      <c r="Z188" s="151"/>
      <c r="AA188" s="151"/>
      <c r="AB188" s="151"/>
      <c r="AC188" s="151"/>
      <c r="AD188" s="151"/>
      <c r="AE188" s="151"/>
      <c r="AF188" s="151"/>
      <c r="AG188" s="151"/>
      <c r="AH188" s="151"/>
      <c r="AI188" s="151"/>
    </row>
    <row r="189" spans="1:35" s="21" customFormat="1" ht="18">
      <c r="A189" s="46"/>
      <c r="B189" s="46"/>
      <c r="C189" s="46"/>
      <c r="D189" s="64" t="s">
        <v>459</v>
      </c>
      <c r="E189" s="64"/>
      <c r="F189" s="64"/>
      <c r="G189" s="64"/>
      <c r="H189" s="64"/>
      <c r="I189" s="48">
        <f>I318</f>
        <v>91</v>
      </c>
      <c r="J189" s="48">
        <f>J318</f>
        <v>300000</v>
      </c>
      <c r="K189" s="48">
        <f>K318</f>
        <v>300091</v>
      </c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51"/>
      <c r="AH189" s="151"/>
      <c r="AI189" s="151"/>
    </row>
    <row r="190" spans="1:35" s="7" customFormat="1" ht="40.5" customHeight="1">
      <c r="A190" s="49" t="s">
        <v>133</v>
      </c>
      <c r="B190" s="49" t="s">
        <v>82</v>
      </c>
      <c r="C190" s="49" t="s">
        <v>50</v>
      </c>
      <c r="D190" s="50" t="s">
        <v>83</v>
      </c>
      <c r="E190" s="50"/>
      <c r="F190" s="50"/>
      <c r="G190" s="50"/>
      <c r="H190" s="50"/>
      <c r="I190" s="51">
        <f>60000000+30000000-3248000+263500</f>
        <v>87015500</v>
      </c>
      <c r="J190" s="51">
        <v>1000000</v>
      </c>
      <c r="K190" s="51">
        <f>J190+I190</f>
        <v>88015500</v>
      </c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</row>
    <row r="191" spans="1:35" s="7" customFormat="1" ht="44.25" customHeight="1">
      <c r="A191" s="49" t="s">
        <v>336</v>
      </c>
      <c r="B191" s="49" t="s">
        <v>342</v>
      </c>
      <c r="C191" s="49"/>
      <c r="D191" s="50" t="s">
        <v>338</v>
      </c>
      <c r="E191" s="83"/>
      <c r="F191" s="50"/>
      <c r="G191" s="50"/>
      <c r="H191" s="50"/>
      <c r="I191" s="51">
        <f>I192</f>
        <v>500000</v>
      </c>
      <c r="J191" s="51">
        <f>J192</f>
        <v>0</v>
      </c>
      <c r="K191" s="51">
        <f>K192</f>
        <v>500000</v>
      </c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</row>
    <row r="192" spans="1:35" s="10" customFormat="1" ht="55.5" customHeight="1">
      <c r="A192" s="52" t="s">
        <v>337</v>
      </c>
      <c r="B192" s="52" t="s">
        <v>341</v>
      </c>
      <c r="C192" s="52" t="s">
        <v>340</v>
      </c>
      <c r="D192" s="53" t="s">
        <v>339</v>
      </c>
      <c r="E192" s="93"/>
      <c r="F192" s="53"/>
      <c r="G192" s="53"/>
      <c r="H192" s="53"/>
      <c r="I192" s="55">
        <v>500000</v>
      </c>
      <c r="J192" s="55"/>
      <c r="K192" s="55">
        <f>J192+I192</f>
        <v>500000</v>
      </c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</row>
    <row r="193" spans="1:150" s="5" customFormat="1" ht="46.5" customHeight="1">
      <c r="A193" s="160">
        <v>1517310</v>
      </c>
      <c r="B193" s="49" t="s">
        <v>161</v>
      </c>
      <c r="C193" s="49" t="s">
        <v>61</v>
      </c>
      <c r="D193" s="62" t="s">
        <v>168</v>
      </c>
      <c r="E193" s="94"/>
      <c r="F193" s="95"/>
      <c r="G193" s="95"/>
      <c r="H193" s="95"/>
      <c r="I193" s="45">
        <f>I194+I200</f>
        <v>9601000</v>
      </c>
      <c r="J193" s="45">
        <f>J194+J200</f>
        <v>-100000</v>
      </c>
      <c r="K193" s="45">
        <f>K194+K200</f>
        <v>9501000</v>
      </c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</row>
    <row r="194" spans="1:150" s="7" customFormat="1" ht="27.75" customHeight="1">
      <c r="A194" s="97"/>
      <c r="B194" s="96"/>
      <c r="C194" s="96"/>
      <c r="D194" s="96"/>
      <c r="E194" s="82" t="s">
        <v>174</v>
      </c>
      <c r="F194" s="95"/>
      <c r="G194" s="95"/>
      <c r="H194" s="95"/>
      <c r="I194" s="45">
        <f>SUM(I195:I199)</f>
        <v>5458500</v>
      </c>
      <c r="J194" s="45">
        <f>SUM(J195:J199)</f>
        <v>0</v>
      </c>
      <c r="K194" s="45">
        <f>SUM(K195:K199)</f>
        <v>5458500</v>
      </c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</row>
    <row r="195" spans="1:150" s="1" customFormat="1" ht="40.5" customHeight="1">
      <c r="A195" s="97"/>
      <c r="B195" s="97"/>
      <c r="C195" s="97"/>
      <c r="D195" s="97"/>
      <c r="E195" s="98" t="s">
        <v>175</v>
      </c>
      <c r="F195" s="99">
        <v>9888427</v>
      </c>
      <c r="G195" s="97">
        <v>97.9</v>
      </c>
      <c r="H195" s="99">
        <v>9684425</v>
      </c>
      <c r="I195" s="51">
        <v>3000000</v>
      </c>
      <c r="J195" s="51"/>
      <c r="K195" s="51">
        <f>J195+I195</f>
        <v>3000000</v>
      </c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</row>
    <row r="196" spans="1:150" s="1" customFormat="1" ht="36" customHeight="1">
      <c r="A196" s="96"/>
      <c r="B196" s="96"/>
      <c r="C196" s="96"/>
      <c r="D196" s="96"/>
      <c r="E196" s="100" t="s">
        <v>176</v>
      </c>
      <c r="F196" s="99">
        <v>2186292</v>
      </c>
      <c r="G196" s="101">
        <v>20.23</v>
      </c>
      <c r="H196" s="99">
        <v>442271</v>
      </c>
      <c r="I196" s="51">
        <v>400000</v>
      </c>
      <c r="J196" s="51"/>
      <c r="K196" s="51">
        <f>J196+I196</f>
        <v>400000</v>
      </c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</row>
    <row r="197" spans="1:150" s="1" customFormat="1" ht="68.25" customHeight="1">
      <c r="A197" s="96"/>
      <c r="B197" s="96"/>
      <c r="C197" s="96"/>
      <c r="D197" s="96"/>
      <c r="E197" s="100" t="s">
        <v>397</v>
      </c>
      <c r="F197" s="99"/>
      <c r="G197" s="101"/>
      <c r="H197" s="99"/>
      <c r="I197" s="51">
        <v>50000</v>
      </c>
      <c r="J197" s="51"/>
      <c r="K197" s="51">
        <f>J197+I197</f>
        <v>50000</v>
      </c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</row>
    <row r="198" spans="1:35" s="14" customFormat="1" ht="36.75" customHeight="1">
      <c r="A198" s="96"/>
      <c r="B198" s="96"/>
      <c r="C198" s="96"/>
      <c r="D198" s="96"/>
      <c r="E198" s="100" t="s">
        <v>177</v>
      </c>
      <c r="F198" s="99">
        <v>41125371</v>
      </c>
      <c r="G198" s="101">
        <v>52.38</v>
      </c>
      <c r="H198" s="99">
        <v>21542607</v>
      </c>
      <c r="I198" s="51">
        <v>2000000</v>
      </c>
      <c r="J198" s="51"/>
      <c r="K198" s="51">
        <f>J198+I198</f>
        <v>2000000</v>
      </c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</row>
    <row r="199" spans="1:35" s="14" customFormat="1" ht="30.75" customHeight="1">
      <c r="A199" s="96"/>
      <c r="B199" s="96"/>
      <c r="C199" s="96"/>
      <c r="D199" s="96"/>
      <c r="E199" s="100" t="s">
        <v>320</v>
      </c>
      <c r="F199" s="99">
        <v>1681565</v>
      </c>
      <c r="G199" s="101">
        <v>11.6</v>
      </c>
      <c r="H199" s="99">
        <v>194907</v>
      </c>
      <c r="I199" s="51">
        <v>8500</v>
      </c>
      <c r="J199" s="51"/>
      <c r="K199" s="51">
        <f>J199+I199</f>
        <v>8500</v>
      </c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</row>
    <row r="200" spans="1:150" s="7" customFormat="1" ht="21.75" customHeight="1">
      <c r="A200" s="97"/>
      <c r="B200" s="96"/>
      <c r="C200" s="96"/>
      <c r="D200" s="96"/>
      <c r="E200" s="62" t="s">
        <v>178</v>
      </c>
      <c r="F200" s="102"/>
      <c r="G200" s="95"/>
      <c r="H200" s="99"/>
      <c r="I200" s="45">
        <f>SUM(I201:I211)</f>
        <v>4142500</v>
      </c>
      <c r="J200" s="45">
        <f>SUM(J201:J211)</f>
        <v>-100000</v>
      </c>
      <c r="K200" s="45">
        <f>SUM(K201:K211)</f>
        <v>4042500</v>
      </c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</row>
    <row r="201" spans="1:35" s="14" customFormat="1" ht="63" customHeight="1">
      <c r="A201" s="96"/>
      <c r="B201" s="96"/>
      <c r="C201" s="96"/>
      <c r="D201" s="96"/>
      <c r="E201" s="100" t="s">
        <v>179</v>
      </c>
      <c r="F201" s="103"/>
      <c r="G201" s="101"/>
      <c r="H201" s="99"/>
      <c r="I201" s="51">
        <f>500000-400000</f>
        <v>100000</v>
      </c>
      <c r="J201" s="51">
        <v>-100000</v>
      </c>
      <c r="K201" s="51">
        <f aca="true" t="shared" si="7" ref="K201:K211">J201+I201</f>
        <v>0</v>
      </c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</row>
    <row r="202" spans="1:35" s="14" customFormat="1" ht="24.75" customHeight="1">
      <c r="A202" s="96"/>
      <c r="B202" s="96"/>
      <c r="C202" s="96"/>
      <c r="D202" s="96"/>
      <c r="E202" s="100" t="s">
        <v>180</v>
      </c>
      <c r="F202" s="99">
        <v>16481572</v>
      </c>
      <c r="G202" s="101">
        <v>81.3</v>
      </c>
      <c r="H202" s="99">
        <v>13394899</v>
      </c>
      <c r="I202" s="51">
        <v>2000000</v>
      </c>
      <c r="J202" s="51"/>
      <c r="K202" s="51">
        <f t="shared" si="7"/>
        <v>2000000</v>
      </c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</row>
    <row r="203" spans="1:35" s="14" customFormat="1" ht="60" customHeight="1">
      <c r="A203" s="96"/>
      <c r="B203" s="96"/>
      <c r="C203" s="96"/>
      <c r="D203" s="96"/>
      <c r="E203" s="60" t="s">
        <v>181</v>
      </c>
      <c r="F203" s="103"/>
      <c r="G203" s="101"/>
      <c r="H203" s="99"/>
      <c r="I203" s="51">
        <v>500000</v>
      </c>
      <c r="J203" s="51">
        <v>-8000</v>
      </c>
      <c r="K203" s="51">
        <f t="shared" si="7"/>
        <v>492000</v>
      </c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</row>
    <row r="204" spans="1:35" s="14" customFormat="1" ht="43.5" customHeight="1">
      <c r="A204" s="96"/>
      <c r="B204" s="96"/>
      <c r="C204" s="96"/>
      <c r="D204" s="96"/>
      <c r="E204" s="60" t="s">
        <v>182</v>
      </c>
      <c r="F204" s="103"/>
      <c r="G204" s="101"/>
      <c r="H204" s="99"/>
      <c r="I204" s="51">
        <v>500000</v>
      </c>
      <c r="J204" s="51">
        <v>495000</v>
      </c>
      <c r="K204" s="51">
        <f t="shared" si="7"/>
        <v>995000</v>
      </c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</row>
    <row r="205" spans="1:35" s="14" customFormat="1" ht="55.5" customHeight="1">
      <c r="A205" s="96"/>
      <c r="B205" s="96"/>
      <c r="C205" s="96"/>
      <c r="D205" s="96"/>
      <c r="E205" s="60" t="s">
        <v>183</v>
      </c>
      <c r="F205" s="103"/>
      <c r="G205" s="101"/>
      <c r="H205" s="99"/>
      <c r="I205" s="51">
        <v>500000</v>
      </c>
      <c r="J205" s="51">
        <v>-267000</v>
      </c>
      <c r="K205" s="51">
        <f t="shared" si="7"/>
        <v>233000</v>
      </c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</row>
    <row r="206" spans="1:35" s="14" customFormat="1" ht="36.75" customHeight="1">
      <c r="A206" s="96"/>
      <c r="B206" s="96"/>
      <c r="C206" s="96"/>
      <c r="D206" s="96"/>
      <c r="E206" s="60" t="s">
        <v>184</v>
      </c>
      <c r="F206" s="103"/>
      <c r="G206" s="101"/>
      <c r="H206" s="99"/>
      <c r="I206" s="51">
        <v>500000</v>
      </c>
      <c r="J206" s="51">
        <v>-220000</v>
      </c>
      <c r="K206" s="51">
        <f t="shared" si="7"/>
        <v>280000</v>
      </c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</row>
    <row r="207" spans="1:35" s="14" customFormat="1" ht="42" customHeight="1">
      <c r="A207" s="96"/>
      <c r="B207" s="96"/>
      <c r="C207" s="96"/>
      <c r="D207" s="96"/>
      <c r="E207" s="60" t="s">
        <v>321</v>
      </c>
      <c r="F207" s="103"/>
      <c r="G207" s="101"/>
      <c r="H207" s="99"/>
      <c r="I207" s="51">
        <v>8500</v>
      </c>
      <c r="J207" s="51"/>
      <c r="K207" s="51">
        <f t="shared" si="7"/>
        <v>8500</v>
      </c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</row>
    <row r="208" spans="1:35" s="14" customFormat="1" ht="36.75" customHeight="1">
      <c r="A208" s="96"/>
      <c r="B208" s="96"/>
      <c r="C208" s="96"/>
      <c r="D208" s="96"/>
      <c r="E208" s="60" t="s">
        <v>322</v>
      </c>
      <c r="F208" s="103"/>
      <c r="G208" s="101"/>
      <c r="H208" s="99"/>
      <c r="I208" s="51">
        <v>8500</v>
      </c>
      <c r="J208" s="51"/>
      <c r="K208" s="51">
        <f t="shared" si="7"/>
        <v>8500</v>
      </c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</row>
    <row r="209" spans="1:35" s="14" customFormat="1" ht="36.75" customHeight="1">
      <c r="A209" s="96"/>
      <c r="B209" s="96"/>
      <c r="C209" s="96"/>
      <c r="D209" s="96"/>
      <c r="E209" s="60" t="s">
        <v>323</v>
      </c>
      <c r="F209" s="103"/>
      <c r="G209" s="101"/>
      <c r="H209" s="99"/>
      <c r="I209" s="51">
        <v>8500</v>
      </c>
      <c r="J209" s="51"/>
      <c r="K209" s="51">
        <f t="shared" si="7"/>
        <v>8500</v>
      </c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</row>
    <row r="210" spans="1:35" s="14" customFormat="1" ht="44.25" customHeight="1">
      <c r="A210" s="96"/>
      <c r="B210" s="96"/>
      <c r="C210" s="96"/>
      <c r="D210" s="96"/>
      <c r="E210" s="60" t="s">
        <v>324</v>
      </c>
      <c r="F210" s="103"/>
      <c r="G210" s="101"/>
      <c r="H210" s="99"/>
      <c r="I210" s="51">
        <v>8500</v>
      </c>
      <c r="J210" s="51"/>
      <c r="K210" s="51">
        <f t="shared" si="7"/>
        <v>8500</v>
      </c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</row>
    <row r="211" spans="1:35" s="14" customFormat="1" ht="63" customHeight="1">
      <c r="A211" s="96"/>
      <c r="B211" s="96"/>
      <c r="C211" s="96"/>
      <c r="D211" s="96"/>
      <c r="E211" s="60" t="s">
        <v>325</v>
      </c>
      <c r="F211" s="103"/>
      <c r="G211" s="101"/>
      <c r="H211" s="99"/>
      <c r="I211" s="51">
        <v>8500</v>
      </c>
      <c r="J211" s="51"/>
      <c r="K211" s="51">
        <f t="shared" si="7"/>
        <v>8500</v>
      </c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</row>
    <row r="212" spans="1:150" s="5" customFormat="1" ht="54" customHeight="1">
      <c r="A212" s="160">
        <v>1517320</v>
      </c>
      <c r="B212" s="49" t="s">
        <v>164</v>
      </c>
      <c r="C212" s="49"/>
      <c r="D212" s="62" t="s">
        <v>170</v>
      </c>
      <c r="E212" s="62"/>
      <c r="F212" s="102"/>
      <c r="G212" s="95"/>
      <c r="H212" s="99"/>
      <c r="I212" s="45">
        <f>I213+I233+I241</f>
        <v>19231755</v>
      </c>
      <c r="J212" s="45">
        <f>J213+J233+J241</f>
        <v>-2807000</v>
      </c>
      <c r="K212" s="45">
        <f>K213+K233+K241</f>
        <v>16424755</v>
      </c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</row>
    <row r="213" spans="1:150" s="16" customFormat="1" ht="34.5" customHeight="1">
      <c r="A213" s="163">
        <v>1517321</v>
      </c>
      <c r="B213" s="52" t="s">
        <v>165</v>
      </c>
      <c r="C213" s="52" t="s">
        <v>61</v>
      </c>
      <c r="D213" s="104" t="s">
        <v>171</v>
      </c>
      <c r="E213" s="105"/>
      <c r="F213" s="106"/>
      <c r="G213" s="48"/>
      <c r="H213" s="99"/>
      <c r="I213" s="48">
        <f>I214+I219</f>
        <v>6110755</v>
      </c>
      <c r="J213" s="48">
        <f>J214+J219</f>
        <v>573000</v>
      </c>
      <c r="K213" s="48">
        <f>K214+K219</f>
        <v>6683755</v>
      </c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</row>
    <row r="214" spans="1:150" s="7" customFormat="1" ht="27" customHeight="1">
      <c r="A214" s="97"/>
      <c r="B214" s="96"/>
      <c r="C214" s="96"/>
      <c r="D214" s="96"/>
      <c r="E214" s="107" t="s">
        <v>174</v>
      </c>
      <c r="F214" s="102"/>
      <c r="G214" s="95"/>
      <c r="H214" s="99"/>
      <c r="I214" s="45">
        <f>SUM(I215:I218)</f>
        <v>1296400</v>
      </c>
      <c r="J214" s="45">
        <f>SUM(J215:J218)</f>
        <v>413000</v>
      </c>
      <c r="K214" s="45">
        <f>SUM(K215:K218)</f>
        <v>1709400</v>
      </c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</row>
    <row r="215" spans="1:150" s="1" customFormat="1" ht="30" customHeight="1">
      <c r="A215" s="97"/>
      <c r="B215" s="97"/>
      <c r="C215" s="97"/>
      <c r="D215" s="97"/>
      <c r="E215" s="100" t="s">
        <v>185</v>
      </c>
      <c r="F215" s="108"/>
      <c r="G215" s="97"/>
      <c r="H215" s="99"/>
      <c r="I215" s="51">
        <f>500000+7000000-3050000-3500000</f>
        <v>950000</v>
      </c>
      <c r="J215" s="51">
        <f>-50000-37000</f>
        <v>-87000</v>
      </c>
      <c r="K215" s="51">
        <f>J215+I215</f>
        <v>863000</v>
      </c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</row>
    <row r="216" spans="1:150" s="29" customFormat="1" ht="123" customHeight="1">
      <c r="A216" s="97"/>
      <c r="B216" s="97"/>
      <c r="C216" s="97"/>
      <c r="D216" s="97"/>
      <c r="E216" s="100" t="s">
        <v>474</v>
      </c>
      <c r="F216" s="108"/>
      <c r="G216" s="97"/>
      <c r="H216" s="99"/>
      <c r="I216" s="51"/>
      <c r="J216" s="51">
        <v>500000</v>
      </c>
      <c r="K216" s="51">
        <f>J216+I216</f>
        <v>500000</v>
      </c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</row>
    <row r="217" spans="1:35" s="14" customFormat="1" ht="47.25" customHeight="1">
      <c r="A217" s="96"/>
      <c r="B217" s="96"/>
      <c r="C217" s="96"/>
      <c r="D217" s="96"/>
      <c r="E217" s="100" t="s">
        <v>186</v>
      </c>
      <c r="F217" s="99"/>
      <c r="G217" s="101"/>
      <c r="H217" s="99"/>
      <c r="I217" s="51">
        <f>250000-3600</f>
        <v>246400</v>
      </c>
      <c r="J217" s="51"/>
      <c r="K217" s="51">
        <f aca="true" t="shared" si="8" ref="K217:K338">J217+I217</f>
        <v>246400</v>
      </c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</row>
    <row r="218" spans="1:35" s="14" customFormat="1" ht="71.25" customHeight="1">
      <c r="A218" s="96"/>
      <c r="B218" s="96"/>
      <c r="C218" s="96"/>
      <c r="D218" s="96"/>
      <c r="E218" s="100" t="s">
        <v>370</v>
      </c>
      <c r="F218" s="99"/>
      <c r="G218" s="101"/>
      <c r="H218" s="99"/>
      <c r="I218" s="51">
        <v>100000</v>
      </c>
      <c r="J218" s="51"/>
      <c r="K218" s="51">
        <f>J218+I218</f>
        <v>100000</v>
      </c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</row>
    <row r="219" spans="1:150" s="7" customFormat="1" ht="25.5" customHeight="1">
      <c r="A219" s="97"/>
      <c r="B219" s="96"/>
      <c r="C219" s="96"/>
      <c r="D219" s="96"/>
      <c r="E219" s="62" t="s">
        <v>178</v>
      </c>
      <c r="F219" s="102"/>
      <c r="G219" s="95"/>
      <c r="H219" s="99"/>
      <c r="I219" s="45">
        <f>SUM(I220:I232)</f>
        <v>4814355</v>
      </c>
      <c r="J219" s="45">
        <f>SUM(J220:J232)</f>
        <v>160000</v>
      </c>
      <c r="K219" s="45">
        <f>SUM(K220:K232)</f>
        <v>4974355</v>
      </c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</row>
    <row r="220" spans="1:150" s="7" customFormat="1" ht="72">
      <c r="A220" s="97"/>
      <c r="B220" s="96"/>
      <c r="C220" s="96"/>
      <c r="D220" s="96"/>
      <c r="E220" s="60" t="s">
        <v>278</v>
      </c>
      <c r="F220" s="99">
        <v>237104</v>
      </c>
      <c r="G220" s="109">
        <v>100</v>
      </c>
      <c r="H220" s="99">
        <v>237104</v>
      </c>
      <c r="I220" s="51">
        <v>221500</v>
      </c>
      <c r="J220" s="51"/>
      <c r="K220" s="51">
        <f t="shared" si="8"/>
        <v>221500</v>
      </c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</row>
    <row r="221" spans="1:150" s="7" customFormat="1" ht="24" customHeight="1">
      <c r="A221" s="97"/>
      <c r="B221" s="96"/>
      <c r="C221" s="96"/>
      <c r="D221" s="96"/>
      <c r="E221" s="60" t="s">
        <v>326</v>
      </c>
      <c r="F221" s="102"/>
      <c r="G221" s="95"/>
      <c r="H221" s="99"/>
      <c r="I221" s="51">
        <v>8500</v>
      </c>
      <c r="J221" s="51"/>
      <c r="K221" s="51">
        <f t="shared" si="8"/>
        <v>8500</v>
      </c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</row>
    <row r="222" spans="1:150" s="7" customFormat="1" ht="36">
      <c r="A222" s="97"/>
      <c r="B222" s="96"/>
      <c r="C222" s="96"/>
      <c r="D222" s="96"/>
      <c r="E222" s="100" t="s">
        <v>327</v>
      </c>
      <c r="F222" s="102"/>
      <c r="G222" s="95"/>
      <c r="H222" s="99"/>
      <c r="I222" s="51">
        <v>8500</v>
      </c>
      <c r="J222" s="51"/>
      <c r="K222" s="51">
        <f t="shared" si="8"/>
        <v>8500</v>
      </c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</row>
    <row r="223" spans="1:150" s="7" customFormat="1" ht="51" customHeight="1">
      <c r="A223" s="97"/>
      <c r="B223" s="96"/>
      <c r="C223" s="96"/>
      <c r="D223" s="96"/>
      <c r="E223" s="100" t="s">
        <v>440</v>
      </c>
      <c r="F223" s="102"/>
      <c r="G223" s="95"/>
      <c r="H223" s="99"/>
      <c r="I223" s="51"/>
      <c r="J223" s="51">
        <f>10000+480000</f>
        <v>490000</v>
      </c>
      <c r="K223" s="51">
        <f t="shared" si="8"/>
        <v>490000</v>
      </c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</row>
    <row r="224" spans="1:35" s="14" customFormat="1" ht="43.5" customHeight="1">
      <c r="A224" s="96"/>
      <c r="B224" s="96"/>
      <c r="C224" s="96"/>
      <c r="D224" s="96"/>
      <c r="E224" s="60" t="s">
        <v>187</v>
      </c>
      <c r="F224" s="99">
        <v>5382485</v>
      </c>
      <c r="G224" s="101">
        <v>59</v>
      </c>
      <c r="H224" s="99">
        <v>3175713</v>
      </c>
      <c r="I224" s="51">
        <f>50000+603355</f>
        <v>653355</v>
      </c>
      <c r="J224" s="51"/>
      <c r="K224" s="51">
        <f t="shared" si="8"/>
        <v>653355</v>
      </c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</row>
    <row r="225" spans="1:35" s="14" customFormat="1" ht="43.5" customHeight="1">
      <c r="A225" s="96"/>
      <c r="B225" s="96"/>
      <c r="C225" s="96"/>
      <c r="D225" s="96"/>
      <c r="E225" s="60" t="s">
        <v>472</v>
      </c>
      <c r="F225" s="99"/>
      <c r="G225" s="101"/>
      <c r="H225" s="99"/>
      <c r="I225" s="51">
        <v>500000</v>
      </c>
      <c r="J225" s="51">
        <v>-300000</v>
      </c>
      <c r="K225" s="51">
        <f t="shared" si="8"/>
        <v>200000</v>
      </c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</row>
    <row r="226" spans="1:35" s="14" customFormat="1" ht="66" customHeight="1">
      <c r="A226" s="96"/>
      <c r="B226" s="96"/>
      <c r="C226" s="96"/>
      <c r="D226" s="96"/>
      <c r="E226" s="60" t="s">
        <v>428</v>
      </c>
      <c r="F226" s="99"/>
      <c r="G226" s="101"/>
      <c r="H226" s="99"/>
      <c r="I226" s="51">
        <v>30000</v>
      </c>
      <c r="J226" s="51"/>
      <c r="K226" s="51">
        <f t="shared" si="8"/>
        <v>30000</v>
      </c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</row>
    <row r="227" spans="1:35" s="14" customFormat="1" ht="64.5" customHeight="1">
      <c r="A227" s="96"/>
      <c r="B227" s="96"/>
      <c r="C227" s="96"/>
      <c r="D227" s="96"/>
      <c r="E227" s="100" t="s">
        <v>328</v>
      </c>
      <c r="F227" s="99"/>
      <c r="G227" s="101"/>
      <c r="H227" s="99"/>
      <c r="I227" s="51">
        <v>100000</v>
      </c>
      <c r="J227" s="51">
        <v>-100000</v>
      </c>
      <c r="K227" s="51">
        <f t="shared" si="8"/>
        <v>0</v>
      </c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</row>
    <row r="228" spans="1:35" s="14" customFormat="1" ht="45" customHeight="1">
      <c r="A228" s="96"/>
      <c r="B228" s="96"/>
      <c r="C228" s="96"/>
      <c r="D228" s="96"/>
      <c r="E228" s="100" t="s">
        <v>329</v>
      </c>
      <c r="F228" s="99"/>
      <c r="G228" s="101"/>
      <c r="H228" s="99"/>
      <c r="I228" s="51">
        <v>8500</v>
      </c>
      <c r="J228" s="51"/>
      <c r="K228" s="51">
        <f t="shared" si="8"/>
        <v>8500</v>
      </c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</row>
    <row r="229" spans="1:35" s="14" customFormat="1" ht="61.5" customHeight="1">
      <c r="A229" s="96"/>
      <c r="B229" s="96"/>
      <c r="C229" s="96"/>
      <c r="D229" s="96"/>
      <c r="E229" s="60" t="s">
        <v>188</v>
      </c>
      <c r="F229" s="108"/>
      <c r="G229" s="101"/>
      <c r="H229" s="99"/>
      <c r="I229" s="51">
        <v>500000</v>
      </c>
      <c r="J229" s="51"/>
      <c r="K229" s="51">
        <f t="shared" si="8"/>
        <v>500000</v>
      </c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</row>
    <row r="230" spans="1:35" s="14" customFormat="1" ht="84" customHeight="1">
      <c r="A230" s="96"/>
      <c r="B230" s="96"/>
      <c r="C230" s="96"/>
      <c r="D230" s="96"/>
      <c r="E230" s="60" t="s">
        <v>189</v>
      </c>
      <c r="F230" s="99">
        <v>1388402</v>
      </c>
      <c r="G230" s="101">
        <v>97.1</v>
      </c>
      <c r="H230" s="99">
        <v>1348369</v>
      </c>
      <c r="I230" s="51">
        <f>986000+400000-57000</f>
        <v>1329000</v>
      </c>
      <c r="J230" s="51"/>
      <c r="K230" s="51">
        <f t="shared" si="8"/>
        <v>1329000</v>
      </c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</row>
    <row r="231" spans="1:35" s="25" customFormat="1" ht="70.5" customHeight="1">
      <c r="A231" s="96"/>
      <c r="B231" s="96"/>
      <c r="C231" s="96"/>
      <c r="D231" s="96"/>
      <c r="E231" s="60" t="s">
        <v>465</v>
      </c>
      <c r="F231" s="99"/>
      <c r="G231" s="101"/>
      <c r="H231" s="99"/>
      <c r="I231" s="51"/>
      <c r="J231" s="51">
        <v>70000</v>
      </c>
      <c r="K231" s="51">
        <f t="shared" si="8"/>
        <v>70000</v>
      </c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</row>
    <row r="232" spans="1:35" s="14" customFormat="1" ht="84.75" customHeight="1">
      <c r="A232" s="96"/>
      <c r="B232" s="96"/>
      <c r="C232" s="96"/>
      <c r="D232" s="96"/>
      <c r="E232" s="60" t="s">
        <v>190</v>
      </c>
      <c r="F232" s="99">
        <v>1479061</v>
      </c>
      <c r="G232" s="101">
        <v>98.39</v>
      </c>
      <c r="H232" s="99">
        <v>1455282</v>
      </c>
      <c r="I232" s="51">
        <v>1455000</v>
      </c>
      <c r="J232" s="51"/>
      <c r="K232" s="51">
        <f t="shared" si="8"/>
        <v>1455000</v>
      </c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</row>
    <row r="233" spans="1:35" s="17" customFormat="1" ht="54" customHeight="1">
      <c r="A233" s="163">
        <v>1517322</v>
      </c>
      <c r="B233" s="52" t="s">
        <v>166</v>
      </c>
      <c r="C233" s="52" t="s">
        <v>61</v>
      </c>
      <c r="D233" s="104" t="s">
        <v>173</v>
      </c>
      <c r="E233" s="110"/>
      <c r="F233" s="111"/>
      <c r="G233" s="112"/>
      <c r="H233" s="99"/>
      <c r="I233" s="48">
        <f>I234+I236</f>
        <v>5560000</v>
      </c>
      <c r="J233" s="48">
        <f>J234+J236</f>
        <v>-580000</v>
      </c>
      <c r="K233" s="48">
        <f>K234+K236</f>
        <v>4980000</v>
      </c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</row>
    <row r="234" spans="1:150" s="7" customFormat="1" ht="24" customHeight="1">
      <c r="A234" s="97"/>
      <c r="B234" s="96"/>
      <c r="C234" s="96"/>
      <c r="D234" s="96"/>
      <c r="E234" s="107" t="s">
        <v>174</v>
      </c>
      <c r="F234" s="102"/>
      <c r="G234" s="95"/>
      <c r="H234" s="99"/>
      <c r="I234" s="45">
        <f>I235</f>
        <v>500000</v>
      </c>
      <c r="J234" s="45">
        <f>J235</f>
        <v>-480000</v>
      </c>
      <c r="K234" s="45">
        <f>K235</f>
        <v>20000</v>
      </c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</row>
    <row r="235" spans="1:35" s="14" customFormat="1" ht="43.5" customHeight="1">
      <c r="A235" s="160"/>
      <c r="B235" s="96"/>
      <c r="C235" s="96"/>
      <c r="D235" s="96"/>
      <c r="E235" s="100" t="s">
        <v>285</v>
      </c>
      <c r="F235" s="99"/>
      <c r="G235" s="101"/>
      <c r="H235" s="99"/>
      <c r="I235" s="51">
        <v>500000</v>
      </c>
      <c r="J235" s="51">
        <v>-480000</v>
      </c>
      <c r="K235" s="51">
        <f t="shared" si="8"/>
        <v>20000</v>
      </c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</row>
    <row r="236" spans="1:150" s="7" customFormat="1" ht="28.5" customHeight="1">
      <c r="A236" s="97"/>
      <c r="B236" s="96"/>
      <c r="C236" s="96"/>
      <c r="D236" s="96"/>
      <c r="E236" s="62" t="s">
        <v>178</v>
      </c>
      <c r="F236" s="102"/>
      <c r="G236" s="95"/>
      <c r="H236" s="99"/>
      <c r="I236" s="45">
        <f>SUM(I237:I240)</f>
        <v>5060000</v>
      </c>
      <c r="J236" s="45">
        <f>SUM(J237:J240)</f>
        <v>-100000</v>
      </c>
      <c r="K236" s="45">
        <f>SUM(K237:K240)</f>
        <v>4960000</v>
      </c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</row>
    <row r="237" spans="1:35" s="14" customFormat="1" ht="48" customHeight="1">
      <c r="A237" s="160"/>
      <c r="B237" s="96"/>
      <c r="C237" s="96"/>
      <c r="D237" s="96"/>
      <c r="E237" s="100" t="s">
        <v>214</v>
      </c>
      <c r="F237" s="113">
        <v>16272770</v>
      </c>
      <c r="G237" s="114">
        <v>98.66</v>
      </c>
      <c r="H237" s="99">
        <v>16054529</v>
      </c>
      <c r="I237" s="51">
        <f>2000000+300000</f>
        <v>2300000</v>
      </c>
      <c r="J237" s="51"/>
      <c r="K237" s="51">
        <f t="shared" si="8"/>
        <v>2300000</v>
      </c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</row>
    <row r="238" spans="1:35" s="14" customFormat="1" ht="65.25" customHeight="1">
      <c r="A238" s="160"/>
      <c r="B238" s="96"/>
      <c r="C238" s="96"/>
      <c r="D238" s="96"/>
      <c r="E238" s="50" t="s">
        <v>191</v>
      </c>
      <c r="F238" s="113"/>
      <c r="G238" s="115"/>
      <c r="H238" s="99"/>
      <c r="I238" s="51">
        <f>1000000-741000-150000</f>
        <v>109000</v>
      </c>
      <c r="J238" s="51">
        <v>-100000</v>
      </c>
      <c r="K238" s="51">
        <f t="shared" si="8"/>
        <v>9000</v>
      </c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</row>
    <row r="239" spans="1:35" s="14" customFormat="1" ht="51.75" customHeight="1">
      <c r="A239" s="160"/>
      <c r="B239" s="96"/>
      <c r="C239" s="96"/>
      <c r="D239" s="96"/>
      <c r="E239" s="50" t="s">
        <v>192</v>
      </c>
      <c r="F239" s="113">
        <v>1591924</v>
      </c>
      <c r="G239" s="114">
        <v>100</v>
      </c>
      <c r="H239" s="99">
        <v>1591924</v>
      </c>
      <c r="I239" s="51">
        <f>1000000+350000-12000</f>
        <v>1338000</v>
      </c>
      <c r="J239" s="51"/>
      <c r="K239" s="51">
        <f t="shared" si="8"/>
        <v>1338000</v>
      </c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</row>
    <row r="240" spans="1:150" s="1" customFormat="1" ht="72.75" customHeight="1">
      <c r="A240" s="160"/>
      <c r="B240" s="96"/>
      <c r="C240" s="96"/>
      <c r="D240" s="96"/>
      <c r="E240" s="60" t="s">
        <v>215</v>
      </c>
      <c r="F240" s="103"/>
      <c r="G240" s="101"/>
      <c r="H240" s="99"/>
      <c r="I240" s="51">
        <f>1000000+350000-37000</f>
        <v>1313000</v>
      </c>
      <c r="J240" s="51"/>
      <c r="K240" s="51">
        <f t="shared" si="8"/>
        <v>1313000</v>
      </c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</row>
    <row r="241" spans="1:150" s="18" customFormat="1" ht="48.75" customHeight="1">
      <c r="A241" s="163">
        <v>1517325</v>
      </c>
      <c r="B241" s="52" t="s">
        <v>167</v>
      </c>
      <c r="C241" s="52" t="s">
        <v>61</v>
      </c>
      <c r="D241" s="104" t="s">
        <v>172</v>
      </c>
      <c r="E241" s="116"/>
      <c r="F241" s="117"/>
      <c r="G241" s="112"/>
      <c r="H241" s="99"/>
      <c r="I241" s="48">
        <f>I242</f>
        <v>7561000</v>
      </c>
      <c r="J241" s="48">
        <f>J242</f>
        <v>-2800000</v>
      </c>
      <c r="K241" s="48">
        <f>K242</f>
        <v>4761000</v>
      </c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</row>
    <row r="242" spans="1:150" s="7" customFormat="1" ht="22.5" customHeight="1">
      <c r="A242" s="97"/>
      <c r="B242" s="96"/>
      <c r="C242" s="96"/>
      <c r="D242" s="96"/>
      <c r="E242" s="94" t="s">
        <v>178</v>
      </c>
      <c r="F242" s="102"/>
      <c r="G242" s="95"/>
      <c r="H242" s="99"/>
      <c r="I242" s="45">
        <f>SUM(I243:I247)</f>
        <v>7561000</v>
      </c>
      <c r="J242" s="45">
        <f>SUM(J243:J247)</f>
        <v>-2800000</v>
      </c>
      <c r="K242" s="45">
        <f>SUM(K243:K247)</f>
        <v>4761000</v>
      </c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</row>
    <row r="243" spans="1:35" s="14" customFormat="1" ht="32.25" customHeight="1">
      <c r="A243" s="96"/>
      <c r="B243" s="96"/>
      <c r="C243" s="96"/>
      <c r="D243" s="96"/>
      <c r="E243" s="100" t="s">
        <v>193</v>
      </c>
      <c r="F243" s="99">
        <v>8134171</v>
      </c>
      <c r="G243" s="101">
        <v>36</v>
      </c>
      <c r="H243" s="99">
        <v>2927689</v>
      </c>
      <c r="I243" s="51">
        <f>2000000-125000-234000</f>
        <v>1641000</v>
      </c>
      <c r="J243" s="51"/>
      <c r="K243" s="51">
        <f t="shared" si="8"/>
        <v>1641000</v>
      </c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</row>
    <row r="244" spans="1:35" s="14" customFormat="1" ht="31.5" customHeight="1">
      <c r="A244" s="96"/>
      <c r="B244" s="96"/>
      <c r="C244" s="96"/>
      <c r="D244" s="96"/>
      <c r="E244" s="100" t="s">
        <v>194</v>
      </c>
      <c r="F244" s="108">
        <v>33898627</v>
      </c>
      <c r="G244" s="101">
        <v>64.8</v>
      </c>
      <c r="H244" s="99">
        <v>21964382</v>
      </c>
      <c r="I244" s="51">
        <f>4000000-1065000</f>
        <v>2935000</v>
      </c>
      <c r="J244" s="51">
        <v>-2900000</v>
      </c>
      <c r="K244" s="51">
        <f t="shared" si="8"/>
        <v>35000</v>
      </c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</row>
    <row r="245" spans="1:35" s="14" customFormat="1" ht="54">
      <c r="A245" s="96"/>
      <c r="B245" s="96"/>
      <c r="C245" s="96"/>
      <c r="D245" s="96"/>
      <c r="E245" s="100" t="s">
        <v>441</v>
      </c>
      <c r="F245" s="108"/>
      <c r="G245" s="101"/>
      <c r="H245" s="99"/>
      <c r="I245" s="51"/>
      <c r="J245" s="51">
        <v>50000</v>
      </c>
      <c r="K245" s="51">
        <f t="shared" si="8"/>
        <v>50000</v>
      </c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</row>
    <row r="246" spans="1:35" s="14" customFormat="1" ht="54">
      <c r="A246" s="96"/>
      <c r="B246" s="96"/>
      <c r="C246" s="96"/>
      <c r="D246" s="96"/>
      <c r="E246" s="100" t="s">
        <v>442</v>
      </c>
      <c r="F246" s="108"/>
      <c r="G246" s="101"/>
      <c r="H246" s="99"/>
      <c r="I246" s="51"/>
      <c r="J246" s="51">
        <v>50000</v>
      </c>
      <c r="K246" s="51">
        <f t="shared" si="8"/>
        <v>50000</v>
      </c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</row>
    <row r="247" spans="1:35" s="14" customFormat="1" ht="62.25" customHeight="1">
      <c r="A247" s="96"/>
      <c r="B247" s="96"/>
      <c r="C247" s="96"/>
      <c r="D247" s="96"/>
      <c r="E247" s="100" t="s">
        <v>216</v>
      </c>
      <c r="F247" s="99">
        <v>3821803</v>
      </c>
      <c r="G247" s="101">
        <v>97.6</v>
      </c>
      <c r="H247" s="99">
        <v>3729106</v>
      </c>
      <c r="I247" s="51">
        <f>2500000+485000</f>
        <v>2985000</v>
      </c>
      <c r="J247" s="51"/>
      <c r="K247" s="51">
        <f t="shared" si="8"/>
        <v>2985000</v>
      </c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</row>
    <row r="248" spans="1:150" s="1" customFormat="1" ht="75" customHeight="1">
      <c r="A248" s="160">
        <v>1517330</v>
      </c>
      <c r="B248" s="49" t="s">
        <v>163</v>
      </c>
      <c r="C248" s="49" t="s">
        <v>61</v>
      </c>
      <c r="D248" s="44" t="s">
        <v>169</v>
      </c>
      <c r="E248" s="118"/>
      <c r="F248" s="103"/>
      <c r="G248" s="101"/>
      <c r="H248" s="99"/>
      <c r="I248" s="45">
        <f>I249+I290</f>
        <v>42625486</v>
      </c>
      <c r="J248" s="45">
        <f>J249+J290</f>
        <v>-248500</v>
      </c>
      <c r="K248" s="45">
        <f>K249+K290</f>
        <v>42376986</v>
      </c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</row>
    <row r="249" spans="1:150" s="1" customFormat="1" ht="24.75" customHeight="1">
      <c r="A249" s="166"/>
      <c r="B249" s="96"/>
      <c r="C249" s="96"/>
      <c r="D249" s="96"/>
      <c r="E249" s="107" t="s">
        <v>174</v>
      </c>
      <c r="F249" s="102"/>
      <c r="G249" s="119"/>
      <c r="H249" s="99"/>
      <c r="I249" s="45">
        <f>SUM(I250:I289)</f>
        <v>20152386</v>
      </c>
      <c r="J249" s="45">
        <f>SUM(J250:J289)</f>
        <v>1427500</v>
      </c>
      <c r="K249" s="45">
        <f>SUM(K250:K289)</f>
        <v>21579886</v>
      </c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</row>
    <row r="250" spans="1:150" s="1" customFormat="1" ht="42" customHeight="1">
      <c r="A250" s="166"/>
      <c r="B250" s="96"/>
      <c r="C250" s="96"/>
      <c r="D250" s="96"/>
      <c r="E250" s="50" t="s">
        <v>396</v>
      </c>
      <c r="F250" s="102"/>
      <c r="G250" s="119"/>
      <c r="H250" s="99"/>
      <c r="I250" s="51">
        <v>500000</v>
      </c>
      <c r="J250" s="51">
        <v>-250000</v>
      </c>
      <c r="K250" s="51">
        <f t="shared" si="8"/>
        <v>250000</v>
      </c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</row>
    <row r="251" spans="1:150" s="1" customFormat="1" ht="51.75" customHeight="1">
      <c r="A251" s="97"/>
      <c r="B251" s="97"/>
      <c r="C251" s="97"/>
      <c r="D251" s="97"/>
      <c r="E251" s="100" t="s">
        <v>195</v>
      </c>
      <c r="F251" s="108">
        <v>28556946</v>
      </c>
      <c r="G251" s="120">
        <v>89.5</v>
      </c>
      <c r="H251" s="99">
        <v>25554164</v>
      </c>
      <c r="I251" s="51">
        <v>3000000</v>
      </c>
      <c r="J251" s="51"/>
      <c r="K251" s="51">
        <f t="shared" si="8"/>
        <v>3000000</v>
      </c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</row>
    <row r="252" spans="1:150" s="1" customFormat="1" ht="87" customHeight="1">
      <c r="A252" s="97"/>
      <c r="B252" s="97"/>
      <c r="C252" s="97"/>
      <c r="D252" s="97"/>
      <c r="E252" s="60" t="s">
        <v>196</v>
      </c>
      <c r="F252" s="99"/>
      <c r="G252" s="97"/>
      <c r="H252" s="99"/>
      <c r="I252" s="51">
        <f>2659000-1111500-448500-100000-900000-29000</f>
        <v>70000</v>
      </c>
      <c r="J252" s="51">
        <f>-57000-13000</f>
        <v>-70000</v>
      </c>
      <c r="K252" s="51">
        <f t="shared" si="8"/>
        <v>0</v>
      </c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</row>
    <row r="253" spans="1:35" s="14" customFormat="1" ht="45.75" customHeight="1">
      <c r="A253" s="96"/>
      <c r="B253" s="96"/>
      <c r="C253" s="96"/>
      <c r="D253" s="96"/>
      <c r="E253" s="60" t="s">
        <v>197</v>
      </c>
      <c r="F253" s="99"/>
      <c r="G253" s="101"/>
      <c r="H253" s="99"/>
      <c r="I253" s="51">
        <f>5000000+4000000</f>
        <v>9000000</v>
      </c>
      <c r="J253" s="51">
        <v>2136000</v>
      </c>
      <c r="K253" s="51">
        <f>J253+I253</f>
        <v>11136000</v>
      </c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</row>
    <row r="254" spans="1:35" s="14" customFormat="1" ht="61.5" customHeight="1">
      <c r="A254" s="96"/>
      <c r="B254" s="96"/>
      <c r="C254" s="96"/>
      <c r="D254" s="96"/>
      <c r="E254" s="100" t="s">
        <v>230</v>
      </c>
      <c r="F254" s="99"/>
      <c r="G254" s="101"/>
      <c r="H254" s="99"/>
      <c r="I254" s="51">
        <v>870000</v>
      </c>
      <c r="J254" s="51">
        <v>-870000</v>
      </c>
      <c r="K254" s="51">
        <f t="shared" si="8"/>
        <v>0</v>
      </c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</row>
    <row r="255" spans="1:35" s="14" customFormat="1" ht="45" customHeight="1">
      <c r="A255" s="96"/>
      <c r="B255" s="96"/>
      <c r="C255" s="96"/>
      <c r="D255" s="96"/>
      <c r="E255" s="100" t="s">
        <v>413</v>
      </c>
      <c r="F255" s="99"/>
      <c r="G255" s="101"/>
      <c r="H255" s="99"/>
      <c r="I255" s="51">
        <v>155800</v>
      </c>
      <c r="J255" s="51">
        <f>-2400-2000</f>
        <v>-4400</v>
      </c>
      <c r="K255" s="51">
        <f t="shared" si="8"/>
        <v>151400</v>
      </c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</row>
    <row r="256" spans="1:35" s="14" customFormat="1" ht="45" customHeight="1">
      <c r="A256" s="96"/>
      <c r="B256" s="96"/>
      <c r="C256" s="96"/>
      <c r="D256" s="96"/>
      <c r="E256" s="100" t="s">
        <v>417</v>
      </c>
      <c r="F256" s="99"/>
      <c r="G256" s="101"/>
      <c r="H256" s="99"/>
      <c r="I256" s="51">
        <v>100000</v>
      </c>
      <c r="J256" s="51">
        <v>57000</v>
      </c>
      <c r="K256" s="51">
        <f t="shared" si="8"/>
        <v>157000</v>
      </c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</row>
    <row r="257" spans="1:35" s="14" customFormat="1" ht="72" customHeight="1">
      <c r="A257" s="96"/>
      <c r="B257" s="96"/>
      <c r="C257" s="96"/>
      <c r="D257" s="96"/>
      <c r="E257" s="100" t="s">
        <v>423</v>
      </c>
      <c r="F257" s="99"/>
      <c r="G257" s="101"/>
      <c r="H257" s="99"/>
      <c r="I257" s="51">
        <v>100000</v>
      </c>
      <c r="J257" s="51"/>
      <c r="K257" s="51">
        <f t="shared" si="8"/>
        <v>100000</v>
      </c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</row>
    <row r="258" spans="1:35" s="14" customFormat="1" ht="49.5" customHeight="1">
      <c r="A258" s="96"/>
      <c r="B258" s="96"/>
      <c r="C258" s="96"/>
      <c r="D258" s="96"/>
      <c r="E258" s="100" t="s">
        <v>443</v>
      </c>
      <c r="F258" s="99"/>
      <c r="G258" s="101"/>
      <c r="H258" s="99"/>
      <c r="I258" s="51"/>
      <c r="J258" s="51">
        <v>50000</v>
      </c>
      <c r="K258" s="51">
        <f t="shared" si="8"/>
        <v>50000</v>
      </c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</row>
    <row r="259" spans="1:35" s="14" customFormat="1" ht="61.5" customHeight="1">
      <c r="A259" s="96"/>
      <c r="B259" s="96"/>
      <c r="C259" s="96"/>
      <c r="D259" s="96"/>
      <c r="E259" s="100" t="s">
        <v>418</v>
      </c>
      <c r="F259" s="99"/>
      <c r="G259" s="101"/>
      <c r="H259" s="99"/>
      <c r="I259" s="51">
        <v>100000</v>
      </c>
      <c r="J259" s="51">
        <v>-97600</v>
      </c>
      <c r="K259" s="51">
        <f t="shared" si="8"/>
        <v>2400</v>
      </c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</row>
    <row r="260" spans="1:35" s="30" customFormat="1" ht="61.5" customHeight="1">
      <c r="A260" s="96"/>
      <c r="B260" s="96"/>
      <c r="C260" s="96"/>
      <c r="D260" s="96"/>
      <c r="E260" s="60" t="s">
        <v>485</v>
      </c>
      <c r="F260" s="99"/>
      <c r="G260" s="101"/>
      <c r="H260" s="99"/>
      <c r="I260" s="51"/>
      <c r="J260" s="51">
        <v>48000</v>
      </c>
      <c r="K260" s="51">
        <f t="shared" si="8"/>
        <v>48000</v>
      </c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</row>
    <row r="261" spans="1:35" s="25" customFormat="1" ht="61.5" customHeight="1">
      <c r="A261" s="96"/>
      <c r="B261" s="96"/>
      <c r="C261" s="96"/>
      <c r="D261" s="96"/>
      <c r="E261" s="60" t="s">
        <v>462</v>
      </c>
      <c r="F261" s="99"/>
      <c r="G261" s="101"/>
      <c r="H261" s="99"/>
      <c r="I261" s="51"/>
      <c r="J261" s="51">
        <v>107000</v>
      </c>
      <c r="K261" s="51">
        <f t="shared" si="8"/>
        <v>107000</v>
      </c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</row>
    <row r="262" spans="1:35" s="14" customFormat="1" ht="50.25" customHeight="1">
      <c r="A262" s="96"/>
      <c r="B262" s="96"/>
      <c r="C262" s="96"/>
      <c r="D262" s="96"/>
      <c r="E262" s="60" t="s">
        <v>276</v>
      </c>
      <c r="F262" s="99"/>
      <c r="G262" s="101"/>
      <c r="H262" s="99"/>
      <c r="I262" s="51">
        <f>100000-5700</f>
        <v>94300</v>
      </c>
      <c r="J262" s="51"/>
      <c r="K262" s="51">
        <f t="shared" si="8"/>
        <v>94300</v>
      </c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</row>
    <row r="263" spans="1:35" s="14" customFormat="1" ht="50.25" customHeight="1">
      <c r="A263" s="96"/>
      <c r="B263" s="96"/>
      <c r="C263" s="96"/>
      <c r="D263" s="96"/>
      <c r="E263" s="60" t="s">
        <v>284</v>
      </c>
      <c r="F263" s="99"/>
      <c r="G263" s="101"/>
      <c r="H263" s="99"/>
      <c r="I263" s="51">
        <f>300000-5700</f>
        <v>294300</v>
      </c>
      <c r="J263" s="51"/>
      <c r="K263" s="51">
        <f t="shared" si="8"/>
        <v>294300</v>
      </c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</row>
    <row r="264" spans="1:35" s="14" customFormat="1" ht="62.25" customHeight="1">
      <c r="A264" s="96"/>
      <c r="B264" s="96"/>
      <c r="C264" s="96"/>
      <c r="D264" s="96"/>
      <c r="E264" s="60" t="s">
        <v>352</v>
      </c>
      <c r="F264" s="99"/>
      <c r="G264" s="101"/>
      <c r="H264" s="99"/>
      <c r="I264" s="51">
        <v>70000</v>
      </c>
      <c r="J264" s="51">
        <v>-2550</v>
      </c>
      <c r="K264" s="51">
        <f t="shared" si="8"/>
        <v>67450</v>
      </c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</row>
    <row r="265" spans="1:35" s="14" customFormat="1" ht="60" customHeight="1">
      <c r="A265" s="96"/>
      <c r="B265" s="96"/>
      <c r="C265" s="96"/>
      <c r="D265" s="96"/>
      <c r="E265" s="60" t="s">
        <v>351</v>
      </c>
      <c r="F265" s="99"/>
      <c r="G265" s="101"/>
      <c r="H265" s="99"/>
      <c r="I265" s="51">
        <v>90000</v>
      </c>
      <c r="J265" s="51">
        <v>-2250</v>
      </c>
      <c r="K265" s="51">
        <f>J265+I265</f>
        <v>87750</v>
      </c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</row>
    <row r="266" spans="1:35" s="14" customFormat="1" ht="50.25" customHeight="1">
      <c r="A266" s="96"/>
      <c r="B266" s="96"/>
      <c r="C266" s="96"/>
      <c r="D266" s="96"/>
      <c r="E266" s="60" t="s">
        <v>330</v>
      </c>
      <c r="F266" s="99"/>
      <c r="G266" s="101"/>
      <c r="H266" s="99"/>
      <c r="I266" s="51">
        <v>50000</v>
      </c>
      <c r="J266" s="51"/>
      <c r="K266" s="51">
        <f t="shared" si="8"/>
        <v>50000</v>
      </c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</row>
    <row r="267" spans="1:35" s="14" customFormat="1" ht="54">
      <c r="A267" s="96"/>
      <c r="B267" s="96"/>
      <c r="C267" s="96"/>
      <c r="D267" s="96"/>
      <c r="E267" s="60" t="s">
        <v>331</v>
      </c>
      <c r="F267" s="99"/>
      <c r="G267" s="101"/>
      <c r="H267" s="99"/>
      <c r="I267" s="51">
        <v>50000</v>
      </c>
      <c r="J267" s="51"/>
      <c r="K267" s="51">
        <f t="shared" si="8"/>
        <v>50000</v>
      </c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</row>
    <row r="268" spans="1:35" s="25" customFormat="1" ht="36">
      <c r="A268" s="96"/>
      <c r="B268" s="96"/>
      <c r="C268" s="96"/>
      <c r="D268" s="96"/>
      <c r="E268" s="60" t="s">
        <v>461</v>
      </c>
      <c r="F268" s="99"/>
      <c r="G268" s="101"/>
      <c r="H268" s="99"/>
      <c r="I268" s="51"/>
      <c r="J268" s="51">
        <v>50000</v>
      </c>
      <c r="K268" s="51">
        <f t="shared" si="8"/>
        <v>50000</v>
      </c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</row>
    <row r="269" spans="1:35" s="14" customFormat="1" ht="40.5" customHeight="1">
      <c r="A269" s="96"/>
      <c r="B269" s="96"/>
      <c r="C269" s="96"/>
      <c r="D269" s="96"/>
      <c r="E269" s="60" t="s">
        <v>444</v>
      </c>
      <c r="F269" s="99"/>
      <c r="G269" s="101"/>
      <c r="H269" s="99"/>
      <c r="I269" s="51"/>
      <c r="J269" s="51">
        <v>100000</v>
      </c>
      <c r="K269" s="51">
        <f t="shared" si="8"/>
        <v>100000</v>
      </c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</row>
    <row r="270" spans="1:35" s="14" customFormat="1" ht="40.5" customHeight="1">
      <c r="A270" s="96"/>
      <c r="B270" s="96"/>
      <c r="C270" s="96"/>
      <c r="D270" s="96"/>
      <c r="E270" s="60" t="s">
        <v>445</v>
      </c>
      <c r="F270" s="99"/>
      <c r="G270" s="101"/>
      <c r="H270" s="99"/>
      <c r="I270" s="51"/>
      <c r="J270" s="51">
        <v>50000</v>
      </c>
      <c r="K270" s="51">
        <f t="shared" si="8"/>
        <v>50000</v>
      </c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</row>
    <row r="271" spans="1:35" s="14" customFormat="1" ht="44.25" customHeight="1">
      <c r="A271" s="96"/>
      <c r="B271" s="96"/>
      <c r="C271" s="96"/>
      <c r="D271" s="96"/>
      <c r="E271" s="60" t="s">
        <v>404</v>
      </c>
      <c r="F271" s="99"/>
      <c r="G271" s="101"/>
      <c r="H271" s="99"/>
      <c r="I271" s="51">
        <v>50000</v>
      </c>
      <c r="J271" s="51"/>
      <c r="K271" s="51">
        <f t="shared" si="8"/>
        <v>50000</v>
      </c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</row>
    <row r="272" spans="1:35" s="25" customFormat="1" ht="44.25" customHeight="1">
      <c r="A272" s="96"/>
      <c r="B272" s="96"/>
      <c r="C272" s="96"/>
      <c r="D272" s="96"/>
      <c r="E272" s="60" t="s">
        <v>463</v>
      </c>
      <c r="F272" s="99"/>
      <c r="G272" s="101"/>
      <c r="H272" s="99"/>
      <c r="I272" s="51"/>
      <c r="J272" s="51">
        <v>28500</v>
      </c>
      <c r="K272" s="51">
        <f t="shared" si="8"/>
        <v>28500</v>
      </c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</row>
    <row r="273" spans="1:35" s="14" customFormat="1" ht="48.75" customHeight="1">
      <c r="A273" s="96"/>
      <c r="B273" s="96"/>
      <c r="C273" s="96"/>
      <c r="D273" s="96"/>
      <c r="E273" s="60" t="s">
        <v>403</v>
      </c>
      <c r="F273" s="99"/>
      <c r="G273" s="101"/>
      <c r="H273" s="99"/>
      <c r="I273" s="51">
        <v>150000</v>
      </c>
      <c r="J273" s="51"/>
      <c r="K273" s="51">
        <f t="shared" si="8"/>
        <v>150000</v>
      </c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</row>
    <row r="274" spans="1:35" s="14" customFormat="1" ht="48.75" customHeight="1">
      <c r="A274" s="96"/>
      <c r="B274" s="96"/>
      <c r="C274" s="96"/>
      <c r="D274" s="96"/>
      <c r="E274" s="100" t="s">
        <v>446</v>
      </c>
      <c r="F274" s="99"/>
      <c r="G274" s="101"/>
      <c r="H274" s="99"/>
      <c r="I274" s="51"/>
      <c r="J274" s="51">
        <f>30000+20000</f>
        <v>50000</v>
      </c>
      <c r="K274" s="51">
        <f t="shared" si="8"/>
        <v>50000</v>
      </c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</row>
    <row r="275" spans="1:35" s="14" customFormat="1" ht="48.75" customHeight="1">
      <c r="A275" s="96"/>
      <c r="B275" s="96"/>
      <c r="C275" s="96"/>
      <c r="D275" s="96"/>
      <c r="E275" s="100" t="s">
        <v>424</v>
      </c>
      <c r="F275" s="99"/>
      <c r="G275" s="101"/>
      <c r="H275" s="99"/>
      <c r="I275" s="51">
        <v>175000</v>
      </c>
      <c r="J275" s="51"/>
      <c r="K275" s="51">
        <f t="shared" si="8"/>
        <v>175000</v>
      </c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</row>
    <row r="276" spans="1:35" s="14" customFormat="1" ht="42" customHeight="1">
      <c r="A276" s="96"/>
      <c r="B276" s="96"/>
      <c r="C276" s="96"/>
      <c r="D276" s="96"/>
      <c r="E276" s="100" t="s">
        <v>402</v>
      </c>
      <c r="F276" s="99"/>
      <c r="G276" s="101"/>
      <c r="H276" s="99"/>
      <c r="I276" s="51">
        <v>104845</v>
      </c>
      <c r="J276" s="51">
        <v>-2200</v>
      </c>
      <c r="K276" s="51">
        <f t="shared" si="8"/>
        <v>102645</v>
      </c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</row>
    <row r="277" spans="1:35" s="14" customFormat="1" ht="36">
      <c r="A277" s="96"/>
      <c r="B277" s="96"/>
      <c r="C277" s="96"/>
      <c r="D277" s="96"/>
      <c r="E277" s="100" t="s">
        <v>332</v>
      </c>
      <c r="F277" s="99"/>
      <c r="G277" s="101"/>
      <c r="H277" s="99"/>
      <c r="I277" s="51">
        <v>61400</v>
      </c>
      <c r="J277" s="51"/>
      <c r="K277" s="51">
        <f t="shared" si="8"/>
        <v>61400</v>
      </c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</row>
    <row r="278" spans="1:35" s="14" customFormat="1" ht="57" customHeight="1">
      <c r="A278" s="96"/>
      <c r="B278" s="96"/>
      <c r="C278" s="96"/>
      <c r="D278" s="96"/>
      <c r="E278" s="100" t="s">
        <v>333</v>
      </c>
      <c r="F278" s="99"/>
      <c r="G278" s="101"/>
      <c r="H278" s="99"/>
      <c r="I278" s="51">
        <f>71000-2800</f>
        <v>68200</v>
      </c>
      <c r="J278" s="51"/>
      <c r="K278" s="51">
        <f t="shared" si="8"/>
        <v>68200</v>
      </c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</row>
    <row r="279" spans="1:35" s="25" customFormat="1" ht="57" customHeight="1">
      <c r="A279" s="96"/>
      <c r="B279" s="96"/>
      <c r="C279" s="96"/>
      <c r="D279" s="96"/>
      <c r="E279" s="60" t="s">
        <v>464</v>
      </c>
      <c r="F279" s="99"/>
      <c r="G279" s="101"/>
      <c r="H279" s="99"/>
      <c r="I279" s="51"/>
      <c r="J279" s="51">
        <v>50000</v>
      </c>
      <c r="K279" s="51">
        <f t="shared" si="8"/>
        <v>50000</v>
      </c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</row>
    <row r="280" spans="1:35" s="14" customFormat="1" ht="54.75" customHeight="1">
      <c r="A280" s="96"/>
      <c r="B280" s="96"/>
      <c r="C280" s="96"/>
      <c r="D280" s="96"/>
      <c r="E280" s="100" t="s">
        <v>353</v>
      </c>
      <c r="F280" s="99"/>
      <c r="G280" s="101"/>
      <c r="H280" s="99"/>
      <c r="I280" s="51">
        <f>55000+100000-1600</f>
        <v>153400</v>
      </c>
      <c r="J280" s="51"/>
      <c r="K280" s="51">
        <f t="shared" si="8"/>
        <v>153400</v>
      </c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</row>
    <row r="281" spans="1:35" s="14" customFormat="1" ht="54.75" customHeight="1">
      <c r="A281" s="96"/>
      <c r="B281" s="96"/>
      <c r="C281" s="96"/>
      <c r="D281" s="96"/>
      <c r="E281" s="100" t="s">
        <v>431</v>
      </c>
      <c r="F281" s="99"/>
      <c r="G281" s="101"/>
      <c r="H281" s="99"/>
      <c r="I281" s="51">
        <v>75000</v>
      </c>
      <c r="J281" s="51"/>
      <c r="K281" s="51">
        <f t="shared" si="8"/>
        <v>75000</v>
      </c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</row>
    <row r="282" spans="1:35" s="14" customFormat="1" ht="45.75" customHeight="1">
      <c r="A282" s="96"/>
      <c r="B282" s="96"/>
      <c r="C282" s="96"/>
      <c r="D282" s="96"/>
      <c r="E282" s="60" t="s">
        <v>268</v>
      </c>
      <c r="F282" s="99"/>
      <c r="G282" s="101"/>
      <c r="H282" s="99"/>
      <c r="I282" s="51">
        <v>998774</v>
      </c>
      <c r="J282" s="51"/>
      <c r="K282" s="51">
        <f t="shared" si="8"/>
        <v>998774</v>
      </c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</row>
    <row r="283" spans="1:35" s="14" customFormat="1" ht="27.75" customHeight="1">
      <c r="A283" s="96"/>
      <c r="B283" s="96"/>
      <c r="C283" s="96"/>
      <c r="D283" s="96"/>
      <c r="E283" s="60" t="s">
        <v>269</v>
      </c>
      <c r="F283" s="99"/>
      <c r="G283" s="101"/>
      <c r="H283" s="99"/>
      <c r="I283" s="51">
        <v>489680</v>
      </c>
      <c r="J283" s="51">
        <v>-20500</v>
      </c>
      <c r="K283" s="51">
        <f t="shared" si="8"/>
        <v>469180</v>
      </c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</row>
    <row r="284" spans="1:35" s="14" customFormat="1" ht="63.75" customHeight="1">
      <c r="A284" s="96"/>
      <c r="B284" s="96"/>
      <c r="C284" s="96"/>
      <c r="D284" s="96"/>
      <c r="E284" s="60" t="s">
        <v>270</v>
      </c>
      <c r="F284" s="99"/>
      <c r="G284" s="101"/>
      <c r="H284" s="99"/>
      <c r="I284" s="51">
        <v>498116</v>
      </c>
      <c r="J284" s="51">
        <v>38832</v>
      </c>
      <c r="K284" s="51">
        <f t="shared" si="8"/>
        <v>536948</v>
      </c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</row>
    <row r="285" spans="1:35" s="14" customFormat="1" ht="41.25" customHeight="1">
      <c r="A285" s="96"/>
      <c r="B285" s="96"/>
      <c r="C285" s="96"/>
      <c r="D285" s="96"/>
      <c r="E285" s="60" t="s">
        <v>271</v>
      </c>
      <c r="F285" s="99"/>
      <c r="G285" s="101"/>
      <c r="H285" s="99"/>
      <c r="I285" s="51">
        <v>409160</v>
      </c>
      <c r="J285" s="51">
        <v>-129000</v>
      </c>
      <c r="K285" s="51">
        <f t="shared" si="8"/>
        <v>280160</v>
      </c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</row>
    <row r="286" spans="1:35" s="14" customFormat="1" ht="27.75" customHeight="1">
      <c r="A286" s="96"/>
      <c r="B286" s="96"/>
      <c r="C286" s="96"/>
      <c r="D286" s="96"/>
      <c r="E286" s="60" t="s">
        <v>272</v>
      </c>
      <c r="F286" s="99"/>
      <c r="G286" s="101"/>
      <c r="H286" s="99"/>
      <c r="I286" s="51">
        <v>998900</v>
      </c>
      <c r="J286" s="51">
        <v>11008</v>
      </c>
      <c r="K286" s="51">
        <f t="shared" si="8"/>
        <v>1009908</v>
      </c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</row>
    <row r="287" spans="1:35" s="14" customFormat="1" ht="36">
      <c r="A287" s="96"/>
      <c r="B287" s="96"/>
      <c r="C287" s="96"/>
      <c r="D287" s="96"/>
      <c r="E287" s="60" t="s">
        <v>273</v>
      </c>
      <c r="F287" s="99"/>
      <c r="G287" s="101"/>
      <c r="H287" s="99"/>
      <c r="I287" s="51">
        <v>482174</v>
      </c>
      <c r="J287" s="51"/>
      <c r="K287" s="51">
        <f t="shared" si="8"/>
        <v>482174</v>
      </c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</row>
    <row r="288" spans="1:35" s="14" customFormat="1" ht="39" customHeight="1">
      <c r="A288" s="96"/>
      <c r="B288" s="96"/>
      <c r="C288" s="96"/>
      <c r="D288" s="96"/>
      <c r="E288" s="60" t="s">
        <v>274</v>
      </c>
      <c r="F288" s="99"/>
      <c r="G288" s="101"/>
      <c r="H288" s="99"/>
      <c r="I288" s="51">
        <v>425207</v>
      </c>
      <c r="J288" s="51"/>
      <c r="K288" s="51">
        <f t="shared" si="8"/>
        <v>425207</v>
      </c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</row>
    <row r="289" spans="1:35" s="14" customFormat="1" ht="36">
      <c r="A289" s="96"/>
      <c r="B289" s="96"/>
      <c r="C289" s="96"/>
      <c r="D289" s="96"/>
      <c r="E289" s="60" t="s">
        <v>275</v>
      </c>
      <c r="F289" s="99"/>
      <c r="G289" s="101"/>
      <c r="H289" s="99"/>
      <c r="I289" s="51">
        <v>468130</v>
      </c>
      <c r="J289" s="51">
        <v>99660</v>
      </c>
      <c r="K289" s="51">
        <f t="shared" si="8"/>
        <v>567790</v>
      </c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</row>
    <row r="290" spans="1:35" s="14" customFormat="1" ht="27" customHeight="1">
      <c r="A290" s="96"/>
      <c r="B290" s="96"/>
      <c r="C290" s="96"/>
      <c r="D290" s="96"/>
      <c r="E290" s="62" t="s">
        <v>178</v>
      </c>
      <c r="F290" s="121"/>
      <c r="G290" s="121"/>
      <c r="H290" s="99"/>
      <c r="I290" s="122">
        <f>SUM(I291:I312)</f>
        <v>22473100</v>
      </c>
      <c r="J290" s="122">
        <f>SUM(J291:J312)</f>
        <v>-1676000</v>
      </c>
      <c r="K290" s="122">
        <f>SUM(K291:K312)</f>
        <v>20797100</v>
      </c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</row>
    <row r="291" spans="1:35" s="14" customFormat="1" ht="127.5" customHeight="1">
      <c r="A291" s="96"/>
      <c r="B291" s="96"/>
      <c r="C291" s="96"/>
      <c r="D291" s="96"/>
      <c r="E291" s="100" t="s">
        <v>348</v>
      </c>
      <c r="F291" s="121"/>
      <c r="G291" s="121"/>
      <c r="H291" s="99"/>
      <c r="I291" s="123">
        <v>8500</v>
      </c>
      <c r="J291" s="123"/>
      <c r="K291" s="51">
        <f t="shared" si="8"/>
        <v>8500</v>
      </c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</row>
    <row r="292" spans="1:35" s="14" customFormat="1" ht="54">
      <c r="A292" s="96"/>
      <c r="B292" s="96"/>
      <c r="C292" s="96"/>
      <c r="D292" s="96"/>
      <c r="E292" s="100" t="s">
        <v>357</v>
      </c>
      <c r="F292" s="121"/>
      <c r="G292" s="121"/>
      <c r="H292" s="99"/>
      <c r="I292" s="123">
        <v>100000</v>
      </c>
      <c r="J292" s="123">
        <v>183000</v>
      </c>
      <c r="K292" s="51">
        <f t="shared" si="8"/>
        <v>283000</v>
      </c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</row>
    <row r="293" spans="1:35" s="14" customFormat="1" ht="48" customHeight="1">
      <c r="A293" s="96"/>
      <c r="B293" s="96"/>
      <c r="C293" s="96"/>
      <c r="D293" s="96"/>
      <c r="E293" s="100" t="s">
        <v>198</v>
      </c>
      <c r="F293" s="99"/>
      <c r="G293" s="101"/>
      <c r="H293" s="99"/>
      <c r="I293" s="51">
        <f>100000+1000</f>
        <v>101000</v>
      </c>
      <c r="J293" s="51"/>
      <c r="K293" s="51">
        <f t="shared" si="8"/>
        <v>101000</v>
      </c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</row>
    <row r="294" spans="1:35" s="14" customFormat="1" ht="67.5" customHeight="1">
      <c r="A294" s="96"/>
      <c r="B294" s="96"/>
      <c r="C294" s="96"/>
      <c r="D294" s="96"/>
      <c r="E294" s="60" t="s">
        <v>279</v>
      </c>
      <c r="F294" s="99">
        <v>510218</v>
      </c>
      <c r="G294" s="101">
        <v>47.9</v>
      </c>
      <c r="H294" s="99">
        <v>244626</v>
      </c>
      <c r="I294" s="51">
        <f>240000-17400</f>
        <v>222600</v>
      </c>
      <c r="J294" s="51"/>
      <c r="K294" s="51">
        <f t="shared" si="8"/>
        <v>222600</v>
      </c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</row>
    <row r="295" spans="1:35" s="14" customFormat="1" ht="48" customHeight="1">
      <c r="A295" s="96"/>
      <c r="B295" s="96"/>
      <c r="C295" s="96"/>
      <c r="D295" s="96"/>
      <c r="E295" s="60" t="s">
        <v>400</v>
      </c>
      <c r="F295" s="99"/>
      <c r="G295" s="101"/>
      <c r="H295" s="99"/>
      <c r="I295" s="51">
        <v>500000</v>
      </c>
      <c r="J295" s="51"/>
      <c r="K295" s="51">
        <f t="shared" si="8"/>
        <v>500000</v>
      </c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</row>
    <row r="296" spans="1:35" s="14" customFormat="1" ht="48" customHeight="1">
      <c r="A296" s="96"/>
      <c r="B296" s="96"/>
      <c r="C296" s="96"/>
      <c r="D296" s="96"/>
      <c r="E296" s="60" t="s">
        <v>398</v>
      </c>
      <c r="F296" s="99"/>
      <c r="G296" s="101"/>
      <c r="H296" s="99"/>
      <c r="I296" s="51">
        <v>291000</v>
      </c>
      <c r="J296" s="51"/>
      <c r="K296" s="51">
        <f t="shared" si="8"/>
        <v>291000</v>
      </c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</row>
    <row r="297" spans="1:35" s="14" customFormat="1" ht="48" customHeight="1">
      <c r="A297" s="96"/>
      <c r="B297" s="96"/>
      <c r="C297" s="96"/>
      <c r="D297" s="96"/>
      <c r="E297" s="60" t="s">
        <v>399</v>
      </c>
      <c r="F297" s="99"/>
      <c r="G297" s="101"/>
      <c r="H297" s="99"/>
      <c r="I297" s="51">
        <v>400000</v>
      </c>
      <c r="J297" s="51"/>
      <c r="K297" s="51">
        <f t="shared" si="8"/>
        <v>400000</v>
      </c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</row>
    <row r="298" spans="1:150" s="1" customFormat="1" ht="60" customHeight="1">
      <c r="A298" s="96"/>
      <c r="B298" s="96"/>
      <c r="C298" s="96"/>
      <c r="D298" s="96"/>
      <c r="E298" s="60" t="s">
        <v>303</v>
      </c>
      <c r="F298" s="103"/>
      <c r="G298" s="101"/>
      <c r="H298" s="124"/>
      <c r="I298" s="51">
        <v>100000</v>
      </c>
      <c r="J298" s="51"/>
      <c r="K298" s="51">
        <f>J298+I298</f>
        <v>100000</v>
      </c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</row>
    <row r="299" spans="1:150" s="1" customFormat="1" ht="60" customHeight="1">
      <c r="A299" s="96"/>
      <c r="B299" s="96"/>
      <c r="C299" s="96"/>
      <c r="D299" s="96"/>
      <c r="E299" s="60" t="s">
        <v>429</v>
      </c>
      <c r="F299" s="103"/>
      <c r="G299" s="101"/>
      <c r="H299" s="124"/>
      <c r="I299" s="51">
        <v>200000</v>
      </c>
      <c r="J299" s="51">
        <v>91000</v>
      </c>
      <c r="K299" s="51">
        <f>J299+I299</f>
        <v>291000</v>
      </c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</row>
    <row r="300" spans="1:35" s="14" customFormat="1" ht="72" customHeight="1">
      <c r="A300" s="96"/>
      <c r="B300" s="96"/>
      <c r="C300" s="96"/>
      <c r="D300" s="96"/>
      <c r="E300" s="100" t="s">
        <v>217</v>
      </c>
      <c r="F300" s="108">
        <v>7995986</v>
      </c>
      <c r="G300" s="101">
        <v>92.1</v>
      </c>
      <c r="H300" s="99">
        <v>7363893</v>
      </c>
      <c r="I300" s="51">
        <f>500000+2000000</f>
        <v>2500000</v>
      </c>
      <c r="J300" s="51"/>
      <c r="K300" s="51">
        <f t="shared" si="8"/>
        <v>2500000</v>
      </c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</row>
    <row r="301" spans="1:35" s="14" customFormat="1" ht="39.75" customHeight="1">
      <c r="A301" s="96"/>
      <c r="B301" s="96"/>
      <c r="C301" s="96"/>
      <c r="D301" s="96"/>
      <c r="E301" s="60" t="s">
        <v>218</v>
      </c>
      <c r="F301" s="108">
        <v>5617491</v>
      </c>
      <c r="G301" s="101">
        <v>70.6</v>
      </c>
      <c r="H301" s="99">
        <v>3967874</v>
      </c>
      <c r="I301" s="51">
        <v>3000000</v>
      </c>
      <c r="J301" s="51"/>
      <c r="K301" s="51">
        <f t="shared" si="8"/>
        <v>3000000</v>
      </c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</row>
    <row r="302" spans="1:35" s="14" customFormat="1" ht="43.5" customHeight="1">
      <c r="A302" s="96"/>
      <c r="B302" s="96"/>
      <c r="C302" s="96"/>
      <c r="D302" s="96"/>
      <c r="E302" s="60" t="s">
        <v>199</v>
      </c>
      <c r="F302" s="99">
        <v>9995386</v>
      </c>
      <c r="G302" s="101">
        <v>20.8</v>
      </c>
      <c r="H302" s="99">
        <v>2081885</v>
      </c>
      <c r="I302" s="51">
        <f>500000-450000</f>
        <v>50000</v>
      </c>
      <c r="J302" s="51"/>
      <c r="K302" s="51">
        <f t="shared" si="8"/>
        <v>50000</v>
      </c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</row>
    <row r="303" spans="1:35" s="14" customFormat="1" ht="43.5" customHeight="1">
      <c r="A303" s="96"/>
      <c r="B303" s="96"/>
      <c r="C303" s="96"/>
      <c r="D303" s="96"/>
      <c r="E303" s="60" t="s">
        <v>405</v>
      </c>
      <c r="F303" s="99"/>
      <c r="G303" s="101"/>
      <c r="H303" s="99"/>
      <c r="I303" s="51">
        <v>100000</v>
      </c>
      <c r="J303" s="51"/>
      <c r="K303" s="51">
        <f t="shared" si="8"/>
        <v>100000</v>
      </c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</row>
    <row r="304" spans="1:35" s="14" customFormat="1" ht="43.5" customHeight="1">
      <c r="A304" s="96"/>
      <c r="B304" s="96"/>
      <c r="C304" s="96"/>
      <c r="D304" s="96"/>
      <c r="E304" s="60" t="s">
        <v>200</v>
      </c>
      <c r="F304" s="108">
        <v>31834622</v>
      </c>
      <c r="G304" s="101">
        <v>65.2</v>
      </c>
      <c r="H304" s="99">
        <v>20752957</v>
      </c>
      <c r="I304" s="51">
        <v>7000000</v>
      </c>
      <c r="J304" s="51"/>
      <c r="K304" s="51">
        <f t="shared" si="8"/>
        <v>7000000</v>
      </c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</row>
    <row r="305" spans="1:35" s="14" customFormat="1" ht="43.5" customHeight="1">
      <c r="A305" s="96"/>
      <c r="B305" s="96"/>
      <c r="C305" s="96"/>
      <c r="D305" s="96"/>
      <c r="E305" s="100" t="s">
        <v>201</v>
      </c>
      <c r="F305" s="108">
        <v>14670250</v>
      </c>
      <c r="G305" s="101">
        <v>48.7</v>
      </c>
      <c r="H305" s="99">
        <v>7146429</v>
      </c>
      <c r="I305" s="51">
        <v>500000</v>
      </c>
      <c r="J305" s="51">
        <v>-250000</v>
      </c>
      <c r="K305" s="51">
        <f t="shared" si="8"/>
        <v>250000</v>
      </c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</row>
    <row r="306" spans="1:35" s="14" customFormat="1" ht="36">
      <c r="A306" s="96"/>
      <c r="B306" s="96"/>
      <c r="C306" s="96"/>
      <c r="D306" s="96"/>
      <c r="E306" s="100" t="s">
        <v>369</v>
      </c>
      <c r="F306" s="108"/>
      <c r="G306" s="101"/>
      <c r="H306" s="99"/>
      <c r="I306" s="51">
        <f>1000000-600000</f>
        <v>400000</v>
      </c>
      <c r="J306" s="51">
        <v>-400000</v>
      </c>
      <c r="K306" s="51">
        <f t="shared" si="8"/>
        <v>0</v>
      </c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</row>
    <row r="307" spans="1:35" s="14" customFormat="1" ht="54">
      <c r="A307" s="96"/>
      <c r="B307" s="96"/>
      <c r="C307" s="96"/>
      <c r="D307" s="96"/>
      <c r="E307" s="60" t="s">
        <v>375</v>
      </c>
      <c r="F307" s="108">
        <v>1581853</v>
      </c>
      <c r="G307" s="101">
        <v>46.8</v>
      </c>
      <c r="H307" s="99">
        <v>739746</v>
      </c>
      <c r="I307" s="51">
        <v>500000</v>
      </c>
      <c r="J307" s="51"/>
      <c r="K307" s="51">
        <f t="shared" si="8"/>
        <v>500000</v>
      </c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</row>
    <row r="308" spans="1:35" s="14" customFormat="1" ht="78" customHeight="1">
      <c r="A308" s="96"/>
      <c r="B308" s="96"/>
      <c r="C308" s="96"/>
      <c r="D308" s="96"/>
      <c r="E308" s="60" t="s">
        <v>376</v>
      </c>
      <c r="F308" s="108"/>
      <c r="G308" s="101"/>
      <c r="H308" s="99"/>
      <c r="I308" s="51">
        <v>500000</v>
      </c>
      <c r="J308" s="51"/>
      <c r="K308" s="51">
        <f t="shared" si="8"/>
        <v>500000</v>
      </c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</row>
    <row r="309" spans="1:35" s="14" customFormat="1" ht="54">
      <c r="A309" s="96"/>
      <c r="B309" s="96"/>
      <c r="C309" s="96"/>
      <c r="D309" s="96"/>
      <c r="E309" s="60" t="s">
        <v>202</v>
      </c>
      <c r="F309" s="103"/>
      <c r="G309" s="101"/>
      <c r="H309" s="99"/>
      <c r="I309" s="51">
        <v>1500000</v>
      </c>
      <c r="J309" s="51"/>
      <c r="K309" s="51">
        <f t="shared" si="8"/>
        <v>1500000</v>
      </c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</row>
    <row r="310" spans="1:35" s="14" customFormat="1" ht="54">
      <c r="A310" s="96"/>
      <c r="B310" s="96"/>
      <c r="C310" s="96"/>
      <c r="D310" s="96"/>
      <c r="E310" s="60" t="s">
        <v>203</v>
      </c>
      <c r="F310" s="103"/>
      <c r="G310" s="101"/>
      <c r="H310" s="99"/>
      <c r="I310" s="51">
        <v>1500000</v>
      </c>
      <c r="J310" s="51">
        <v>-1300000</v>
      </c>
      <c r="K310" s="51">
        <f t="shared" si="8"/>
        <v>200000</v>
      </c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</row>
    <row r="311" spans="1:35" s="14" customFormat="1" ht="54">
      <c r="A311" s="96"/>
      <c r="B311" s="96"/>
      <c r="C311" s="96"/>
      <c r="D311" s="96"/>
      <c r="E311" s="60" t="s">
        <v>204</v>
      </c>
      <c r="F311" s="103"/>
      <c r="G311" s="101"/>
      <c r="H311" s="124"/>
      <c r="I311" s="51">
        <v>1500000</v>
      </c>
      <c r="J311" s="51"/>
      <c r="K311" s="51">
        <f t="shared" si="8"/>
        <v>1500000</v>
      </c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</row>
    <row r="312" spans="1:150" s="1" customFormat="1" ht="54">
      <c r="A312" s="96"/>
      <c r="B312" s="96"/>
      <c r="C312" s="96"/>
      <c r="D312" s="96"/>
      <c r="E312" s="60" t="s">
        <v>205</v>
      </c>
      <c r="F312" s="103"/>
      <c r="G312" s="101"/>
      <c r="H312" s="124"/>
      <c r="I312" s="51">
        <v>1500000</v>
      </c>
      <c r="J312" s="51"/>
      <c r="K312" s="51">
        <f t="shared" si="8"/>
        <v>1500000</v>
      </c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</row>
    <row r="313" spans="1:150" s="1" customFormat="1" ht="64.5" customHeight="1">
      <c r="A313" s="49" t="s">
        <v>277</v>
      </c>
      <c r="B313" s="49" t="s">
        <v>84</v>
      </c>
      <c r="C313" s="49" t="s">
        <v>61</v>
      </c>
      <c r="D313" s="60" t="s">
        <v>1</v>
      </c>
      <c r="E313" s="60"/>
      <c r="F313" s="103"/>
      <c r="G313" s="101"/>
      <c r="H313" s="124"/>
      <c r="I313" s="45">
        <f>I314+I315</f>
        <v>1000000</v>
      </c>
      <c r="J313" s="45">
        <f>J314+J315</f>
        <v>1200000</v>
      </c>
      <c r="K313" s="45">
        <f>K314+K315</f>
        <v>2200000</v>
      </c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</row>
    <row r="314" spans="1:150" s="1" customFormat="1" ht="51.75" customHeight="1">
      <c r="A314" s="49"/>
      <c r="B314" s="49"/>
      <c r="C314" s="49"/>
      <c r="D314" s="60"/>
      <c r="E314" s="60" t="s">
        <v>439</v>
      </c>
      <c r="F314" s="103"/>
      <c r="G314" s="101"/>
      <c r="H314" s="124"/>
      <c r="I314" s="51">
        <v>500000</v>
      </c>
      <c r="J314" s="51">
        <v>1200000</v>
      </c>
      <c r="K314" s="51">
        <f t="shared" si="8"/>
        <v>1700000</v>
      </c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</row>
    <row r="315" spans="1:150" s="1" customFormat="1" ht="32.25" customHeight="1">
      <c r="A315" s="49"/>
      <c r="B315" s="49"/>
      <c r="C315" s="49"/>
      <c r="D315" s="60"/>
      <c r="E315" s="60" t="s">
        <v>286</v>
      </c>
      <c r="F315" s="99">
        <v>1579560</v>
      </c>
      <c r="G315" s="101">
        <v>38.4</v>
      </c>
      <c r="H315" s="99">
        <v>605818</v>
      </c>
      <c r="I315" s="51">
        <v>500000</v>
      </c>
      <c r="J315" s="51"/>
      <c r="K315" s="51">
        <f t="shared" si="8"/>
        <v>500000</v>
      </c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</row>
    <row r="316" spans="1:35" s="7" customFormat="1" ht="30.75" customHeight="1">
      <c r="A316" s="49" t="s">
        <v>311</v>
      </c>
      <c r="B316" s="49" t="s">
        <v>307</v>
      </c>
      <c r="C316" s="49"/>
      <c r="D316" s="50" t="s">
        <v>308</v>
      </c>
      <c r="E316" s="50"/>
      <c r="F316" s="125"/>
      <c r="G316" s="50"/>
      <c r="H316" s="50"/>
      <c r="I316" s="67">
        <f>SUM(I317)</f>
        <v>289538</v>
      </c>
      <c r="J316" s="126">
        <f>SUM(J317)</f>
        <v>309000</v>
      </c>
      <c r="K316" s="126">
        <f>SUM(K317)</f>
        <v>598538</v>
      </c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</row>
    <row r="317" spans="1:35" s="10" customFormat="1" ht="78.75" customHeight="1">
      <c r="A317" s="52" t="s">
        <v>312</v>
      </c>
      <c r="B317" s="52" t="s">
        <v>315</v>
      </c>
      <c r="C317" s="52" t="s">
        <v>56</v>
      </c>
      <c r="D317" s="53" t="s">
        <v>305</v>
      </c>
      <c r="E317" s="53"/>
      <c r="F317" s="127"/>
      <c r="G317" s="53"/>
      <c r="H317" s="53"/>
      <c r="I317" s="69">
        <f>I319+I321</f>
        <v>289538</v>
      </c>
      <c r="J317" s="69">
        <f>J319+J321</f>
        <v>309000</v>
      </c>
      <c r="K317" s="69">
        <f>K319+K321</f>
        <v>598538</v>
      </c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</row>
    <row r="318" spans="1:35" s="20" customFormat="1" ht="18">
      <c r="A318" s="52"/>
      <c r="B318" s="52"/>
      <c r="C318" s="52"/>
      <c r="D318" s="53" t="s">
        <v>459</v>
      </c>
      <c r="E318" s="53"/>
      <c r="F318" s="53"/>
      <c r="G318" s="53"/>
      <c r="H318" s="53"/>
      <c r="I318" s="55">
        <f>I320+I322</f>
        <v>91</v>
      </c>
      <c r="J318" s="55">
        <f>J320+J322</f>
        <v>300000</v>
      </c>
      <c r="K318" s="55">
        <f>J318+I318</f>
        <v>300091</v>
      </c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</row>
    <row r="319" spans="1:35" s="7" customFormat="1" ht="78.75" customHeight="1">
      <c r="A319" s="49"/>
      <c r="B319" s="49"/>
      <c r="C319" s="49"/>
      <c r="D319" s="50"/>
      <c r="E319" s="50" t="s">
        <v>457</v>
      </c>
      <c r="F319" s="125"/>
      <c r="G319" s="50"/>
      <c r="H319" s="50"/>
      <c r="I319" s="67">
        <f>289447+91</f>
        <v>289538</v>
      </c>
      <c r="J319" s="126"/>
      <c r="K319" s="126">
        <f>J319+I319</f>
        <v>289538</v>
      </c>
      <c r="L319" s="59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</row>
    <row r="320" spans="1:35" s="23" customFormat="1" ht="15">
      <c r="A320" s="89"/>
      <c r="B320" s="89"/>
      <c r="C320" s="89"/>
      <c r="D320" s="90" t="s">
        <v>459</v>
      </c>
      <c r="E320" s="90"/>
      <c r="F320" s="90"/>
      <c r="G320" s="90"/>
      <c r="H320" s="90"/>
      <c r="I320" s="91">
        <v>91</v>
      </c>
      <c r="J320" s="91"/>
      <c r="K320" s="91">
        <f>J320+I320</f>
        <v>91</v>
      </c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  <c r="AG320" s="159"/>
      <c r="AH320" s="159"/>
      <c r="AI320" s="159"/>
    </row>
    <row r="321" spans="1:35" s="7" customFormat="1" ht="78.75" customHeight="1">
      <c r="A321" s="49"/>
      <c r="B321" s="49"/>
      <c r="C321" s="49"/>
      <c r="D321" s="50"/>
      <c r="E321" s="50" t="s">
        <v>458</v>
      </c>
      <c r="F321" s="125"/>
      <c r="G321" s="50"/>
      <c r="H321" s="50"/>
      <c r="I321" s="67"/>
      <c r="J321" s="126">
        <f>9000+300000</f>
        <v>309000</v>
      </c>
      <c r="K321" s="126">
        <f>J321+I321</f>
        <v>309000</v>
      </c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</row>
    <row r="322" spans="1:35" s="23" customFormat="1" ht="15">
      <c r="A322" s="89"/>
      <c r="B322" s="89"/>
      <c r="C322" s="89"/>
      <c r="D322" s="90" t="s">
        <v>459</v>
      </c>
      <c r="E322" s="90"/>
      <c r="F322" s="90"/>
      <c r="G322" s="90"/>
      <c r="H322" s="90"/>
      <c r="I322" s="91"/>
      <c r="J322" s="91">
        <v>300000</v>
      </c>
      <c r="K322" s="91">
        <f>J322+I322</f>
        <v>300000</v>
      </c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  <c r="AG322" s="159"/>
      <c r="AH322" s="159"/>
      <c r="AI322" s="159"/>
    </row>
    <row r="323" spans="1:35" s="7" customFormat="1" ht="30.75" customHeight="1">
      <c r="A323" s="49" t="s">
        <v>90</v>
      </c>
      <c r="B323" s="49" t="s">
        <v>2</v>
      </c>
      <c r="C323" s="49" t="s">
        <v>57</v>
      </c>
      <c r="D323" s="50" t="s">
        <v>26</v>
      </c>
      <c r="E323" s="50"/>
      <c r="F323" s="125"/>
      <c r="G323" s="50"/>
      <c r="H323" s="50"/>
      <c r="I323" s="51">
        <v>19086155</v>
      </c>
      <c r="J323" s="51"/>
      <c r="K323" s="51">
        <f>I323+J323</f>
        <v>19086155</v>
      </c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</row>
    <row r="324" spans="1:35" s="7" customFormat="1" ht="54" customHeight="1">
      <c r="A324" s="43" t="s">
        <v>358</v>
      </c>
      <c r="B324" s="92"/>
      <c r="C324" s="92"/>
      <c r="D324" s="62" t="s">
        <v>359</v>
      </c>
      <c r="E324" s="62"/>
      <c r="F324" s="62"/>
      <c r="G324" s="62"/>
      <c r="H324" s="62"/>
      <c r="I324" s="45">
        <f aca="true" t="shared" si="9" ref="I324:K325">I325</f>
        <v>140000</v>
      </c>
      <c r="J324" s="45">
        <f>J325</f>
        <v>0</v>
      </c>
      <c r="K324" s="45">
        <f t="shared" si="9"/>
        <v>140000</v>
      </c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</row>
    <row r="325" spans="1:35" s="7" customFormat="1" ht="51.75" customHeight="1">
      <c r="A325" s="46" t="s">
        <v>360</v>
      </c>
      <c r="B325" s="79"/>
      <c r="C325" s="79"/>
      <c r="D325" s="64" t="s">
        <v>359</v>
      </c>
      <c r="E325" s="64"/>
      <c r="F325" s="64"/>
      <c r="G325" s="64"/>
      <c r="H325" s="64"/>
      <c r="I325" s="48">
        <f t="shared" si="9"/>
        <v>140000</v>
      </c>
      <c r="J325" s="48">
        <f t="shared" si="9"/>
        <v>0</v>
      </c>
      <c r="K325" s="48">
        <f t="shared" si="9"/>
        <v>140000</v>
      </c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</row>
    <row r="326" spans="1:35" s="7" customFormat="1" ht="60" customHeight="1">
      <c r="A326" s="49" t="s">
        <v>361</v>
      </c>
      <c r="B326" s="49" t="s">
        <v>362</v>
      </c>
      <c r="C326" s="49" t="s">
        <v>61</v>
      </c>
      <c r="D326" s="50" t="s">
        <v>363</v>
      </c>
      <c r="E326" s="50"/>
      <c r="F326" s="50"/>
      <c r="G326" s="50"/>
      <c r="H326" s="50"/>
      <c r="I326" s="51">
        <v>140000</v>
      </c>
      <c r="J326" s="51"/>
      <c r="K326" s="51">
        <f t="shared" si="8"/>
        <v>140000</v>
      </c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</row>
    <row r="327" spans="1:35" s="6" customFormat="1" ht="72" customHeight="1">
      <c r="A327" s="43" t="s">
        <v>136</v>
      </c>
      <c r="B327" s="92"/>
      <c r="C327" s="92"/>
      <c r="D327" s="62" t="s">
        <v>33</v>
      </c>
      <c r="E327" s="62"/>
      <c r="F327" s="62"/>
      <c r="G327" s="62"/>
      <c r="H327" s="62"/>
      <c r="I327" s="45">
        <f aca="true" t="shared" si="10" ref="I327:K328">I328</f>
        <v>40000</v>
      </c>
      <c r="J327" s="45">
        <f t="shared" si="10"/>
        <v>0</v>
      </c>
      <c r="K327" s="45">
        <f t="shared" si="10"/>
        <v>40000</v>
      </c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  <c r="Y327" s="151"/>
      <c r="Z327" s="151"/>
      <c r="AA327" s="151"/>
      <c r="AB327" s="151"/>
      <c r="AC327" s="151"/>
      <c r="AD327" s="151"/>
      <c r="AE327" s="151"/>
      <c r="AF327" s="151"/>
      <c r="AG327" s="151"/>
      <c r="AH327" s="151"/>
      <c r="AI327" s="151"/>
    </row>
    <row r="328" spans="1:35" s="6" customFormat="1" ht="75.75" customHeight="1">
      <c r="A328" s="46" t="s">
        <v>134</v>
      </c>
      <c r="B328" s="79"/>
      <c r="C328" s="79"/>
      <c r="D328" s="64" t="s">
        <v>33</v>
      </c>
      <c r="E328" s="64"/>
      <c r="F328" s="64"/>
      <c r="G328" s="64"/>
      <c r="H328" s="64"/>
      <c r="I328" s="48">
        <f t="shared" si="10"/>
        <v>40000</v>
      </c>
      <c r="J328" s="48">
        <f t="shared" si="10"/>
        <v>0</v>
      </c>
      <c r="K328" s="48">
        <f t="shared" si="10"/>
        <v>40000</v>
      </c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  <c r="X328" s="151"/>
      <c r="Y328" s="151"/>
      <c r="Z328" s="151"/>
      <c r="AA328" s="151"/>
      <c r="AB328" s="151"/>
      <c r="AC328" s="151"/>
      <c r="AD328" s="151"/>
      <c r="AE328" s="151"/>
      <c r="AF328" s="151"/>
      <c r="AG328" s="151"/>
      <c r="AH328" s="151"/>
      <c r="AI328" s="151"/>
    </row>
    <row r="329" spans="1:35" s="10" customFormat="1" ht="76.5" customHeight="1">
      <c r="A329" s="49" t="s">
        <v>135</v>
      </c>
      <c r="B329" s="49" t="s">
        <v>70</v>
      </c>
      <c r="C329" s="49" t="s">
        <v>35</v>
      </c>
      <c r="D329" s="50" t="s">
        <v>71</v>
      </c>
      <c r="E329" s="50"/>
      <c r="F329" s="50"/>
      <c r="G329" s="50"/>
      <c r="H329" s="50"/>
      <c r="I329" s="51">
        <v>40000</v>
      </c>
      <c r="J329" s="51"/>
      <c r="K329" s="51">
        <f t="shared" si="8"/>
        <v>40000</v>
      </c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</row>
    <row r="330" spans="1:35" s="5" customFormat="1" ht="48" customHeight="1">
      <c r="A330" s="43" t="s">
        <v>137</v>
      </c>
      <c r="B330" s="43"/>
      <c r="C330" s="43"/>
      <c r="D330" s="62" t="s">
        <v>31</v>
      </c>
      <c r="E330" s="62"/>
      <c r="F330" s="62"/>
      <c r="G330" s="62"/>
      <c r="H330" s="62"/>
      <c r="I330" s="45">
        <f>I331</f>
        <v>273500</v>
      </c>
      <c r="J330" s="45">
        <f>J331</f>
        <v>0</v>
      </c>
      <c r="K330" s="45">
        <f>K331</f>
        <v>273500</v>
      </c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</row>
    <row r="331" spans="1:35" s="6" customFormat="1" ht="48.75" customHeight="1">
      <c r="A331" s="46" t="s">
        <v>138</v>
      </c>
      <c r="B331" s="46"/>
      <c r="C331" s="46"/>
      <c r="D331" s="64" t="s">
        <v>31</v>
      </c>
      <c r="E331" s="64"/>
      <c r="F331" s="64"/>
      <c r="G331" s="64"/>
      <c r="H331" s="64"/>
      <c r="I331" s="48">
        <f>I332+I333+I334+I335</f>
        <v>273500</v>
      </c>
      <c r="J331" s="48">
        <f>J332+J333+J334+J335</f>
        <v>0</v>
      </c>
      <c r="K331" s="48">
        <f>K332+K333+K334+K335</f>
        <v>273500</v>
      </c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1"/>
      <c r="AF331" s="151"/>
      <c r="AG331" s="151"/>
      <c r="AH331" s="151"/>
      <c r="AI331" s="151"/>
    </row>
    <row r="332" spans="1:35" s="5" customFormat="1" ht="81" customHeight="1">
      <c r="A332" s="49" t="s">
        <v>139</v>
      </c>
      <c r="B332" s="49" t="s">
        <v>70</v>
      </c>
      <c r="C332" s="49" t="s">
        <v>35</v>
      </c>
      <c r="D332" s="50" t="s">
        <v>71</v>
      </c>
      <c r="E332" s="50"/>
      <c r="F332" s="50"/>
      <c r="G332" s="50"/>
      <c r="H332" s="50"/>
      <c r="I332" s="51">
        <f>150000-130500</f>
        <v>19500</v>
      </c>
      <c r="J332" s="51"/>
      <c r="K332" s="51">
        <f t="shared" si="8"/>
        <v>19500</v>
      </c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</row>
    <row r="333" spans="1:35" s="7" customFormat="1" ht="48" customHeight="1">
      <c r="A333" s="57" t="s">
        <v>154</v>
      </c>
      <c r="B333" s="57" t="s">
        <v>155</v>
      </c>
      <c r="C333" s="57" t="s">
        <v>56</v>
      </c>
      <c r="D333" s="50" t="s">
        <v>158</v>
      </c>
      <c r="E333" s="50"/>
      <c r="F333" s="50"/>
      <c r="G333" s="50"/>
      <c r="H333" s="50"/>
      <c r="I333" s="51">
        <f>25000+25000</f>
        <v>50000</v>
      </c>
      <c r="J333" s="51"/>
      <c r="K333" s="51">
        <f t="shared" si="8"/>
        <v>50000</v>
      </c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</row>
    <row r="334" spans="1:35" s="7" customFormat="1" ht="98.25" customHeight="1">
      <c r="A334" s="57" t="s">
        <v>156</v>
      </c>
      <c r="B334" s="57" t="s">
        <v>157</v>
      </c>
      <c r="C334" s="57" t="s">
        <v>56</v>
      </c>
      <c r="D334" s="50" t="s">
        <v>159</v>
      </c>
      <c r="E334" s="50"/>
      <c r="F334" s="50"/>
      <c r="G334" s="50"/>
      <c r="H334" s="50"/>
      <c r="I334" s="51">
        <v>25000</v>
      </c>
      <c r="J334" s="51"/>
      <c r="K334" s="51">
        <f t="shared" si="8"/>
        <v>25000</v>
      </c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</row>
    <row r="335" spans="1:35" s="7" customFormat="1" ht="87.75" customHeight="1">
      <c r="A335" s="57" t="s">
        <v>301</v>
      </c>
      <c r="B335" s="57" t="s">
        <v>302</v>
      </c>
      <c r="C335" s="57" t="s">
        <v>34</v>
      </c>
      <c r="D335" s="128" t="s">
        <v>313</v>
      </c>
      <c r="E335" s="50"/>
      <c r="F335" s="50"/>
      <c r="G335" s="50"/>
      <c r="H335" s="50"/>
      <c r="I335" s="51">
        <v>179000</v>
      </c>
      <c r="J335" s="51"/>
      <c r="K335" s="51">
        <f t="shared" si="8"/>
        <v>179000</v>
      </c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</row>
    <row r="336" spans="1:35" s="5" customFormat="1" ht="51" customHeight="1">
      <c r="A336" s="43" t="s">
        <v>140</v>
      </c>
      <c r="B336" s="43"/>
      <c r="C336" s="43"/>
      <c r="D336" s="62" t="s">
        <v>32</v>
      </c>
      <c r="E336" s="62"/>
      <c r="F336" s="62"/>
      <c r="G336" s="62"/>
      <c r="H336" s="62"/>
      <c r="I336" s="45">
        <f>I337</f>
        <v>613800</v>
      </c>
      <c r="J336" s="45">
        <f>J337</f>
        <v>0</v>
      </c>
      <c r="K336" s="45">
        <f>K337</f>
        <v>613800</v>
      </c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</row>
    <row r="337" spans="1:35" s="6" customFormat="1" ht="42" customHeight="1">
      <c r="A337" s="46" t="s">
        <v>141</v>
      </c>
      <c r="B337" s="46"/>
      <c r="C337" s="46"/>
      <c r="D337" s="64" t="s">
        <v>32</v>
      </c>
      <c r="E337" s="64"/>
      <c r="F337" s="64"/>
      <c r="G337" s="64"/>
      <c r="H337" s="64"/>
      <c r="I337" s="48">
        <f>I338+I339</f>
        <v>613800</v>
      </c>
      <c r="J337" s="48">
        <f>J338+J339</f>
        <v>0</v>
      </c>
      <c r="K337" s="48">
        <f>K338+K339</f>
        <v>613800</v>
      </c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</row>
    <row r="338" spans="1:35" s="7" customFormat="1" ht="77.25" customHeight="1">
      <c r="A338" s="49" t="s">
        <v>142</v>
      </c>
      <c r="B338" s="49" t="s">
        <v>70</v>
      </c>
      <c r="C338" s="49" t="s">
        <v>35</v>
      </c>
      <c r="D338" s="50" t="s">
        <v>71</v>
      </c>
      <c r="E338" s="50"/>
      <c r="F338" s="50"/>
      <c r="G338" s="50"/>
      <c r="H338" s="50"/>
      <c r="I338" s="51">
        <f>184000-123000</f>
        <v>61000</v>
      </c>
      <c r="J338" s="51"/>
      <c r="K338" s="51">
        <f t="shared" si="8"/>
        <v>61000</v>
      </c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</row>
    <row r="339" spans="1:35" s="7" customFormat="1" ht="27" customHeight="1">
      <c r="A339" s="49" t="s">
        <v>251</v>
      </c>
      <c r="B339" s="49" t="s">
        <v>252</v>
      </c>
      <c r="C339" s="49" t="s">
        <v>34</v>
      </c>
      <c r="D339" s="129" t="s">
        <v>253</v>
      </c>
      <c r="E339" s="129"/>
      <c r="F339" s="129"/>
      <c r="G339" s="129"/>
      <c r="H339" s="129"/>
      <c r="I339" s="51">
        <f>514800+38000</f>
        <v>552800</v>
      </c>
      <c r="J339" s="51"/>
      <c r="K339" s="51">
        <f>I339+J339</f>
        <v>552800</v>
      </c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</row>
    <row r="340" spans="1:35" s="5" customFormat="1" ht="33" customHeight="1">
      <c r="A340" s="43"/>
      <c r="B340" s="92"/>
      <c r="C340" s="92"/>
      <c r="D340" s="130" t="s">
        <v>12</v>
      </c>
      <c r="E340" s="130"/>
      <c r="F340" s="130"/>
      <c r="G340" s="130"/>
      <c r="H340" s="130"/>
      <c r="I340" s="45">
        <f>I13+I38+I60+I74+I98+I110+I184+I187+I327+I330+I336+I324+I92</f>
        <v>472871005.17</v>
      </c>
      <c r="J340" s="45">
        <f>J13+J38+J60+J74+J98+J110+J184+J187+J327+J330+J336+J324+J92</f>
        <v>26444137.47</v>
      </c>
      <c r="K340" s="45">
        <f>K13+K38+K60+K74+K98+K110+K184+K187+K327+K330+K336+K324+K92</f>
        <v>499315142.64</v>
      </c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  <c r="AH340" s="150"/>
      <c r="AI340" s="150"/>
    </row>
    <row r="341" spans="1:35" s="24" customFormat="1" ht="17.25">
      <c r="A341" s="43"/>
      <c r="B341" s="43"/>
      <c r="C341" s="43"/>
      <c r="D341" s="62" t="s">
        <v>459</v>
      </c>
      <c r="E341" s="62"/>
      <c r="F341" s="62"/>
      <c r="G341" s="62"/>
      <c r="H341" s="62"/>
      <c r="I341" s="45">
        <f>I40+I62+I76+I100++I112+I189+I94</f>
        <v>15037601.499999998</v>
      </c>
      <c r="J341" s="45">
        <f>J40+J62+J76+J100++J112+J189+J94</f>
        <v>26123768.47</v>
      </c>
      <c r="K341" s="45">
        <f>K40+K62+K76+K100++K112+K189+K94</f>
        <v>41161369.970000006</v>
      </c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  <c r="AH341" s="150"/>
      <c r="AI341" s="150"/>
    </row>
    <row r="342" spans="1:35" s="1" customFormat="1" ht="27.75" customHeight="1">
      <c r="A342" s="167"/>
      <c r="B342" s="131"/>
      <c r="C342" s="131"/>
      <c r="D342" s="132"/>
      <c r="E342" s="132"/>
      <c r="F342" s="132"/>
      <c r="G342" s="132"/>
      <c r="H342" s="132"/>
      <c r="I342" s="133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  <c r="AD342" s="134"/>
      <c r="AE342" s="134"/>
      <c r="AF342" s="134"/>
      <c r="AG342" s="134"/>
      <c r="AH342" s="134"/>
      <c r="AI342" s="134"/>
    </row>
    <row r="343" spans="1:35" s="1" customFormat="1" ht="27.75" customHeight="1">
      <c r="A343" s="167"/>
      <c r="B343" s="131"/>
      <c r="C343" s="131"/>
      <c r="D343" s="132"/>
      <c r="E343" s="132"/>
      <c r="F343" s="132"/>
      <c r="G343" s="132"/>
      <c r="H343" s="132"/>
      <c r="I343" s="133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4"/>
      <c r="AD343" s="134"/>
      <c r="AE343" s="134"/>
      <c r="AF343" s="134"/>
      <c r="AG343" s="134"/>
      <c r="AH343" s="134"/>
      <c r="AI343" s="134"/>
    </row>
    <row r="344" spans="1:35" s="1" customFormat="1" ht="27.75" customHeight="1">
      <c r="A344" s="167"/>
      <c r="B344" s="131"/>
      <c r="C344" s="131"/>
      <c r="D344" s="132"/>
      <c r="E344" s="132"/>
      <c r="F344" s="132"/>
      <c r="G344" s="132"/>
      <c r="H344" s="132"/>
      <c r="I344" s="133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4"/>
      <c r="AD344" s="134"/>
      <c r="AE344" s="134"/>
      <c r="AF344" s="134"/>
      <c r="AG344" s="134"/>
      <c r="AH344" s="134"/>
      <c r="AI344" s="134"/>
    </row>
    <row r="345" spans="1:35" s="26" customFormat="1" ht="27.75">
      <c r="A345" s="177" t="s">
        <v>469</v>
      </c>
      <c r="B345" s="177"/>
      <c r="C345" s="177"/>
      <c r="D345" s="177"/>
      <c r="E345" s="177"/>
      <c r="F345" s="135"/>
      <c r="G345" s="135"/>
      <c r="H345" s="182" t="s">
        <v>470</v>
      </c>
      <c r="I345" s="182"/>
      <c r="J345" s="134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</row>
    <row r="346" spans="1:35" s="3" customFormat="1" ht="6" customHeight="1">
      <c r="A346" s="136"/>
      <c r="B346" s="136"/>
      <c r="C346" s="136"/>
      <c r="D346" s="137"/>
      <c r="E346" s="137"/>
      <c r="F346" s="137"/>
      <c r="G346" s="137"/>
      <c r="H346" s="137"/>
      <c r="I346" s="138"/>
      <c r="J346" s="134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</row>
    <row r="347" spans="1:35" s="19" customFormat="1" ht="27.75">
      <c r="A347" s="168" t="s">
        <v>471</v>
      </c>
      <c r="B347" s="169"/>
      <c r="C347" s="140"/>
      <c r="D347" s="141"/>
      <c r="E347" s="142"/>
      <c r="F347" s="142"/>
      <c r="G347" s="142"/>
      <c r="H347" s="143"/>
      <c r="I347" s="144"/>
      <c r="J347" s="134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</row>
    <row r="348" spans="1:35" s="1" customFormat="1" ht="27.75" customHeight="1">
      <c r="A348" s="167"/>
      <c r="B348" s="131"/>
      <c r="C348" s="131"/>
      <c r="D348" s="132"/>
      <c r="E348" s="132"/>
      <c r="F348" s="132"/>
      <c r="G348" s="132"/>
      <c r="H348" s="132"/>
      <c r="I348" s="133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</row>
    <row r="349" spans="1:35" s="1" customFormat="1" ht="27.75" customHeight="1">
      <c r="A349" s="167"/>
      <c r="B349" s="131"/>
      <c r="C349" s="131"/>
      <c r="D349" s="132"/>
      <c r="E349" s="132"/>
      <c r="F349" s="132"/>
      <c r="G349" s="132"/>
      <c r="H349" s="132"/>
      <c r="I349" s="133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</row>
    <row r="350" spans="1:35" s="1" customFormat="1" ht="27.75" customHeight="1">
      <c r="A350" s="167"/>
      <c r="B350" s="131"/>
      <c r="C350" s="131"/>
      <c r="D350" s="132"/>
      <c r="E350" s="132"/>
      <c r="F350" s="132"/>
      <c r="G350" s="132"/>
      <c r="H350" s="132"/>
      <c r="I350" s="133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</row>
    <row r="351" spans="1:35" s="1" customFormat="1" ht="27.75" customHeight="1">
      <c r="A351" s="167"/>
      <c r="B351" s="131"/>
      <c r="C351" s="131"/>
      <c r="D351" s="132"/>
      <c r="E351" s="132"/>
      <c r="F351" s="132"/>
      <c r="G351" s="132"/>
      <c r="H351" s="132"/>
      <c r="I351" s="133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</row>
    <row r="352" spans="1:35" s="1" customFormat="1" ht="27.75" customHeight="1">
      <c r="A352" s="167"/>
      <c r="B352" s="131"/>
      <c r="C352" s="131"/>
      <c r="D352" s="132"/>
      <c r="E352" s="132"/>
      <c r="F352" s="132"/>
      <c r="G352" s="132"/>
      <c r="H352" s="132"/>
      <c r="I352" s="133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</row>
    <row r="353" spans="1:35" s="1" customFormat="1" ht="27.75" customHeight="1">
      <c r="A353" s="167"/>
      <c r="B353" s="131"/>
      <c r="C353" s="131"/>
      <c r="D353" s="132"/>
      <c r="E353" s="132"/>
      <c r="F353" s="132"/>
      <c r="G353" s="132"/>
      <c r="H353" s="132"/>
      <c r="I353" s="133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</row>
    <row r="354" spans="1:35" s="1" customFormat="1" ht="27.75" customHeight="1">
      <c r="A354" s="167"/>
      <c r="B354" s="131"/>
      <c r="C354" s="131"/>
      <c r="D354" s="132"/>
      <c r="E354" s="132"/>
      <c r="F354" s="132"/>
      <c r="G354" s="132"/>
      <c r="H354" s="132"/>
      <c r="I354" s="133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</row>
    <row r="355" spans="1:35" s="1" customFormat="1" ht="27.75" customHeight="1">
      <c r="A355" s="167"/>
      <c r="B355" s="131"/>
      <c r="C355" s="131"/>
      <c r="D355" s="132"/>
      <c r="E355" s="132"/>
      <c r="F355" s="132"/>
      <c r="G355" s="132"/>
      <c r="H355" s="132"/>
      <c r="I355" s="133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</row>
    <row r="356" spans="1:35" s="1" customFormat="1" ht="18">
      <c r="A356" s="167"/>
      <c r="B356" s="131"/>
      <c r="C356" s="131"/>
      <c r="D356" s="132"/>
      <c r="E356" s="132"/>
      <c r="F356" s="132"/>
      <c r="G356" s="132"/>
      <c r="H356" s="132"/>
      <c r="I356" s="133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</row>
    <row r="357" spans="1:35" s="1" customFormat="1" ht="18">
      <c r="A357" s="167"/>
      <c r="B357" s="131"/>
      <c r="C357" s="131"/>
      <c r="D357" s="132"/>
      <c r="E357" s="132"/>
      <c r="F357" s="132"/>
      <c r="G357" s="132"/>
      <c r="H357" s="132"/>
      <c r="I357" s="133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</row>
    <row r="358" spans="1:35" s="1" customFormat="1" ht="18">
      <c r="A358" s="167"/>
      <c r="B358" s="131"/>
      <c r="C358" s="131"/>
      <c r="D358" s="132"/>
      <c r="E358" s="132"/>
      <c r="F358" s="132"/>
      <c r="G358" s="132"/>
      <c r="H358" s="132"/>
      <c r="I358" s="133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</row>
    <row r="359" spans="1:35" s="1" customFormat="1" ht="18">
      <c r="A359" s="167"/>
      <c r="B359" s="131"/>
      <c r="C359" s="131"/>
      <c r="D359" s="132"/>
      <c r="E359" s="132"/>
      <c r="F359" s="132"/>
      <c r="G359" s="132"/>
      <c r="H359" s="132"/>
      <c r="I359" s="133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</row>
    <row r="360" spans="1:35" s="1" customFormat="1" ht="18">
      <c r="A360" s="167"/>
      <c r="B360" s="131"/>
      <c r="C360" s="131"/>
      <c r="D360" s="132"/>
      <c r="E360" s="132"/>
      <c r="F360" s="132"/>
      <c r="G360" s="132"/>
      <c r="H360" s="132"/>
      <c r="I360" s="133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</row>
    <row r="361" spans="1:35" s="1" customFormat="1" ht="18">
      <c r="A361" s="167"/>
      <c r="B361" s="131"/>
      <c r="C361" s="131"/>
      <c r="D361" s="132"/>
      <c r="E361" s="132"/>
      <c r="F361" s="132"/>
      <c r="G361" s="132"/>
      <c r="H361" s="132"/>
      <c r="I361" s="133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</row>
    <row r="362" spans="1:35" s="1" customFormat="1" ht="18">
      <c r="A362" s="167"/>
      <c r="B362" s="131"/>
      <c r="C362" s="131"/>
      <c r="D362" s="132"/>
      <c r="E362" s="132"/>
      <c r="F362" s="132"/>
      <c r="G362" s="132"/>
      <c r="H362" s="132"/>
      <c r="I362" s="133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</row>
    <row r="363" spans="1:35" s="1" customFormat="1" ht="18">
      <c r="A363" s="167"/>
      <c r="B363" s="131"/>
      <c r="C363" s="131"/>
      <c r="D363" s="132"/>
      <c r="E363" s="132"/>
      <c r="F363" s="132"/>
      <c r="G363" s="132"/>
      <c r="H363" s="132"/>
      <c r="I363" s="133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4"/>
      <c r="AD363" s="134"/>
      <c r="AE363" s="134"/>
      <c r="AF363" s="134"/>
      <c r="AG363" s="134"/>
      <c r="AH363" s="134"/>
      <c r="AI363" s="134"/>
    </row>
    <row r="364" spans="1:35" s="1" customFormat="1" ht="18">
      <c r="A364" s="167"/>
      <c r="B364" s="131"/>
      <c r="C364" s="131"/>
      <c r="D364" s="132"/>
      <c r="E364" s="132"/>
      <c r="F364" s="132"/>
      <c r="G364" s="132"/>
      <c r="H364" s="132"/>
      <c r="I364" s="133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4"/>
      <c r="AD364" s="134"/>
      <c r="AE364" s="134"/>
      <c r="AF364" s="134"/>
      <c r="AG364" s="134"/>
      <c r="AH364" s="134"/>
      <c r="AI364" s="134"/>
    </row>
    <row r="365" spans="1:35" s="1" customFormat="1" ht="18">
      <c r="A365" s="167"/>
      <c r="B365" s="131"/>
      <c r="C365" s="131"/>
      <c r="D365" s="132"/>
      <c r="E365" s="132"/>
      <c r="F365" s="132"/>
      <c r="G365" s="132"/>
      <c r="H365" s="132"/>
      <c r="I365" s="133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4"/>
      <c r="AD365" s="134"/>
      <c r="AE365" s="134"/>
      <c r="AF365" s="134"/>
      <c r="AG365" s="134"/>
      <c r="AH365" s="134"/>
      <c r="AI365" s="134"/>
    </row>
    <row r="366" spans="1:35" s="1" customFormat="1" ht="18">
      <c r="A366" s="167"/>
      <c r="B366" s="131"/>
      <c r="C366" s="131"/>
      <c r="D366" s="132"/>
      <c r="E366" s="132"/>
      <c r="F366" s="132"/>
      <c r="G366" s="132"/>
      <c r="H366" s="132"/>
      <c r="I366" s="133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4"/>
      <c r="AD366" s="134"/>
      <c r="AE366" s="134"/>
      <c r="AF366" s="134"/>
      <c r="AG366" s="134"/>
      <c r="AH366" s="134"/>
      <c r="AI366" s="134"/>
    </row>
    <row r="367" spans="1:35" s="1" customFormat="1" ht="18">
      <c r="A367" s="167"/>
      <c r="B367" s="131"/>
      <c r="C367" s="131"/>
      <c r="D367" s="132"/>
      <c r="E367" s="132"/>
      <c r="F367" s="132"/>
      <c r="G367" s="132"/>
      <c r="H367" s="132"/>
      <c r="I367" s="133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</row>
    <row r="368" spans="1:35" s="1" customFormat="1" ht="18">
      <c r="A368" s="167"/>
      <c r="B368" s="131"/>
      <c r="C368" s="131"/>
      <c r="D368" s="132"/>
      <c r="E368" s="132"/>
      <c r="F368" s="132"/>
      <c r="G368" s="132"/>
      <c r="H368" s="132"/>
      <c r="I368" s="133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  <c r="AB368" s="134"/>
      <c r="AC368" s="134"/>
      <c r="AD368" s="134"/>
      <c r="AE368" s="134"/>
      <c r="AF368" s="134"/>
      <c r="AG368" s="134"/>
      <c r="AH368" s="134"/>
      <c r="AI368" s="134"/>
    </row>
    <row r="369" spans="1:35" s="1" customFormat="1" ht="18">
      <c r="A369" s="167"/>
      <c r="B369" s="131"/>
      <c r="C369" s="131"/>
      <c r="D369" s="132"/>
      <c r="E369" s="132"/>
      <c r="F369" s="132"/>
      <c r="G369" s="132"/>
      <c r="H369" s="132"/>
      <c r="I369" s="133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  <c r="AB369" s="134"/>
      <c r="AC369" s="134"/>
      <c r="AD369" s="134"/>
      <c r="AE369" s="134"/>
      <c r="AF369" s="134"/>
      <c r="AG369" s="134"/>
      <c r="AH369" s="134"/>
      <c r="AI369" s="134"/>
    </row>
    <row r="370" spans="1:35" s="1" customFormat="1" ht="18">
      <c r="A370" s="167"/>
      <c r="B370" s="131"/>
      <c r="C370" s="131"/>
      <c r="D370" s="132"/>
      <c r="E370" s="132"/>
      <c r="F370" s="132"/>
      <c r="G370" s="132"/>
      <c r="H370" s="132"/>
      <c r="I370" s="133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4"/>
      <c r="AD370" s="134"/>
      <c r="AE370" s="134"/>
      <c r="AF370" s="134"/>
      <c r="AG370" s="134"/>
      <c r="AH370" s="134"/>
      <c r="AI370" s="134"/>
    </row>
    <row r="371" spans="1:35" s="1" customFormat="1" ht="18">
      <c r="A371" s="167"/>
      <c r="B371" s="131"/>
      <c r="C371" s="131"/>
      <c r="D371" s="132"/>
      <c r="E371" s="132"/>
      <c r="F371" s="132"/>
      <c r="G371" s="132"/>
      <c r="H371" s="132"/>
      <c r="I371" s="133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34"/>
      <c r="AC371" s="134"/>
      <c r="AD371" s="134"/>
      <c r="AE371" s="134"/>
      <c r="AF371" s="134"/>
      <c r="AG371" s="134"/>
      <c r="AH371" s="134"/>
      <c r="AI371" s="134"/>
    </row>
    <row r="372" spans="1:35" s="1" customFormat="1" ht="18">
      <c r="A372" s="167"/>
      <c r="B372" s="131"/>
      <c r="C372" s="131"/>
      <c r="D372" s="132"/>
      <c r="E372" s="132"/>
      <c r="F372" s="132"/>
      <c r="G372" s="132"/>
      <c r="H372" s="132"/>
      <c r="I372" s="133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4"/>
      <c r="AD372" s="134"/>
      <c r="AE372" s="134"/>
      <c r="AF372" s="134"/>
      <c r="AG372" s="134"/>
      <c r="AH372" s="134"/>
      <c r="AI372" s="134"/>
    </row>
    <row r="373" spans="1:35" s="1" customFormat="1" ht="18">
      <c r="A373" s="167"/>
      <c r="B373" s="131"/>
      <c r="C373" s="131"/>
      <c r="D373" s="132"/>
      <c r="E373" s="132"/>
      <c r="F373" s="132"/>
      <c r="G373" s="132"/>
      <c r="H373" s="132"/>
      <c r="I373" s="133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34"/>
      <c r="AC373" s="134"/>
      <c r="AD373" s="134"/>
      <c r="AE373" s="134"/>
      <c r="AF373" s="134"/>
      <c r="AG373" s="134"/>
      <c r="AH373" s="134"/>
      <c r="AI373" s="134"/>
    </row>
    <row r="374" spans="1:35" s="1" customFormat="1" ht="18">
      <c r="A374" s="167"/>
      <c r="B374" s="131"/>
      <c r="C374" s="131"/>
      <c r="D374" s="132"/>
      <c r="E374" s="132"/>
      <c r="F374" s="132"/>
      <c r="G374" s="132"/>
      <c r="H374" s="132"/>
      <c r="I374" s="133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  <c r="AB374" s="134"/>
      <c r="AC374" s="134"/>
      <c r="AD374" s="134"/>
      <c r="AE374" s="134"/>
      <c r="AF374" s="134"/>
      <c r="AG374" s="134"/>
      <c r="AH374" s="134"/>
      <c r="AI374" s="134"/>
    </row>
    <row r="375" spans="1:35" s="1" customFormat="1" ht="18">
      <c r="A375" s="167"/>
      <c r="B375" s="131"/>
      <c r="C375" s="131"/>
      <c r="D375" s="132"/>
      <c r="E375" s="132"/>
      <c r="F375" s="132"/>
      <c r="G375" s="132"/>
      <c r="H375" s="132"/>
      <c r="I375" s="133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4"/>
      <c r="AD375" s="134"/>
      <c r="AE375" s="134"/>
      <c r="AF375" s="134"/>
      <c r="AG375" s="134"/>
      <c r="AH375" s="134"/>
      <c r="AI375" s="134"/>
    </row>
    <row r="376" spans="1:35" s="1" customFormat="1" ht="18">
      <c r="A376" s="167"/>
      <c r="B376" s="131"/>
      <c r="C376" s="131"/>
      <c r="D376" s="132"/>
      <c r="E376" s="132"/>
      <c r="F376" s="132"/>
      <c r="G376" s="132"/>
      <c r="H376" s="132"/>
      <c r="I376" s="133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4"/>
      <c r="AD376" s="134"/>
      <c r="AE376" s="134"/>
      <c r="AF376" s="134"/>
      <c r="AG376" s="134"/>
      <c r="AH376" s="134"/>
      <c r="AI376" s="134"/>
    </row>
    <row r="377" spans="1:35" s="1" customFormat="1" ht="18">
      <c r="A377" s="167"/>
      <c r="B377" s="131"/>
      <c r="C377" s="131"/>
      <c r="D377" s="132"/>
      <c r="E377" s="132"/>
      <c r="F377" s="132"/>
      <c r="G377" s="132"/>
      <c r="H377" s="132"/>
      <c r="I377" s="133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  <c r="AB377" s="134"/>
      <c r="AC377" s="134"/>
      <c r="AD377" s="134"/>
      <c r="AE377" s="134"/>
      <c r="AF377" s="134"/>
      <c r="AG377" s="134"/>
      <c r="AH377" s="134"/>
      <c r="AI377" s="134"/>
    </row>
    <row r="378" spans="1:35" s="1" customFormat="1" ht="18">
      <c r="A378" s="167"/>
      <c r="B378" s="131"/>
      <c r="C378" s="131"/>
      <c r="D378" s="132"/>
      <c r="E378" s="132"/>
      <c r="F378" s="132"/>
      <c r="G378" s="132"/>
      <c r="H378" s="132"/>
      <c r="I378" s="133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34"/>
      <c r="AC378" s="134"/>
      <c r="AD378" s="134"/>
      <c r="AE378" s="134"/>
      <c r="AF378" s="134"/>
      <c r="AG378" s="134"/>
      <c r="AH378" s="134"/>
      <c r="AI378" s="134"/>
    </row>
    <row r="379" spans="1:35" s="1" customFormat="1" ht="18">
      <c r="A379" s="167"/>
      <c r="B379" s="131"/>
      <c r="C379" s="131"/>
      <c r="D379" s="132"/>
      <c r="E379" s="132"/>
      <c r="F379" s="132"/>
      <c r="G379" s="132"/>
      <c r="H379" s="132"/>
      <c r="I379" s="133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  <c r="AA379" s="134"/>
      <c r="AB379" s="134"/>
      <c r="AC379" s="134"/>
      <c r="AD379" s="134"/>
      <c r="AE379" s="134"/>
      <c r="AF379" s="134"/>
      <c r="AG379" s="134"/>
      <c r="AH379" s="134"/>
      <c r="AI379" s="134"/>
    </row>
    <row r="380" spans="1:35" s="1" customFormat="1" ht="18">
      <c r="A380" s="167"/>
      <c r="B380" s="131"/>
      <c r="C380" s="131"/>
      <c r="D380" s="132"/>
      <c r="E380" s="132"/>
      <c r="F380" s="132"/>
      <c r="G380" s="132"/>
      <c r="H380" s="132"/>
      <c r="I380" s="133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  <c r="AA380" s="134"/>
      <c r="AB380" s="134"/>
      <c r="AC380" s="134"/>
      <c r="AD380" s="134"/>
      <c r="AE380" s="134"/>
      <c r="AF380" s="134"/>
      <c r="AG380" s="134"/>
      <c r="AH380" s="134"/>
      <c r="AI380" s="134"/>
    </row>
    <row r="381" spans="1:35" s="1" customFormat="1" ht="18">
      <c r="A381" s="167"/>
      <c r="B381" s="131"/>
      <c r="C381" s="131"/>
      <c r="D381" s="132"/>
      <c r="E381" s="132"/>
      <c r="F381" s="132"/>
      <c r="G381" s="132"/>
      <c r="H381" s="132"/>
      <c r="I381" s="133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  <c r="AA381" s="134"/>
      <c r="AB381" s="134"/>
      <c r="AC381" s="134"/>
      <c r="AD381" s="134"/>
      <c r="AE381" s="134"/>
      <c r="AF381" s="134"/>
      <c r="AG381" s="134"/>
      <c r="AH381" s="134"/>
      <c r="AI381" s="134"/>
    </row>
    <row r="382" spans="1:35" s="1" customFormat="1" ht="18">
      <c r="A382" s="167"/>
      <c r="B382" s="131"/>
      <c r="C382" s="131"/>
      <c r="D382" s="132"/>
      <c r="E382" s="132"/>
      <c r="F382" s="132"/>
      <c r="G382" s="132"/>
      <c r="H382" s="132"/>
      <c r="I382" s="133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34"/>
      <c r="AC382" s="134"/>
      <c r="AD382" s="134"/>
      <c r="AE382" s="134"/>
      <c r="AF382" s="134"/>
      <c r="AG382" s="134"/>
      <c r="AH382" s="134"/>
      <c r="AI382" s="134"/>
    </row>
    <row r="383" spans="1:35" s="1" customFormat="1" ht="18">
      <c r="A383" s="167"/>
      <c r="B383" s="131"/>
      <c r="C383" s="131"/>
      <c r="D383" s="132"/>
      <c r="E383" s="132"/>
      <c r="F383" s="132"/>
      <c r="G383" s="132"/>
      <c r="H383" s="132"/>
      <c r="I383" s="133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  <c r="AA383" s="134"/>
      <c r="AB383" s="134"/>
      <c r="AC383" s="134"/>
      <c r="AD383" s="134"/>
      <c r="AE383" s="134"/>
      <c r="AF383" s="134"/>
      <c r="AG383" s="134"/>
      <c r="AH383" s="134"/>
      <c r="AI383" s="134"/>
    </row>
    <row r="384" spans="1:35" s="1" customFormat="1" ht="18">
      <c r="A384" s="167"/>
      <c r="B384" s="131"/>
      <c r="C384" s="131"/>
      <c r="D384" s="132"/>
      <c r="E384" s="132"/>
      <c r="F384" s="132"/>
      <c r="G384" s="132"/>
      <c r="H384" s="132"/>
      <c r="I384" s="133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  <c r="AA384" s="134"/>
      <c r="AB384" s="134"/>
      <c r="AC384" s="134"/>
      <c r="AD384" s="134"/>
      <c r="AE384" s="134"/>
      <c r="AF384" s="134"/>
      <c r="AG384" s="134"/>
      <c r="AH384" s="134"/>
      <c r="AI384" s="134"/>
    </row>
    <row r="385" spans="1:35" s="1" customFormat="1" ht="18">
      <c r="A385" s="167"/>
      <c r="B385" s="131"/>
      <c r="C385" s="131"/>
      <c r="D385" s="132"/>
      <c r="E385" s="132"/>
      <c r="F385" s="132"/>
      <c r="G385" s="132"/>
      <c r="H385" s="132"/>
      <c r="I385" s="133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  <c r="AA385" s="134"/>
      <c r="AB385" s="134"/>
      <c r="AC385" s="134"/>
      <c r="AD385" s="134"/>
      <c r="AE385" s="134"/>
      <c r="AF385" s="134"/>
      <c r="AG385" s="134"/>
      <c r="AH385" s="134"/>
      <c r="AI385" s="134"/>
    </row>
    <row r="386" spans="1:35" s="1" customFormat="1" ht="18">
      <c r="A386" s="167"/>
      <c r="B386" s="131"/>
      <c r="C386" s="131"/>
      <c r="D386" s="132"/>
      <c r="E386" s="132"/>
      <c r="F386" s="132"/>
      <c r="G386" s="132"/>
      <c r="H386" s="132"/>
      <c r="I386" s="133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</row>
    <row r="387" spans="1:35" s="1" customFormat="1" ht="18">
      <c r="A387" s="167"/>
      <c r="B387" s="131"/>
      <c r="C387" s="131"/>
      <c r="D387" s="132"/>
      <c r="E387" s="132"/>
      <c r="F387" s="132"/>
      <c r="G387" s="132"/>
      <c r="H387" s="132"/>
      <c r="I387" s="133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</row>
    <row r="388" spans="1:35" s="1" customFormat="1" ht="18">
      <c r="A388" s="167"/>
      <c r="B388" s="131"/>
      <c r="C388" s="131"/>
      <c r="D388" s="132"/>
      <c r="E388" s="132"/>
      <c r="F388" s="132"/>
      <c r="G388" s="132"/>
      <c r="H388" s="132"/>
      <c r="I388" s="133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  <c r="AA388" s="134"/>
      <c r="AB388" s="134"/>
      <c r="AC388" s="134"/>
      <c r="AD388" s="134"/>
      <c r="AE388" s="134"/>
      <c r="AF388" s="134"/>
      <c r="AG388" s="134"/>
      <c r="AH388" s="134"/>
      <c r="AI388" s="134"/>
    </row>
    <row r="389" spans="1:35" s="1" customFormat="1" ht="18">
      <c r="A389" s="167"/>
      <c r="B389" s="131"/>
      <c r="C389" s="131"/>
      <c r="D389" s="132"/>
      <c r="E389" s="132"/>
      <c r="F389" s="132"/>
      <c r="G389" s="132"/>
      <c r="H389" s="132"/>
      <c r="I389" s="133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  <c r="AA389" s="134"/>
      <c r="AB389" s="134"/>
      <c r="AC389" s="134"/>
      <c r="AD389" s="134"/>
      <c r="AE389" s="134"/>
      <c r="AF389" s="134"/>
      <c r="AG389" s="134"/>
      <c r="AH389" s="134"/>
      <c r="AI389" s="134"/>
    </row>
    <row r="390" spans="1:35" s="1" customFormat="1" ht="18">
      <c r="A390" s="167"/>
      <c r="B390" s="131"/>
      <c r="C390" s="131"/>
      <c r="D390" s="132"/>
      <c r="E390" s="132"/>
      <c r="F390" s="132"/>
      <c r="G390" s="132"/>
      <c r="H390" s="132"/>
      <c r="I390" s="133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  <c r="AA390" s="134"/>
      <c r="AB390" s="134"/>
      <c r="AC390" s="134"/>
      <c r="AD390" s="134"/>
      <c r="AE390" s="134"/>
      <c r="AF390" s="134"/>
      <c r="AG390" s="134"/>
      <c r="AH390" s="134"/>
      <c r="AI390" s="134"/>
    </row>
    <row r="391" spans="1:35" s="1" customFormat="1" ht="18">
      <c r="A391" s="167"/>
      <c r="B391" s="131"/>
      <c r="C391" s="131"/>
      <c r="D391" s="132"/>
      <c r="E391" s="132"/>
      <c r="F391" s="132"/>
      <c r="G391" s="132"/>
      <c r="H391" s="132"/>
      <c r="I391" s="133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  <c r="AA391" s="134"/>
      <c r="AB391" s="134"/>
      <c r="AC391" s="134"/>
      <c r="AD391" s="134"/>
      <c r="AE391" s="134"/>
      <c r="AF391" s="134"/>
      <c r="AG391" s="134"/>
      <c r="AH391" s="134"/>
      <c r="AI391" s="134"/>
    </row>
    <row r="392" spans="1:35" s="1" customFormat="1" ht="18">
      <c r="A392" s="167"/>
      <c r="B392" s="131"/>
      <c r="C392" s="131"/>
      <c r="D392" s="132"/>
      <c r="E392" s="132"/>
      <c r="F392" s="132"/>
      <c r="G392" s="132"/>
      <c r="H392" s="132"/>
      <c r="I392" s="133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  <c r="AA392" s="134"/>
      <c r="AB392" s="134"/>
      <c r="AC392" s="134"/>
      <c r="AD392" s="134"/>
      <c r="AE392" s="134"/>
      <c r="AF392" s="134"/>
      <c r="AG392" s="134"/>
      <c r="AH392" s="134"/>
      <c r="AI392" s="134"/>
    </row>
    <row r="393" spans="1:35" s="1" customFormat="1" ht="18">
      <c r="A393" s="167"/>
      <c r="B393" s="131"/>
      <c r="C393" s="131"/>
      <c r="D393" s="132"/>
      <c r="E393" s="132"/>
      <c r="F393" s="132"/>
      <c r="G393" s="132"/>
      <c r="H393" s="132"/>
      <c r="I393" s="133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  <c r="AA393" s="134"/>
      <c r="AB393" s="134"/>
      <c r="AC393" s="134"/>
      <c r="AD393" s="134"/>
      <c r="AE393" s="134"/>
      <c r="AF393" s="134"/>
      <c r="AG393" s="134"/>
      <c r="AH393" s="134"/>
      <c r="AI393" s="134"/>
    </row>
    <row r="394" spans="1:35" s="1" customFormat="1" ht="18">
      <c r="A394" s="167"/>
      <c r="B394" s="131"/>
      <c r="C394" s="131"/>
      <c r="D394" s="132"/>
      <c r="E394" s="132"/>
      <c r="F394" s="132"/>
      <c r="G394" s="132"/>
      <c r="H394" s="132"/>
      <c r="I394" s="133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34"/>
      <c r="AD394" s="134"/>
      <c r="AE394" s="134"/>
      <c r="AF394" s="134"/>
      <c r="AG394" s="134"/>
      <c r="AH394" s="134"/>
      <c r="AI394" s="134"/>
    </row>
    <row r="395" spans="1:35" s="1" customFormat="1" ht="18">
      <c r="A395" s="167"/>
      <c r="B395" s="131"/>
      <c r="C395" s="131"/>
      <c r="D395" s="132"/>
      <c r="E395" s="132"/>
      <c r="F395" s="132"/>
      <c r="G395" s="132"/>
      <c r="H395" s="132"/>
      <c r="I395" s="133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  <c r="AA395" s="134"/>
      <c r="AB395" s="134"/>
      <c r="AC395" s="134"/>
      <c r="AD395" s="134"/>
      <c r="AE395" s="134"/>
      <c r="AF395" s="134"/>
      <c r="AG395" s="134"/>
      <c r="AH395" s="134"/>
      <c r="AI395" s="134"/>
    </row>
    <row r="396" spans="1:35" s="1" customFormat="1" ht="18">
      <c r="A396" s="167"/>
      <c r="B396" s="131"/>
      <c r="C396" s="131"/>
      <c r="D396" s="132"/>
      <c r="E396" s="132"/>
      <c r="F396" s="132"/>
      <c r="G396" s="132"/>
      <c r="H396" s="132"/>
      <c r="I396" s="133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34"/>
      <c r="AD396" s="134"/>
      <c r="AE396" s="134"/>
      <c r="AF396" s="134"/>
      <c r="AG396" s="134"/>
      <c r="AH396" s="134"/>
      <c r="AI396" s="134"/>
    </row>
    <row r="397" spans="1:35" s="1" customFormat="1" ht="18">
      <c r="A397" s="167"/>
      <c r="B397" s="131"/>
      <c r="C397" s="131"/>
      <c r="D397" s="132"/>
      <c r="E397" s="132"/>
      <c r="F397" s="132"/>
      <c r="G397" s="132"/>
      <c r="H397" s="132"/>
      <c r="I397" s="133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34"/>
      <c r="AD397" s="134"/>
      <c r="AE397" s="134"/>
      <c r="AF397" s="134"/>
      <c r="AG397" s="134"/>
      <c r="AH397" s="134"/>
      <c r="AI397" s="134"/>
    </row>
    <row r="398" spans="1:35" s="1" customFormat="1" ht="18">
      <c r="A398" s="167"/>
      <c r="B398" s="131"/>
      <c r="C398" s="131"/>
      <c r="D398" s="132"/>
      <c r="E398" s="132"/>
      <c r="F398" s="132"/>
      <c r="G398" s="132"/>
      <c r="H398" s="132"/>
      <c r="I398" s="133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34"/>
      <c r="AD398" s="134"/>
      <c r="AE398" s="134"/>
      <c r="AF398" s="134"/>
      <c r="AG398" s="134"/>
      <c r="AH398" s="134"/>
      <c r="AI398" s="134"/>
    </row>
    <row r="399" spans="1:35" s="1" customFormat="1" ht="18">
      <c r="A399" s="167"/>
      <c r="B399" s="131"/>
      <c r="C399" s="131"/>
      <c r="D399" s="132"/>
      <c r="E399" s="132"/>
      <c r="F399" s="132"/>
      <c r="G399" s="132"/>
      <c r="H399" s="132"/>
      <c r="I399" s="133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34"/>
      <c r="AD399" s="134"/>
      <c r="AE399" s="134"/>
      <c r="AF399" s="134"/>
      <c r="AG399" s="134"/>
      <c r="AH399" s="134"/>
      <c r="AI399" s="134"/>
    </row>
    <row r="400" spans="1:35" s="1" customFormat="1" ht="18">
      <c r="A400" s="167"/>
      <c r="B400" s="131"/>
      <c r="C400" s="131"/>
      <c r="D400" s="132"/>
      <c r="E400" s="132"/>
      <c r="F400" s="132"/>
      <c r="G400" s="132"/>
      <c r="H400" s="132"/>
      <c r="I400" s="133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34"/>
      <c r="AD400" s="134"/>
      <c r="AE400" s="134"/>
      <c r="AF400" s="134"/>
      <c r="AG400" s="134"/>
      <c r="AH400" s="134"/>
      <c r="AI400" s="134"/>
    </row>
    <row r="401" spans="1:35" s="1" customFormat="1" ht="18">
      <c r="A401" s="167"/>
      <c r="B401" s="131"/>
      <c r="C401" s="131"/>
      <c r="D401" s="132"/>
      <c r="E401" s="132"/>
      <c r="F401" s="132"/>
      <c r="G401" s="132"/>
      <c r="H401" s="132"/>
      <c r="I401" s="133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</row>
    <row r="402" spans="1:35" s="1" customFormat="1" ht="18">
      <c r="A402" s="167"/>
      <c r="B402" s="131"/>
      <c r="C402" s="131"/>
      <c r="D402" s="132"/>
      <c r="E402" s="132"/>
      <c r="F402" s="132"/>
      <c r="G402" s="132"/>
      <c r="H402" s="132"/>
      <c r="I402" s="133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34"/>
      <c r="AD402" s="134"/>
      <c r="AE402" s="134"/>
      <c r="AF402" s="134"/>
      <c r="AG402" s="134"/>
      <c r="AH402" s="134"/>
      <c r="AI402" s="134"/>
    </row>
    <row r="403" spans="1:35" s="1" customFormat="1" ht="18">
      <c r="A403" s="167"/>
      <c r="B403" s="131"/>
      <c r="C403" s="131"/>
      <c r="D403" s="132"/>
      <c r="E403" s="132"/>
      <c r="F403" s="132"/>
      <c r="G403" s="132"/>
      <c r="H403" s="132"/>
      <c r="I403" s="133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34"/>
      <c r="AD403" s="134"/>
      <c r="AE403" s="134"/>
      <c r="AF403" s="134"/>
      <c r="AG403" s="134"/>
      <c r="AH403" s="134"/>
      <c r="AI403" s="134"/>
    </row>
    <row r="404" spans="1:35" s="1" customFormat="1" ht="18">
      <c r="A404" s="167"/>
      <c r="B404" s="131"/>
      <c r="C404" s="131"/>
      <c r="D404" s="132"/>
      <c r="E404" s="132"/>
      <c r="F404" s="132"/>
      <c r="G404" s="132"/>
      <c r="H404" s="132"/>
      <c r="I404" s="133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34"/>
      <c r="AD404" s="134"/>
      <c r="AE404" s="134"/>
      <c r="AF404" s="134"/>
      <c r="AG404" s="134"/>
      <c r="AH404" s="134"/>
      <c r="AI404" s="134"/>
    </row>
    <row r="405" spans="1:35" s="1" customFormat="1" ht="18">
      <c r="A405" s="167"/>
      <c r="B405" s="131"/>
      <c r="C405" s="131"/>
      <c r="D405" s="132"/>
      <c r="E405" s="132"/>
      <c r="F405" s="132"/>
      <c r="G405" s="132"/>
      <c r="H405" s="132"/>
      <c r="I405" s="133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34"/>
      <c r="AD405" s="134"/>
      <c r="AE405" s="134"/>
      <c r="AF405" s="134"/>
      <c r="AG405" s="134"/>
      <c r="AH405" s="134"/>
      <c r="AI405" s="134"/>
    </row>
    <row r="406" spans="1:35" s="1" customFormat="1" ht="18">
      <c r="A406" s="167"/>
      <c r="B406" s="131"/>
      <c r="C406" s="131"/>
      <c r="D406" s="132"/>
      <c r="E406" s="132"/>
      <c r="F406" s="132"/>
      <c r="G406" s="132"/>
      <c r="H406" s="132"/>
      <c r="I406" s="133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34"/>
      <c r="AD406" s="134"/>
      <c r="AE406" s="134"/>
      <c r="AF406" s="134"/>
      <c r="AG406" s="134"/>
      <c r="AH406" s="134"/>
      <c r="AI406" s="134"/>
    </row>
    <row r="407" spans="1:35" s="1" customFormat="1" ht="18">
      <c r="A407" s="167"/>
      <c r="B407" s="131"/>
      <c r="C407" s="131"/>
      <c r="D407" s="132"/>
      <c r="E407" s="132"/>
      <c r="F407" s="132"/>
      <c r="G407" s="132"/>
      <c r="H407" s="132"/>
      <c r="I407" s="133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34"/>
      <c r="AC407" s="134"/>
      <c r="AD407" s="134"/>
      <c r="AE407" s="134"/>
      <c r="AF407" s="134"/>
      <c r="AG407" s="134"/>
      <c r="AH407" s="134"/>
      <c r="AI407" s="134"/>
    </row>
    <row r="408" spans="1:35" s="1" customFormat="1" ht="18">
      <c r="A408" s="167"/>
      <c r="B408" s="131"/>
      <c r="C408" s="131"/>
      <c r="D408" s="132"/>
      <c r="E408" s="132"/>
      <c r="F408" s="132"/>
      <c r="G408" s="132"/>
      <c r="H408" s="132"/>
      <c r="I408" s="133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  <c r="AA408" s="134"/>
      <c r="AB408" s="134"/>
      <c r="AC408" s="134"/>
      <c r="AD408" s="134"/>
      <c r="AE408" s="134"/>
      <c r="AF408" s="134"/>
      <c r="AG408" s="134"/>
      <c r="AH408" s="134"/>
      <c r="AI408" s="134"/>
    </row>
    <row r="409" spans="1:35" s="1" customFormat="1" ht="18">
      <c r="A409" s="167"/>
      <c r="B409" s="131"/>
      <c r="C409" s="131"/>
      <c r="D409" s="132"/>
      <c r="E409" s="132"/>
      <c r="F409" s="132"/>
      <c r="G409" s="132"/>
      <c r="H409" s="132"/>
      <c r="I409" s="133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  <c r="AA409" s="134"/>
      <c r="AB409" s="134"/>
      <c r="AC409" s="134"/>
      <c r="AD409" s="134"/>
      <c r="AE409" s="134"/>
      <c r="AF409" s="134"/>
      <c r="AG409" s="134"/>
      <c r="AH409" s="134"/>
      <c r="AI409" s="134"/>
    </row>
    <row r="410" spans="1:35" s="1" customFormat="1" ht="18">
      <c r="A410" s="167"/>
      <c r="B410" s="131"/>
      <c r="C410" s="131"/>
      <c r="D410" s="132"/>
      <c r="E410" s="132"/>
      <c r="F410" s="132"/>
      <c r="G410" s="132"/>
      <c r="H410" s="132"/>
      <c r="I410" s="133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34"/>
      <c r="AD410" s="134"/>
      <c r="AE410" s="134"/>
      <c r="AF410" s="134"/>
      <c r="AG410" s="134"/>
      <c r="AH410" s="134"/>
      <c r="AI410" s="134"/>
    </row>
    <row r="411" spans="1:35" s="1" customFormat="1" ht="18">
      <c r="A411" s="167"/>
      <c r="B411" s="131"/>
      <c r="C411" s="131"/>
      <c r="D411" s="132"/>
      <c r="E411" s="132"/>
      <c r="F411" s="132"/>
      <c r="G411" s="132"/>
      <c r="H411" s="132"/>
      <c r="I411" s="133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34"/>
      <c r="AD411" s="134"/>
      <c r="AE411" s="134"/>
      <c r="AF411" s="134"/>
      <c r="AG411" s="134"/>
      <c r="AH411" s="134"/>
      <c r="AI411" s="134"/>
    </row>
    <row r="412" spans="1:35" s="1" customFormat="1" ht="18">
      <c r="A412" s="167"/>
      <c r="B412" s="131"/>
      <c r="C412" s="131"/>
      <c r="D412" s="132"/>
      <c r="E412" s="132"/>
      <c r="F412" s="132"/>
      <c r="G412" s="132"/>
      <c r="H412" s="132"/>
      <c r="I412" s="133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  <c r="AA412" s="134"/>
      <c r="AB412" s="134"/>
      <c r="AC412" s="134"/>
      <c r="AD412" s="134"/>
      <c r="AE412" s="134"/>
      <c r="AF412" s="134"/>
      <c r="AG412" s="134"/>
      <c r="AH412" s="134"/>
      <c r="AI412" s="134"/>
    </row>
    <row r="413" spans="1:35" s="1" customFormat="1" ht="18">
      <c r="A413" s="167"/>
      <c r="B413" s="131"/>
      <c r="C413" s="131"/>
      <c r="D413" s="132"/>
      <c r="E413" s="132"/>
      <c r="F413" s="132"/>
      <c r="G413" s="132"/>
      <c r="H413" s="132"/>
      <c r="I413" s="133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  <c r="AA413" s="134"/>
      <c r="AB413" s="134"/>
      <c r="AC413" s="134"/>
      <c r="AD413" s="134"/>
      <c r="AE413" s="134"/>
      <c r="AF413" s="134"/>
      <c r="AG413" s="134"/>
      <c r="AH413" s="134"/>
      <c r="AI413" s="134"/>
    </row>
    <row r="414" spans="1:35" s="1" customFormat="1" ht="18">
      <c r="A414" s="167"/>
      <c r="B414" s="131"/>
      <c r="C414" s="131"/>
      <c r="D414" s="132"/>
      <c r="E414" s="132"/>
      <c r="F414" s="132"/>
      <c r="G414" s="132"/>
      <c r="H414" s="132"/>
      <c r="I414" s="133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</row>
    <row r="415" spans="1:35" s="1" customFormat="1" ht="18">
      <c r="A415" s="167"/>
      <c r="B415" s="131"/>
      <c r="C415" s="131"/>
      <c r="D415" s="132"/>
      <c r="E415" s="132"/>
      <c r="F415" s="132"/>
      <c r="G415" s="132"/>
      <c r="H415" s="132"/>
      <c r="I415" s="133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  <c r="AA415" s="134"/>
      <c r="AB415" s="134"/>
      <c r="AC415" s="134"/>
      <c r="AD415" s="134"/>
      <c r="AE415" s="134"/>
      <c r="AF415" s="134"/>
      <c r="AG415" s="134"/>
      <c r="AH415" s="134"/>
      <c r="AI415" s="134"/>
    </row>
    <row r="416" spans="1:35" s="1" customFormat="1" ht="18">
      <c r="A416" s="167"/>
      <c r="B416" s="131"/>
      <c r="C416" s="131"/>
      <c r="D416" s="132"/>
      <c r="E416" s="132"/>
      <c r="F416" s="132"/>
      <c r="G416" s="132"/>
      <c r="H416" s="132"/>
      <c r="I416" s="133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34"/>
      <c r="AC416" s="134"/>
      <c r="AD416" s="134"/>
      <c r="AE416" s="134"/>
      <c r="AF416" s="134"/>
      <c r="AG416" s="134"/>
      <c r="AH416" s="134"/>
      <c r="AI416" s="134"/>
    </row>
    <row r="417" spans="1:35" s="1" customFormat="1" ht="18">
      <c r="A417" s="167"/>
      <c r="B417" s="131"/>
      <c r="C417" s="131"/>
      <c r="D417" s="132"/>
      <c r="E417" s="132"/>
      <c r="F417" s="132"/>
      <c r="G417" s="132"/>
      <c r="H417" s="132"/>
      <c r="I417" s="133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</row>
    <row r="418" spans="1:35" s="1" customFormat="1" ht="18">
      <c r="A418" s="167"/>
      <c r="B418" s="131"/>
      <c r="C418" s="131"/>
      <c r="D418" s="132"/>
      <c r="E418" s="132"/>
      <c r="F418" s="132"/>
      <c r="G418" s="132"/>
      <c r="H418" s="132"/>
      <c r="I418" s="133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  <c r="AA418" s="134"/>
      <c r="AB418" s="134"/>
      <c r="AC418" s="134"/>
      <c r="AD418" s="134"/>
      <c r="AE418" s="134"/>
      <c r="AF418" s="134"/>
      <c r="AG418" s="134"/>
      <c r="AH418" s="134"/>
      <c r="AI418" s="134"/>
    </row>
    <row r="419" spans="1:35" s="1" customFormat="1" ht="18">
      <c r="A419" s="167"/>
      <c r="B419" s="131"/>
      <c r="C419" s="131"/>
      <c r="D419" s="132"/>
      <c r="E419" s="132"/>
      <c r="F419" s="132"/>
      <c r="G419" s="132"/>
      <c r="H419" s="132"/>
      <c r="I419" s="133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34"/>
      <c r="AD419" s="134"/>
      <c r="AE419" s="134"/>
      <c r="AF419" s="134"/>
      <c r="AG419" s="134"/>
      <c r="AH419" s="134"/>
      <c r="AI419" s="134"/>
    </row>
    <row r="420" spans="1:35" s="1" customFormat="1" ht="18">
      <c r="A420" s="167"/>
      <c r="B420" s="131"/>
      <c r="C420" s="131"/>
      <c r="D420" s="132"/>
      <c r="E420" s="132"/>
      <c r="F420" s="132"/>
      <c r="G420" s="132"/>
      <c r="H420" s="132"/>
      <c r="I420" s="133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34"/>
      <c r="AD420" s="134"/>
      <c r="AE420" s="134"/>
      <c r="AF420" s="134"/>
      <c r="AG420" s="134"/>
      <c r="AH420" s="134"/>
      <c r="AI420" s="134"/>
    </row>
    <row r="421" spans="1:35" s="1" customFormat="1" ht="18">
      <c r="A421" s="167"/>
      <c r="B421" s="131"/>
      <c r="C421" s="131"/>
      <c r="D421" s="132"/>
      <c r="E421" s="132"/>
      <c r="F421" s="132"/>
      <c r="G421" s="132"/>
      <c r="H421" s="132"/>
      <c r="I421" s="133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34"/>
      <c r="AD421" s="134"/>
      <c r="AE421" s="134"/>
      <c r="AF421" s="134"/>
      <c r="AG421" s="134"/>
      <c r="AH421" s="134"/>
      <c r="AI421" s="134"/>
    </row>
    <row r="422" spans="1:35" s="1" customFormat="1" ht="18">
      <c r="A422" s="167"/>
      <c r="B422" s="131"/>
      <c r="C422" s="131"/>
      <c r="D422" s="132"/>
      <c r="E422" s="132"/>
      <c r="F422" s="132"/>
      <c r="G422" s="132"/>
      <c r="H422" s="132"/>
      <c r="I422" s="133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  <c r="AA422" s="134"/>
      <c r="AB422" s="134"/>
      <c r="AC422" s="134"/>
      <c r="AD422" s="134"/>
      <c r="AE422" s="134"/>
      <c r="AF422" s="134"/>
      <c r="AG422" s="134"/>
      <c r="AH422" s="134"/>
      <c r="AI422" s="134"/>
    </row>
    <row r="423" spans="1:35" s="1" customFormat="1" ht="18">
      <c r="A423" s="167"/>
      <c r="B423" s="131"/>
      <c r="C423" s="131"/>
      <c r="D423" s="132"/>
      <c r="E423" s="132"/>
      <c r="F423" s="132"/>
      <c r="G423" s="132"/>
      <c r="H423" s="132"/>
      <c r="I423" s="133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  <c r="AA423" s="134"/>
      <c r="AB423" s="134"/>
      <c r="AC423" s="134"/>
      <c r="AD423" s="134"/>
      <c r="AE423" s="134"/>
      <c r="AF423" s="134"/>
      <c r="AG423" s="134"/>
      <c r="AH423" s="134"/>
      <c r="AI423" s="134"/>
    </row>
    <row r="424" spans="1:35" s="1" customFormat="1" ht="18">
      <c r="A424" s="167"/>
      <c r="B424" s="131"/>
      <c r="C424" s="131"/>
      <c r="D424" s="132"/>
      <c r="E424" s="132"/>
      <c r="F424" s="132"/>
      <c r="G424" s="132"/>
      <c r="H424" s="132"/>
      <c r="I424" s="133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  <c r="AA424" s="134"/>
      <c r="AB424" s="134"/>
      <c r="AC424" s="134"/>
      <c r="AD424" s="134"/>
      <c r="AE424" s="134"/>
      <c r="AF424" s="134"/>
      <c r="AG424" s="134"/>
      <c r="AH424" s="134"/>
      <c r="AI424" s="134"/>
    </row>
    <row r="425" spans="1:35" s="1" customFormat="1" ht="18">
      <c r="A425" s="167"/>
      <c r="B425" s="131"/>
      <c r="C425" s="131"/>
      <c r="D425" s="132"/>
      <c r="E425" s="132"/>
      <c r="F425" s="132"/>
      <c r="G425" s="132"/>
      <c r="H425" s="132"/>
      <c r="I425" s="133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  <c r="AA425" s="134"/>
      <c r="AB425" s="134"/>
      <c r="AC425" s="134"/>
      <c r="AD425" s="134"/>
      <c r="AE425" s="134"/>
      <c r="AF425" s="134"/>
      <c r="AG425" s="134"/>
      <c r="AH425" s="134"/>
      <c r="AI425" s="134"/>
    </row>
    <row r="426" spans="1:35" s="1" customFormat="1" ht="18">
      <c r="A426" s="167"/>
      <c r="B426" s="131"/>
      <c r="C426" s="131"/>
      <c r="D426" s="132"/>
      <c r="E426" s="132"/>
      <c r="F426" s="132"/>
      <c r="G426" s="132"/>
      <c r="H426" s="132"/>
      <c r="I426" s="133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  <c r="AA426" s="134"/>
      <c r="AB426" s="134"/>
      <c r="AC426" s="134"/>
      <c r="AD426" s="134"/>
      <c r="AE426" s="134"/>
      <c r="AF426" s="134"/>
      <c r="AG426" s="134"/>
      <c r="AH426" s="134"/>
      <c r="AI426" s="134"/>
    </row>
    <row r="427" spans="1:35" s="1" customFormat="1" ht="18">
      <c r="A427" s="167"/>
      <c r="B427" s="131"/>
      <c r="C427" s="131"/>
      <c r="D427" s="132"/>
      <c r="E427" s="132"/>
      <c r="F427" s="132"/>
      <c r="G427" s="132"/>
      <c r="H427" s="132"/>
      <c r="I427" s="133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  <c r="AA427" s="134"/>
      <c r="AB427" s="134"/>
      <c r="AC427" s="134"/>
      <c r="AD427" s="134"/>
      <c r="AE427" s="134"/>
      <c r="AF427" s="134"/>
      <c r="AG427" s="134"/>
      <c r="AH427" s="134"/>
      <c r="AI427" s="134"/>
    </row>
    <row r="428" spans="1:35" s="1" customFormat="1" ht="18">
      <c r="A428" s="167"/>
      <c r="B428" s="131"/>
      <c r="C428" s="131"/>
      <c r="D428" s="132"/>
      <c r="E428" s="132"/>
      <c r="F428" s="132"/>
      <c r="G428" s="132"/>
      <c r="H428" s="132"/>
      <c r="I428" s="133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  <c r="AA428" s="134"/>
      <c r="AB428" s="134"/>
      <c r="AC428" s="134"/>
      <c r="AD428" s="134"/>
      <c r="AE428" s="134"/>
      <c r="AF428" s="134"/>
      <c r="AG428" s="134"/>
      <c r="AH428" s="134"/>
      <c r="AI428" s="134"/>
    </row>
    <row r="429" spans="1:35" s="1" customFormat="1" ht="18">
      <c r="A429" s="167"/>
      <c r="B429" s="131"/>
      <c r="C429" s="131"/>
      <c r="D429" s="132"/>
      <c r="E429" s="132"/>
      <c r="F429" s="132"/>
      <c r="G429" s="132"/>
      <c r="H429" s="132"/>
      <c r="I429" s="133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  <c r="AA429" s="134"/>
      <c r="AB429" s="134"/>
      <c r="AC429" s="134"/>
      <c r="AD429" s="134"/>
      <c r="AE429" s="134"/>
      <c r="AF429" s="134"/>
      <c r="AG429" s="134"/>
      <c r="AH429" s="134"/>
      <c r="AI429" s="134"/>
    </row>
    <row r="430" spans="1:35" s="1" customFormat="1" ht="18">
      <c r="A430" s="167"/>
      <c r="B430" s="131"/>
      <c r="C430" s="131"/>
      <c r="D430" s="132"/>
      <c r="E430" s="132"/>
      <c r="F430" s="132"/>
      <c r="G430" s="132"/>
      <c r="H430" s="132"/>
      <c r="I430" s="133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  <c r="AA430" s="134"/>
      <c r="AB430" s="134"/>
      <c r="AC430" s="134"/>
      <c r="AD430" s="134"/>
      <c r="AE430" s="134"/>
      <c r="AF430" s="134"/>
      <c r="AG430" s="134"/>
      <c r="AH430" s="134"/>
      <c r="AI430" s="134"/>
    </row>
    <row r="431" spans="1:35" s="1" customFormat="1" ht="18">
      <c r="A431" s="167"/>
      <c r="B431" s="131"/>
      <c r="C431" s="131"/>
      <c r="D431" s="132"/>
      <c r="E431" s="132"/>
      <c r="F431" s="132"/>
      <c r="G431" s="132"/>
      <c r="H431" s="132"/>
      <c r="I431" s="133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</row>
    <row r="432" spans="1:35" s="1" customFormat="1" ht="18">
      <c r="A432" s="167"/>
      <c r="B432" s="131"/>
      <c r="C432" s="131"/>
      <c r="D432" s="132"/>
      <c r="E432" s="132"/>
      <c r="F432" s="132"/>
      <c r="G432" s="132"/>
      <c r="H432" s="132"/>
      <c r="I432" s="133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  <c r="AA432" s="134"/>
      <c r="AB432" s="134"/>
      <c r="AC432" s="134"/>
      <c r="AD432" s="134"/>
      <c r="AE432" s="134"/>
      <c r="AF432" s="134"/>
      <c r="AG432" s="134"/>
      <c r="AH432" s="134"/>
      <c r="AI432" s="134"/>
    </row>
    <row r="433" spans="1:35" s="1" customFormat="1" ht="18">
      <c r="A433" s="167"/>
      <c r="B433" s="131"/>
      <c r="C433" s="131"/>
      <c r="D433" s="132"/>
      <c r="E433" s="132"/>
      <c r="F433" s="132"/>
      <c r="G433" s="132"/>
      <c r="H433" s="132"/>
      <c r="I433" s="133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  <c r="AA433" s="134"/>
      <c r="AB433" s="134"/>
      <c r="AC433" s="134"/>
      <c r="AD433" s="134"/>
      <c r="AE433" s="134"/>
      <c r="AF433" s="134"/>
      <c r="AG433" s="134"/>
      <c r="AH433" s="134"/>
      <c r="AI433" s="134"/>
    </row>
    <row r="434" spans="1:35" s="1" customFormat="1" ht="18">
      <c r="A434" s="167"/>
      <c r="B434" s="131"/>
      <c r="C434" s="131"/>
      <c r="D434" s="132"/>
      <c r="E434" s="132"/>
      <c r="F434" s="132"/>
      <c r="G434" s="132"/>
      <c r="H434" s="132"/>
      <c r="I434" s="133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  <c r="AA434" s="134"/>
      <c r="AB434" s="134"/>
      <c r="AC434" s="134"/>
      <c r="AD434" s="134"/>
      <c r="AE434" s="134"/>
      <c r="AF434" s="134"/>
      <c r="AG434" s="134"/>
      <c r="AH434" s="134"/>
      <c r="AI434" s="134"/>
    </row>
    <row r="435" spans="1:35" s="1" customFormat="1" ht="18">
      <c r="A435" s="167"/>
      <c r="B435" s="131"/>
      <c r="C435" s="131"/>
      <c r="D435" s="132"/>
      <c r="E435" s="132"/>
      <c r="F435" s="132"/>
      <c r="G435" s="132"/>
      <c r="H435" s="132"/>
      <c r="I435" s="133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  <c r="AA435" s="134"/>
      <c r="AB435" s="134"/>
      <c r="AC435" s="134"/>
      <c r="AD435" s="134"/>
      <c r="AE435" s="134"/>
      <c r="AF435" s="134"/>
      <c r="AG435" s="134"/>
      <c r="AH435" s="134"/>
      <c r="AI435" s="134"/>
    </row>
    <row r="436" spans="1:35" s="1" customFormat="1" ht="18">
      <c r="A436" s="167"/>
      <c r="B436" s="131"/>
      <c r="C436" s="131"/>
      <c r="D436" s="132"/>
      <c r="E436" s="132"/>
      <c r="F436" s="132"/>
      <c r="G436" s="132"/>
      <c r="H436" s="132"/>
      <c r="I436" s="133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</row>
    <row r="437" spans="1:35" s="1" customFormat="1" ht="18">
      <c r="A437" s="167"/>
      <c r="B437" s="131"/>
      <c r="C437" s="131"/>
      <c r="D437" s="132"/>
      <c r="E437" s="132"/>
      <c r="F437" s="132"/>
      <c r="G437" s="132"/>
      <c r="H437" s="132"/>
      <c r="I437" s="133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  <c r="AA437" s="134"/>
      <c r="AB437" s="134"/>
      <c r="AC437" s="134"/>
      <c r="AD437" s="134"/>
      <c r="AE437" s="134"/>
      <c r="AF437" s="134"/>
      <c r="AG437" s="134"/>
      <c r="AH437" s="134"/>
      <c r="AI437" s="134"/>
    </row>
    <row r="438" spans="1:35" s="1" customFormat="1" ht="18">
      <c r="A438" s="167"/>
      <c r="B438" s="131"/>
      <c r="C438" s="131"/>
      <c r="D438" s="132"/>
      <c r="E438" s="132"/>
      <c r="F438" s="132"/>
      <c r="G438" s="132"/>
      <c r="H438" s="132"/>
      <c r="I438" s="133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  <c r="AA438" s="134"/>
      <c r="AB438" s="134"/>
      <c r="AC438" s="134"/>
      <c r="AD438" s="134"/>
      <c r="AE438" s="134"/>
      <c r="AF438" s="134"/>
      <c r="AG438" s="134"/>
      <c r="AH438" s="134"/>
      <c r="AI438" s="134"/>
    </row>
    <row r="439" spans="1:35" s="1" customFormat="1" ht="18">
      <c r="A439" s="167"/>
      <c r="B439" s="131"/>
      <c r="C439" s="131"/>
      <c r="D439" s="132"/>
      <c r="E439" s="132"/>
      <c r="F439" s="132"/>
      <c r="G439" s="132"/>
      <c r="H439" s="132"/>
      <c r="I439" s="133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</row>
    <row r="440" spans="1:35" s="1" customFormat="1" ht="18">
      <c r="A440" s="167"/>
      <c r="B440" s="131"/>
      <c r="C440" s="131"/>
      <c r="D440" s="132"/>
      <c r="E440" s="132"/>
      <c r="F440" s="132"/>
      <c r="G440" s="132"/>
      <c r="H440" s="132"/>
      <c r="I440" s="133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</row>
    <row r="441" spans="1:35" s="1" customFormat="1" ht="18">
      <c r="A441" s="167"/>
      <c r="B441" s="131"/>
      <c r="C441" s="131"/>
      <c r="D441" s="132"/>
      <c r="E441" s="132"/>
      <c r="F441" s="132"/>
      <c r="G441" s="132"/>
      <c r="H441" s="132"/>
      <c r="I441" s="133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</row>
    <row r="442" spans="1:35" s="1" customFormat="1" ht="18">
      <c r="A442" s="167"/>
      <c r="B442" s="131"/>
      <c r="C442" s="131"/>
      <c r="D442" s="132"/>
      <c r="E442" s="132"/>
      <c r="F442" s="132"/>
      <c r="G442" s="132"/>
      <c r="H442" s="132"/>
      <c r="I442" s="133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</row>
    <row r="443" spans="1:35" s="1" customFormat="1" ht="18">
      <c r="A443" s="167"/>
      <c r="B443" s="131"/>
      <c r="C443" s="131"/>
      <c r="D443" s="132"/>
      <c r="E443" s="132"/>
      <c r="F443" s="132"/>
      <c r="G443" s="132"/>
      <c r="H443" s="132"/>
      <c r="I443" s="133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</row>
    <row r="444" spans="1:35" s="1" customFormat="1" ht="18">
      <c r="A444" s="167"/>
      <c r="B444" s="131"/>
      <c r="C444" s="131"/>
      <c r="D444" s="132"/>
      <c r="E444" s="132"/>
      <c r="F444" s="132"/>
      <c r="G444" s="132"/>
      <c r="H444" s="132"/>
      <c r="I444" s="133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</row>
    <row r="445" spans="1:35" s="1" customFormat="1" ht="18">
      <c r="A445" s="167"/>
      <c r="B445" s="131"/>
      <c r="C445" s="131"/>
      <c r="D445" s="132"/>
      <c r="E445" s="132"/>
      <c r="F445" s="132"/>
      <c r="G445" s="132"/>
      <c r="H445" s="132"/>
      <c r="I445" s="133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</row>
    <row r="446" spans="1:35" s="1" customFormat="1" ht="18">
      <c r="A446" s="167"/>
      <c r="B446" s="131"/>
      <c r="C446" s="131"/>
      <c r="D446" s="132"/>
      <c r="E446" s="132"/>
      <c r="F446" s="132"/>
      <c r="G446" s="132"/>
      <c r="H446" s="132"/>
      <c r="I446" s="133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</row>
    <row r="447" spans="1:35" s="1" customFormat="1" ht="18">
      <c r="A447" s="167"/>
      <c r="B447" s="131"/>
      <c r="C447" s="131"/>
      <c r="D447" s="132"/>
      <c r="E447" s="132"/>
      <c r="F447" s="132"/>
      <c r="G447" s="132"/>
      <c r="H447" s="132"/>
      <c r="I447" s="133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</row>
    <row r="448" spans="1:35" s="1" customFormat="1" ht="18">
      <c r="A448" s="167"/>
      <c r="B448" s="131"/>
      <c r="C448" s="131"/>
      <c r="D448" s="132"/>
      <c r="E448" s="132"/>
      <c r="F448" s="132"/>
      <c r="G448" s="132"/>
      <c r="H448" s="132"/>
      <c r="I448" s="133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</row>
    <row r="449" spans="1:35" s="1" customFormat="1" ht="18">
      <c r="A449" s="167"/>
      <c r="B449" s="131"/>
      <c r="C449" s="131"/>
      <c r="D449" s="132"/>
      <c r="E449" s="132"/>
      <c r="F449" s="132"/>
      <c r="G449" s="132"/>
      <c r="H449" s="132"/>
      <c r="I449" s="133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</row>
    <row r="450" spans="1:35" s="1" customFormat="1" ht="18">
      <c r="A450" s="167"/>
      <c r="B450" s="131"/>
      <c r="C450" s="131"/>
      <c r="D450" s="132"/>
      <c r="E450" s="132"/>
      <c r="F450" s="132"/>
      <c r="G450" s="132"/>
      <c r="H450" s="132"/>
      <c r="I450" s="133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</row>
  </sheetData>
  <sheetProtection/>
  <mergeCells count="18">
    <mergeCell ref="A345:E345"/>
    <mergeCell ref="B9:B11"/>
    <mergeCell ref="C9:C11"/>
    <mergeCell ref="H9:H11"/>
    <mergeCell ref="G9:G11"/>
    <mergeCell ref="D9:D11"/>
    <mergeCell ref="E9:E11"/>
    <mergeCell ref="H345:I345"/>
    <mergeCell ref="A7:K7"/>
    <mergeCell ref="H1:K1"/>
    <mergeCell ref="H2:K2"/>
    <mergeCell ref="H3:K3"/>
    <mergeCell ref="J9:J11"/>
    <mergeCell ref="K9:K11"/>
    <mergeCell ref="F9:F11"/>
    <mergeCell ref="I9:I11"/>
    <mergeCell ref="A9:A11"/>
    <mergeCell ref="H5:K5"/>
  </mergeCells>
  <printOptions horizontalCentered="1"/>
  <pageMargins left="0.1968503937007874" right="0.1968503937007874" top="1.1811023622047245" bottom="0.5905511811023623" header="0.1968503937007874" footer="0.2362204724409449"/>
  <pageSetup fitToHeight="29" fitToWidth="1" horizontalDpi="600" verticalDpi="600" orientation="landscape" paperSize="9" scale="53" r:id="rId1"/>
  <headerFooter alignWithMargins="0">
    <oddFooter>&amp;R&amp;20Сторінка &amp;P</oddFooter>
  </headerFooter>
  <rowBreaks count="1" manualBreakCount="1">
    <brk id="3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2018-07-26T14:17:48Z</cp:lastPrinted>
  <dcterms:created xsi:type="dcterms:W3CDTF">2014-01-17T10:52:16Z</dcterms:created>
  <dcterms:modified xsi:type="dcterms:W3CDTF">2018-07-26T14:20:29Z</dcterms:modified>
  <cp:category/>
  <cp:version/>
  <cp:contentType/>
  <cp:contentStatus/>
</cp:coreProperties>
</file>